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6" yWindow="120" windowWidth="15204" windowHeight="8208" tabRatio="947" activeTab="11"/>
  </bookViews>
  <sheets>
    <sheet name="附表一" sheetId="8" r:id="rId1"/>
    <sheet name="附表二" sheetId="3" r:id="rId2"/>
    <sheet name="附表三" sheetId="1" r:id="rId3"/>
    <sheet name="附表四" sheetId="2" r:id="rId4"/>
    <sheet name="附表五" sheetId="4" r:id="rId5"/>
    <sheet name="附表六" sheetId="5" r:id="rId6"/>
    <sheet name="附表七" sheetId="21" r:id="rId7"/>
    <sheet name="附表八" sheetId="6" r:id="rId8"/>
    <sheet name="附表九" sheetId="25" r:id="rId9"/>
    <sheet name="附表十" sheetId="24" r:id="rId10"/>
    <sheet name="附表十一" sheetId="23" r:id="rId11"/>
    <sheet name="附表十二" sheetId="14" r:id="rId12"/>
  </sheets>
  <definedNames>
    <definedName name="_xlnm._FilterDatabase" localSheetId="0" hidden="1">附表一!$A$3:$L$186</definedName>
    <definedName name="_xlnm._FilterDatabase" localSheetId="7" hidden="1">附表八!$A$2:$H$149</definedName>
    <definedName name="_xlnm._FilterDatabase" localSheetId="4" hidden="1">附表五!$A$2:$I$675</definedName>
    <definedName name="_xlnm._FilterDatabase" localSheetId="5" hidden="1">附表六!$A$2:$I$270</definedName>
    <definedName name="_xlnm.Print_Area" localSheetId="0">附表一!$A$1:$L$274</definedName>
    <definedName name="_xlnm.Print_Titles" localSheetId="0">附表一!$1:$3</definedName>
    <definedName name="_xlnm.Print_Titles" localSheetId="6">附表七!$1:$2</definedName>
    <definedName name="_xlnm.Print_Titles" localSheetId="7">附表八!$1:$2</definedName>
    <definedName name="_xlnm.Print_Titles" localSheetId="9">附表十!$1:$2</definedName>
    <definedName name="_xlnm.Print_Titles" localSheetId="11">附表十二!$1:$2</definedName>
    <definedName name="_xlnm.Print_Titles" localSheetId="4">附表五!$1:$2</definedName>
    <definedName name="_xlnm.Print_Titles" localSheetId="5">附表六!$1:$2</definedName>
    <definedName name="_xlnm.Print_Titles" localSheetId="3">附表四!$1:$2</definedName>
  </definedNames>
  <calcPr calcId="125725"/>
</workbook>
</file>

<file path=xl/calcChain.xml><?xml version="1.0" encoding="utf-8"?>
<calcChain xmlns="http://schemas.openxmlformats.org/spreadsheetml/2006/main">
  <c r="C76" i="23"/>
  <c r="C77" s="1"/>
  <c r="D76"/>
  <c r="E75"/>
  <c r="E74"/>
  <c r="E73"/>
  <c r="E76" s="1"/>
  <c r="E72"/>
  <c r="E71"/>
  <c r="E70"/>
  <c r="E69"/>
  <c r="E68"/>
  <c r="E67"/>
  <c r="E66"/>
  <c r="C62"/>
  <c r="C63" s="1"/>
  <c r="D62"/>
  <c r="E61"/>
  <c r="E60"/>
  <c r="E59"/>
  <c r="E58"/>
  <c r="E57"/>
  <c r="E56"/>
  <c r="E55"/>
  <c r="E54"/>
  <c r="E53"/>
  <c r="E52"/>
  <c r="E51"/>
  <c r="E50"/>
  <c r="D46"/>
  <c r="C46"/>
  <c r="C47" s="1"/>
  <c r="E45"/>
  <c r="E44"/>
  <c r="E43"/>
  <c r="C39"/>
  <c r="C40" s="1"/>
  <c r="D39"/>
  <c r="E38"/>
  <c r="E37"/>
  <c r="E36"/>
  <c r="E39" s="1"/>
  <c r="D32"/>
  <c r="E31"/>
  <c r="E30"/>
  <c r="E29"/>
  <c r="E28"/>
  <c r="E32" s="1"/>
  <c r="C32"/>
  <c r="C33" s="1"/>
  <c r="F93" i="21"/>
  <c r="F51"/>
  <c r="H95"/>
  <c r="H14"/>
  <c r="H15"/>
  <c r="H3"/>
  <c r="H13"/>
  <c r="H12"/>
  <c r="H11"/>
  <c r="H10"/>
  <c r="H9"/>
  <c r="H8"/>
  <c r="H7"/>
  <c r="H6"/>
  <c r="H5"/>
  <c r="H4"/>
  <c r="H27"/>
  <c r="H28"/>
  <c r="H29"/>
  <c r="H30"/>
  <c r="H31"/>
  <c r="H69"/>
  <c r="H74"/>
  <c r="H76"/>
  <c r="H66"/>
  <c r="H67"/>
  <c r="H68"/>
  <c r="H70"/>
  <c r="H71"/>
  <c r="H48"/>
  <c r="H54"/>
  <c r="H55"/>
  <c r="H56"/>
  <c r="H49"/>
  <c r="H50"/>
  <c r="H57"/>
  <c r="H58"/>
  <c r="H59"/>
  <c r="H60"/>
  <c r="H61"/>
  <c r="H62"/>
  <c r="H63"/>
  <c r="H64"/>
  <c r="H65"/>
  <c r="H39"/>
  <c r="H40"/>
  <c r="H41"/>
  <c r="H42"/>
  <c r="H43"/>
  <c r="H44"/>
  <c r="H45"/>
  <c r="H46"/>
  <c r="H47"/>
  <c r="H52"/>
  <c r="H53"/>
  <c r="H32"/>
  <c r="H33"/>
  <c r="H34"/>
  <c r="H35"/>
  <c r="H36"/>
  <c r="H37"/>
  <c r="H38"/>
  <c r="H16"/>
  <c r="H17"/>
  <c r="H18"/>
  <c r="H19"/>
  <c r="H20"/>
  <c r="H21"/>
  <c r="H22"/>
  <c r="H23"/>
  <c r="H24"/>
  <c r="H25"/>
  <c r="H26"/>
  <c r="H85"/>
  <c r="H86"/>
  <c r="H87"/>
  <c r="H88"/>
  <c r="H89"/>
  <c r="H90"/>
  <c r="H91"/>
  <c r="H92"/>
  <c r="H77"/>
  <c r="H78"/>
  <c r="H79"/>
  <c r="H80"/>
  <c r="H81"/>
  <c r="H82"/>
  <c r="H83"/>
  <c r="H72"/>
  <c r="H73"/>
  <c r="H75"/>
  <c r="H84"/>
  <c r="E46" i="23" l="1"/>
  <c r="E62"/>
  <c r="F94" i="21"/>
  <c r="H93"/>
  <c r="H51"/>
  <c r="G53" i="14"/>
  <c r="E53"/>
  <c r="H94" i="21" l="1"/>
  <c r="F599" i="4"/>
  <c r="H598"/>
  <c r="H599" s="1"/>
  <c r="F213"/>
  <c r="H213"/>
  <c r="F669"/>
  <c r="H96" i="21" l="1"/>
  <c r="H97"/>
  <c r="H98" l="1"/>
  <c r="H99"/>
  <c r="F273" i="8"/>
  <c r="J272"/>
  <c r="H272"/>
  <c r="K272" s="1"/>
  <c r="C272"/>
  <c r="B272"/>
  <c r="J271"/>
  <c r="H271"/>
  <c r="K271" s="1"/>
  <c r="C271"/>
  <c r="B271"/>
  <c r="J270"/>
  <c r="H270"/>
  <c r="K270" s="1"/>
  <c r="C270"/>
  <c r="B270"/>
  <c r="J269"/>
  <c r="H269"/>
  <c r="K269" s="1"/>
  <c r="C269"/>
  <c r="B269"/>
  <c r="J268"/>
  <c r="H268"/>
  <c r="K268" s="1"/>
  <c r="C268"/>
  <c r="B268"/>
  <c r="J267"/>
  <c r="H267"/>
  <c r="K267" s="1"/>
  <c r="C267"/>
  <c r="B267"/>
  <c r="J266"/>
  <c r="H266"/>
  <c r="K266" s="1"/>
  <c r="C266"/>
  <c r="B266"/>
  <c r="J265"/>
  <c r="H265"/>
  <c r="K265" s="1"/>
  <c r="C265"/>
  <c r="B265"/>
  <c r="J264"/>
  <c r="H264"/>
  <c r="K264" s="1"/>
  <c r="C264"/>
  <c r="B264"/>
  <c r="J263"/>
  <c r="H263"/>
  <c r="K263" s="1"/>
  <c r="C263"/>
  <c r="B263"/>
  <c r="J262"/>
  <c r="H262"/>
  <c r="K262" s="1"/>
  <c r="C262"/>
  <c r="B262"/>
  <c r="J261"/>
  <c r="H261"/>
  <c r="K261" s="1"/>
  <c r="C261"/>
  <c r="B261"/>
  <c r="J260"/>
  <c r="H260"/>
  <c r="K260" s="1"/>
  <c r="C260"/>
  <c r="B260"/>
  <c r="J259"/>
  <c r="H259"/>
  <c r="K259" s="1"/>
  <c r="C259"/>
  <c r="B259"/>
  <c r="J258"/>
  <c r="H258"/>
  <c r="K258" s="1"/>
  <c r="C258"/>
  <c r="B258"/>
  <c r="J257"/>
  <c r="H257"/>
  <c r="K257" s="1"/>
  <c r="C257"/>
  <c r="B257"/>
  <c r="J256"/>
  <c r="H256"/>
  <c r="K256" s="1"/>
  <c r="C256"/>
  <c r="B256"/>
  <c r="J255"/>
  <c r="H255"/>
  <c r="K255" s="1"/>
  <c r="C255"/>
  <c r="B255"/>
  <c r="J254"/>
  <c r="H254"/>
  <c r="K254" s="1"/>
  <c r="C254"/>
  <c r="B254"/>
  <c r="J253"/>
  <c r="H253"/>
  <c r="K253" s="1"/>
  <c r="C253"/>
  <c r="B253"/>
  <c r="J252"/>
  <c r="H252"/>
  <c r="K252" s="1"/>
  <c r="C252"/>
  <c r="B252"/>
  <c r="J251"/>
  <c r="H251"/>
  <c r="K251" s="1"/>
  <c r="C251"/>
  <c r="B251"/>
  <c r="J250"/>
  <c r="H250"/>
  <c r="K250" s="1"/>
  <c r="C250"/>
  <c r="B250"/>
  <c r="J249"/>
  <c r="H249"/>
  <c r="K249" s="1"/>
  <c r="C249"/>
  <c r="B249"/>
  <c r="H248"/>
  <c r="K248" s="1"/>
  <c r="C248"/>
  <c r="B248"/>
  <c r="J247"/>
  <c r="H247"/>
  <c r="K247" s="1"/>
  <c r="C247"/>
  <c r="B247"/>
  <c r="J246"/>
  <c r="H246"/>
  <c r="K246" s="1"/>
  <c r="C246"/>
  <c r="B246"/>
  <c r="J245"/>
  <c r="H245"/>
  <c r="K245" s="1"/>
  <c r="C245"/>
  <c r="B245"/>
  <c r="J244"/>
  <c r="H244"/>
  <c r="K244" s="1"/>
  <c r="C244"/>
  <c r="B244"/>
  <c r="J243"/>
  <c r="H243"/>
  <c r="K243" s="1"/>
  <c r="C243"/>
  <c r="B243"/>
  <c r="J242"/>
  <c r="H242"/>
  <c r="K242" s="1"/>
  <c r="C242"/>
  <c r="B242"/>
  <c r="J241"/>
  <c r="H241"/>
  <c r="K241" s="1"/>
  <c r="C241"/>
  <c r="B241"/>
  <c r="J240"/>
  <c r="H240"/>
  <c r="K240" s="1"/>
  <c r="C240"/>
  <c r="B240"/>
  <c r="J239"/>
  <c r="H239"/>
  <c r="K239" s="1"/>
  <c r="C239"/>
  <c r="B239"/>
  <c r="J238"/>
  <c r="H238"/>
  <c r="K238" s="1"/>
  <c r="C238"/>
  <c r="B238"/>
  <c r="J237"/>
  <c r="H237"/>
  <c r="K237" s="1"/>
  <c r="C237"/>
  <c r="B237"/>
  <c r="J236"/>
  <c r="H236"/>
  <c r="K236" s="1"/>
  <c r="C236"/>
  <c r="B236"/>
  <c r="J235"/>
  <c r="H235"/>
  <c r="K235" s="1"/>
  <c r="C235"/>
  <c r="B235"/>
  <c r="J234"/>
  <c r="H234"/>
  <c r="K234" s="1"/>
  <c r="C234"/>
  <c r="B234"/>
  <c r="J233"/>
  <c r="H233"/>
  <c r="K233" s="1"/>
  <c r="C233"/>
  <c r="B233"/>
  <c r="J232"/>
  <c r="H232"/>
  <c r="K232" s="1"/>
  <c r="C232"/>
  <c r="B232"/>
  <c r="J231"/>
  <c r="H231"/>
  <c r="K231" s="1"/>
  <c r="C231"/>
  <c r="B231"/>
  <c r="J230"/>
  <c r="H230"/>
  <c r="K230" s="1"/>
  <c r="C230"/>
  <c r="B230"/>
  <c r="J229"/>
  <c r="H229"/>
  <c r="K229" s="1"/>
  <c r="C229"/>
  <c r="B229"/>
  <c r="J228"/>
  <c r="H228"/>
  <c r="K228" s="1"/>
  <c r="C228"/>
  <c r="B228"/>
  <c r="J227"/>
  <c r="H227"/>
  <c r="K227" s="1"/>
  <c r="C227"/>
  <c r="B227"/>
  <c r="J226"/>
  <c r="H226"/>
  <c r="K226" s="1"/>
  <c r="C226"/>
  <c r="B226"/>
  <c r="J225"/>
  <c r="H225"/>
  <c r="K225" s="1"/>
  <c r="C225"/>
  <c r="B225"/>
  <c r="J224"/>
  <c r="H224"/>
  <c r="K224" s="1"/>
  <c r="C224"/>
  <c r="B224"/>
  <c r="J223"/>
  <c r="H223"/>
  <c r="K223" s="1"/>
  <c r="C223"/>
  <c r="B223"/>
  <c r="J222"/>
  <c r="H222"/>
  <c r="K222" s="1"/>
  <c r="C222"/>
  <c r="B222"/>
  <c r="J221"/>
  <c r="H221"/>
  <c r="K221" s="1"/>
  <c r="C221"/>
  <c r="B221"/>
  <c r="J220"/>
  <c r="H220"/>
  <c r="K220" s="1"/>
  <c r="C220"/>
  <c r="B220"/>
  <c r="J219"/>
  <c r="H219"/>
  <c r="K219" s="1"/>
  <c r="C219"/>
  <c r="B219"/>
  <c r="J218"/>
  <c r="H218"/>
  <c r="K218" s="1"/>
  <c r="C218"/>
  <c r="B218"/>
  <c r="J217"/>
  <c r="H217"/>
  <c r="K217" s="1"/>
  <c r="C217"/>
  <c r="B217"/>
  <c r="J216"/>
  <c r="H216"/>
  <c r="K216" s="1"/>
  <c r="C216"/>
  <c r="B216"/>
  <c r="J215"/>
  <c r="H215"/>
  <c r="K215" s="1"/>
  <c r="C215"/>
  <c r="B215"/>
  <c r="J214"/>
  <c r="H214"/>
  <c r="K214" s="1"/>
  <c r="C214"/>
  <c r="B214"/>
  <c r="J213"/>
  <c r="H213"/>
  <c r="K213" s="1"/>
  <c r="C213"/>
  <c r="B213"/>
  <c r="J212"/>
  <c r="H212"/>
  <c r="K212" s="1"/>
  <c r="C212"/>
  <c r="B212"/>
  <c r="J211"/>
  <c r="H211"/>
  <c r="K211" s="1"/>
  <c r="C211"/>
  <c r="B211"/>
  <c r="J210"/>
  <c r="H210"/>
  <c r="K210" s="1"/>
  <c r="C210"/>
  <c r="B210"/>
  <c r="J209"/>
  <c r="H209"/>
  <c r="K209" s="1"/>
  <c r="C209"/>
  <c r="B209"/>
  <c r="J208"/>
  <c r="H208"/>
  <c r="K208" s="1"/>
  <c r="C208"/>
  <c r="B208"/>
  <c r="J207"/>
  <c r="H207"/>
  <c r="K207" s="1"/>
  <c r="C207"/>
  <c r="B207"/>
  <c r="J206"/>
  <c r="H206"/>
  <c r="K206" s="1"/>
  <c r="C206"/>
  <c r="B206"/>
  <c r="J205"/>
  <c r="H205"/>
  <c r="K205" s="1"/>
  <c r="C205"/>
  <c r="B205"/>
  <c r="J204"/>
  <c r="H204"/>
  <c r="K204" s="1"/>
  <c r="C204"/>
  <c r="B204"/>
  <c r="J203"/>
  <c r="H203"/>
  <c r="K203" s="1"/>
  <c r="C203"/>
  <c r="B203"/>
  <c r="J202"/>
  <c r="H202"/>
  <c r="K202" s="1"/>
  <c r="C202"/>
  <c r="B202"/>
  <c r="J201"/>
  <c r="H201"/>
  <c r="K201" s="1"/>
  <c r="C201"/>
  <c r="B201"/>
  <c r="J200"/>
  <c r="H200"/>
  <c r="K200" s="1"/>
  <c r="C200"/>
  <c r="B200"/>
  <c r="J199"/>
  <c r="H199"/>
  <c r="K199" s="1"/>
  <c r="C199"/>
  <c r="B199"/>
  <c r="J198"/>
  <c r="H198"/>
  <c r="K198" s="1"/>
  <c r="C198"/>
  <c r="B198"/>
  <c r="J197"/>
  <c r="H197"/>
  <c r="K197" s="1"/>
  <c r="C197"/>
  <c r="B197"/>
  <c r="J196"/>
  <c r="H196"/>
  <c r="K196" s="1"/>
  <c r="C196"/>
  <c r="B196"/>
  <c r="J195"/>
  <c r="H195"/>
  <c r="K195" s="1"/>
  <c r="C195"/>
  <c r="B195"/>
  <c r="J194"/>
  <c r="H194"/>
  <c r="K194" s="1"/>
  <c r="C194"/>
  <c r="B194"/>
  <c r="J193"/>
  <c r="H193"/>
  <c r="K193" s="1"/>
  <c r="C193"/>
  <c r="B193"/>
  <c r="J192"/>
  <c r="H192"/>
  <c r="K192" s="1"/>
  <c r="C192"/>
  <c r="B192"/>
  <c r="J191"/>
  <c r="H191"/>
  <c r="K191" s="1"/>
  <c r="C191"/>
  <c r="B191"/>
  <c r="J190"/>
  <c r="H190"/>
  <c r="K190" s="1"/>
  <c r="C190"/>
  <c r="B190"/>
  <c r="J189"/>
  <c r="H189"/>
  <c r="K189" s="1"/>
  <c r="C189"/>
  <c r="B189"/>
  <c r="J188"/>
  <c r="H188"/>
  <c r="K188" s="1"/>
  <c r="C188"/>
  <c r="B188"/>
  <c r="J187"/>
  <c r="H187"/>
  <c r="K187" s="1"/>
  <c r="C187"/>
  <c r="B187"/>
  <c r="J186"/>
  <c r="H186"/>
  <c r="K186" s="1"/>
  <c r="C186"/>
  <c r="B186"/>
  <c r="J185"/>
  <c r="H185"/>
  <c r="K185" s="1"/>
  <c r="C185"/>
  <c r="B185"/>
  <c r="J184"/>
  <c r="H184"/>
  <c r="K184" s="1"/>
  <c r="C184"/>
  <c r="B184"/>
  <c r="J183"/>
  <c r="H183"/>
  <c r="K183" s="1"/>
  <c r="C183"/>
  <c r="B183"/>
  <c r="J181"/>
  <c r="H181"/>
  <c r="K181" s="1"/>
  <c r="C181"/>
  <c r="B181"/>
  <c r="J180"/>
  <c r="H180"/>
  <c r="K180" s="1"/>
  <c r="C180"/>
  <c r="B180"/>
  <c r="J179"/>
  <c r="H179"/>
  <c r="K179" s="1"/>
  <c r="C179"/>
  <c r="B179"/>
  <c r="J178"/>
  <c r="H178"/>
  <c r="K178" s="1"/>
  <c r="C178"/>
  <c r="B178"/>
  <c r="J177"/>
  <c r="H177"/>
  <c r="K177" s="1"/>
  <c r="C177"/>
  <c r="B177"/>
  <c r="J176"/>
  <c r="H176"/>
  <c r="K176" s="1"/>
  <c r="C176"/>
  <c r="B176"/>
  <c r="J174"/>
  <c r="H174"/>
  <c r="K174" s="1"/>
  <c r="C174"/>
  <c r="B174"/>
  <c r="J173"/>
  <c r="H173"/>
  <c r="K173" s="1"/>
  <c r="C173"/>
  <c r="B173"/>
  <c r="J172"/>
  <c r="H172"/>
  <c r="K172" s="1"/>
  <c r="C172"/>
  <c r="B172"/>
  <c r="H171"/>
  <c r="K171" s="1"/>
  <c r="C171"/>
  <c r="B171"/>
  <c r="J170"/>
  <c r="H170"/>
  <c r="K170" s="1"/>
  <c r="C170"/>
  <c r="B170"/>
  <c r="J169"/>
  <c r="H169"/>
  <c r="K169" s="1"/>
  <c r="C169"/>
  <c r="B169"/>
  <c r="J168"/>
  <c r="H168"/>
  <c r="K168" s="1"/>
  <c r="C168"/>
  <c r="B168"/>
  <c r="J167"/>
  <c r="H167"/>
  <c r="K167" s="1"/>
  <c r="C167"/>
  <c r="B167"/>
  <c r="J166"/>
  <c r="H166"/>
  <c r="K166" s="1"/>
  <c r="C166"/>
  <c r="B166"/>
  <c r="J165"/>
  <c r="H165"/>
  <c r="K165" s="1"/>
  <c r="C165"/>
  <c r="B165"/>
  <c r="J164"/>
  <c r="H164"/>
  <c r="K164" s="1"/>
  <c r="C164"/>
  <c r="B164"/>
  <c r="H163"/>
  <c r="K163" s="1"/>
  <c r="C163"/>
  <c r="B163"/>
  <c r="J162"/>
  <c r="H162"/>
  <c r="K162" s="1"/>
  <c r="C162"/>
  <c r="B162"/>
  <c r="J161"/>
  <c r="H161"/>
  <c r="K161" s="1"/>
  <c r="C161"/>
  <c r="B161"/>
  <c r="J160"/>
  <c r="H160"/>
  <c r="K160" s="1"/>
  <c r="C160"/>
  <c r="B160"/>
  <c r="J159"/>
  <c r="H159"/>
  <c r="K159" s="1"/>
  <c r="C159"/>
  <c r="B159"/>
  <c r="J158"/>
  <c r="H158"/>
  <c r="K158" s="1"/>
  <c r="C158"/>
  <c r="B158"/>
  <c r="J157"/>
  <c r="H157"/>
  <c r="K157" s="1"/>
  <c r="C157"/>
  <c r="B157"/>
  <c r="J156"/>
  <c r="H156"/>
  <c r="K156" s="1"/>
  <c r="C156"/>
  <c r="B156"/>
  <c r="J155"/>
  <c r="H155"/>
  <c r="K155" s="1"/>
  <c r="C155"/>
  <c r="B155"/>
  <c r="J154"/>
  <c r="H154"/>
  <c r="K154" s="1"/>
  <c r="C154"/>
  <c r="B154"/>
  <c r="J153"/>
  <c r="H153"/>
  <c r="K153" s="1"/>
  <c r="C153"/>
  <c r="B153"/>
  <c r="J152"/>
  <c r="H152"/>
  <c r="K152" s="1"/>
  <c r="C152"/>
  <c r="B152"/>
  <c r="J151"/>
  <c r="H151"/>
  <c r="K151" s="1"/>
  <c r="C151"/>
  <c r="B151"/>
  <c r="J150"/>
  <c r="H150"/>
  <c r="K150" s="1"/>
  <c r="C150"/>
  <c r="B150"/>
  <c r="J149"/>
  <c r="H149"/>
  <c r="K149" s="1"/>
  <c r="C149"/>
  <c r="B149"/>
  <c r="J148"/>
  <c r="H148"/>
  <c r="K148" s="1"/>
  <c r="C148"/>
  <c r="B148"/>
  <c r="J147"/>
  <c r="H147"/>
  <c r="K147" s="1"/>
  <c r="C147"/>
  <c r="B147"/>
  <c r="J146"/>
  <c r="H146"/>
  <c r="K146" s="1"/>
  <c r="C146"/>
  <c r="B146"/>
  <c r="J145"/>
  <c r="H145"/>
  <c r="K145" s="1"/>
  <c r="C145"/>
  <c r="B145"/>
  <c r="J144"/>
  <c r="H144"/>
  <c r="K144" s="1"/>
  <c r="C144"/>
  <c r="B144"/>
  <c r="J143"/>
  <c r="H143"/>
  <c r="K143" s="1"/>
  <c r="C143"/>
  <c r="B143"/>
  <c r="J142"/>
  <c r="H142"/>
  <c r="K142" s="1"/>
  <c r="C142"/>
  <c r="B142"/>
  <c r="J141"/>
  <c r="H141"/>
  <c r="K141" s="1"/>
  <c r="C141"/>
  <c r="B141"/>
  <c r="J140"/>
  <c r="H140"/>
  <c r="K140" s="1"/>
  <c r="C140"/>
  <c r="B140"/>
  <c r="J139"/>
  <c r="H139"/>
  <c r="K139" s="1"/>
  <c r="C139"/>
  <c r="B139"/>
  <c r="J138"/>
  <c r="H138"/>
  <c r="K138" s="1"/>
  <c r="C138"/>
  <c r="B138"/>
  <c r="J137"/>
  <c r="H137"/>
  <c r="K137" s="1"/>
  <c r="C137"/>
  <c r="B137"/>
  <c r="J136"/>
  <c r="H136"/>
  <c r="K136" s="1"/>
  <c r="C136"/>
  <c r="B136"/>
  <c r="J135"/>
  <c r="H135"/>
  <c r="K135" s="1"/>
  <c r="C135"/>
  <c r="B135"/>
  <c r="J134"/>
  <c r="H134"/>
  <c r="K134" s="1"/>
  <c r="C134"/>
  <c r="B134"/>
  <c r="J133"/>
  <c r="H133"/>
  <c r="K133" s="1"/>
  <c r="C133"/>
  <c r="B133"/>
  <c r="J132"/>
  <c r="H132"/>
  <c r="K132" s="1"/>
  <c r="C132"/>
  <c r="B132"/>
  <c r="J131"/>
  <c r="H131"/>
  <c r="K131" s="1"/>
  <c r="C131"/>
  <c r="B131"/>
  <c r="J130"/>
  <c r="H130"/>
  <c r="K130" s="1"/>
  <c r="C130"/>
  <c r="B130"/>
  <c r="J129"/>
  <c r="H129"/>
  <c r="K129" s="1"/>
  <c r="C129"/>
  <c r="B129"/>
  <c r="J128"/>
  <c r="H128"/>
  <c r="K128" s="1"/>
  <c r="C128"/>
  <c r="B128"/>
  <c r="J127"/>
  <c r="H127"/>
  <c r="K127" s="1"/>
  <c r="C127"/>
  <c r="B127"/>
  <c r="J126"/>
  <c r="H126"/>
  <c r="K126" s="1"/>
  <c r="C126"/>
  <c r="B126"/>
  <c r="J125"/>
  <c r="H125"/>
  <c r="K125" s="1"/>
  <c r="C125"/>
  <c r="B125"/>
  <c r="J124"/>
  <c r="H124"/>
  <c r="K124" s="1"/>
  <c r="C124"/>
  <c r="B124"/>
  <c r="J123"/>
  <c r="H123"/>
  <c r="K123" s="1"/>
  <c r="C123"/>
  <c r="B123"/>
  <c r="J122"/>
  <c r="H122"/>
  <c r="K122" s="1"/>
  <c r="C122"/>
  <c r="B122"/>
  <c r="J121"/>
  <c r="H121"/>
  <c r="K121" s="1"/>
  <c r="C121"/>
  <c r="B121"/>
  <c r="J120"/>
  <c r="H120"/>
  <c r="K120" s="1"/>
  <c r="C120"/>
  <c r="B120"/>
  <c r="J119"/>
  <c r="H119"/>
  <c r="K119" s="1"/>
  <c r="C119"/>
  <c r="B119"/>
  <c r="J118"/>
  <c r="H118"/>
  <c r="K118" s="1"/>
  <c r="C118"/>
  <c r="B118"/>
  <c r="J117"/>
  <c r="H117"/>
  <c r="K117" s="1"/>
  <c r="C117"/>
  <c r="B117"/>
  <c r="H116"/>
  <c r="K116" s="1"/>
  <c r="C116"/>
  <c r="B116"/>
  <c r="H115"/>
  <c r="K115" s="1"/>
  <c r="C115"/>
  <c r="B115"/>
  <c r="H114"/>
  <c r="K114" s="1"/>
  <c r="C114"/>
  <c r="B114"/>
  <c r="H113"/>
  <c r="K113" s="1"/>
  <c r="C113"/>
  <c r="B113"/>
  <c r="H112"/>
  <c r="K112" s="1"/>
  <c r="C112"/>
  <c r="B112"/>
  <c r="H111"/>
  <c r="K111" s="1"/>
  <c r="C111"/>
  <c r="B111"/>
  <c r="H110"/>
  <c r="K110" s="1"/>
  <c r="C110"/>
  <c r="B110"/>
  <c r="H109"/>
  <c r="K109" s="1"/>
  <c r="C109"/>
  <c r="B109"/>
  <c r="H108"/>
  <c r="K108" s="1"/>
  <c r="C108"/>
  <c r="B108"/>
  <c r="H107"/>
  <c r="K107" s="1"/>
  <c r="C107"/>
  <c r="B107"/>
  <c r="H106"/>
  <c r="K106" s="1"/>
  <c r="C106"/>
  <c r="B106"/>
  <c r="H105"/>
  <c r="K105" s="1"/>
  <c r="C105"/>
  <c r="B105"/>
  <c r="H104"/>
  <c r="K104" s="1"/>
  <c r="C104"/>
  <c r="B104"/>
  <c r="H103"/>
  <c r="K103" s="1"/>
  <c r="C103"/>
  <c r="B103"/>
  <c r="H102"/>
  <c r="K102" s="1"/>
  <c r="C102"/>
  <c r="B102"/>
  <c r="H101"/>
  <c r="K101" s="1"/>
  <c r="C101"/>
  <c r="B101"/>
  <c r="H100"/>
  <c r="K100" s="1"/>
  <c r="C100"/>
  <c r="B100"/>
  <c r="H99"/>
  <c r="K99" s="1"/>
  <c r="C99"/>
  <c r="B99"/>
  <c r="H98"/>
  <c r="K98" s="1"/>
  <c r="C98"/>
  <c r="B98"/>
  <c r="H97"/>
  <c r="K97" s="1"/>
  <c r="C97"/>
  <c r="B97"/>
  <c r="H96"/>
  <c r="K96" s="1"/>
  <c r="C96"/>
  <c r="B96"/>
  <c r="H95"/>
  <c r="K95" s="1"/>
  <c r="C95"/>
  <c r="B95"/>
  <c r="H94"/>
  <c r="K94" s="1"/>
  <c r="C94"/>
  <c r="B94"/>
  <c r="H93"/>
  <c r="K93" s="1"/>
  <c r="C93"/>
  <c r="B93"/>
  <c r="H92"/>
  <c r="K92" s="1"/>
  <c r="C92"/>
  <c r="B92"/>
  <c r="H91"/>
  <c r="K91" s="1"/>
  <c r="C91"/>
  <c r="B91"/>
  <c r="H90"/>
  <c r="K90" s="1"/>
  <c r="C90"/>
  <c r="B90"/>
  <c r="H89"/>
  <c r="K89" s="1"/>
  <c r="C89"/>
  <c r="B89"/>
  <c r="H88"/>
  <c r="K88" s="1"/>
  <c r="C88"/>
  <c r="B88"/>
  <c r="H87"/>
  <c r="K87" s="1"/>
  <c r="C87"/>
  <c r="B87"/>
  <c r="H86"/>
  <c r="K86" s="1"/>
  <c r="C86"/>
  <c r="B86"/>
  <c r="H85"/>
  <c r="K85" s="1"/>
  <c r="C85"/>
  <c r="B85"/>
  <c r="H84"/>
  <c r="K84" s="1"/>
  <c r="C84"/>
  <c r="B84"/>
  <c r="H83"/>
  <c r="K83" s="1"/>
  <c r="C83"/>
  <c r="B83"/>
  <c r="H82"/>
  <c r="K82" s="1"/>
  <c r="C82"/>
  <c r="B82"/>
  <c r="H81"/>
  <c r="K81" s="1"/>
  <c r="C81"/>
  <c r="B81"/>
  <c r="H80"/>
  <c r="K80" s="1"/>
  <c r="C80"/>
  <c r="B80"/>
  <c r="H79"/>
  <c r="K79" s="1"/>
  <c r="C79"/>
  <c r="B79"/>
  <c r="H78"/>
  <c r="K78" s="1"/>
  <c r="C78"/>
  <c r="B78"/>
  <c r="H77"/>
  <c r="K77" s="1"/>
  <c r="C77"/>
  <c r="B77"/>
  <c r="H76"/>
  <c r="K76" s="1"/>
  <c r="C76"/>
  <c r="B76"/>
  <c r="H75"/>
  <c r="K75" s="1"/>
  <c r="C75"/>
  <c r="B75"/>
  <c r="H74"/>
  <c r="K74" s="1"/>
  <c r="C74"/>
  <c r="B74"/>
  <c r="H73"/>
  <c r="K73" s="1"/>
  <c r="C73"/>
  <c r="B73"/>
  <c r="H72"/>
  <c r="K72" s="1"/>
  <c r="C72"/>
  <c r="B72"/>
  <c r="H71"/>
  <c r="K71" s="1"/>
  <c r="C71"/>
  <c r="B71"/>
  <c r="H70"/>
  <c r="K70" s="1"/>
  <c r="C70"/>
  <c r="B70"/>
  <c r="H69"/>
  <c r="K69" s="1"/>
  <c r="C69"/>
  <c r="B69"/>
  <c r="H68"/>
  <c r="K68" s="1"/>
  <c r="C68"/>
  <c r="B68"/>
  <c r="H67"/>
  <c r="K67" s="1"/>
  <c r="C67"/>
  <c r="B67"/>
  <c r="H66"/>
  <c r="K66" s="1"/>
  <c r="C66"/>
  <c r="B66"/>
  <c r="H65"/>
  <c r="K65" s="1"/>
  <c r="C65"/>
  <c r="B65"/>
  <c r="H64"/>
  <c r="K64" s="1"/>
  <c r="C64"/>
  <c r="B64"/>
  <c r="H63"/>
  <c r="K63" s="1"/>
  <c r="C63"/>
  <c r="B63"/>
  <c r="H62"/>
  <c r="K62" s="1"/>
  <c r="C62"/>
  <c r="B62"/>
  <c r="H61"/>
  <c r="K61" s="1"/>
  <c r="C61"/>
  <c r="B61"/>
  <c r="H60"/>
  <c r="K60" s="1"/>
  <c r="C60"/>
  <c r="B60"/>
  <c r="H59"/>
  <c r="K59" s="1"/>
  <c r="C59"/>
  <c r="B59"/>
  <c r="H58"/>
  <c r="K58" s="1"/>
  <c r="C58"/>
  <c r="B58"/>
  <c r="H57"/>
  <c r="K57" s="1"/>
  <c r="C57"/>
  <c r="B57"/>
  <c r="H56"/>
  <c r="K56" s="1"/>
  <c r="C56"/>
  <c r="B56"/>
  <c r="H55"/>
  <c r="K55" s="1"/>
  <c r="C55"/>
  <c r="B55"/>
  <c r="H54"/>
  <c r="K54" s="1"/>
  <c r="C54"/>
  <c r="B54"/>
  <c r="H53"/>
  <c r="K53" s="1"/>
  <c r="C53"/>
  <c r="B53"/>
  <c r="H52"/>
  <c r="K52" s="1"/>
  <c r="C52"/>
  <c r="B52"/>
  <c r="H51"/>
  <c r="K51" s="1"/>
  <c r="C51"/>
  <c r="B51"/>
  <c r="H50"/>
  <c r="K50" s="1"/>
  <c r="C50"/>
  <c r="B50"/>
  <c r="H49"/>
  <c r="K49" s="1"/>
  <c r="C49"/>
  <c r="B49"/>
  <c r="H48"/>
  <c r="K48" s="1"/>
  <c r="C48"/>
  <c r="B48"/>
  <c r="H47"/>
  <c r="K47" s="1"/>
  <c r="C47"/>
  <c r="B47"/>
  <c r="H46"/>
  <c r="K46" s="1"/>
  <c r="C46"/>
  <c r="B46"/>
  <c r="H45"/>
  <c r="K45" s="1"/>
  <c r="C45"/>
  <c r="B45"/>
  <c r="H44"/>
  <c r="K44" s="1"/>
  <c r="C44"/>
  <c r="B44"/>
  <c r="H43"/>
  <c r="K43" s="1"/>
  <c r="C43"/>
  <c r="B43"/>
  <c r="H42"/>
  <c r="K42" s="1"/>
  <c r="C42"/>
  <c r="B42"/>
  <c r="H41"/>
  <c r="K41" s="1"/>
  <c r="C41"/>
  <c r="B41"/>
  <c r="H40"/>
  <c r="K40" s="1"/>
  <c r="C40"/>
  <c r="B40"/>
  <c r="H39"/>
  <c r="K39" s="1"/>
  <c r="C39"/>
  <c r="B39"/>
  <c r="H38"/>
  <c r="K38" s="1"/>
  <c r="C38"/>
  <c r="B38"/>
  <c r="H37"/>
  <c r="K37" s="1"/>
  <c r="C37"/>
  <c r="B37"/>
  <c r="H36"/>
  <c r="K36" s="1"/>
  <c r="C36"/>
  <c r="B36"/>
  <c r="H35"/>
  <c r="K35" s="1"/>
  <c r="C35"/>
  <c r="B35"/>
  <c r="H34"/>
  <c r="K34" s="1"/>
  <c r="C34"/>
  <c r="B34"/>
  <c r="H33"/>
  <c r="K33" s="1"/>
  <c r="C33"/>
  <c r="B33"/>
  <c r="H32"/>
  <c r="K32" s="1"/>
  <c r="C32"/>
  <c r="B32"/>
  <c r="H31"/>
  <c r="K31" s="1"/>
  <c r="C31"/>
  <c r="B31"/>
  <c r="H30"/>
  <c r="K30" s="1"/>
  <c r="C30"/>
  <c r="B30"/>
  <c r="H29"/>
  <c r="K29" s="1"/>
  <c r="C29"/>
  <c r="B29"/>
  <c r="H28"/>
  <c r="K28" s="1"/>
  <c r="C28"/>
  <c r="B28"/>
  <c r="H27"/>
  <c r="K27" s="1"/>
  <c r="C27"/>
  <c r="B27"/>
  <c r="H26"/>
  <c r="K26" s="1"/>
  <c r="C26"/>
  <c r="B26"/>
  <c r="H25"/>
  <c r="K25" s="1"/>
  <c r="C25"/>
  <c r="B25"/>
  <c r="H24"/>
  <c r="K24" s="1"/>
  <c r="C24"/>
  <c r="B24"/>
  <c r="H23"/>
  <c r="K23" s="1"/>
  <c r="C23"/>
  <c r="B23"/>
  <c r="H20"/>
  <c r="C20"/>
  <c r="B20"/>
  <c r="H19"/>
  <c r="K19" s="1"/>
  <c r="C19"/>
  <c r="B19"/>
  <c r="H18"/>
  <c r="K18" s="1"/>
  <c r="C18"/>
  <c r="B18"/>
  <c r="H17"/>
  <c r="K17" s="1"/>
  <c r="C17"/>
  <c r="B17"/>
  <c r="H16"/>
  <c r="K16" s="1"/>
  <c r="C16"/>
  <c r="B16"/>
  <c r="H15"/>
  <c r="K15" s="1"/>
  <c r="C15"/>
  <c r="B15"/>
  <c r="H14"/>
  <c r="K14" s="1"/>
  <c r="C14"/>
  <c r="B14"/>
  <c r="H13"/>
  <c r="K13" s="1"/>
  <c r="C13"/>
  <c r="B13"/>
  <c r="H12"/>
  <c r="K12" s="1"/>
  <c r="C12"/>
  <c r="B12"/>
  <c r="H11"/>
  <c r="K11" s="1"/>
  <c r="C11"/>
  <c r="B11"/>
  <c r="H10"/>
  <c r="K10" s="1"/>
  <c r="C10"/>
  <c r="B10"/>
  <c r="H9"/>
  <c r="K9" s="1"/>
  <c r="C9"/>
  <c r="B9"/>
  <c r="H8"/>
  <c r="K8" s="1"/>
  <c r="C8"/>
  <c r="B8"/>
  <c r="H7"/>
  <c r="K7" s="1"/>
  <c r="C7"/>
  <c r="B7"/>
  <c r="H6"/>
  <c r="K6" s="1"/>
  <c r="C6"/>
  <c r="B6"/>
  <c r="H5"/>
  <c r="K5" s="1"/>
  <c r="C5"/>
  <c r="B5"/>
  <c r="H4"/>
  <c r="C4"/>
  <c r="B4"/>
  <c r="G57" i="6"/>
  <c r="E57"/>
  <c r="E148" s="1"/>
  <c r="G147"/>
  <c r="E147"/>
  <c r="G148"/>
  <c r="H267" i="5"/>
  <c r="F267"/>
  <c r="F190"/>
  <c r="H190"/>
  <c r="H181"/>
  <c r="F181"/>
  <c r="H58"/>
  <c r="F58"/>
  <c r="H56"/>
  <c r="F56"/>
  <c r="H13"/>
  <c r="F13"/>
  <c r="H669" i="4"/>
  <c r="H604"/>
  <c r="F604"/>
  <c r="H228"/>
  <c r="F228"/>
  <c r="H226"/>
  <c r="F226"/>
  <c r="F219"/>
  <c r="H219"/>
  <c r="H217"/>
  <c r="F217"/>
  <c r="H215"/>
  <c r="F215"/>
  <c r="G126" i="2"/>
  <c r="E126"/>
  <c r="G125"/>
  <c r="E125"/>
  <c r="G120"/>
  <c r="E120"/>
  <c r="G114"/>
  <c r="E114"/>
  <c r="G98"/>
  <c r="E98"/>
  <c r="G84"/>
  <c r="E84"/>
  <c r="G68"/>
  <c r="E68"/>
  <c r="G60"/>
  <c r="E60"/>
  <c r="G9" i="3"/>
  <c r="E9"/>
  <c r="G15" i="1"/>
  <c r="E15"/>
  <c r="F670" i="4" l="1"/>
  <c r="F672" s="1"/>
  <c r="H670"/>
  <c r="H672" s="1"/>
  <c r="H268" i="5"/>
  <c r="F268"/>
  <c r="H273" i="8"/>
  <c r="K4"/>
  <c r="K273" s="1"/>
</calcChain>
</file>

<file path=xl/sharedStrings.xml><?xml version="1.0" encoding="utf-8"?>
<sst xmlns="http://schemas.openxmlformats.org/spreadsheetml/2006/main" count="6304" uniqueCount="1905">
  <si>
    <t>王貴儀</t>
  </si>
  <si>
    <t>林美雲</t>
  </si>
  <si>
    <t>103/04/03</t>
  </si>
  <si>
    <t>103/05/05</t>
  </si>
  <si>
    <t>103/06/17</t>
  </si>
  <si>
    <t>103/08/22</t>
  </si>
  <si>
    <t>103/08/28</t>
  </si>
  <si>
    <t>103/09/12</t>
  </si>
  <si>
    <t>羅栩亮</t>
  </si>
  <si>
    <t>103/01/10</t>
  </si>
  <si>
    <t>103/10/21</t>
  </si>
  <si>
    <t>103/11/07</t>
  </si>
  <si>
    <t>103/12/17</t>
  </si>
  <si>
    <t>103/12/24</t>
  </si>
  <si>
    <t>王貴儀</t>
    <phoneticPr fontId="2" type="noConversion"/>
  </si>
  <si>
    <t>104/01/26</t>
    <phoneticPr fontId="2" type="noConversion"/>
  </si>
  <si>
    <t>編號</t>
    <phoneticPr fontId="1" type="noConversion"/>
  </si>
  <si>
    <t>卷證出處：A22卷第4頁、A43卷第292頁</t>
    <phoneticPr fontId="1" type="noConversion"/>
  </si>
  <si>
    <t>出賣人</t>
    <phoneticPr fontId="1" type="noConversion"/>
  </si>
  <si>
    <t>投資人</t>
    <phoneticPr fontId="1" type="noConversion"/>
  </si>
  <si>
    <t>成交日期</t>
    <phoneticPr fontId="1" type="noConversion"/>
  </si>
  <si>
    <t>成交股數</t>
    <phoneticPr fontId="1" type="noConversion"/>
  </si>
  <si>
    <t>成交單價</t>
    <phoneticPr fontId="1" type="noConversion"/>
  </si>
  <si>
    <t>成交總價</t>
    <phoneticPr fontId="1" type="noConversion"/>
  </si>
  <si>
    <t>合計</t>
    <phoneticPr fontId="1" type="noConversion"/>
  </si>
  <si>
    <t>王子源</t>
  </si>
  <si>
    <t>103/08/29</t>
  </si>
  <si>
    <t>鍾坤宏</t>
  </si>
  <si>
    <t>王芊富</t>
  </si>
  <si>
    <t>王秀珠</t>
  </si>
  <si>
    <t>林秝羽</t>
  </si>
  <si>
    <t>合計</t>
    <phoneticPr fontId="2" type="noConversion"/>
  </si>
  <si>
    <t>沈花女</t>
  </si>
  <si>
    <t>103/02/25</t>
  </si>
  <si>
    <t>103/03/17</t>
  </si>
  <si>
    <t>103/04/08</t>
  </si>
  <si>
    <t>103/04/09</t>
  </si>
  <si>
    <t>103/04/16</t>
  </si>
  <si>
    <t>103/04/25</t>
  </si>
  <si>
    <t>103/05/19</t>
  </si>
  <si>
    <t>103/05/23</t>
  </si>
  <si>
    <t>103/05/26</t>
  </si>
  <si>
    <t>103/05/28</t>
  </si>
  <si>
    <t>103/06/03</t>
  </si>
  <si>
    <t>103/06/05</t>
  </si>
  <si>
    <t>103/06/09</t>
  </si>
  <si>
    <t>103/06/12</t>
  </si>
  <si>
    <t>103/06/18</t>
  </si>
  <si>
    <t>103/06/19</t>
  </si>
  <si>
    <t>103/06/20</t>
  </si>
  <si>
    <t>103/06/23</t>
  </si>
  <si>
    <t>103/06/24</t>
  </si>
  <si>
    <t>103/06/26</t>
  </si>
  <si>
    <t>103/07/02</t>
  </si>
  <si>
    <t>103/07/08</t>
  </si>
  <si>
    <t>103/07/10</t>
  </si>
  <si>
    <t>103/07/22</t>
  </si>
  <si>
    <t>103/07/25</t>
  </si>
  <si>
    <t>103/07/30</t>
  </si>
  <si>
    <t>103/08/05</t>
  </si>
  <si>
    <t>103/08/11</t>
  </si>
  <si>
    <t>103/08/13</t>
  </si>
  <si>
    <t>103/08/18</t>
  </si>
  <si>
    <t>103/08/20</t>
  </si>
  <si>
    <t>103/08/21</t>
  </si>
  <si>
    <t>103/08/25</t>
  </si>
  <si>
    <t>103/08/27</t>
  </si>
  <si>
    <t>103/09/03</t>
  </si>
  <si>
    <t>103/09/05</t>
  </si>
  <si>
    <t>103/09/10</t>
  </si>
  <si>
    <t>103/10/01</t>
  </si>
  <si>
    <t>103/10/02</t>
  </si>
  <si>
    <t>103/10/03</t>
  </si>
  <si>
    <t>103/10/06</t>
  </si>
  <si>
    <t>103/10/07</t>
  </si>
  <si>
    <t>103/10/27</t>
  </si>
  <si>
    <t>103/10/30</t>
  </si>
  <si>
    <t>103/10/31</t>
  </si>
  <si>
    <t>103/11/05</t>
  </si>
  <si>
    <t>103/11/19</t>
  </si>
  <si>
    <t>103/12/08</t>
  </si>
  <si>
    <t>103/12/18</t>
  </si>
  <si>
    <t>103/12/23</t>
  </si>
  <si>
    <t>103/12/25</t>
  </si>
  <si>
    <t>李文揚</t>
  </si>
  <si>
    <t>103/04/23</t>
  </si>
  <si>
    <t>103/04/28</t>
  </si>
  <si>
    <t>103/05/12</t>
  </si>
  <si>
    <t>103/05/20</t>
  </si>
  <si>
    <t>103/05/27</t>
  </si>
  <si>
    <t>孟鼎鈞</t>
  </si>
  <si>
    <t>103/01/22</t>
  </si>
  <si>
    <t>103/02/24</t>
  </si>
  <si>
    <t>103/03/04</t>
  </si>
  <si>
    <t>103/03/10</t>
  </si>
  <si>
    <t>103/03/31</t>
  </si>
  <si>
    <t>103/04/22</t>
  </si>
  <si>
    <t>103/04/30</t>
  </si>
  <si>
    <t>103/05/08</t>
  </si>
  <si>
    <t>103/05/13</t>
  </si>
  <si>
    <t>103/05/14</t>
  </si>
  <si>
    <t>王立華</t>
  </si>
  <si>
    <t>103/02/26</t>
  </si>
  <si>
    <t>103/05/15</t>
  </si>
  <si>
    <t>103/06/06</t>
  </si>
  <si>
    <t>103/06/10</t>
  </si>
  <si>
    <t>劉勝誼</t>
  </si>
  <si>
    <t>103/09/02</t>
  </si>
  <si>
    <t>103/09/04</t>
  </si>
  <si>
    <t>103/09/16</t>
  </si>
  <si>
    <t>103/11/03</t>
  </si>
  <si>
    <t>103/11/20</t>
  </si>
  <si>
    <t>林明頡</t>
  </si>
  <si>
    <t>103/05/22</t>
  </si>
  <si>
    <t>王乙涵</t>
  </si>
  <si>
    <t>沈花女</t>
    <phoneticPr fontId="1" type="noConversion"/>
  </si>
  <si>
    <t>沈花女 合計</t>
    <phoneticPr fontId="1" type="noConversion"/>
  </si>
  <si>
    <t>李文揚</t>
    <phoneticPr fontId="1" type="noConversion"/>
  </si>
  <si>
    <t>李文揚 合計</t>
    <phoneticPr fontId="1" type="noConversion"/>
  </si>
  <si>
    <t>孟鼎鈞</t>
    <phoneticPr fontId="1" type="noConversion"/>
  </si>
  <si>
    <t>孟鼎鈞 合計</t>
    <phoneticPr fontId="1" type="noConversion"/>
  </si>
  <si>
    <t>王立華</t>
    <phoneticPr fontId="1" type="noConversion"/>
  </si>
  <si>
    <t>王立華 合計</t>
    <phoneticPr fontId="1" type="noConversion"/>
  </si>
  <si>
    <t>劉勝誼</t>
    <phoneticPr fontId="1" type="noConversion"/>
  </si>
  <si>
    <t>劉勝誼 合計</t>
    <phoneticPr fontId="1" type="noConversion"/>
  </si>
  <si>
    <t>林明頡</t>
    <phoneticPr fontId="1" type="noConversion"/>
  </si>
  <si>
    <t>林明頡 合計</t>
    <phoneticPr fontId="1" type="noConversion"/>
  </si>
  <si>
    <t>王乙涵</t>
    <phoneticPr fontId="1" type="noConversion"/>
  </si>
  <si>
    <t>王乙涵 合計</t>
    <phoneticPr fontId="1" type="noConversion"/>
  </si>
  <si>
    <t>總計</t>
    <phoneticPr fontId="2" type="noConversion"/>
  </si>
  <si>
    <t>103/04/07</t>
  </si>
  <si>
    <t>103/03/20</t>
  </si>
  <si>
    <t>103/03/26</t>
  </si>
  <si>
    <t>103/03/27</t>
  </si>
  <si>
    <t>周正時</t>
  </si>
  <si>
    <t>103/11/04</t>
  </si>
  <si>
    <t>郭禮鋒</t>
  </si>
  <si>
    <t>楊善宇</t>
  </si>
  <si>
    <t>陳春宏</t>
  </si>
  <si>
    <t>陳勝展</t>
  </si>
  <si>
    <t>103/12/02</t>
  </si>
  <si>
    <t>梁忠軒</t>
  </si>
  <si>
    <t>蔡郁惠</t>
  </si>
  <si>
    <t>陳柏如</t>
  </si>
  <si>
    <t>103/11/26</t>
  </si>
  <si>
    <t>黃亭瑄</t>
  </si>
  <si>
    <t>蕭俐彬</t>
  </si>
  <si>
    <t>張文瓊</t>
  </si>
  <si>
    <t>劉秀麗</t>
  </si>
  <si>
    <t>103/09/15</t>
  </si>
  <si>
    <t>張淑卿</t>
  </si>
  <si>
    <t>103/10/22</t>
  </si>
  <si>
    <t>李珍妮</t>
  </si>
  <si>
    <t>宋橋慶</t>
  </si>
  <si>
    <t>王俊智</t>
  </si>
  <si>
    <t>103/11/28</t>
  </si>
  <si>
    <t>彭志遠</t>
  </si>
  <si>
    <t>103/12/22</t>
  </si>
  <si>
    <t>李梅枝</t>
  </si>
  <si>
    <t>邵良慧</t>
  </si>
  <si>
    <t>103/12/03</t>
  </si>
  <si>
    <t>洪仁智</t>
  </si>
  <si>
    <t>楊錫勛</t>
  </si>
  <si>
    <t>陳綠蒂</t>
  </si>
  <si>
    <t>馬金城</t>
  </si>
  <si>
    <t>葉振輝</t>
  </si>
  <si>
    <t>陳永泰</t>
  </si>
  <si>
    <t>秦銘鋒</t>
  </si>
  <si>
    <t>郭祐嘉</t>
  </si>
  <si>
    <t>103/12/10</t>
  </si>
  <si>
    <t>許原彬</t>
  </si>
  <si>
    <t>吳銘展</t>
  </si>
  <si>
    <t>龔洢波</t>
  </si>
  <si>
    <t>許睿彤</t>
  </si>
  <si>
    <t>陳惠芬</t>
  </si>
  <si>
    <t>俞秋影</t>
  </si>
  <si>
    <t>李宜蓉</t>
  </si>
  <si>
    <t>田原忠</t>
  </si>
  <si>
    <t>103/12/05</t>
  </si>
  <si>
    <t>李慶一</t>
  </si>
  <si>
    <t>李忠龍</t>
  </si>
  <si>
    <t>莊欽煌</t>
  </si>
  <si>
    <t>潘錫樹</t>
  </si>
  <si>
    <t>歐俊龍</t>
  </si>
  <si>
    <t>楊曼玲</t>
  </si>
  <si>
    <t>林芳蘭</t>
  </si>
  <si>
    <t>林美齡</t>
  </si>
  <si>
    <t>林雪梨</t>
  </si>
  <si>
    <t>侯照純</t>
  </si>
  <si>
    <t>陳美蓮</t>
  </si>
  <si>
    <t>劉怡君</t>
  </si>
  <si>
    <t>楊曉芬</t>
  </si>
  <si>
    <t>蔡章麒</t>
  </si>
  <si>
    <t>林盛茂</t>
  </si>
  <si>
    <t>蔡信健</t>
  </si>
  <si>
    <t>陳德榮</t>
  </si>
  <si>
    <t>103/08/15</t>
  </si>
  <si>
    <t>103/08/19</t>
  </si>
  <si>
    <t>潘建盛</t>
  </si>
  <si>
    <t>馬志尚</t>
  </si>
  <si>
    <t>103/12/12</t>
  </si>
  <si>
    <t>彭國欽</t>
  </si>
  <si>
    <t>張良輔</t>
  </si>
  <si>
    <t>李永澤</t>
  </si>
  <si>
    <t>彭俊融</t>
  </si>
  <si>
    <t>103/12/19</t>
  </si>
  <si>
    <t>許鈴妙</t>
  </si>
  <si>
    <t>游秀玉</t>
  </si>
  <si>
    <t>林淑呅</t>
  </si>
  <si>
    <t>汪漪</t>
  </si>
  <si>
    <t>103/12/04</t>
  </si>
  <si>
    <t>陳秀絨</t>
  </si>
  <si>
    <t>孫秋萍</t>
  </si>
  <si>
    <t>康美玉</t>
  </si>
  <si>
    <t>103/11/18</t>
  </si>
  <si>
    <t>章寶貴</t>
  </si>
  <si>
    <t>許倩文</t>
  </si>
  <si>
    <t>103/10/23</t>
  </si>
  <si>
    <t>葉秀欽</t>
  </si>
  <si>
    <t>陳重樺</t>
  </si>
  <si>
    <t>蕭德禧</t>
  </si>
  <si>
    <t>林明鋒</t>
  </si>
  <si>
    <t>潘春輝</t>
  </si>
  <si>
    <t>林素柳</t>
  </si>
  <si>
    <t>蔡莉婷</t>
  </si>
  <si>
    <t>楊清森</t>
  </si>
  <si>
    <t>103/07/29</t>
  </si>
  <si>
    <t>謝博仁</t>
  </si>
  <si>
    <t>張榮昌</t>
  </si>
  <si>
    <t>許慶順</t>
  </si>
  <si>
    <t>林齊瑞</t>
  </si>
  <si>
    <t>呂坤霖</t>
  </si>
  <si>
    <t>陳永和</t>
  </si>
  <si>
    <t>103/12/01</t>
  </si>
  <si>
    <t>黃羿堯</t>
  </si>
  <si>
    <t>楊?坤</t>
  </si>
  <si>
    <t>103/12/15</t>
  </si>
  <si>
    <t>呂月美</t>
  </si>
  <si>
    <t>黃助妹</t>
  </si>
  <si>
    <t>103/11/27</t>
  </si>
  <si>
    <t>黃逢妹</t>
  </si>
  <si>
    <t>王美智</t>
  </si>
  <si>
    <t>黃慧娥</t>
  </si>
  <si>
    <t>傅瑞娟</t>
  </si>
  <si>
    <t>謝美玲</t>
  </si>
  <si>
    <t>謝美真</t>
  </si>
  <si>
    <t>謝美秋</t>
  </si>
  <si>
    <t>103/09/11</t>
  </si>
  <si>
    <t>蘇碧玉</t>
  </si>
  <si>
    <t>羅吉谷</t>
  </si>
  <si>
    <t>張書鑑</t>
  </si>
  <si>
    <t>藍雲祥</t>
  </si>
  <si>
    <t>余春財</t>
  </si>
  <si>
    <t>楊小宜</t>
  </si>
  <si>
    <t>周嬋莉</t>
  </si>
  <si>
    <t>彭翊芸</t>
  </si>
  <si>
    <t>彭淑萍</t>
  </si>
  <si>
    <t>詹維容</t>
  </si>
  <si>
    <t>李巨富</t>
  </si>
  <si>
    <t>巫冠毅</t>
  </si>
  <si>
    <t>林成蘭</t>
  </si>
  <si>
    <t>丁旭晶</t>
  </si>
  <si>
    <t>趙國斌</t>
  </si>
  <si>
    <t>游定梅</t>
  </si>
  <si>
    <t>羅羽孜</t>
  </si>
  <si>
    <t>103/10/24</t>
  </si>
  <si>
    <t>郭瓊楨</t>
  </si>
  <si>
    <t>103/11/10</t>
  </si>
  <si>
    <t>謝維銘</t>
  </si>
  <si>
    <t>103/11/17</t>
  </si>
  <si>
    <t>陳沅池</t>
  </si>
  <si>
    <t>吳梅枝</t>
  </si>
  <si>
    <t>謝修瑩</t>
  </si>
  <si>
    <t>吳蕙玲</t>
  </si>
  <si>
    <t>胡英俊</t>
  </si>
  <si>
    <t>巫正和</t>
  </si>
  <si>
    <t>103/12/30</t>
  </si>
  <si>
    <t>陳易儀</t>
  </si>
  <si>
    <t>黃崇吉</t>
  </si>
  <si>
    <t>姚慧珠</t>
  </si>
  <si>
    <t>戴淑芬</t>
  </si>
  <si>
    <t>郭垚貞</t>
  </si>
  <si>
    <t>林坡顯</t>
  </si>
  <si>
    <t>林淑蓉</t>
  </si>
  <si>
    <t>沈妙鄉</t>
  </si>
  <si>
    <t>高米內</t>
  </si>
  <si>
    <t>吳家穎</t>
  </si>
  <si>
    <t>王瑞義</t>
  </si>
  <si>
    <t>103/12/26</t>
  </si>
  <si>
    <t>郭存勝</t>
  </si>
  <si>
    <t>103/11/25</t>
  </si>
  <si>
    <t>林勳諒</t>
  </si>
  <si>
    <t>翁楠棋</t>
  </si>
  <si>
    <t>陳信宏</t>
  </si>
  <si>
    <t>莊心然</t>
  </si>
  <si>
    <t>尤銘德</t>
  </si>
  <si>
    <t>黃國緯</t>
  </si>
  <si>
    <t>鄭素萍</t>
  </si>
  <si>
    <t>陳青萍</t>
  </si>
  <si>
    <t>陳如音</t>
  </si>
  <si>
    <t>張麗賢</t>
  </si>
  <si>
    <t>103/01/07</t>
  </si>
  <si>
    <t>陳雪美</t>
  </si>
  <si>
    <t>蕭美華</t>
  </si>
  <si>
    <t>劉桂有</t>
  </si>
  <si>
    <t>林文貴</t>
  </si>
  <si>
    <t>林進文</t>
  </si>
  <si>
    <t>白智欽</t>
  </si>
  <si>
    <t>劉聰杰</t>
  </si>
  <si>
    <t>陳子均</t>
  </si>
  <si>
    <t>吳文祥</t>
  </si>
  <si>
    <t>王宗柏</t>
  </si>
  <si>
    <t>林須惠</t>
  </si>
  <si>
    <t>陳惠君</t>
  </si>
  <si>
    <t>何彩綢</t>
  </si>
  <si>
    <t>郭斐絢</t>
  </si>
  <si>
    <t>吳思瑜</t>
  </si>
  <si>
    <t>李宛蓉</t>
  </si>
  <si>
    <t>蔡妤炘</t>
  </si>
  <si>
    <t>黃人信</t>
  </si>
  <si>
    <t>楊春文</t>
  </si>
  <si>
    <t>黃興漢</t>
  </si>
  <si>
    <t>蘇介亮</t>
  </si>
  <si>
    <t>黃莊雙對</t>
  </si>
  <si>
    <t>黃靜英</t>
  </si>
  <si>
    <t>劉月娥</t>
  </si>
  <si>
    <t>林素蓮</t>
  </si>
  <si>
    <t>?宣因</t>
  </si>
  <si>
    <t>陳復章</t>
  </si>
  <si>
    <t>林烈鴻</t>
  </si>
  <si>
    <t>陳俞男</t>
  </si>
  <si>
    <t>陳麗雲</t>
  </si>
  <si>
    <t>林延鳳</t>
  </si>
  <si>
    <t>張玉汝</t>
  </si>
  <si>
    <t>黃瑞萍</t>
  </si>
  <si>
    <t>陳玟玲</t>
  </si>
  <si>
    <t>彭蓮菊</t>
  </si>
  <si>
    <t>蕭慧貞</t>
  </si>
  <si>
    <t>王清錡</t>
  </si>
  <si>
    <t>葉茂雄</t>
  </si>
  <si>
    <t>黃國和</t>
  </si>
  <si>
    <t>陳炳旺</t>
  </si>
  <si>
    <t>陳清楚</t>
  </si>
  <si>
    <t>103/10/29</t>
  </si>
  <si>
    <t>何漢禹</t>
  </si>
  <si>
    <t>盧文賢</t>
  </si>
  <si>
    <t>103/12/27</t>
  </si>
  <si>
    <t>林雁琦</t>
  </si>
  <si>
    <t>林盛茂</t>
    <phoneticPr fontId="2" type="noConversion"/>
  </si>
  <si>
    <t>104/01/08</t>
    <phoneticPr fontId="2" type="noConversion"/>
  </si>
  <si>
    <t>陳長漢</t>
    <phoneticPr fontId="2" type="noConversion"/>
  </si>
  <si>
    <t>104/01/07</t>
    <phoneticPr fontId="2" type="noConversion"/>
  </si>
  <si>
    <t>25 合計</t>
  </si>
  <si>
    <t>蘇正鴻</t>
  </si>
  <si>
    <t>35 合計</t>
  </si>
  <si>
    <t>王定忠</t>
  </si>
  <si>
    <t>36 合計</t>
  </si>
  <si>
    <t>劉石振</t>
  </si>
  <si>
    <t>38 合計</t>
  </si>
  <si>
    <t>103/08/01</t>
  </si>
  <si>
    <t>43 合計</t>
  </si>
  <si>
    <t>葉春貴</t>
  </si>
  <si>
    <t>60 合計</t>
  </si>
  <si>
    <t>應志偉</t>
  </si>
  <si>
    <t>陳瑞燦</t>
  </si>
  <si>
    <t>103/08/08</t>
  </si>
  <si>
    <t>周玉全</t>
  </si>
  <si>
    <t>奚迪華</t>
  </si>
  <si>
    <t>邱明國</t>
  </si>
  <si>
    <t>劉元德</t>
  </si>
  <si>
    <t>翁明昆</t>
  </si>
  <si>
    <t>陳河東</t>
  </si>
  <si>
    <t>103/07/17</t>
  </si>
  <si>
    <t>許健國</t>
  </si>
  <si>
    <t>103/05/29</t>
  </si>
  <si>
    <t>李偉齊</t>
  </si>
  <si>
    <t>103/07/03</t>
  </si>
  <si>
    <t>吳柏羽</t>
  </si>
  <si>
    <t>林宏軒</t>
  </si>
  <si>
    <t>石羽</t>
  </si>
  <si>
    <t>林麗雲</t>
  </si>
  <si>
    <t>103/04/11</t>
  </si>
  <si>
    <t>李寶惜</t>
  </si>
  <si>
    <t>柯淑美</t>
  </si>
  <si>
    <t>胡中蕙</t>
  </si>
  <si>
    <t>羅宗宜</t>
  </si>
  <si>
    <t>季采璇</t>
  </si>
  <si>
    <t>103/12/16</t>
  </si>
  <si>
    <t>黃阿勤</t>
  </si>
  <si>
    <t>李玟儀</t>
  </si>
  <si>
    <t>邱子瑜</t>
  </si>
  <si>
    <t>林佳蒨</t>
  </si>
  <si>
    <t>張文峰</t>
  </si>
  <si>
    <t>莊永隆</t>
  </si>
  <si>
    <t>103/08/06</t>
  </si>
  <si>
    <t>林登川</t>
  </si>
  <si>
    <t>103/06/11</t>
  </si>
  <si>
    <t>林金瑤</t>
  </si>
  <si>
    <t>米彥彰</t>
  </si>
  <si>
    <t>簡淑華</t>
  </si>
  <si>
    <t>陳素蓁</t>
  </si>
  <si>
    <t>邱嘉鞍</t>
  </si>
  <si>
    <t>103/10/28</t>
  </si>
  <si>
    <t>103/11/21</t>
  </si>
  <si>
    <t>陳義正</t>
  </si>
  <si>
    <t>103/08/07</t>
  </si>
  <si>
    <t>張翔</t>
  </si>
  <si>
    <t>郭惠珠</t>
  </si>
  <si>
    <t>李湘淇</t>
  </si>
  <si>
    <t>黃明揚</t>
  </si>
  <si>
    <t>陳天輝</t>
  </si>
  <si>
    <t>范士宏</t>
  </si>
  <si>
    <t>李珍儀</t>
  </si>
  <si>
    <t>103/12/09</t>
  </si>
  <si>
    <t>曾淑妃</t>
  </si>
  <si>
    <t>陳?淂</t>
  </si>
  <si>
    <t>林慶華</t>
  </si>
  <si>
    <t>103/05/21</t>
  </si>
  <si>
    <t>林錦裕</t>
  </si>
  <si>
    <t>何正民</t>
  </si>
  <si>
    <t>劉連春</t>
  </si>
  <si>
    <t>游文政</t>
  </si>
  <si>
    <t>洪怡暉</t>
  </si>
  <si>
    <t>103/10/08</t>
  </si>
  <si>
    <t>103/08/12</t>
  </si>
  <si>
    <t>李俊興</t>
  </si>
  <si>
    <t>王俊霖</t>
  </si>
  <si>
    <t>陳忠傑</t>
  </si>
  <si>
    <t>陳靖叔</t>
  </si>
  <si>
    <t>張惠珍</t>
  </si>
  <si>
    <t>林吳鴛鴦</t>
  </si>
  <si>
    <t>吳佩錦</t>
  </si>
  <si>
    <t>李瓊雲</t>
  </si>
  <si>
    <t>李陳月卿</t>
  </si>
  <si>
    <t>鄭巧巧</t>
  </si>
  <si>
    <t>游永金</t>
  </si>
  <si>
    <t>林榮茂</t>
  </si>
  <si>
    <t>103/11/13</t>
  </si>
  <si>
    <t>龔麗芬</t>
  </si>
  <si>
    <t>余忠實</t>
  </si>
  <si>
    <t>103/03/03</t>
  </si>
  <si>
    <t>張羽寬</t>
  </si>
  <si>
    <t>宋正鑫</t>
  </si>
  <si>
    <t>陳文福</t>
  </si>
  <si>
    <t>林世仁</t>
  </si>
  <si>
    <t>蔡青坪</t>
  </si>
  <si>
    <t>黃奕誠</t>
  </si>
  <si>
    <t>103/04/24</t>
  </si>
  <si>
    <t>宋愛萍</t>
  </si>
  <si>
    <t>王素如</t>
  </si>
  <si>
    <t>王端美</t>
  </si>
  <si>
    <t>王麗綾</t>
  </si>
  <si>
    <t>103/06/16</t>
  </si>
  <si>
    <t>陳靜琳</t>
  </si>
  <si>
    <t>103/07/09</t>
  </si>
  <si>
    <t>王宜涵</t>
  </si>
  <si>
    <t>姜學英</t>
  </si>
  <si>
    <t>朱庭芳</t>
  </si>
  <si>
    <t>彭金興</t>
  </si>
  <si>
    <t>103/07/16</t>
  </si>
  <si>
    <t>傅奎禎</t>
  </si>
  <si>
    <t>莊鴻洲</t>
  </si>
  <si>
    <t>陳萍琳</t>
  </si>
  <si>
    <t>蔡美娟</t>
  </si>
  <si>
    <t>羅順嬌</t>
  </si>
  <si>
    <t>黃文樹</t>
  </si>
  <si>
    <t>羅家炎</t>
  </si>
  <si>
    <t>張森明</t>
  </si>
  <si>
    <t>陳文春</t>
  </si>
  <si>
    <t>駱明貴</t>
  </si>
  <si>
    <t>陳仰山</t>
  </si>
  <si>
    <t>陳已淳</t>
  </si>
  <si>
    <t>陳金瑤</t>
  </si>
  <si>
    <t>吳東淵</t>
  </si>
  <si>
    <t>鍾正宗</t>
  </si>
  <si>
    <t>郭炳金</t>
  </si>
  <si>
    <t>林薰洲</t>
  </si>
  <si>
    <t>103/08/14</t>
  </si>
  <si>
    <t>林淑貞</t>
  </si>
  <si>
    <t>呂雯禎</t>
  </si>
  <si>
    <t>林淑壁</t>
  </si>
  <si>
    <t>楊秋惠</t>
  </si>
  <si>
    <t>莊志信</t>
  </si>
  <si>
    <t>王伯峰</t>
  </si>
  <si>
    <t>高玉綢</t>
  </si>
  <si>
    <t>103/06/30</t>
  </si>
  <si>
    <t>黃世綿</t>
  </si>
  <si>
    <t>邱碧芬</t>
  </si>
  <si>
    <t>羅誘貽</t>
  </si>
  <si>
    <t>謝依玲</t>
  </si>
  <si>
    <t>103/09/01</t>
  </si>
  <si>
    <t>103/07/23</t>
  </si>
  <si>
    <t>趙琮愷</t>
  </si>
  <si>
    <t>鄭乃銘</t>
  </si>
  <si>
    <t>楊鴻禮</t>
  </si>
  <si>
    <t>施詠紳</t>
  </si>
  <si>
    <t>李惠雯</t>
  </si>
  <si>
    <t>孫曉娟</t>
  </si>
  <si>
    <t>陳麗卿</t>
  </si>
  <si>
    <t>楊正傑</t>
  </si>
  <si>
    <t>彭佳琳</t>
  </si>
  <si>
    <t>103/06/25</t>
  </si>
  <si>
    <t>林孟宗</t>
  </si>
  <si>
    <t>廖坤立</t>
  </si>
  <si>
    <t>103/05/02</t>
  </si>
  <si>
    <t>許得秋</t>
  </si>
  <si>
    <t>陳證明</t>
  </si>
  <si>
    <t>余枝清</t>
  </si>
  <si>
    <t>103/05/16</t>
  </si>
  <si>
    <t>蔡秀專</t>
  </si>
  <si>
    <t>梁麗紅</t>
  </si>
  <si>
    <t>葉逢春</t>
  </si>
  <si>
    <t>張嘉農</t>
  </si>
  <si>
    <t>郭陸顧</t>
  </si>
  <si>
    <t>陳信益</t>
  </si>
  <si>
    <t>林學正</t>
  </si>
  <si>
    <t>103/07/31</t>
  </si>
  <si>
    <t>郭耘睿</t>
  </si>
  <si>
    <t>康博竣</t>
  </si>
  <si>
    <t>黃國緯</t>
    <phoneticPr fontId="2" type="noConversion"/>
  </si>
  <si>
    <t>王淑玲</t>
  </si>
  <si>
    <t>郭玉霞</t>
  </si>
  <si>
    <t>吳宥忻</t>
  </si>
  <si>
    <t>林仁正</t>
  </si>
  <si>
    <t>李福居</t>
  </si>
  <si>
    <t>莊登富</t>
  </si>
  <si>
    <t>謝玄昭</t>
  </si>
  <si>
    <t>洪祥仁</t>
  </si>
  <si>
    <t>呂浚雄</t>
  </si>
  <si>
    <t>103/04/14</t>
  </si>
  <si>
    <t>103/04/17</t>
  </si>
  <si>
    <t>郭華彥</t>
  </si>
  <si>
    <t>邱世宗</t>
  </si>
  <si>
    <t>劉素芬</t>
  </si>
  <si>
    <t>王麗淑</t>
  </si>
  <si>
    <t>莊美琪</t>
  </si>
  <si>
    <t>黃桂芬</t>
  </si>
  <si>
    <t>林文香</t>
  </si>
  <si>
    <t>103/03/13</t>
  </si>
  <si>
    <t>吳姿瑩</t>
  </si>
  <si>
    <t>曾清忠</t>
  </si>
  <si>
    <t>林昇皓</t>
  </si>
  <si>
    <t>譚能瑜</t>
  </si>
  <si>
    <t>朱秋金</t>
  </si>
  <si>
    <t>蔡宛芬</t>
  </si>
  <si>
    <t>陳淑如</t>
  </si>
  <si>
    <t>黃明松</t>
  </si>
  <si>
    <t>黃正雄</t>
  </si>
  <si>
    <t>林清裕</t>
  </si>
  <si>
    <t>李俊賢</t>
  </si>
  <si>
    <t>徐美蘭</t>
  </si>
  <si>
    <t>李茉莉</t>
  </si>
  <si>
    <t>張憶惠</t>
  </si>
  <si>
    <t>楊進義</t>
  </si>
  <si>
    <t>柯長教</t>
  </si>
  <si>
    <t>鍾弘毅</t>
  </si>
  <si>
    <t>吳唯</t>
  </si>
  <si>
    <t>康惠循</t>
  </si>
  <si>
    <t>徐維君</t>
  </si>
  <si>
    <t>簡德源</t>
  </si>
  <si>
    <t>南仲明</t>
  </si>
  <si>
    <t>許正義</t>
  </si>
  <si>
    <t>103/07/01</t>
  </si>
  <si>
    <t>吳麗雲</t>
  </si>
  <si>
    <t>陳炳旺</t>
    <phoneticPr fontId="2" type="noConversion"/>
  </si>
  <si>
    <t>102/12/23</t>
  </si>
  <si>
    <t>王榮慶</t>
  </si>
  <si>
    <t>陳鴻文</t>
  </si>
  <si>
    <t>徐宏權</t>
  </si>
  <si>
    <t>賴?宏</t>
  </si>
  <si>
    <t>洪康倪</t>
  </si>
  <si>
    <t>67 合計</t>
  </si>
  <si>
    <t>馬幽梅</t>
  </si>
  <si>
    <t>楊名嶂</t>
  </si>
  <si>
    <t>葉金光</t>
  </si>
  <si>
    <t>黃麗娟</t>
  </si>
  <si>
    <t>103/03/07</t>
  </si>
  <si>
    <t>68 合計</t>
  </si>
  <si>
    <t>陳美香</t>
  </si>
  <si>
    <t>駱詠潔</t>
  </si>
  <si>
    <t>駱沛婕</t>
  </si>
  <si>
    <t>王瑋璉</t>
  </si>
  <si>
    <t>王湄雙</t>
  </si>
  <si>
    <t>王照祺</t>
  </si>
  <si>
    <t>麥仁和</t>
  </si>
  <si>
    <t>施?岷</t>
  </si>
  <si>
    <t>103/03/14</t>
  </si>
  <si>
    <t>黃彥鈞</t>
  </si>
  <si>
    <t>高素雲</t>
  </si>
  <si>
    <t>黃佩瑜</t>
  </si>
  <si>
    <t>潘婷婷</t>
  </si>
  <si>
    <t>103/03/12</t>
  </si>
  <si>
    <t>劉文虎</t>
  </si>
  <si>
    <t>103/07/11</t>
  </si>
  <si>
    <t>顏淑娟</t>
  </si>
  <si>
    <t>劉志峰</t>
  </si>
  <si>
    <t>黃旭良</t>
  </si>
  <si>
    <t>陳彥宏</t>
  </si>
  <si>
    <t>林慧芳</t>
  </si>
  <si>
    <t>鄭光廷</t>
  </si>
  <si>
    <t>楊竹君</t>
  </si>
  <si>
    <t>陳坤龍</t>
  </si>
  <si>
    <t>呂繆文</t>
  </si>
  <si>
    <t>劉俊杰</t>
  </si>
  <si>
    <t>傅新貴</t>
  </si>
  <si>
    <t>鍾月嬌</t>
  </si>
  <si>
    <t>蘇怡甄</t>
  </si>
  <si>
    <t>陳藝文</t>
  </si>
  <si>
    <t>林賜恩</t>
  </si>
  <si>
    <t>林世傑</t>
  </si>
  <si>
    <t>黃惠娟</t>
  </si>
  <si>
    <t>69 合計</t>
  </si>
  <si>
    <t>王?陽</t>
  </si>
  <si>
    <t>賴國隆</t>
  </si>
  <si>
    <t>吳家甄</t>
    <phoneticPr fontId="2" type="noConversion"/>
  </si>
  <si>
    <t>陳沁琇</t>
  </si>
  <si>
    <t>詹榮泉</t>
  </si>
  <si>
    <t>黃順良</t>
  </si>
  <si>
    <t>103/03/05</t>
  </si>
  <si>
    <t>張煥洲</t>
  </si>
  <si>
    <t>蔡佳秀</t>
  </si>
  <si>
    <t>傅應龍</t>
  </si>
  <si>
    <t>黃治元</t>
  </si>
  <si>
    <t>李淑錦</t>
  </si>
  <si>
    <t>林安安</t>
  </si>
  <si>
    <t>吳家甄</t>
  </si>
  <si>
    <t>張惠蓉</t>
  </si>
  <si>
    <t>103/02/07</t>
  </si>
  <si>
    <t>林蕙萱</t>
  </si>
  <si>
    <t>官裕宗</t>
  </si>
  <si>
    <t>103/02/17</t>
  </si>
  <si>
    <t>曾榮鑾</t>
  </si>
  <si>
    <t>張清波</t>
  </si>
  <si>
    <t>103/02/11</t>
  </si>
  <si>
    <t>劉子鵬</t>
  </si>
  <si>
    <t>曹庭耀</t>
  </si>
  <si>
    <t>張雅惠</t>
  </si>
  <si>
    <t>紀榮昆</t>
  </si>
  <si>
    <t>陳孟雪</t>
  </si>
  <si>
    <t>103/02/20</t>
  </si>
  <si>
    <t>103/02/27</t>
  </si>
  <si>
    <t>高雅蘭</t>
  </si>
  <si>
    <t>呂理維</t>
  </si>
  <si>
    <t>賴宥材</t>
  </si>
  <si>
    <t>蘇姿美</t>
  </si>
  <si>
    <t>郭怡和</t>
  </si>
  <si>
    <t>葉梅蘭</t>
  </si>
  <si>
    <t>梁進勝</t>
  </si>
  <si>
    <t>103/02/18</t>
  </si>
  <si>
    <t>王昕遠</t>
  </si>
  <si>
    <t>林金虎</t>
  </si>
  <si>
    <t>103/03/11</t>
  </si>
  <si>
    <t>張潘喜英</t>
  </si>
  <si>
    <t>張陳雪玉</t>
  </si>
  <si>
    <t>103/02/14</t>
  </si>
  <si>
    <t>鍾美玉</t>
  </si>
  <si>
    <t>邱永鎮</t>
  </si>
  <si>
    <t>103/02/21</t>
  </si>
  <si>
    <t>65 合計</t>
  </si>
  <si>
    <t>吳世隆</t>
  </si>
  <si>
    <t>66 合計</t>
  </si>
  <si>
    <t>陳萍實</t>
  </si>
  <si>
    <t>103/04/02</t>
  </si>
  <si>
    <t>陳檉熹</t>
  </si>
  <si>
    <t>柯重安</t>
  </si>
  <si>
    <t>103/04/18</t>
  </si>
  <si>
    <t>潘梅桂</t>
  </si>
  <si>
    <t>楊靜芬</t>
  </si>
  <si>
    <t>林依潔</t>
  </si>
  <si>
    <t>姚又齊</t>
  </si>
  <si>
    <t>佘桂芳</t>
  </si>
  <si>
    <t>黃玉欽</t>
  </si>
  <si>
    <t>賴美珍</t>
  </si>
  <si>
    <t>林惠宜</t>
  </si>
  <si>
    <t>陳慕緯</t>
  </si>
  <si>
    <t>許正典</t>
  </si>
  <si>
    <t>103/04/15</t>
  </si>
  <si>
    <t>謝瀅諭</t>
  </si>
  <si>
    <t>黃俊仁</t>
  </si>
  <si>
    <t>103/03/24</t>
  </si>
  <si>
    <t>蘇沛晨</t>
  </si>
  <si>
    <t>顏春風</t>
  </si>
  <si>
    <t>賴脩評</t>
  </si>
  <si>
    <t>洪尾吉</t>
  </si>
  <si>
    <t>高光陸</t>
  </si>
  <si>
    <t>翁志清</t>
  </si>
  <si>
    <t>103/04/10</t>
  </si>
  <si>
    <t>羅文峰</t>
  </si>
  <si>
    <t>陳信佑</t>
  </si>
  <si>
    <t>邱彥仁</t>
  </si>
  <si>
    <t>蔡長霖</t>
  </si>
  <si>
    <t>廖芳藝</t>
  </si>
  <si>
    <t>103/03/25</t>
  </si>
  <si>
    <t>李依仁</t>
  </si>
  <si>
    <t>林玉綿</t>
  </si>
  <si>
    <t>方秀娟</t>
  </si>
  <si>
    <t>李梅芬</t>
  </si>
  <si>
    <t>蔡佩蓉</t>
  </si>
  <si>
    <t>曾文清</t>
  </si>
  <si>
    <t>李月星</t>
  </si>
  <si>
    <t>陳鈞裕</t>
  </si>
  <si>
    <t>戴金騰</t>
  </si>
  <si>
    <t>莊倉江</t>
  </si>
  <si>
    <t>吳沛蒼</t>
  </si>
  <si>
    <t>謝秋琴</t>
  </si>
  <si>
    <t>李如玉</t>
  </si>
  <si>
    <t>白靜婷</t>
  </si>
  <si>
    <t>李純香</t>
  </si>
  <si>
    <t>黃仲蘭</t>
  </si>
  <si>
    <t>戴亦均</t>
  </si>
  <si>
    <t>江錦祥</t>
  </si>
  <si>
    <t>曾喜樑</t>
  </si>
  <si>
    <t>103/03/19</t>
  </si>
  <si>
    <t>103/03/21</t>
  </si>
  <si>
    <t>鍾國文</t>
  </si>
  <si>
    <t>徐運安</t>
  </si>
  <si>
    <t>魏哲云</t>
  </si>
  <si>
    <t>羅月汝</t>
  </si>
  <si>
    <t>103/02/12</t>
  </si>
  <si>
    <t>游閔暉</t>
  </si>
  <si>
    <t>廖繼仕</t>
  </si>
  <si>
    <t>廖森雲</t>
  </si>
  <si>
    <t>張陳麗香</t>
  </si>
  <si>
    <t>游玫芳</t>
  </si>
  <si>
    <t>蔡翌純</t>
  </si>
  <si>
    <t>許嘉凌</t>
  </si>
  <si>
    <t>陳良賓</t>
  </si>
  <si>
    <t>103/03/18</t>
  </si>
  <si>
    <t>鄭國中</t>
  </si>
  <si>
    <t>陳良德</t>
  </si>
  <si>
    <t>李思儀</t>
  </si>
  <si>
    <t>龔家平</t>
  </si>
  <si>
    <t>許文錦</t>
  </si>
  <si>
    <t>林楷宸</t>
  </si>
  <si>
    <t>陳鄧秀讓</t>
  </si>
  <si>
    <t>王碧枝</t>
  </si>
  <si>
    <t>林惠玫</t>
  </si>
  <si>
    <t>陳宏洋</t>
  </si>
  <si>
    <t>103/04/01</t>
  </si>
  <si>
    <t>吳劉素琴</t>
  </si>
  <si>
    <t>鄭彩惠</t>
  </si>
  <si>
    <t>郭鳳晴</t>
  </si>
  <si>
    <t>103/05/06</t>
  </si>
  <si>
    <t>顏春花</t>
  </si>
  <si>
    <t>鍾有金</t>
  </si>
  <si>
    <t>范馨云</t>
  </si>
  <si>
    <t>郭如玲</t>
  </si>
  <si>
    <t>林錦秀</t>
  </si>
  <si>
    <t>湯家祐</t>
  </si>
  <si>
    <t>伍正康</t>
  </si>
  <si>
    <t>李德昱</t>
  </si>
  <si>
    <t>陳群濠</t>
  </si>
  <si>
    <t>許美珠</t>
  </si>
  <si>
    <t>姚文清</t>
  </si>
  <si>
    <t>李孟訓</t>
  </si>
  <si>
    <t>王禎嫻</t>
  </si>
  <si>
    <t>林麗雪</t>
  </si>
  <si>
    <t>王錦盛</t>
  </si>
  <si>
    <t>李太陽</t>
  </si>
  <si>
    <t>劉建良</t>
  </si>
  <si>
    <t>郭佳霖</t>
  </si>
  <si>
    <t>黃賓</t>
  </si>
  <si>
    <t>高欣瑜</t>
  </si>
  <si>
    <t>蔡佩伶</t>
  </si>
  <si>
    <t>杜方竹</t>
  </si>
  <si>
    <t>賴秀英</t>
  </si>
  <si>
    <t>陳玉麗</t>
  </si>
  <si>
    <t>董國勝</t>
  </si>
  <si>
    <t>王坤木</t>
  </si>
  <si>
    <t>刁品緣</t>
  </si>
  <si>
    <t>鄭珍慧</t>
  </si>
  <si>
    <t>楊天賜</t>
  </si>
  <si>
    <t>王萬華</t>
  </si>
  <si>
    <t>陳坤禮</t>
  </si>
  <si>
    <t>范慶仁</t>
  </si>
  <si>
    <t>盧坤泰</t>
  </si>
  <si>
    <t>鄭廣興</t>
  </si>
  <si>
    <t>洪榮森</t>
  </si>
  <si>
    <t>黃曉萍</t>
  </si>
  <si>
    <t>李佶玟</t>
  </si>
  <si>
    <t>龍其祥</t>
  </si>
  <si>
    <t>103/04/29</t>
  </si>
  <si>
    <t>鄭瑞千</t>
  </si>
  <si>
    <t>卓維煌</t>
  </si>
  <si>
    <t>徐鳳瑾</t>
  </si>
  <si>
    <t>邱必義</t>
  </si>
  <si>
    <t>李安興</t>
  </si>
  <si>
    <t>徐弘縣</t>
  </si>
  <si>
    <t>王宥東</t>
  </si>
  <si>
    <t>徐秀甘</t>
  </si>
  <si>
    <t>謝德根</t>
  </si>
  <si>
    <t>彭詳和</t>
  </si>
  <si>
    <t>鍾瑞堂</t>
  </si>
  <si>
    <t>楊志碩</t>
  </si>
  <si>
    <t>劉美玲</t>
  </si>
  <si>
    <t>趙仁豐</t>
  </si>
  <si>
    <t>施繼正</t>
  </si>
  <si>
    <t>103/04/21</t>
  </si>
  <si>
    <t>賴根宏</t>
  </si>
  <si>
    <t>陳玉花</t>
  </si>
  <si>
    <t>陳怡君</t>
  </si>
  <si>
    <t>廖龍鐓</t>
  </si>
  <si>
    <t>莊重信</t>
  </si>
  <si>
    <t>郭連興</t>
  </si>
  <si>
    <t>茹道泰</t>
  </si>
  <si>
    <t>李明堂</t>
  </si>
  <si>
    <t>郭和田</t>
  </si>
  <si>
    <t>黃守正</t>
  </si>
  <si>
    <t>李方淑媛</t>
  </si>
  <si>
    <t>黃明智</t>
  </si>
  <si>
    <t>黃士峰</t>
  </si>
  <si>
    <t>黃昶芳</t>
  </si>
  <si>
    <t>韓蘇彩柳</t>
  </si>
  <si>
    <t>林谷安</t>
  </si>
  <si>
    <t>陳秋菊</t>
  </si>
  <si>
    <t>劉鳳美</t>
  </si>
  <si>
    <t>吳怡欣</t>
  </si>
  <si>
    <t>103/05/09</t>
  </si>
  <si>
    <t>陳子杰</t>
  </si>
  <si>
    <t>洪雪欣</t>
  </si>
  <si>
    <t>施華龍</t>
  </si>
  <si>
    <t>備註</t>
    <phoneticPr fontId="1" type="noConversion"/>
  </si>
  <si>
    <t>（註2）</t>
    <phoneticPr fontId="1" type="noConversion"/>
  </si>
  <si>
    <t>註2：</t>
    <phoneticPr fontId="1" type="noConversion"/>
  </si>
  <si>
    <t>註1：</t>
    <phoneticPr fontId="1" type="noConversion"/>
  </si>
  <si>
    <t>李銘心</t>
  </si>
  <si>
    <t>劉勝誼</t>
    <phoneticPr fontId="2" type="noConversion"/>
  </si>
  <si>
    <t>楊澄宇</t>
  </si>
  <si>
    <t>徐昭英</t>
  </si>
  <si>
    <t>李麗霞</t>
  </si>
  <si>
    <t>呂漢崗</t>
  </si>
  <si>
    <t>呂應昌</t>
  </si>
  <si>
    <t>許家榮</t>
  </si>
  <si>
    <t>張秀蓮</t>
  </si>
  <si>
    <t>李萬金</t>
  </si>
  <si>
    <t>熊延平</t>
  </si>
  <si>
    <t>林東富</t>
  </si>
  <si>
    <t>盧明智</t>
  </si>
  <si>
    <t>薛文楨</t>
  </si>
  <si>
    <t>陳嘉澤</t>
  </si>
  <si>
    <t>黃弘政</t>
  </si>
  <si>
    <t>張明華</t>
  </si>
  <si>
    <t>劉江祝</t>
  </si>
  <si>
    <t>鄭水嬌</t>
  </si>
  <si>
    <t>高建保</t>
  </si>
  <si>
    <t>賴朝陽</t>
  </si>
  <si>
    <t>林振仁</t>
  </si>
  <si>
    <t>邱惠聰</t>
  </si>
  <si>
    <t>柯建銘</t>
  </si>
  <si>
    <t>許美英</t>
  </si>
  <si>
    <t>陳勝平</t>
  </si>
  <si>
    <t>柯滄銘</t>
  </si>
  <si>
    <t>胡士哲</t>
  </si>
  <si>
    <t>吳淑惠</t>
  </si>
  <si>
    <t>李堂海</t>
  </si>
  <si>
    <t>吳貞寬</t>
  </si>
  <si>
    <t>林佑蒼</t>
  </si>
  <si>
    <t>陳英俊</t>
  </si>
  <si>
    <t>莊滄鑫</t>
  </si>
  <si>
    <t>邱瑞彬</t>
  </si>
  <si>
    <t>張國恩</t>
  </si>
  <si>
    <t>蘇登山</t>
  </si>
  <si>
    <t>洪春貴</t>
  </si>
  <si>
    <t>許得興</t>
  </si>
  <si>
    <t>邱東湖</t>
  </si>
  <si>
    <t>賴彥銘</t>
  </si>
  <si>
    <t>吳旭昶</t>
  </si>
  <si>
    <t>詹敦聖</t>
  </si>
  <si>
    <t>謝海慧</t>
  </si>
  <si>
    <t>徐金琪</t>
  </si>
  <si>
    <t>蔡永晶</t>
  </si>
  <si>
    <t>劉桂有</t>
    <phoneticPr fontId="2" type="noConversion"/>
  </si>
  <si>
    <t>顏萬清</t>
  </si>
  <si>
    <t>顏聰偉</t>
  </si>
  <si>
    <t>陳建攸</t>
  </si>
  <si>
    <t>魏麗華</t>
  </si>
  <si>
    <t>簡永湳</t>
  </si>
  <si>
    <t>何儒婷</t>
  </si>
  <si>
    <t>鄭國男</t>
  </si>
  <si>
    <t>楊敏潔</t>
  </si>
  <si>
    <t>趙正凱</t>
  </si>
  <si>
    <t>鄭人豪</t>
  </si>
  <si>
    <t>陳洪秀子</t>
  </si>
  <si>
    <t>李孝君</t>
  </si>
  <si>
    <t>林茂崧</t>
  </si>
  <si>
    <t>傅仁杰</t>
  </si>
  <si>
    <t>周祥雲</t>
  </si>
  <si>
    <t>張二姐</t>
  </si>
  <si>
    <t>謝昭賢</t>
  </si>
  <si>
    <t>謝永昌</t>
  </si>
  <si>
    <t>李宥橙</t>
  </si>
  <si>
    <t>鄧錦華</t>
  </si>
  <si>
    <t>劉靜枝</t>
  </si>
  <si>
    <t>林美卿</t>
  </si>
  <si>
    <t>陳應貞</t>
  </si>
  <si>
    <t>莊永嘉</t>
  </si>
  <si>
    <t>蕭舜耀</t>
  </si>
  <si>
    <t>林詩敏</t>
  </si>
  <si>
    <t>侯永雄</t>
  </si>
  <si>
    <t>陳映臻</t>
  </si>
  <si>
    <t>楊保宗</t>
  </si>
  <si>
    <t>周廷翰</t>
  </si>
  <si>
    <t>洪純翠</t>
  </si>
  <si>
    <t>陳政杰</t>
  </si>
  <si>
    <t>邱志能</t>
  </si>
  <si>
    <t>黃智慧</t>
  </si>
  <si>
    <t>周?雲</t>
  </si>
  <si>
    <t>李婭</t>
  </si>
  <si>
    <t>編號</t>
    <phoneticPr fontId="2" type="noConversion"/>
  </si>
  <si>
    <t>股東戶號</t>
    <phoneticPr fontId="2" type="noConversion"/>
  </si>
  <si>
    <t>股東姓名</t>
    <phoneticPr fontId="2" type="noConversion"/>
  </si>
  <si>
    <t>繳款日期</t>
    <phoneticPr fontId="2" type="noConversion"/>
  </si>
  <si>
    <t>繳款來源</t>
    <phoneticPr fontId="2" type="noConversion"/>
  </si>
  <si>
    <t>股數</t>
    <phoneticPr fontId="2" type="noConversion"/>
  </si>
  <si>
    <t>每股金額</t>
    <phoneticPr fontId="2" type="noConversion"/>
  </si>
  <si>
    <t>繳款金額</t>
    <phoneticPr fontId="2" type="noConversion"/>
  </si>
  <si>
    <t>送存銀行情形</t>
    <phoneticPr fontId="2" type="noConversion"/>
  </si>
  <si>
    <t>備註</t>
    <phoneticPr fontId="2" type="noConversion"/>
  </si>
  <si>
    <t>銀行及帳戶</t>
    <phoneticPr fontId="2" type="noConversion"/>
  </si>
  <si>
    <t>日期</t>
    <phoneticPr fontId="2" type="noConversion"/>
  </si>
  <si>
    <t>金　　　額</t>
  </si>
  <si>
    <t>1</t>
    <phoneticPr fontId="2" type="noConversion"/>
  </si>
  <si>
    <t>現金</t>
    <phoneticPr fontId="2" type="noConversion"/>
  </si>
  <si>
    <t>2</t>
  </si>
  <si>
    <t>3</t>
  </si>
  <si>
    <t>4</t>
  </si>
  <si>
    <t>5</t>
  </si>
  <si>
    <t>6</t>
  </si>
  <si>
    <t>7</t>
  </si>
  <si>
    <t>8</t>
  </si>
  <si>
    <t>9</t>
  </si>
  <si>
    <t>10</t>
  </si>
  <si>
    <t>11</t>
  </si>
  <si>
    <t>12</t>
  </si>
  <si>
    <t>13</t>
  </si>
  <si>
    <t>14</t>
  </si>
  <si>
    <t>15</t>
  </si>
  <si>
    <t>16</t>
  </si>
  <si>
    <t>17</t>
    <phoneticPr fontId="2" type="noConversion"/>
  </si>
  <si>
    <t>2014/7/28、8/1</t>
    <phoneticPr fontId="2" type="noConversion"/>
  </si>
  <si>
    <t>7/28(1000股)</t>
    <phoneticPr fontId="2" type="noConversion"/>
  </si>
  <si>
    <t>8/1(5000股)</t>
    <phoneticPr fontId="2" type="noConversion"/>
  </si>
  <si>
    <t>8/7(10000股)</t>
    <phoneticPr fontId="2" type="noConversion"/>
  </si>
  <si>
    <t>18</t>
    <phoneticPr fontId="2" type="noConversion"/>
  </si>
  <si>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</si>
  <si>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</si>
  <si>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</si>
  <si>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</si>
  <si>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</si>
  <si>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</si>
  <si>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</si>
  <si>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</si>
  <si>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</si>
  <si>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</si>
  <si>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</si>
  <si>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</si>
  <si>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</si>
  <si>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</si>
  <si>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</si>
  <si>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</si>
  <si>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</si>
  <si>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</si>
  <si>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</si>
  <si>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</si>
  <si>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</si>
  <si>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</si>
  <si>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</si>
  <si>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</si>
  <si>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</si>
  <si>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</si>
  <si>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</si>
  <si>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</si>
  <si>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</si>
  <si>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</si>
  <si>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</si>
  <si>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</si>
  <si>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</si>
  <si>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</si>
  <si>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</si>
  <si>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</si>
  <si>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</si>
  <si>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</si>
  <si>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</si>
  <si>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</si>
  <si>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</si>
  <si>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</si>
  <si>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</si>
  <si>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</si>
  <si>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</si>
  <si>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</si>
  <si>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</si>
  <si>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</si>
  <si>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</si>
  <si>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</si>
  <si>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</si>
  <si>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</si>
  <si>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</si>
  <si>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</si>
  <si>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</si>
  <si>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</si>
  <si>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</si>
  <si>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</si>
  <si>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</si>
  <si>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</si>
  <si>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</si>
  <si>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</si>
  <si>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</si>
  <si>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</si>
  <si>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</si>
  <si>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</si>
  <si>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</si>
  <si>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</si>
  <si>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</si>
  <si>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</si>
  <si>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</si>
  <si>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</si>
  <si>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</si>
  <si>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</si>
  <si>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</si>
  <si>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</si>
  <si>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</si>
  <si>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</si>
  <si>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</si>
  <si>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</si>
  <si>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</si>
  <si>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</si>
  <si>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</si>
  <si>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</si>
  <si>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</si>
  <si>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</si>
  <si>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</si>
  <si>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</si>
  <si>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</si>
  <si>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</si>
  <si>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</si>
  <si>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</si>
  <si>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</si>
  <si>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</si>
  <si>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</si>
  <si>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</si>
  <si>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</si>
  <si>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</si>
  <si>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</si>
  <si>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</si>
  <si>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</si>
  <si>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</si>
  <si>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</si>
  <si>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</si>
  <si>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</si>
  <si>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</si>
  <si>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</si>
  <si>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</si>
  <si>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</si>
  <si>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</si>
  <si>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</si>
  <si>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</si>
  <si>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</si>
  <si>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</si>
  <si>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</si>
  <si>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</si>
  <si>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</si>
  <si>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</si>
  <si>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</si>
  <si>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</si>
  <si>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</si>
  <si>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</si>
  <si>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</si>
  <si>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</si>
  <si>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</si>
  <si>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</si>
  <si>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</si>
  <si>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</si>
  <si>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</si>
  <si>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</si>
  <si>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</si>
  <si>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</si>
  <si>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</si>
  <si>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</si>
  <si>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</si>
  <si>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</si>
  <si>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</si>
  <si>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</si>
  <si>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</si>
  <si>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</si>
  <si>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</si>
  <si>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</si>
  <si>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</si>
  <si>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</si>
  <si>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</si>
  <si>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</si>
  <si>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</si>
  <si>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</si>
  <si>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</si>
  <si>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</si>
  <si>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</si>
  <si>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</si>
  <si>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</si>
  <si>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</si>
  <si>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</si>
  <si>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</si>
  <si>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</si>
  <si>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</si>
  <si>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</si>
  <si>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</si>
  <si>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</si>
  <si>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</si>
  <si>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</si>
  <si>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</si>
  <si>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</si>
  <si>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</si>
  <si>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</si>
  <si>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</si>
  <si>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</si>
  <si>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</si>
  <si>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</si>
  <si>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</si>
  <si>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</si>
  <si>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</si>
  <si>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</si>
  <si>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</si>
  <si>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</si>
  <si>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</si>
  <si>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</si>
  <si>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</si>
  <si>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</si>
  <si>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204</t>
  </si>
  <si>
    <t>205</t>
  </si>
  <si>
    <t>206</t>
  </si>
  <si>
    <t>207</t>
  </si>
  <si>
    <t>208</t>
  </si>
  <si>
    <t>209</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</si>
  <si>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</si>
  <si>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</si>
  <si>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</si>
  <si>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</si>
  <si>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</si>
  <si>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</si>
  <si>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</si>
  <si>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</si>
  <si>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</si>
  <si>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</si>
  <si>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</si>
  <si>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</si>
  <si>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</si>
  <si>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</si>
  <si>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</si>
  <si>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</si>
  <si>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</si>
  <si>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</si>
  <si>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</si>
  <si>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</si>
  <si>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</si>
  <si>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</si>
  <si>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</si>
  <si>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</si>
  <si>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</si>
  <si>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</si>
  <si>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</si>
  <si>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</si>
  <si>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</si>
  <si>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</si>
  <si>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252</t>
  </si>
  <si>
    <t>253</t>
  </si>
  <si>
    <t>254</t>
  </si>
  <si>
    <t>255</t>
  </si>
  <si>
    <t>256</t>
  </si>
  <si>
    <t>257</t>
  </si>
  <si>
    <t>258</t>
  </si>
  <si>
    <t>259</t>
  </si>
  <si>
    <t>260</t>
  </si>
  <si>
    <t>263</t>
  </si>
  <si>
    <t>264</t>
  </si>
  <si>
    <t>265</t>
  </si>
  <si>
    <t>266</t>
  </si>
  <si>
    <t>267</t>
  </si>
  <si>
    <t>268</t>
  </si>
  <si>
    <t>269</t>
  </si>
  <si>
    <t>270</t>
  </si>
  <si>
    <t>271</t>
  </si>
  <si>
    <t>272</t>
  </si>
  <si>
    <t>273</t>
  </si>
  <si>
    <t>第一銀行龍潭分行292-10-028883</t>
    <phoneticPr fontId="2" type="noConversion"/>
  </si>
  <si>
    <t>備註</t>
    <phoneticPr fontId="1" type="noConversion"/>
  </si>
  <si>
    <t>黃亭瑄</t>
    <phoneticPr fontId="1" type="noConversion"/>
  </si>
  <si>
    <t>楊善宇</t>
    <phoneticPr fontId="1" type="noConversion"/>
  </si>
  <si>
    <t>林淑蓉</t>
    <phoneticPr fontId="1" type="noConversion"/>
  </si>
  <si>
    <t>張木生</t>
    <phoneticPr fontId="1" type="noConversion"/>
  </si>
  <si>
    <t>傅應龍</t>
    <phoneticPr fontId="1" type="noConversion"/>
  </si>
  <si>
    <t>備註</t>
    <phoneticPr fontId="1" type="noConversion"/>
  </si>
  <si>
    <t>註1：</t>
    <phoneticPr fontId="1" type="noConversion"/>
  </si>
  <si>
    <t>（註2）</t>
    <phoneticPr fontId="1" type="noConversion"/>
  </si>
  <si>
    <t>其後於各該日再過戶至「賴國隆」名下（本院卷六第241至244頁所附光碟資料）</t>
    <phoneticPr fontId="1"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</si>
  <si>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</si>
  <si>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</si>
  <si>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</si>
  <si>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</si>
  <si>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</si>
  <si>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</si>
  <si>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</si>
  <si>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</si>
  <si>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</si>
  <si>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</si>
  <si>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</si>
  <si>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</si>
  <si>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</si>
  <si>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</si>
  <si>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</si>
  <si>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</si>
  <si>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</si>
  <si>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</si>
  <si>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現金</t>
    <phoneticPr fontId="2" type="noConversion"/>
  </si>
  <si>
    <t>第一銀行龍潭分行292-10-028883</t>
    <phoneticPr fontId="2" type="noConversion"/>
  </si>
  <si>
    <t>8/11(4000股)</t>
    <phoneticPr fontId="2" type="noConversion"/>
  </si>
  <si>
    <t>8/12(2000股)</t>
    <phoneticPr fontId="2" type="noConversion"/>
  </si>
  <si>
    <t>轉帳</t>
    <phoneticPr fontId="2" type="noConversion"/>
  </si>
  <si>
    <t>175</t>
    <phoneticPr fontId="2" type="noConversion"/>
  </si>
  <si>
    <t>2014/8/11、8/13</t>
    <phoneticPr fontId="2" type="noConversion"/>
  </si>
  <si>
    <t>8/11(30,000元)</t>
    <phoneticPr fontId="2" type="noConversion"/>
  </si>
  <si>
    <t>8/13(20,000元)</t>
    <phoneticPr fontId="2" type="noConversion"/>
  </si>
  <si>
    <t>201</t>
    <phoneticPr fontId="2" type="noConversion"/>
  </si>
  <si>
    <t>202</t>
    <phoneticPr fontId="2" type="noConversion"/>
  </si>
  <si>
    <t>203</t>
    <phoneticPr fontId="2" type="noConversion"/>
  </si>
  <si>
    <t>210</t>
    <phoneticPr fontId="2" type="noConversion"/>
  </si>
  <si>
    <t>211</t>
    <phoneticPr fontId="2" type="noConversion"/>
  </si>
  <si>
    <t>轉帳</t>
    <phoneticPr fontId="2" type="noConversion"/>
  </si>
  <si>
    <t>轉帳</t>
    <phoneticPr fontId="2" type="noConversion"/>
  </si>
  <si>
    <t>其中30,000用轉帳匯入</t>
    <phoneticPr fontId="2" type="noConversion"/>
  </si>
  <si>
    <t>250</t>
    <phoneticPr fontId="2" type="noConversion"/>
  </si>
  <si>
    <t>轉帳</t>
    <phoneticPr fontId="2" type="noConversion"/>
  </si>
  <si>
    <t>251</t>
    <phoneticPr fontId="2" type="noConversion"/>
  </si>
  <si>
    <t>261</t>
    <phoneticPr fontId="2" type="noConversion"/>
  </si>
  <si>
    <t>262</t>
    <phoneticPr fontId="2" type="noConversion"/>
  </si>
  <si>
    <t>合計</t>
    <phoneticPr fontId="2" type="noConversion"/>
  </si>
  <si>
    <t>卷證出處：A59卷第176至212頁</t>
    <phoneticPr fontId="1" type="noConversion"/>
  </si>
  <si>
    <t>業務</t>
    <phoneticPr fontId="1" type="noConversion"/>
  </si>
  <si>
    <t>陳薇予（B4卷第26頁）</t>
    <phoneticPr fontId="1" type="noConversion"/>
  </si>
  <si>
    <t>詹雅萍（B3卷第21反頁）</t>
    <phoneticPr fontId="1" type="noConversion"/>
  </si>
  <si>
    <t>詹雅萍（B3卷第22頁）</t>
    <phoneticPr fontId="1" type="noConversion"/>
  </si>
  <si>
    <t>註2：</t>
  </si>
  <si>
    <t>（註3）</t>
    <phoneticPr fontId="1" type="noConversion"/>
  </si>
  <si>
    <t>註3：</t>
  </si>
  <si>
    <t>湯美珠</t>
    <phoneticPr fontId="1" type="noConversion"/>
  </si>
  <si>
    <t>湯美珠</t>
    <phoneticPr fontId="1" type="noConversion"/>
  </si>
  <si>
    <t>劉任修</t>
    <phoneticPr fontId="1" type="noConversion"/>
  </si>
  <si>
    <t>孫秋萍</t>
    <phoneticPr fontId="1" type="noConversion"/>
  </si>
  <si>
    <t>羅吉谷</t>
    <phoneticPr fontId="1" type="noConversion"/>
  </si>
  <si>
    <t>詹雅玲</t>
    <phoneticPr fontId="1" type="noConversion"/>
  </si>
  <si>
    <t>王定忠</t>
    <phoneticPr fontId="1" type="noConversion"/>
  </si>
  <si>
    <t>其後同年5月8日再以同一成交價格過戶至陳豐榮、黃賓、洪仁成、方燦堂、范登閔名下</t>
    <phoneticPr fontId="1" type="noConversion"/>
  </si>
  <si>
    <t>同日再以同一成交價格過戶至毛學玲名下</t>
    <phoneticPr fontId="1" type="noConversion"/>
  </si>
  <si>
    <t>其後同年4月24日、25日以同一價格過戶至王冬立、洪榮森名下</t>
    <phoneticPr fontId="1" type="noConversion"/>
  </si>
  <si>
    <t>其後同年月15日再以同一成交價格過戶至吳勝傑、曾穩銘名下</t>
    <phoneticPr fontId="1" type="noConversion"/>
  </si>
  <si>
    <t>其後於同年4月16日、21日再以同一價格過戶至吳景輝、湯美珍、戴金騰名下</t>
    <phoneticPr fontId="1" type="noConversion"/>
  </si>
  <si>
    <t>李純綾</t>
    <phoneticPr fontId="1" type="noConversion"/>
  </si>
  <si>
    <t>邱綉珍</t>
    <phoneticPr fontId="1" type="noConversion"/>
  </si>
  <si>
    <t>林智瑝</t>
    <phoneticPr fontId="1" type="noConversion"/>
  </si>
  <si>
    <t>林淑呅</t>
    <phoneticPr fontId="1" type="noConversion"/>
  </si>
  <si>
    <t>其後於同年4月17日再以同一價格過戶至施瑞霖名下</t>
    <phoneticPr fontId="1" type="noConversion"/>
  </si>
  <si>
    <t>其後同年月14日先過戶至鄭珍慧名下，又於同年月16至21日間過戶至徐正民、陶長興、吳銘展、劉聰杰名下</t>
    <phoneticPr fontId="1" type="noConversion"/>
  </si>
  <si>
    <t>徐錫瑤</t>
    <phoneticPr fontId="1" type="noConversion"/>
  </si>
  <si>
    <t>郭金峯</t>
    <phoneticPr fontId="1" type="noConversion"/>
  </si>
  <si>
    <t>郭金峯</t>
    <phoneticPr fontId="1" type="noConversion"/>
  </si>
  <si>
    <t>連捷</t>
    <phoneticPr fontId="1" type="noConversion"/>
  </si>
  <si>
    <t>陳姷妁</t>
    <phoneticPr fontId="1" type="noConversion"/>
  </si>
  <si>
    <t>陳姷妁</t>
    <phoneticPr fontId="1" type="noConversion"/>
  </si>
  <si>
    <t>其後同年月15日、19日、23日以同一成交價格過戶至吳堃霖、簡仁平、紀若凡名下</t>
    <phoneticPr fontId="1" type="noConversion"/>
  </si>
  <si>
    <t>陳啟瀚</t>
    <phoneticPr fontId="1" type="noConversion"/>
  </si>
  <si>
    <t>黃秋珍</t>
    <phoneticPr fontId="1" type="noConversion"/>
  </si>
  <si>
    <t>黃秋珍</t>
    <phoneticPr fontId="1" type="noConversion"/>
  </si>
  <si>
    <t>黃秀芬</t>
    <phoneticPr fontId="1" type="noConversion"/>
  </si>
  <si>
    <t>其後於同年月25日再以同一價格過戶至蔡文益名下</t>
    <phoneticPr fontId="1" type="noConversion"/>
  </si>
  <si>
    <t>同日再以同一成交價格過戶至投資人鍾毓珊、吳劉素琴、王裕仁名下（A46卷第145頁）</t>
    <phoneticPr fontId="1" type="noConversion"/>
  </si>
  <si>
    <t>（註2）</t>
    <phoneticPr fontId="1" type="noConversion"/>
  </si>
  <si>
    <t>（註2）</t>
    <phoneticPr fontId="1" type="noConversion"/>
  </si>
  <si>
    <t>韓寶玲</t>
    <phoneticPr fontId="1" type="noConversion"/>
  </si>
  <si>
    <t>簡月真</t>
    <phoneticPr fontId="1" type="noConversion"/>
  </si>
  <si>
    <t>其後於同年月13日再以同一價格過戶至投資人「廖德銓」名下</t>
    <phoneticPr fontId="1" type="noConversion"/>
  </si>
  <si>
    <t>黃亭瑄</t>
    <phoneticPr fontId="1" type="noConversion"/>
  </si>
  <si>
    <t>王啟聰</t>
    <phoneticPr fontId="1" type="noConversion"/>
  </si>
  <si>
    <t>黃亭瑄</t>
    <phoneticPr fontId="1" type="noConversion"/>
  </si>
  <si>
    <t>黃亭瑄</t>
    <phoneticPr fontId="1" type="noConversion"/>
  </si>
  <si>
    <t>其後於同年月26日至30日間以同一價格再過戶至熊延平、陳洪秀子、陳松彬、高建保、陳炳森、黃寬猛、楊龍雄、柯佑在名下</t>
    <phoneticPr fontId="1" type="noConversion"/>
  </si>
  <si>
    <t>其後於同年月26日至30日間以同一價格再過戶至陳洪秀子、陳松彬、高建保、陳炳森、劉素花、黃寬猛、楊龍雄、柯佑在名下</t>
    <phoneticPr fontId="1" type="noConversion"/>
  </si>
  <si>
    <t>陳薇予（E13卷第125反頁）</t>
    <phoneticPr fontId="1" type="noConversion"/>
  </si>
  <si>
    <t>（註2）</t>
    <phoneticPr fontId="1" type="noConversion"/>
  </si>
  <si>
    <t>兆豐資訊（E13卷第125反頁）</t>
    <phoneticPr fontId="1" type="noConversion"/>
  </si>
  <si>
    <t>兆豐資訊（E13卷第125反頁）</t>
    <phoneticPr fontId="1" type="noConversion"/>
  </si>
  <si>
    <t>（註2）
其後於同年10月23日再過戶至投資人詹欣頤、黃詩婷名下</t>
    <phoneticPr fontId="1" type="noConversion"/>
  </si>
  <si>
    <t>（註3）</t>
  </si>
  <si>
    <t>（註3）</t>
    <phoneticPr fontId="1" type="noConversion"/>
  </si>
  <si>
    <t>德睿公司（E13卷第67頁）</t>
    <phoneticPr fontId="1" type="noConversion"/>
  </si>
  <si>
    <t>（註3）</t>
    <phoneticPr fontId="1" type="noConversion"/>
  </si>
  <si>
    <t>尚譽公司陳薇予（B1卷第19頁）</t>
    <phoneticPr fontId="1" type="noConversion"/>
  </si>
  <si>
    <t>長旺公司陳誼秦（B1卷第57頁）</t>
    <phoneticPr fontId="1" type="noConversion"/>
  </si>
  <si>
    <t>長旺資訊陳誼秦（B1卷第18頁）</t>
    <phoneticPr fontId="1" type="noConversion"/>
  </si>
  <si>
    <t>（註2）
其後同年11月25日再以同一價格過戶至郭存勝名下</t>
    <phoneticPr fontId="1" type="noConversion"/>
  </si>
  <si>
    <t>（註2）
其後同年11月25日再以同一價格過戶至郭存勝名下</t>
    <phoneticPr fontId="1" type="noConversion"/>
  </si>
  <si>
    <t>德睿公司（E13卷第109頁）</t>
    <phoneticPr fontId="1" type="noConversion"/>
  </si>
  <si>
    <t>（註3）</t>
    <phoneticPr fontId="1" type="noConversion"/>
  </si>
  <si>
    <t>（註3）</t>
    <phoneticPr fontId="1" type="noConversion"/>
  </si>
  <si>
    <t>（註3）
其後於同年10月22日再過戶至投資人「林淑呅」名下</t>
    <phoneticPr fontId="1" type="noConversion"/>
  </si>
  <si>
    <t>（註3）
其後於同年7月31日、8月5日再過戶至投資人林淑呅、陳卉榆、郭斐絢、陳淑敏、陳玟玲、彭國欽、巫冠毅、呂宜修名下</t>
    <phoneticPr fontId="1" type="noConversion"/>
  </si>
  <si>
    <t>（註3）
其後於同年10月14日再以同一價格過戶至莊鴻洲名下</t>
    <phoneticPr fontId="1" type="noConversion"/>
  </si>
  <si>
    <t>（註3）
其後於同年10月2日再過戶至投資人陳惠君、林進文名下</t>
    <phoneticPr fontId="1" type="noConversion"/>
  </si>
  <si>
    <t>（註3）
其後於同年10月2日再過戶至投資人陳惠君、林進文名下</t>
    <phoneticPr fontId="1" type="noConversion"/>
  </si>
  <si>
    <t>（註3）
其後同年12月19日再以每股67元過戶至陳綉凰名下</t>
    <phoneticPr fontId="1" type="noConversion"/>
  </si>
  <si>
    <t>（註3）
其後又以同一價格過戶至游怡文名下</t>
    <phoneticPr fontId="1" type="noConversion"/>
  </si>
  <si>
    <t>（註3）
其後於同年6月5日、23日、25日再過戶至投資人蔡魁馗、廖良習、李永澤名下</t>
    <phoneticPr fontId="1" type="noConversion"/>
  </si>
  <si>
    <t>（註3）
其後於同年月19日、25日再以同一價格過戶至趙國斌、陳麗雲、王俊智名下</t>
    <phoneticPr fontId="1" type="noConversion"/>
  </si>
  <si>
    <t>（註2）
告訴人為父親王茂雄</t>
    <phoneticPr fontId="1" type="noConversion"/>
  </si>
  <si>
    <t>長旺資訊（E31卷第2頁）</t>
    <phoneticPr fontId="1" type="noConversion"/>
  </si>
  <si>
    <t>（註3）</t>
    <phoneticPr fontId="1" type="noConversion"/>
  </si>
  <si>
    <t>龔洢波</t>
    <phoneticPr fontId="1" type="noConversion"/>
  </si>
  <si>
    <t>高秋德</t>
  </si>
  <si>
    <t>劉信武</t>
  </si>
  <si>
    <t>施明宏</t>
  </si>
  <si>
    <t>江佳倫</t>
  </si>
  <si>
    <t>羅阿月</t>
  </si>
  <si>
    <t>徐月媚</t>
  </si>
  <si>
    <t>洪筱梅</t>
  </si>
  <si>
    <t>彭士哲</t>
  </si>
  <si>
    <t>許春財</t>
  </si>
  <si>
    <t>黃宥穎</t>
  </si>
  <si>
    <t>江志賢</t>
  </si>
  <si>
    <t>許秋霞</t>
  </si>
  <si>
    <t>劉振發</t>
  </si>
  <si>
    <t>劉炳貴</t>
  </si>
  <si>
    <t>劉麗蘭</t>
  </si>
  <si>
    <t>李慧玲</t>
  </si>
  <si>
    <t>曾耀慶</t>
  </si>
  <si>
    <t>薛柏林</t>
  </si>
  <si>
    <t>劉桂森</t>
  </si>
  <si>
    <t>江曜松</t>
  </si>
  <si>
    <t>王俊隆</t>
  </si>
  <si>
    <t>李桂鶯</t>
  </si>
  <si>
    <t>尤伍能</t>
  </si>
  <si>
    <t>王立華</t>
    <phoneticPr fontId="2" type="noConversion"/>
  </si>
  <si>
    <t>林炳泉</t>
  </si>
  <si>
    <t>張建成</t>
  </si>
  <si>
    <t>謝秀菊</t>
  </si>
  <si>
    <t>鄭明華</t>
  </si>
  <si>
    <t>陳玉燕</t>
  </si>
  <si>
    <t>郭德茂</t>
  </si>
  <si>
    <t>程美玉</t>
  </si>
  <si>
    <t>同日先由「王立華」名下以每股25元過戶至「施明宏」名下後，再行過戶至最終投資者。</t>
    <phoneticPr fontId="1" type="noConversion"/>
  </si>
  <si>
    <t>劉睿紘</t>
    <phoneticPr fontId="1" type="noConversion"/>
  </si>
  <si>
    <r>
      <t>（註3）
其後於同年月26日至30日間以同一價格過戶至林盛茂、何芳</t>
    </r>
    <r>
      <rPr>
        <sz val="12"/>
        <color theme="1"/>
        <rFont val="新細明體"/>
        <family val="1"/>
        <charset val="136"/>
        <scheme val="minor"/>
      </rPr>
      <t>妤、陳如音、康惠循、蕭筱屏名下</t>
    </r>
    <phoneticPr fontId="1" type="noConversion"/>
  </si>
  <si>
    <t>（註3）
其後於同年月27日、30日再過戶至蕭筱屏、盧文賢名下</t>
    <phoneticPr fontId="1" type="noConversion"/>
  </si>
  <si>
    <t>卷證出處為A21卷第69至81頁、A59卷第15至25頁。又原起訴書附表3編號1至4所示由「沈花女」及「林明頡」過戶至「王立華」，以及由「林明頡」過戶至「沈花女」之交易，因僅係單純過戶行為，故扣除之。</t>
    <phoneticPr fontId="1" type="noConversion"/>
  </si>
  <si>
    <t>沈花女</t>
    <phoneticPr fontId="1" type="noConversion"/>
  </si>
  <si>
    <t>吳俊宏</t>
    <phoneticPr fontId="1" type="noConversion"/>
  </si>
  <si>
    <t>（註3）
卷證出處為E19卷第170至176頁</t>
    <phoneticPr fontId="1" type="noConversion"/>
  </si>
  <si>
    <t>謝秋琴証稱其將股票贈與女兒鍾毓珊、鍾心芸、鍾安如（E17卷第231反頁）</t>
    <phoneticPr fontId="1" type="noConversion"/>
  </si>
  <si>
    <t>（註2）
同日先由「王立華」名下以每股25元過戶至「施明宏」名下後，再行過戶至最終投資者。</t>
    <phoneticPr fontId="1" type="noConversion"/>
  </si>
  <si>
    <t>（註2）</t>
    <phoneticPr fontId="1" type="noConversion"/>
  </si>
  <si>
    <t>卷證出處為本院卷六第241至244頁所附光碟資料（不包含王立華過戶至林明頡名下部分）。</t>
    <phoneticPr fontId="1" type="noConversion"/>
  </si>
  <si>
    <t>其後於同年4月24日至5月5日再以同一成交價格過戶至黃仲蘭、謝宗雄、陳良德、陳惠春、陳淑如名下</t>
    <phoneticPr fontId="1" type="noConversion"/>
  </si>
  <si>
    <t>其後於同年4月28日、5月8日再以同一成交價格過戶至張寶慧、陳秀春名下</t>
    <phoneticPr fontId="1" type="noConversion"/>
  </si>
  <si>
    <t>（註3）
其後同年10月15日再以每股67元過戶至陳秀春名下</t>
    <phoneticPr fontId="1" type="noConversion"/>
  </si>
  <si>
    <t>即「註2」及「註3」部分合計</t>
    <phoneticPr fontId="1" type="noConversion"/>
  </si>
  <si>
    <t>卷證出處為本院卷六第241至244頁所附光碟資料。</t>
    <phoneticPr fontId="1" type="noConversion"/>
  </si>
  <si>
    <t>股票名稱</t>
    <phoneticPr fontId="1" type="noConversion"/>
  </si>
  <si>
    <t>成交日期</t>
  </si>
  <si>
    <t>獲利總額</t>
    <phoneticPr fontId="1" type="noConversion"/>
  </si>
  <si>
    <t>扣除：千分之三證券交易稅</t>
    <phoneticPr fontId="1" type="noConversion"/>
  </si>
  <si>
    <t>扣除：15％稅證券交易所得稅</t>
    <phoneticPr fontId="1" type="noConversion"/>
  </si>
  <si>
    <t>獲利淨額</t>
    <phoneticPr fontId="1" type="noConversion"/>
  </si>
  <si>
    <t>卷證出處</t>
    <phoneticPr fontId="1" type="noConversion"/>
  </si>
  <si>
    <t>金隆</t>
    <phoneticPr fontId="1" type="noConversion"/>
  </si>
  <si>
    <t>游怡文</t>
    <phoneticPr fontId="1" type="noConversion"/>
  </si>
  <si>
    <t>小計</t>
    <phoneticPr fontId="1" type="noConversion"/>
  </si>
  <si>
    <t>元龍</t>
    <phoneticPr fontId="1" type="noConversion"/>
  </si>
  <si>
    <t>廖述昭</t>
    <phoneticPr fontId="1" type="noConversion"/>
  </si>
  <si>
    <t>扣押物「7-33」P1</t>
    <phoneticPr fontId="1" type="noConversion"/>
  </si>
  <si>
    <t>104/8/7</t>
    <phoneticPr fontId="1" type="noConversion"/>
  </si>
  <si>
    <t>104/8/10</t>
    <phoneticPr fontId="1" type="noConversion"/>
  </si>
  <si>
    <t>劉炳貴</t>
    <phoneticPr fontId="1" type="noConversion"/>
  </si>
  <si>
    <t>周岳穎</t>
    <phoneticPr fontId="1" type="noConversion"/>
  </si>
  <si>
    <t>張凱</t>
    <phoneticPr fontId="1" type="noConversion"/>
  </si>
  <si>
    <t>104/8/17</t>
    <phoneticPr fontId="1" type="noConversion"/>
  </si>
  <si>
    <t>104/8/18</t>
    <phoneticPr fontId="1" type="noConversion"/>
  </si>
  <si>
    <t>李昭圻</t>
    <phoneticPr fontId="1" type="noConversion"/>
  </si>
  <si>
    <t>104/8/24</t>
    <phoneticPr fontId="1" type="noConversion"/>
  </si>
  <si>
    <t>詹雅玲</t>
    <phoneticPr fontId="1" type="noConversion"/>
  </si>
  <si>
    <t>林靖茹</t>
    <phoneticPr fontId="1" type="noConversion"/>
  </si>
  <si>
    <t>104/7/1</t>
    <phoneticPr fontId="1" type="noConversion"/>
  </si>
  <si>
    <t>扣押物「7-33」P2</t>
  </si>
  <si>
    <t>廖阿妹</t>
    <phoneticPr fontId="1" type="noConversion"/>
  </si>
  <si>
    <t>104/7/20</t>
    <phoneticPr fontId="1" type="noConversion"/>
  </si>
  <si>
    <t>吳至佳</t>
    <phoneticPr fontId="1" type="noConversion"/>
  </si>
  <si>
    <t>104/7/28</t>
    <phoneticPr fontId="1" type="noConversion"/>
  </si>
  <si>
    <t>林寶姝</t>
    <phoneticPr fontId="1" type="noConversion"/>
  </si>
  <si>
    <t>廖述昭</t>
    <phoneticPr fontId="1" type="noConversion"/>
  </si>
  <si>
    <t>謝季恩</t>
    <phoneticPr fontId="1" type="noConversion"/>
  </si>
  <si>
    <t>蔡文益</t>
    <phoneticPr fontId="1" type="noConversion"/>
  </si>
  <si>
    <t>104/6/1</t>
    <phoneticPr fontId="1" type="noConversion"/>
  </si>
  <si>
    <t>104/6/8</t>
    <phoneticPr fontId="1" type="noConversion"/>
  </si>
  <si>
    <t>104/6/16</t>
    <phoneticPr fontId="1" type="noConversion"/>
  </si>
  <si>
    <t>扣押物「7-33」P3</t>
  </si>
  <si>
    <t>廖阿妹</t>
    <phoneticPr fontId="1" type="noConversion"/>
  </si>
  <si>
    <t>104/5/15</t>
    <phoneticPr fontId="1" type="noConversion"/>
  </si>
  <si>
    <t>扣押物「7-33」P4</t>
  </si>
  <si>
    <t>廖書逸</t>
    <phoneticPr fontId="1" type="noConversion"/>
  </si>
  <si>
    <t>高瑞菊</t>
    <phoneticPr fontId="1" type="noConversion"/>
  </si>
  <si>
    <t>陳金瑤</t>
    <phoneticPr fontId="1" type="noConversion"/>
  </si>
  <si>
    <t>104/5/18</t>
    <phoneticPr fontId="1" type="noConversion"/>
  </si>
  <si>
    <t>104/5/25</t>
    <phoneticPr fontId="1" type="noConversion"/>
  </si>
  <si>
    <t>劉任修</t>
    <phoneticPr fontId="1" type="noConversion"/>
  </si>
  <si>
    <t>詹雅萍</t>
    <phoneticPr fontId="1" type="noConversion"/>
  </si>
  <si>
    <t>莊蕙裙</t>
    <phoneticPr fontId="1" type="noConversion"/>
  </si>
  <si>
    <t>104/5/27</t>
    <phoneticPr fontId="1" type="noConversion"/>
  </si>
  <si>
    <t>104/4/1</t>
    <phoneticPr fontId="1" type="noConversion"/>
  </si>
  <si>
    <t>廖述昭</t>
    <phoneticPr fontId="1" type="noConversion"/>
  </si>
  <si>
    <t>扣押物「7-33」P5</t>
  </si>
  <si>
    <t>林盈和</t>
    <phoneticPr fontId="1" type="noConversion"/>
  </si>
  <si>
    <t>104/4/2</t>
    <phoneticPr fontId="1" type="noConversion"/>
  </si>
  <si>
    <t>林淨</t>
    <phoneticPr fontId="1" type="noConversion"/>
  </si>
  <si>
    <t>104/4/7</t>
    <phoneticPr fontId="1" type="noConversion"/>
  </si>
  <si>
    <t>陳世忠</t>
    <phoneticPr fontId="1" type="noConversion"/>
  </si>
  <si>
    <t>104/4/13</t>
    <phoneticPr fontId="1" type="noConversion"/>
  </si>
  <si>
    <t>104/4/15</t>
    <phoneticPr fontId="1" type="noConversion"/>
  </si>
  <si>
    <t>吳至佳</t>
    <phoneticPr fontId="1" type="noConversion"/>
  </si>
  <si>
    <t>張正二</t>
    <phoneticPr fontId="1" type="noConversion"/>
  </si>
  <si>
    <t>104/4/16</t>
  </si>
  <si>
    <t>陳志杰</t>
    <phoneticPr fontId="1" type="noConversion"/>
  </si>
  <si>
    <t>藍宗文</t>
    <phoneticPr fontId="1" type="noConversion"/>
  </si>
  <si>
    <t>104/4/23</t>
    <phoneticPr fontId="1" type="noConversion"/>
  </si>
  <si>
    <t>詹雅玲</t>
    <phoneticPr fontId="1" type="noConversion"/>
  </si>
  <si>
    <t>104/4/27</t>
    <phoneticPr fontId="1" type="noConversion"/>
  </si>
  <si>
    <t>蔡郁惠</t>
    <phoneticPr fontId="1" type="noConversion"/>
  </si>
  <si>
    <t>104/3/4</t>
    <phoneticPr fontId="1" type="noConversion"/>
  </si>
  <si>
    <t>黃銀河</t>
    <phoneticPr fontId="1" type="noConversion"/>
  </si>
  <si>
    <t>黃國榕</t>
    <phoneticPr fontId="1" type="noConversion"/>
  </si>
  <si>
    <t>104/3/11</t>
    <phoneticPr fontId="1" type="noConversion"/>
  </si>
  <si>
    <t>江玉琴</t>
    <phoneticPr fontId="1" type="noConversion"/>
  </si>
  <si>
    <t>104/3/16</t>
    <phoneticPr fontId="1" type="noConversion"/>
  </si>
  <si>
    <t>方秀娟</t>
    <phoneticPr fontId="1" type="noConversion"/>
  </si>
  <si>
    <t>104/3/19</t>
    <phoneticPr fontId="1" type="noConversion"/>
  </si>
  <si>
    <t>元龍</t>
    <phoneticPr fontId="1" type="noConversion"/>
  </si>
  <si>
    <t>黃憲民</t>
    <phoneticPr fontId="1" type="noConversion"/>
  </si>
  <si>
    <t>104/3/23</t>
    <phoneticPr fontId="1" type="noConversion"/>
  </si>
  <si>
    <t>扣押物「7-33」P6</t>
  </si>
  <si>
    <t>扣押物「7-33」P7</t>
  </si>
  <si>
    <t>104/1/5</t>
    <phoneticPr fontId="1" type="noConversion"/>
  </si>
  <si>
    <t>金隆</t>
    <phoneticPr fontId="1" type="noConversion"/>
  </si>
  <si>
    <t>104/1/6</t>
  </si>
  <si>
    <t>張宏嘉</t>
    <phoneticPr fontId="1" type="noConversion"/>
  </si>
  <si>
    <t>張慧玉</t>
    <phoneticPr fontId="1" type="noConversion"/>
  </si>
  <si>
    <t>劉子鵬</t>
    <phoneticPr fontId="1" type="noConversion"/>
  </si>
  <si>
    <t>104/2/26</t>
    <phoneticPr fontId="1" type="noConversion"/>
  </si>
  <si>
    <t>謝小島</t>
    <phoneticPr fontId="1" type="noConversion"/>
  </si>
  <si>
    <t>扣押物「7-33」P8</t>
  </si>
  <si>
    <t>103/12/1</t>
    <phoneticPr fontId="1" type="noConversion"/>
  </si>
  <si>
    <t>彭秋月</t>
    <phoneticPr fontId="1" type="noConversion"/>
  </si>
  <si>
    <t>陳玉枝</t>
    <phoneticPr fontId="1" type="noConversion"/>
  </si>
  <si>
    <t>卓維煌</t>
    <phoneticPr fontId="1" type="noConversion"/>
  </si>
  <si>
    <t>闕千惠</t>
    <phoneticPr fontId="1" type="noConversion"/>
  </si>
  <si>
    <t>103/12/3</t>
    <phoneticPr fontId="1" type="noConversion"/>
  </si>
  <si>
    <t>洪華憶</t>
    <phoneticPr fontId="1" type="noConversion"/>
  </si>
  <si>
    <t>余春財</t>
    <phoneticPr fontId="1" type="noConversion"/>
  </si>
  <si>
    <t>孫秋萍</t>
    <phoneticPr fontId="1" type="noConversion"/>
  </si>
  <si>
    <t>扣押物「7-33」P10</t>
    <phoneticPr fontId="1" type="noConversion"/>
  </si>
  <si>
    <t>103/12/4</t>
    <phoneticPr fontId="1" type="noConversion"/>
  </si>
  <si>
    <t>103/12/5</t>
    <phoneticPr fontId="1" type="noConversion"/>
  </si>
  <si>
    <t>103/12/8</t>
    <phoneticPr fontId="1" type="noConversion"/>
  </si>
  <si>
    <t>103/12/26</t>
    <phoneticPr fontId="1" type="noConversion"/>
  </si>
  <si>
    <t>103/11/3</t>
    <phoneticPr fontId="1" type="noConversion"/>
  </si>
  <si>
    <t>103/11/5</t>
    <phoneticPr fontId="1" type="noConversion"/>
  </si>
  <si>
    <t>扣押物「7-33」P12</t>
    <phoneticPr fontId="1" type="noConversion"/>
  </si>
  <si>
    <t>林財正</t>
    <phoneticPr fontId="1" type="noConversion"/>
  </si>
  <si>
    <t>陳沅池</t>
    <phoneticPr fontId="1" type="noConversion"/>
  </si>
  <si>
    <t>103/11/8</t>
    <phoneticPr fontId="1" type="noConversion"/>
  </si>
  <si>
    <t>林柏昌</t>
    <phoneticPr fontId="1" type="noConversion"/>
  </si>
  <si>
    <t>黃亭瑄</t>
    <phoneticPr fontId="1" type="noConversion"/>
  </si>
  <si>
    <t>103/11/18</t>
    <phoneticPr fontId="1" type="noConversion"/>
  </si>
  <si>
    <t>103/11/20</t>
    <phoneticPr fontId="1" type="noConversion"/>
  </si>
  <si>
    <t>陳仁誠</t>
    <phoneticPr fontId="1" type="noConversion"/>
  </si>
  <si>
    <t>林威揚</t>
    <phoneticPr fontId="1" type="noConversion"/>
  </si>
  <si>
    <t>張凱雄</t>
    <phoneticPr fontId="1" type="noConversion"/>
  </si>
  <si>
    <t>103/11/24</t>
    <phoneticPr fontId="1" type="noConversion"/>
  </si>
  <si>
    <t>郭秀霞</t>
    <phoneticPr fontId="1" type="noConversion"/>
  </si>
  <si>
    <t>103/10/17</t>
    <phoneticPr fontId="1" type="noConversion"/>
  </si>
  <si>
    <t>羅元彥</t>
    <phoneticPr fontId="1" type="noConversion"/>
  </si>
  <si>
    <t>扣押物「7-33」P15</t>
    <phoneticPr fontId="1" type="noConversion"/>
  </si>
  <si>
    <t>小計</t>
    <phoneticPr fontId="1" type="noConversion"/>
  </si>
  <si>
    <t>購入成本（註1）</t>
    <phoneticPr fontId="1" type="noConversion"/>
  </si>
  <si>
    <t>金額總計</t>
    <phoneticPr fontId="1" type="noConversion"/>
  </si>
  <si>
    <t>其後同年6月16日再以同一成交價格過戶3張至陳仲卿名下（註2）</t>
    <phoneticPr fontId="1" type="noConversion"/>
  </si>
  <si>
    <t>其後同年8月5日再以同一成交價格過戶至陳春宏名下（註2）</t>
    <phoneticPr fontId="1" type="noConversion"/>
  </si>
  <si>
    <t>其後同年6月16日再以同一成交價格過戶至李渝倬名下（註2）</t>
    <phoneticPr fontId="1" type="noConversion"/>
  </si>
  <si>
    <t>其後同年6月12日再以同一價格過戶至吳翠琴名下（註2）</t>
    <phoneticPr fontId="1" type="noConversion"/>
  </si>
  <si>
    <t>總計（註3）</t>
    <phoneticPr fontId="1" type="noConversion"/>
  </si>
  <si>
    <t>註2：因成交單價僅為每股10.2元，產生之證券交易所得稅甚小，故於計算被告羅栩亮犯罪所得時予以忽略，併此敘明。</t>
    <phoneticPr fontId="1" type="noConversion"/>
  </si>
  <si>
    <t>註1：卷證出處為A43卷第291頁。</t>
    <phoneticPr fontId="1" type="noConversion"/>
  </si>
  <si>
    <t>註2：</t>
    <phoneticPr fontId="1" type="noConversion"/>
  </si>
  <si>
    <t>註1：</t>
    <phoneticPr fontId="1" type="noConversion"/>
  </si>
  <si>
    <t>卷證出處為A22卷第4至14頁。</t>
    <phoneticPr fontId="1" type="noConversion"/>
  </si>
  <si>
    <t>總計（註2）</t>
    <phoneticPr fontId="2" type="noConversion"/>
  </si>
  <si>
    <t>總計（註2）</t>
    <phoneticPr fontId="1" type="noConversion"/>
  </si>
  <si>
    <t>卷證出處為A21卷第113至144頁。</t>
  </si>
  <si>
    <t>依104紅保1413號扣押物編號「7-33」及「7-34」所示，該部分乃被告黃馨儀遭法務部調查局高雄市調查處破獲未經許可販售未上市公司股票後（已另案由台灣高雄地方法院檢察署以103年度偵字第18883號為緩起訴處分），另行與朱緯業謀定，當黃馨儀所實際經營之兆豐財經資訊中心、盛豐財經資訊中心於實際售出兆良公司股票後，先過戶至由朱緯業所提供之登記名義人「沈花女」名下，再過戶至最終投資人名下，並以每售出1張股票分給朱緯業2000元作為酬庸，以利黃馨儀得續行販售兆良公司股票，而屬黃馨儀與朱緯業共同販售。</t>
  </si>
  <si>
    <t>104年3至4月</t>
    <phoneticPr fontId="1" type="noConversion"/>
  </si>
  <si>
    <t>104年1至2月</t>
    <phoneticPr fontId="1" type="noConversion"/>
  </si>
  <si>
    <t>103年11至12月</t>
    <phoneticPr fontId="1" type="noConversion"/>
  </si>
  <si>
    <t>103年9至10月</t>
    <phoneticPr fontId="1" type="noConversion"/>
  </si>
  <si>
    <t>103年7至8月</t>
    <phoneticPr fontId="1" type="noConversion"/>
  </si>
  <si>
    <t>103年5至6月</t>
    <phoneticPr fontId="1" type="noConversion"/>
  </si>
  <si>
    <t>103年3至4月</t>
    <phoneticPr fontId="1" type="noConversion"/>
  </si>
  <si>
    <t>103年1至2月</t>
    <phoneticPr fontId="1" type="noConversion"/>
  </si>
  <si>
    <t>102年11至12月</t>
    <phoneticPr fontId="1" type="noConversion"/>
  </si>
  <si>
    <t>102年9至10月</t>
    <phoneticPr fontId="1" type="noConversion"/>
  </si>
  <si>
    <t>102年7至8月</t>
    <phoneticPr fontId="1" type="noConversion"/>
  </si>
  <si>
    <t>102年5至6月</t>
    <phoneticPr fontId="1" type="noConversion"/>
  </si>
  <si>
    <t>102年3至4月</t>
    <phoneticPr fontId="1" type="noConversion"/>
  </si>
  <si>
    <t>102年1至2月</t>
    <phoneticPr fontId="1" type="noConversion"/>
  </si>
  <si>
    <t>101年11至12月</t>
    <phoneticPr fontId="1" type="noConversion"/>
  </si>
  <si>
    <t>101年9至10月</t>
    <phoneticPr fontId="1" type="noConversion"/>
  </si>
  <si>
    <t>101年7至8月</t>
    <phoneticPr fontId="1" type="noConversion"/>
  </si>
  <si>
    <t>101年5至6月</t>
    <phoneticPr fontId="1" type="noConversion"/>
  </si>
  <si>
    <t>101年3至4月</t>
    <phoneticPr fontId="1" type="noConversion"/>
  </si>
  <si>
    <t>101年1至2月</t>
    <phoneticPr fontId="1" type="noConversion"/>
  </si>
  <si>
    <t>100年11至12月</t>
    <phoneticPr fontId="1" type="noConversion"/>
  </si>
  <si>
    <t>100年9至10月</t>
    <phoneticPr fontId="1" type="noConversion"/>
  </si>
  <si>
    <t>銷貨退回</t>
    <phoneticPr fontId="1" type="noConversion"/>
  </si>
  <si>
    <t>銷售額</t>
    <phoneticPr fontId="1" type="noConversion"/>
  </si>
  <si>
    <t>103/08</t>
  </si>
  <si>
    <t>習拿納生醫公司</t>
    <phoneticPr fontId="1" type="noConversion"/>
  </si>
  <si>
    <t>103/07</t>
  </si>
  <si>
    <t>103/06</t>
    <phoneticPr fontId="1" type="noConversion"/>
  </si>
  <si>
    <t>豪倫公司</t>
    <phoneticPr fontId="1" type="noConversion"/>
  </si>
  <si>
    <t>103/06</t>
  </si>
  <si>
    <t>103/05</t>
  </si>
  <si>
    <t>103/04</t>
  </si>
  <si>
    <t>103/03</t>
  </si>
  <si>
    <t>103/02</t>
    <phoneticPr fontId="1" type="noConversion"/>
  </si>
  <si>
    <t>103/01</t>
    <phoneticPr fontId="1" type="noConversion"/>
  </si>
  <si>
    <t>102/12</t>
    <phoneticPr fontId="1" type="noConversion"/>
  </si>
  <si>
    <t>兆乾公司</t>
    <phoneticPr fontId="1" type="noConversion"/>
  </si>
  <si>
    <t>102/11</t>
    <phoneticPr fontId="1" type="noConversion"/>
  </si>
  <si>
    <t>總金額</t>
    <phoneticPr fontId="1" type="noConversion"/>
  </si>
  <si>
    <t>營業稅</t>
    <phoneticPr fontId="1" type="noConversion"/>
  </si>
  <si>
    <t>註1：卷證出處為A43卷第303至313反頁。</t>
    <phoneticPr fontId="1" type="noConversion"/>
  </si>
  <si>
    <t>銷售額</t>
    <phoneticPr fontId="1" type="noConversion"/>
  </si>
  <si>
    <t>銷售對象</t>
    <phoneticPr fontId="1" type="noConversion"/>
  </si>
  <si>
    <t>兆乾公司</t>
    <phoneticPr fontId="1" type="noConversion"/>
  </si>
  <si>
    <t>年月</t>
    <phoneticPr fontId="1" type="noConversion"/>
  </si>
  <si>
    <t>比重</t>
    <phoneticPr fontId="1" type="noConversion"/>
  </si>
  <si>
    <t>比重</t>
    <phoneticPr fontId="1" type="noConversion"/>
  </si>
  <si>
    <t>其中對「兆乾公司」、「豪倫公司」之銷售額為9,357,143元，占該期間銷售額比重為90.34%（註2）</t>
    <phoneticPr fontId="1" type="noConversion"/>
  </si>
  <si>
    <t>其中對「豪倫公司」之銷售額為9,619,048元，占該期間銷售額比重為100%（註3）</t>
    <phoneticPr fontId="1" type="noConversion"/>
  </si>
  <si>
    <t>其中對「豪倫公司」之銷售額為12,380,953元，占該期間銷售額比重為100%（註4）</t>
    <phoneticPr fontId="1" type="noConversion"/>
  </si>
  <si>
    <t>其中對「豪倫公司」、「習拿納生醫公司」之銷售額為17,619,047元，占該期間銷售額比重為100%（註5）</t>
    <phoneticPr fontId="1" type="noConversion"/>
  </si>
  <si>
    <t>其中對「習拿納生醫公司」之銷售額為8,308,304元，占該期間銷售額比重為98.34%（註6）</t>
    <phoneticPr fontId="1" type="noConversion"/>
  </si>
  <si>
    <t>註2：其中銷售對象為「兆乾公司」、「豪倫公司」之銷售明細如下（A30卷第89至92頁）：</t>
    <phoneticPr fontId="1" type="noConversion"/>
  </si>
  <si>
    <t>註3：其中銷售對象為「豪倫公司」之銷售明細如下（A30卷第89至92頁）：</t>
    <phoneticPr fontId="1" type="noConversion"/>
  </si>
  <si>
    <t>註4：其中銷售對象為「豪倫公司」之銷售明細如下（A30卷第89至92頁）：</t>
    <phoneticPr fontId="1" type="noConversion"/>
  </si>
  <si>
    <t>註5：其中銷售對象為「兆乾公司」、「習拿納生醫公司」之銷售明細如下（A30卷第89至92頁）：</t>
    <phoneticPr fontId="1" type="noConversion"/>
  </si>
  <si>
    <t>註6：其中銷售對象為「習拿納生醫公司」之銷售明細如下（A30卷第89至92頁）：</t>
    <phoneticPr fontId="1" type="noConversion"/>
  </si>
  <si>
    <t>附表四：王貴儀出售兆良公司股票（依對象別）明細表</t>
    <phoneticPr fontId="1" type="noConversion"/>
  </si>
  <si>
    <t>附表一：兆良科技股份有限公司股東繳納現金股款明細表</t>
    <phoneticPr fontId="2" type="noConversion"/>
  </si>
  <si>
    <t>附表二：羅栩亮出售兆良公司股票予王子源等6人明細表（註1）</t>
    <phoneticPr fontId="1" type="noConversion"/>
  </si>
  <si>
    <t>附表三：羅栩亮、林美雲出售兆良公司股票予黃泳學，黃泳學登記受讓人為王貴儀之明細表</t>
    <phoneticPr fontId="1" type="noConversion"/>
  </si>
  <si>
    <t xml:space="preserve">被告黃泳學因兆良公司證券詐欺行為實際獲得之金額：每股獲利為14.5元（賣價23元扣買價8.5元），售出股數為3,800張（詳上附表），獲利總額為5,510 萬元【3,800 張*（23,000-8,500）】，扣除千分之3 的交易稅及15％的證券交易所得稅，獲利淨額為4,661萬2,130 元【（5,510萬元-23000*3800*0.003）* （1-15％）】。 
</t>
    <phoneticPr fontId="1" type="noConversion"/>
  </si>
  <si>
    <t>附表六：黃馨儀以賴國隆名義購入兆良公司股票後，出售予投資人明細表（註1）</t>
    <phoneticPr fontId="1" type="noConversion"/>
  </si>
  <si>
    <t>該部分係在德睿公司於103年5月29日遭法務部調查局高雄市調查處破獲未經許可販售未上市公司股票後（已另案由台灣高雄地方法院檢察署以103年度偵字第18883號為緩起訴處分），繼續販售兆良公司股票之交易明細。</t>
    <phoneticPr fontId="1" type="noConversion"/>
  </si>
  <si>
    <t xml:space="preserve">（1）被告黃馨儀因兆良公司證券詐欺行為實際獲得之金額：販售兆良公司股票合計賣出張數2,222 張【其中1,008 張係過戶至「賴國隆」名下（即上開附表） ，1,151張係過戶至「沈花女」名下（即附表五 「註2 」及「註3 」部分合計），63張係過戶至「王立華」名下（即附表十二 「註2 」部分合計）】，賣出總金額為1 億3,323 萬3,000 元 【即附表五 「註2 」及「註3」部分合計之金額6,160 萬1,000 元、附表六 「總計」欄之金額6,736 萬5,000 元及附表十二 「註2 」所示426 萬7000元】，扣除買進成本5,110 萬6,000 元（每張23,000元*2,222張），獲利總額為8,212 萬7,000 元，扣除千分之3 的交易稅及15％的證券交易所得稅，獲利淨額為6,946 萬8,206 元【（8,212,7000-133,233,000*0.003）*（1-15％）】。 
（2）被告黃馨儀販售未上市櫃公司股票之獲利：販售兆良公司股票部分，與黃馨儀前開兆良公司證券詐欺罪部分之獲利所得為同一筆所得（但因103 年5 月29日以前由德睿公司賣出之部分為前案既判力範圍，故不含括該部分）；另黃馨儀販售金隆公司、元龍公司股票部分之獲利為675 萬1,852 元（詳附表七）。 
</t>
    <phoneticPr fontId="1" type="noConversion"/>
  </si>
  <si>
    <t>附表七：黃馨儀出售元龍、金隆公司股票明細表</t>
    <phoneticPr fontId="1" type="noConversion"/>
  </si>
  <si>
    <t>係依據被告黃馨儀104年9月17日調查庭及偵訊時供述（A46卷第120頁、150頁反面），採每股24元做為股票購入成本。</t>
    <phoneticPr fontId="1" type="noConversion"/>
  </si>
  <si>
    <t>附表八：劉勝誼購入兆良公司股票後出售予投資人明細表（註1）</t>
    <phoneticPr fontId="1" type="noConversion"/>
  </si>
  <si>
    <t>劉勝誼違反販售未上市櫃公司股票所得：賣出張數604 張，賣出總金額為2,992 萬6,000元（即上開附表 「總計」欄位），扣除買進成本1,389 萬2,000元（每張23,000元*604張），獲利總額為1,603 萬4,000 元，扣除千分之3 的交易稅及15％的證券交易所得稅，所得淨額為1,355 萬2,589 元【（16,034,000-29,926,000*0.003）*（1-15％）】。</t>
    <phoneticPr fontId="1" type="noConversion"/>
  </si>
  <si>
    <t>附表十二：以王立華名義購入兆良公司股票後，出售予投資人明細表（註1）</t>
    <phoneticPr fontId="1" type="noConversion"/>
  </si>
  <si>
    <t>係被告黃馨儀所提出具向其購買兆良公司股票之客戶委請律師對羅栩亮等人提出告訴之客戶名單（E9卷第188頁），該部分投資人顯然亦係被告黃馨儀於另案遭破獲後，而與朱緯業謀定，共同對外續行販售兆良公司股票之對象。</t>
    <phoneticPr fontId="1" type="noConversion"/>
  </si>
  <si>
    <t>係被告黃馨儀所提出具向其購買兆良公司股票之客戶委請律師對羅栩亮等人提出告訴之客戶名單（E9卷第188頁），合計共63張，金額為4,267,000元，該部分投資人顯然亦係被告黃馨儀對外續行販售兆良公司股票之對象。</t>
    <phoneticPr fontId="1" type="noConversion"/>
  </si>
  <si>
    <t>編號</t>
  </si>
  <si>
    <t>案卷</t>
  </si>
  <si>
    <t>A1</t>
  </si>
  <si>
    <t>嘉義地檢103他2011</t>
  </si>
  <si>
    <t>A2</t>
  </si>
  <si>
    <t>新竹地檢103他2786</t>
  </si>
  <si>
    <t>A3</t>
  </si>
  <si>
    <t>高雄地檢103他8898</t>
  </si>
  <si>
    <t>A4</t>
  </si>
  <si>
    <t>高雄地檢103他9190</t>
  </si>
  <si>
    <t>A5</t>
  </si>
  <si>
    <t>高雄地檢103他9410</t>
  </si>
  <si>
    <t>A6</t>
  </si>
  <si>
    <t>高雄地檢103他9439</t>
  </si>
  <si>
    <t>A7</t>
  </si>
  <si>
    <t>高雄地檢103他10196</t>
  </si>
  <si>
    <t>A8</t>
  </si>
  <si>
    <t>高雄地檢103他10197</t>
  </si>
  <si>
    <t>A9</t>
  </si>
  <si>
    <t>高雄地檢103他10198</t>
  </si>
  <si>
    <t>A10</t>
  </si>
  <si>
    <t>高雄地檢104他529</t>
  </si>
  <si>
    <t>A11</t>
  </si>
  <si>
    <t>高雄地檢104他530</t>
  </si>
  <si>
    <t>A12</t>
  </si>
  <si>
    <t>高雄地檢104他531</t>
  </si>
  <si>
    <t>A13</t>
  </si>
  <si>
    <t>南投地檢103他1027</t>
  </si>
  <si>
    <t>A14</t>
  </si>
  <si>
    <t>台南地檢103他4907</t>
  </si>
  <si>
    <t>A15</t>
  </si>
  <si>
    <t>台南地檢103他4908</t>
  </si>
  <si>
    <t>A16</t>
  </si>
  <si>
    <t>新北地檢103他6126</t>
  </si>
  <si>
    <t>A17</t>
  </si>
  <si>
    <t>新北地檢103他6141</t>
  </si>
  <si>
    <t>A18</t>
  </si>
  <si>
    <t>新北地檢103他6219</t>
  </si>
  <si>
    <t>A19</t>
  </si>
  <si>
    <t>103他6433影卷</t>
  </si>
  <si>
    <t>A20</t>
  </si>
  <si>
    <t>103他10766卷一</t>
  </si>
  <si>
    <t>A21</t>
  </si>
  <si>
    <t>103他10766卷二</t>
  </si>
  <si>
    <t>A22</t>
  </si>
  <si>
    <t>103他10766卷三</t>
  </si>
  <si>
    <t>A23</t>
  </si>
  <si>
    <t>103他11212</t>
  </si>
  <si>
    <t>A24</t>
  </si>
  <si>
    <t>103他11231</t>
  </si>
  <si>
    <t>A25</t>
  </si>
  <si>
    <t>103他11484</t>
  </si>
  <si>
    <t>A26</t>
  </si>
  <si>
    <t>103他11487</t>
  </si>
  <si>
    <t>A27</t>
  </si>
  <si>
    <t>103他11803</t>
  </si>
  <si>
    <t>A28</t>
  </si>
  <si>
    <t>103他11804</t>
  </si>
  <si>
    <t>A29</t>
  </si>
  <si>
    <t>103他12071</t>
  </si>
  <si>
    <t>A30</t>
  </si>
  <si>
    <t>103他12087卷</t>
  </si>
  <si>
    <t>A31</t>
  </si>
  <si>
    <t>103他12087卷</t>
  </si>
  <si>
    <t>A32</t>
  </si>
  <si>
    <t>104他79</t>
  </si>
  <si>
    <t>A33</t>
  </si>
  <si>
    <t>104他80</t>
  </si>
  <si>
    <t>A34</t>
  </si>
  <si>
    <t>104他81</t>
  </si>
  <si>
    <t>A35</t>
  </si>
  <si>
    <t>104他1311</t>
  </si>
  <si>
    <t>A36</t>
  </si>
  <si>
    <t>104他1312</t>
  </si>
  <si>
    <t>A37</t>
  </si>
  <si>
    <t>104他1313</t>
  </si>
  <si>
    <t>A38</t>
  </si>
  <si>
    <t>104發查938</t>
  </si>
  <si>
    <t>A39</t>
  </si>
  <si>
    <t>104押詢55</t>
  </si>
  <si>
    <t>A40</t>
  </si>
  <si>
    <t>104押詢68</t>
  </si>
  <si>
    <t>A41</t>
  </si>
  <si>
    <t>104核退671</t>
  </si>
  <si>
    <t>A42</t>
  </si>
  <si>
    <t>104偵14231卷一</t>
  </si>
  <si>
    <t>A43</t>
  </si>
  <si>
    <t>104偵14231卷二</t>
  </si>
  <si>
    <t>A44</t>
  </si>
  <si>
    <t>104偵14500</t>
  </si>
  <si>
    <t>A45</t>
  </si>
  <si>
    <t>104偵17991卷一</t>
  </si>
  <si>
    <t>A46</t>
  </si>
  <si>
    <t>104偵17991卷二</t>
  </si>
  <si>
    <t>A47</t>
  </si>
  <si>
    <t>104偵17991卷三</t>
  </si>
  <si>
    <t>A48</t>
  </si>
  <si>
    <t>104偵18312</t>
  </si>
  <si>
    <t>A49</t>
  </si>
  <si>
    <t>104偵18313</t>
  </si>
  <si>
    <t>A50</t>
  </si>
  <si>
    <t>104偵18314</t>
  </si>
  <si>
    <t>A51</t>
  </si>
  <si>
    <t>104偵18315</t>
  </si>
  <si>
    <t>A52</t>
  </si>
  <si>
    <t>104偵18316</t>
  </si>
  <si>
    <t>A53</t>
  </si>
  <si>
    <t>104偵18317</t>
  </si>
  <si>
    <t>A54</t>
  </si>
  <si>
    <t>104偵18318</t>
  </si>
  <si>
    <t>A55</t>
  </si>
  <si>
    <t>104偵18319</t>
  </si>
  <si>
    <t>A56</t>
  </si>
  <si>
    <t>104偵18320</t>
  </si>
  <si>
    <t>A57</t>
  </si>
  <si>
    <t>104偵18321</t>
  </si>
  <si>
    <t>A58</t>
  </si>
  <si>
    <t>104偵18322</t>
  </si>
  <si>
    <t>A59</t>
  </si>
  <si>
    <t>104偵19469</t>
  </si>
  <si>
    <t>A60</t>
  </si>
  <si>
    <t>104偵20811</t>
  </si>
  <si>
    <t>A61</t>
  </si>
  <si>
    <t>104偵20812</t>
  </si>
  <si>
    <t>A62</t>
  </si>
  <si>
    <t>104偵20813</t>
  </si>
  <si>
    <t>附表十、偵查卷宗代碼對照表</t>
    <phoneticPr fontId="1" type="noConversion"/>
  </si>
  <si>
    <t>B1</t>
  </si>
  <si>
    <t>高雄地檢104偵字18394</t>
  </si>
  <si>
    <t>B2</t>
  </si>
  <si>
    <t>高雄地檢103偵字18883</t>
  </si>
  <si>
    <t>B3</t>
  </si>
  <si>
    <t>法務部調查局高雄市調查處：朱緯業陳薇、陳誼秦等證券交易法案件</t>
  </si>
  <si>
    <t>B4</t>
  </si>
  <si>
    <t>法務部調查局高雄市調查處：案名：德睿公司賴國隆等涉嫌違反證券交易法案（移送證據資料）</t>
  </si>
  <si>
    <t>B5</t>
  </si>
  <si>
    <t>103偵17666</t>
  </si>
  <si>
    <t>B6</t>
  </si>
  <si>
    <t>104偵2230</t>
  </si>
  <si>
    <t>B7</t>
  </si>
  <si>
    <t>104偵15937</t>
  </si>
  <si>
    <t>B8</t>
  </si>
  <si>
    <t>104偵續198</t>
  </si>
  <si>
    <t>B9</t>
  </si>
  <si>
    <t>法務部調查局臺北市調查處賀里昂公司楊立民等違反證交法案</t>
  </si>
  <si>
    <t>B10</t>
  </si>
  <si>
    <t>法務部調查局彰化縣調查站江正聖、萬呈偉涉嫌違反證券交易法案</t>
  </si>
  <si>
    <t>C1</t>
  </si>
  <si>
    <t xml:space="preserve">104年偵字22288號 </t>
  </si>
  <si>
    <t>D1</t>
  </si>
  <si>
    <t>兆良科技股份有限公司登記卷影卷</t>
  </si>
  <si>
    <t>D2</t>
  </si>
  <si>
    <t>德睿創業投資有限公司登記卷影卷</t>
  </si>
  <si>
    <t>E1</t>
  </si>
  <si>
    <t>104發查2907</t>
  </si>
  <si>
    <t>E2</t>
  </si>
  <si>
    <t>104發查2923</t>
  </si>
  <si>
    <t>E3</t>
  </si>
  <si>
    <t>104發查3307</t>
  </si>
  <si>
    <t>E4</t>
  </si>
  <si>
    <t>104他6878</t>
  </si>
  <si>
    <t>E5</t>
  </si>
  <si>
    <t>104他6894</t>
  </si>
  <si>
    <t>E6</t>
  </si>
  <si>
    <t>104他6917影卷</t>
  </si>
  <si>
    <t>E7</t>
  </si>
  <si>
    <t>104他7200</t>
  </si>
  <si>
    <t>E8</t>
  </si>
  <si>
    <t>104他7410</t>
  </si>
  <si>
    <t>E9</t>
  </si>
  <si>
    <t>104他7832卷一</t>
  </si>
  <si>
    <t>E10</t>
  </si>
  <si>
    <t>104他7832卷二</t>
  </si>
  <si>
    <t>E11</t>
  </si>
  <si>
    <t>104他7832卷三</t>
  </si>
  <si>
    <t>E12</t>
  </si>
  <si>
    <t>104他7832卷四</t>
  </si>
  <si>
    <t>E13</t>
  </si>
  <si>
    <t>104他7832卷五</t>
  </si>
  <si>
    <t>E14</t>
  </si>
  <si>
    <t>104他7832卷六</t>
  </si>
  <si>
    <t>E15</t>
  </si>
  <si>
    <t>104他7832卷七</t>
  </si>
  <si>
    <t>E16</t>
  </si>
  <si>
    <t>104他7832卷八</t>
  </si>
  <si>
    <t>E17</t>
  </si>
  <si>
    <t>104他7832卷九</t>
  </si>
  <si>
    <t>E18</t>
  </si>
  <si>
    <t>104他7832卷十</t>
  </si>
  <si>
    <t>E19</t>
  </si>
  <si>
    <t>104他7832卷十一</t>
  </si>
  <si>
    <t>E20</t>
  </si>
  <si>
    <t>104他7832卷十二</t>
  </si>
  <si>
    <t>E21</t>
  </si>
  <si>
    <t>104他7832卷十三</t>
  </si>
  <si>
    <t>E22</t>
  </si>
  <si>
    <t>104他7832卷十四</t>
  </si>
  <si>
    <t>E23</t>
  </si>
  <si>
    <t>104他7832卷十五</t>
  </si>
  <si>
    <t>E24</t>
  </si>
  <si>
    <t>104他7850</t>
  </si>
  <si>
    <t>E25</t>
  </si>
  <si>
    <t>104他8415</t>
  </si>
  <si>
    <t>E26</t>
  </si>
  <si>
    <t>104他10485</t>
  </si>
  <si>
    <t>E27</t>
  </si>
  <si>
    <t>104他10642</t>
  </si>
  <si>
    <t>E28</t>
  </si>
  <si>
    <t>104他10888</t>
  </si>
  <si>
    <t>E29</t>
  </si>
  <si>
    <t>104他11234影卷</t>
  </si>
  <si>
    <t>E30</t>
  </si>
  <si>
    <t>104他11342</t>
  </si>
  <si>
    <t>E31</t>
  </si>
  <si>
    <t>105他50</t>
  </si>
  <si>
    <t>E32</t>
  </si>
  <si>
    <t>宜蘭地檢104他792影卷</t>
  </si>
  <si>
    <t>E33</t>
  </si>
  <si>
    <t>新北地檢104他4539</t>
  </si>
  <si>
    <t>E34</t>
  </si>
  <si>
    <t>新北地檢104他4684影卷</t>
  </si>
  <si>
    <t>E35</t>
  </si>
  <si>
    <t>104偵22288</t>
  </si>
  <si>
    <t>E36</t>
  </si>
  <si>
    <t>調查局中部地區機動工作站移送書證據一至證據八</t>
  </si>
  <si>
    <t>E37</t>
  </si>
  <si>
    <t>調查局中部地區機動工作站移送書證據九至證據二十</t>
  </si>
  <si>
    <t>E38</t>
  </si>
  <si>
    <t>調查局中部地區機動工作站移送書證據二十一至證據三十四</t>
  </si>
  <si>
    <t>E39</t>
  </si>
  <si>
    <t>105偵1154</t>
  </si>
  <si>
    <t>E40</t>
  </si>
  <si>
    <t>105偵1155</t>
  </si>
  <si>
    <t>E41</t>
  </si>
  <si>
    <t>105偵1156影卷</t>
  </si>
  <si>
    <t>E42</t>
  </si>
  <si>
    <t>105偵1157</t>
  </si>
  <si>
    <t>E43</t>
  </si>
  <si>
    <t>105偵1158</t>
  </si>
  <si>
    <t>E44</t>
  </si>
  <si>
    <t>105偵1159</t>
  </si>
  <si>
    <t>E45</t>
  </si>
  <si>
    <t>105偵1160</t>
  </si>
  <si>
    <t>E46</t>
  </si>
  <si>
    <t>105偵1161</t>
  </si>
  <si>
    <t>E47</t>
  </si>
  <si>
    <t>105偵1162</t>
  </si>
  <si>
    <t>E48</t>
  </si>
  <si>
    <t>105偵1231</t>
  </si>
  <si>
    <t>E49</t>
  </si>
  <si>
    <t>105偵3688</t>
  </si>
  <si>
    <t>E50</t>
  </si>
  <si>
    <t>105偵4105</t>
  </si>
  <si>
    <t>E51</t>
  </si>
  <si>
    <t>105偵4441</t>
  </si>
  <si>
    <t>E52</t>
  </si>
  <si>
    <t>105偵4442</t>
  </si>
  <si>
    <t>E53</t>
  </si>
  <si>
    <t>105偵4443</t>
  </si>
  <si>
    <t>E54</t>
  </si>
  <si>
    <t>105偵4661</t>
  </si>
  <si>
    <t>王裕仁</t>
  </si>
  <si>
    <t>王冬立</t>
  </si>
  <si>
    <t>方燦堂</t>
  </si>
  <si>
    <t>毛學玲</t>
  </si>
  <si>
    <t>吳霖</t>
  </si>
  <si>
    <t>吳勝傑</t>
  </si>
  <si>
    <t>吳景輝</t>
  </si>
  <si>
    <t>吳俊宏</t>
  </si>
  <si>
    <t>吳翠琴</t>
  </si>
  <si>
    <t>李純綾</t>
  </si>
  <si>
    <t>李渝倬</t>
  </si>
  <si>
    <t>邱珍</t>
  </si>
  <si>
    <t>洪仁成</t>
  </si>
  <si>
    <t>紀若凡</t>
  </si>
  <si>
    <t>施瑞霖</t>
  </si>
  <si>
    <t>范登閔</t>
  </si>
  <si>
    <t>徐正民</t>
  </si>
  <si>
    <t>徐錫瑤</t>
  </si>
  <si>
    <t>郭金</t>
  </si>
  <si>
    <t>連捷</t>
  </si>
  <si>
    <t>張木生</t>
  </si>
  <si>
    <t>陳仲卿</t>
  </si>
  <si>
    <t>陳姷妁</t>
  </si>
  <si>
    <t>陳豐榮</t>
  </si>
  <si>
    <t>陳惠春</t>
  </si>
  <si>
    <t>陳啟瀚</t>
  </si>
  <si>
    <t>陳凰</t>
  </si>
  <si>
    <t>曾穩銘</t>
  </si>
  <si>
    <t>黃秋珍</t>
  </si>
  <si>
    <t>黃詩婷</t>
  </si>
  <si>
    <t>黃秀芬</t>
  </si>
  <si>
    <t>湯美珍</t>
  </si>
  <si>
    <t>詹欣頤</t>
  </si>
  <si>
    <t>廖仕</t>
  </si>
  <si>
    <t>廖良習</t>
  </si>
  <si>
    <t>蔡文益</t>
  </si>
  <si>
    <t>蕭筱屏</t>
  </si>
  <si>
    <t>鍾毓珊</t>
  </si>
  <si>
    <t>鍾安如</t>
  </si>
  <si>
    <t>鍾心芸</t>
  </si>
  <si>
    <t>韓寶玲</t>
  </si>
  <si>
    <t>簡月真</t>
  </si>
  <si>
    <t>謝宗雄</t>
  </si>
  <si>
    <t>刁品緣</t>
    <phoneticPr fontId="1" type="noConversion"/>
  </si>
  <si>
    <t>附表九：告訴人刁品緣等358人名冊</t>
    <phoneticPr fontId="1" type="noConversion"/>
  </si>
  <si>
    <t>告訴人姓名</t>
    <phoneticPr fontId="1" type="noConversion"/>
  </si>
  <si>
    <t>呂繆文</t>
    <phoneticPr fontId="1" type="noConversion"/>
  </si>
  <si>
    <t>林智瑝</t>
    <phoneticPr fontId="1" type="noConversion"/>
  </si>
  <si>
    <t>許正義</t>
    <phoneticPr fontId="1" type="noConversion"/>
  </si>
  <si>
    <t>廖德銓</t>
    <phoneticPr fontId="1" type="noConversion"/>
  </si>
  <si>
    <t>張良輔</t>
    <phoneticPr fontId="1" type="noConversion"/>
  </si>
  <si>
    <t>李瓊雲</t>
    <phoneticPr fontId="1" type="noConversion"/>
  </si>
  <si>
    <t>王茂雄</t>
    <phoneticPr fontId="1" type="noConversion"/>
  </si>
  <si>
    <t>王素如</t>
    <phoneticPr fontId="1" type="noConversion"/>
  </si>
  <si>
    <t>李佩芳</t>
    <phoneticPr fontId="1" type="noConversion"/>
  </si>
  <si>
    <t>陳嘉澤</t>
    <phoneticPr fontId="1" type="noConversion"/>
  </si>
  <si>
    <t>柯佑在</t>
    <phoneticPr fontId="1" type="noConversion"/>
  </si>
  <si>
    <t>許鈴妙</t>
    <phoneticPr fontId="1" type="noConversion"/>
  </si>
  <si>
    <t>陳德溎</t>
    <phoneticPr fontId="1" type="noConversion"/>
  </si>
  <si>
    <t>李桂鶯</t>
    <phoneticPr fontId="1" type="noConversion"/>
  </si>
  <si>
    <t>李桂鶯</t>
    <phoneticPr fontId="1" type="noConversion"/>
  </si>
  <si>
    <t>李方淑媛</t>
    <phoneticPr fontId="1" type="noConversion"/>
  </si>
  <si>
    <t>游閔暉</t>
    <phoneticPr fontId="1" type="noConversion"/>
  </si>
  <si>
    <t>顏春花</t>
    <phoneticPr fontId="1" type="noConversion"/>
  </si>
  <si>
    <t>朱緯業為「實際」負責人販售部分之所得合計</t>
    <phoneticPr fontId="1" type="noConversion"/>
  </si>
  <si>
    <t>朱緯業為「名義」負責人販售部分之所得合計</t>
    <phoneticPr fontId="1" type="noConversion"/>
  </si>
  <si>
    <t>王香懿</t>
    <phoneticPr fontId="1" type="noConversion"/>
  </si>
  <si>
    <t>附表五：朱緯業以沈花女、林明頡名義購入兆良公司股票後，出售予投資人明細表（註1）</t>
    <phoneticPr fontId="1" type="noConversion"/>
  </si>
  <si>
    <t>附表十一：兆良公司100年9月至104年4月銷售額一覽表（註1）</t>
    <phoneticPr fontId="1" type="noConversion"/>
  </si>
  <si>
    <t>薛文楨</t>
    <phoneticPr fontId="1" type="noConversion"/>
  </si>
  <si>
    <t>薛文楨</t>
    <phoneticPr fontId="1" type="noConversion"/>
  </si>
</sst>
</file>

<file path=xl/styles.xml><?xml version="1.0" encoding="utf-8"?>
<styleSheet xmlns="http://schemas.openxmlformats.org/spreadsheetml/2006/main">
  <numFmts count="12">
    <numFmt numFmtId="6" formatCode="&quot;$&quot;#,##0;[Red]\-&quot;$&quot;#,##0"/>
    <numFmt numFmtId="42" formatCode="_-&quot;$&quot;* #,##0_-;\-&quot;$&quot;* #,##0_-;_-&quot;$&quot;* &quot;-&quot;_-;_-@_-"/>
    <numFmt numFmtId="44" formatCode="_-&quot;$&quot;* #,##0.00_-;\-&quot;$&quot;* #,##0.00_-;_-&quot;$&quot;* &quot;-&quot;??_-;_-@_-"/>
    <numFmt numFmtId="43" formatCode="_-* #,##0.00_-;\-* #,##0.00_-;_-* &quot;-&quot;??_-;_-@_-"/>
    <numFmt numFmtId="176" formatCode="#,##0;[Red]#,##0"/>
    <numFmt numFmtId="177" formatCode="_-&quot;$&quot;* #,##0_-;\-&quot;$&quot;* #,##0_-;_-&quot;$&quot;* &quot;-&quot;??_-;_-@_-"/>
    <numFmt numFmtId="178" formatCode="yyyy/m/d;@"/>
    <numFmt numFmtId="179" formatCode="#,##0_ "/>
    <numFmt numFmtId="180" formatCode="m/d;@"/>
    <numFmt numFmtId="181" formatCode="_-* #,##0_-;\-* #,##0_-;_-* &quot;-&quot;??_-;_-@_-"/>
    <numFmt numFmtId="182" formatCode="#,##0_);[Red]\(#,##0\)"/>
    <numFmt numFmtId="183" formatCode="[$-404]e\.m\.d;@"/>
  </numFmts>
  <fonts count="15">
    <font>
      <sz val="12"/>
      <color theme="1"/>
      <name val="新細明體"/>
      <family val="2"/>
      <charset val="136"/>
      <scheme val="minor"/>
    </font>
    <font>
      <sz val="9"/>
      <name val="新細明體"/>
      <family val="2"/>
      <charset val="136"/>
      <scheme val="minor"/>
    </font>
    <font>
      <sz val="9"/>
      <name val="新細明體"/>
      <family val="1"/>
      <charset val="136"/>
    </font>
    <font>
      <b/>
      <sz val="12"/>
      <name val="新細明體"/>
      <family val="1"/>
      <charset val="136"/>
    </font>
    <font>
      <sz val="12"/>
      <name val="新細明體"/>
      <family val="1"/>
      <charset val="136"/>
    </font>
    <font>
      <sz val="12"/>
      <color theme="1"/>
      <name val="新細明體"/>
      <family val="1"/>
      <charset val="136"/>
      <scheme val="minor"/>
    </font>
    <font>
      <sz val="14"/>
      <name val="新細明體"/>
      <family val="1"/>
      <charset val="136"/>
    </font>
    <font>
      <sz val="12"/>
      <color theme="1"/>
      <name val="新細明體"/>
      <family val="1"/>
      <charset val="136"/>
    </font>
    <font>
      <sz val="12"/>
      <color theme="1"/>
      <name val="新細明體"/>
      <family val="2"/>
      <charset val="136"/>
      <scheme val="minor"/>
    </font>
    <font>
      <sz val="11"/>
      <color theme="1"/>
      <name val="新細明體"/>
      <family val="2"/>
      <charset val="136"/>
      <scheme val="minor"/>
    </font>
    <font>
      <sz val="10"/>
      <name val="Arial"/>
    </font>
    <font>
      <b/>
      <sz val="12"/>
      <color theme="1"/>
      <name val="新細明體"/>
      <family val="2"/>
      <charset val="136"/>
      <scheme val="minor"/>
    </font>
    <font>
      <b/>
      <sz val="12"/>
      <color theme="1"/>
      <name val="新細明體"/>
      <family val="1"/>
      <charset val="136"/>
      <scheme val="minor"/>
    </font>
    <font>
      <sz val="12"/>
      <color theme="1"/>
      <name val="新細明體"/>
      <family val="1"/>
      <charset val="136"/>
      <scheme val="major"/>
    </font>
    <font>
      <sz val="10"/>
      <color theme="1"/>
      <name val="新細明體"/>
      <family val="1"/>
      <charset val="136"/>
      <scheme val="minor"/>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B0F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thin">
        <color indexed="64"/>
      </right>
      <top/>
      <bottom/>
      <diagonal/>
    </border>
    <border>
      <left style="thin">
        <color indexed="64"/>
      </left>
      <right/>
      <top/>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bottom style="double">
        <color indexed="64"/>
      </bottom>
      <diagonal/>
    </border>
    <border>
      <left style="thin">
        <color rgb="FF000000"/>
      </left>
      <right style="thin">
        <color rgb="FF000000"/>
      </right>
      <top style="thin">
        <color rgb="FF000000"/>
      </top>
      <bottom style="thin">
        <color rgb="FF000000"/>
      </bottom>
      <diagonal/>
    </border>
    <border>
      <left/>
      <right/>
      <top/>
      <bottom style="medium">
        <color indexed="64"/>
      </bottom>
      <diagonal/>
    </border>
  </borders>
  <cellStyleXfs count="7">
    <xf numFmtId="0" fontId="0" fillId="0" borderId="0">
      <alignment vertical="center"/>
    </xf>
    <xf numFmtId="0" fontId="4" fillId="0" borderId="0">
      <alignment vertical="center"/>
    </xf>
    <xf numFmtId="0" fontId="5" fillId="0" borderId="0">
      <alignment vertical="center"/>
    </xf>
    <xf numFmtId="44" fontId="4" fillId="0" borderId="0" applyFont="0" applyFill="0" applyBorder="0" applyAlignment="0" applyProtection="0">
      <alignment vertical="center"/>
    </xf>
    <xf numFmtId="43" fontId="8" fillId="0" borderId="0" applyFont="0" applyFill="0" applyBorder="0" applyAlignment="0" applyProtection="0">
      <alignment vertical="center"/>
    </xf>
    <xf numFmtId="0" fontId="10" fillId="0" borderId="0">
      <alignment vertical="center"/>
    </xf>
    <xf numFmtId="9" fontId="8" fillId="0" borderId="0" applyFont="0" applyFill="0" applyBorder="0" applyAlignment="0" applyProtection="0">
      <alignment vertical="center"/>
    </xf>
  </cellStyleXfs>
  <cellXfs count="325">
    <xf numFmtId="0" fontId="0" fillId="0" borderId="0" xfId="0">
      <alignment vertical="center"/>
    </xf>
    <xf numFmtId="0" fontId="0" fillId="0" borderId="1" xfId="0" applyBorder="1" applyAlignment="1"/>
    <xf numFmtId="176" fontId="0" fillId="0" borderId="1" xfId="0" applyNumberFormat="1" applyBorder="1" applyAlignment="1"/>
    <xf numFmtId="0" fontId="0" fillId="0" borderId="2" xfId="0" applyBorder="1">
      <alignment vertical="center"/>
    </xf>
    <xf numFmtId="176" fontId="0" fillId="0" borderId="3" xfId="0" applyNumberFormat="1" applyBorder="1" applyAlignment="1"/>
    <xf numFmtId="0" fontId="0" fillId="0" borderId="4" xfId="0" applyBorder="1">
      <alignment vertical="center"/>
    </xf>
    <xf numFmtId="0" fontId="0" fillId="0" borderId="5" xfId="0" applyBorder="1">
      <alignment vertical="center"/>
    </xf>
    <xf numFmtId="0" fontId="0" fillId="0" borderId="5" xfId="0" applyBorder="1" applyAlignment="1"/>
    <xf numFmtId="176" fontId="0" fillId="0" borderId="5" xfId="0" applyNumberFormat="1" applyBorder="1">
      <alignment vertical="center"/>
    </xf>
    <xf numFmtId="176" fontId="0" fillId="0" borderId="6" xfId="0" applyNumberFormat="1" applyBorder="1">
      <alignment vertical="center"/>
    </xf>
    <xf numFmtId="0" fontId="0" fillId="0" borderId="7" xfId="0" applyBorder="1">
      <alignment vertical="center"/>
    </xf>
    <xf numFmtId="0" fontId="0" fillId="0" borderId="8" xfId="0" applyBorder="1" applyAlignment="1"/>
    <xf numFmtId="176" fontId="0" fillId="0" borderId="8" xfId="0" applyNumberFormat="1" applyBorder="1" applyAlignment="1"/>
    <xf numFmtId="176" fontId="0" fillId="0" borderId="9" xfId="0" applyNumberFormat="1" applyBorder="1" applyAlignment="1"/>
    <xf numFmtId="0" fontId="0" fillId="0" borderId="10" xfId="0" applyBorder="1">
      <alignment vertical="center"/>
    </xf>
    <xf numFmtId="0" fontId="0" fillId="0" borderId="11" xfId="0" applyBorder="1">
      <alignment vertical="center"/>
    </xf>
    <xf numFmtId="176" fontId="0" fillId="0" borderId="5" xfId="0" applyNumberFormat="1" applyBorder="1" applyAlignment="1"/>
    <xf numFmtId="176" fontId="0" fillId="0" borderId="6" xfId="0" applyNumberFormat="1" applyBorder="1" applyAlignment="1"/>
    <xf numFmtId="0" fontId="0" fillId="0" borderId="7" xfId="0" applyBorder="1" applyAlignment="1">
      <alignment horizontal="center" vertical="center"/>
    </xf>
    <xf numFmtId="0" fontId="0" fillId="0" borderId="8" xfId="0" applyBorder="1" applyAlignment="1">
      <alignment horizontal="center"/>
    </xf>
    <xf numFmtId="0" fontId="0" fillId="0" borderId="2" xfId="0" applyBorder="1" applyAlignment="1">
      <alignment horizontal="center" vertical="center"/>
    </xf>
    <xf numFmtId="0" fontId="0" fillId="0" borderId="1" xfId="0" applyBorder="1" applyAlignment="1">
      <alignment horizont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176" fontId="0" fillId="0" borderId="14" xfId="0" applyNumberFormat="1" applyBorder="1" applyAlignment="1"/>
    <xf numFmtId="0" fontId="0" fillId="0" borderId="15" xfId="0" applyBorder="1" applyAlignment="1"/>
    <xf numFmtId="176" fontId="0" fillId="0" borderId="15" xfId="0" applyNumberFormat="1" applyBorder="1" applyAlignment="1"/>
    <xf numFmtId="0" fontId="0" fillId="0" borderId="11" xfId="0" applyBorder="1" applyAlignment="1"/>
    <xf numFmtId="176" fontId="0" fillId="0" borderId="11" xfId="0" applyNumberFormat="1" applyBorder="1" applyAlignment="1"/>
    <xf numFmtId="0" fontId="0" fillId="0" borderId="16" xfId="0" applyBorder="1" applyAlignment="1"/>
    <xf numFmtId="176" fontId="0" fillId="0" borderId="16" xfId="0" applyNumberFormat="1" applyBorder="1" applyAlignment="1"/>
    <xf numFmtId="0" fontId="0" fillId="0" borderId="11" xfId="0" applyBorder="1" applyAlignment="1">
      <alignment horizontal="center"/>
    </xf>
    <xf numFmtId="0" fontId="0" fillId="0" borderId="19" xfId="0" applyBorder="1">
      <alignment vertical="center"/>
    </xf>
    <xf numFmtId="0" fontId="3" fillId="0" borderId="11" xfId="0" applyNumberFormat="1" applyFont="1" applyBorder="1" applyAlignment="1"/>
    <xf numFmtId="0" fontId="3" fillId="0" borderId="11" xfId="0" applyFont="1" applyBorder="1" applyAlignment="1"/>
    <xf numFmtId="0" fontId="0" fillId="0" borderId="21" xfId="0" applyBorder="1">
      <alignment vertical="center"/>
    </xf>
    <xf numFmtId="0" fontId="0" fillId="0" borderId="0" xfId="0" applyAlignment="1">
      <alignment horizontal="center" vertical="center"/>
    </xf>
    <xf numFmtId="0" fontId="0" fillId="0" borderId="15" xfId="0" applyBorder="1" applyAlignment="1">
      <alignment horizontal="center"/>
    </xf>
    <xf numFmtId="0" fontId="0" fillId="0" borderId="16" xfId="0" applyBorder="1" applyAlignment="1">
      <alignment horizontal="center"/>
    </xf>
    <xf numFmtId="0" fontId="0" fillId="0" borderId="14" xfId="0" applyBorder="1" applyAlignment="1">
      <alignment horizontal="center" vertical="center"/>
    </xf>
    <xf numFmtId="176" fontId="0" fillId="0" borderId="23" xfId="0" applyNumberFormat="1" applyBorder="1" applyAlignment="1"/>
    <xf numFmtId="176" fontId="0" fillId="0" borderId="24" xfId="0" applyNumberFormat="1" applyBorder="1" applyAlignment="1"/>
    <xf numFmtId="176" fontId="0" fillId="0" borderId="25" xfId="0" applyNumberFormat="1" applyBorder="1" applyAlignment="1"/>
    <xf numFmtId="176" fontId="0" fillId="0" borderId="26" xfId="0" applyNumberFormat="1" applyBorder="1" applyAlignment="1"/>
    <xf numFmtId="0" fontId="3" fillId="0" borderId="11" xfId="0" applyFont="1" applyBorder="1" applyAlignment="1">
      <alignment horizontal="center"/>
    </xf>
    <xf numFmtId="0" fontId="0" fillId="2" borderId="2" xfId="0" applyFill="1" applyBorder="1">
      <alignment vertical="center"/>
    </xf>
    <xf numFmtId="0" fontId="0" fillId="2" borderId="1" xfId="0" applyFill="1" applyBorder="1" applyAlignment="1">
      <alignment horizontal="center"/>
    </xf>
    <xf numFmtId="0" fontId="0" fillId="2" borderId="1" xfId="0" applyFill="1" applyBorder="1" applyAlignment="1"/>
    <xf numFmtId="176" fontId="0" fillId="2" borderId="1" xfId="0" applyNumberFormat="1" applyFill="1" applyBorder="1" applyAlignment="1"/>
    <xf numFmtId="0" fontId="0" fillId="2" borderId="19" xfId="0" applyFill="1" applyBorder="1">
      <alignment vertical="center"/>
    </xf>
    <xf numFmtId="0" fontId="0" fillId="2" borderId="15" xfId="0" applyFill="1" applyBorder="1" applyAlignment="1">
      <alignment horizontal="center"/>
    </xf>
    <xf numFmtId="0" fontId="0" fillId="2" borderId="15" xfId="0" applyFill="1" applyBorder="1" applyAlignment="1"/>
    <xf numFmtId="176" fontId="0" fillId="2" borderId="15" xfId="0" applyNumberFormat="1" applyFill="1" applyBorder="1" applyAlignment="1"/>
    <xf numFmtId="176" fontId="0" fillId="0" borderId="29" xfId="0" applyNumberFormat="1" applyBorder="1" applyAlignment="1"/>
    <xf numFmtId="0" fontId="4" fillId="0" borderId="1" xfId="1" applyFont="1" applyBorder="1" applyAlignment="1">
      <alignment vertical="center"/>
    </xf>
    <xf numFmtId="176" fontId="0" fillId="2" borderId="24" xfId="0" applyNumberFormat="1" applyFill="1" applyBorder="1" applyAlignment="1">
      <alignment horizontal="center"/>
    </xf>
    <xf numFmtId="0" fontId="0" fillId="0" borderId="0" xfId="0" applyAlignment="1">
      <alignment horizontal="righ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right" vertical="top"/>
    </xf>
    <xf numFmtId="0" fontId="0" fillId="0" borderId="0" xfId="0" applyAlignment="1">
      <alignment horizontal="left" vertical="center"/>
    </xf>
    <xf numFmtId="0" fontId="0" fillId="0" borderId="0" xfId="0" applyFill="1" applyAlignment="1">
      <alignment horizontal="right" vertical="center"/>
    </xf>
    <xf numFmtId="0" fontId="0" fillId="0" borderId="0" xfId="0" applyFill="1" applyAlignment="1">
      <alignment horizontal="left" vertical="center"/>
    </xf>
    <xf numFmtId="0" fontId="0" fillId="0" borderId="0" xfId="0" applyFill="1" applyAlignment="1">
      <alignment horizontal="center" vertical="center"/>
    </xf>
    <xf numFmtId="0" fontId="0" fillId="0" borderId="0" xfId="0" applyFill="1">
      <alignment vertical="center"/>
    </xf>
    <xf numFmtId="0" fontId="4" fillId="0" borderId="0" xfId="1" applyFont="1">
      <alignment vertical="center"/>
    </xf>
    <xf numFmtId="0" fontId="4" fillId="0" borderId="1" xfId="1" applyFont="1" applyBorder="1" applyAlignment="1">
      <alignment horizontal="center" vertical="center" wrapText="1"/>
    </xf>
    <xf numFmtId="49" fontId="4" fillId="0" borderId="1" xfId="1" applyNumberFormat="1" applyFont="1" applyBorder="1" applyAlignment="1">
      <alignment horizontal="distributed" vertical="center" wrapText="1"/>
    </xf>
    <xf numFmtId="178" fontId="7" fillId="0" borderId="1" xfId="2" applyNumberFormat="1" applyFont="1" applyBorder="1">
      <alignment vertical="center"/>
    </xf>
    <xf numFmtId="49" fontId="4" fillId="0" borderId="1" xfId="1" applyNumberFormat="1" applyFont="1" applyBorder="1" applyAlignment="1">
      <alignment horizontal="center" vertical="center" wrapText="1"/>
    </xf>
    <xf numFmtId="179" fontId="4" fillId="0" borderId="1" xfId="1" applyNumberFormat="1" applyFont="1" applyBorder="1" applyAlignment="1">
      <alignment horizontal="right" vertical="center" wrapText="1"/>
    </xf>
    <xf numFmtId="177" fontId="4" fillId="0" borderId="1" xfId="3" applyNumberFormat="1" applyFont="1" applyBorder="1" applyAlignment="1">
      <alignment vertical="center"/>
    </xf>
    <xf numFmtId="180" fontId="7" fillId="0" borderId="1" xfId="2" applyNumberFormat="1" applyFont="1" applyBorder="1">
      <alignment vertical="center"/>
    </xf>
    <xf numFmtId="49" fontId="4" fillId="3" borderId="1" xfId="1" applyNumberFormat="1" applyFont="1" applyFill="1" applyBorder="1" applyAlignment="1">
      <alignment horizontal="distributed" vertical="center" wrapText="1"/>
    </xf>
    <xf numFmtId="178" fontId="7" fillId="3" borderId="1" xfId="2" applyNumberFormat="1" applyFont="1" applyFill="1" applyBorder="1">
      <alignment vertical="center"/>
    </xf>
    <xf numFmtId="49" fontId="4" fillId="3" borderId="1" xfId="1" applyNumberFormat="1" applyFont="1" applyFill="1" applyBorder="1" applyAlignment="1">
      <alignment horizontal="center" vertical="center" wrapText="1"/>
    </xf>
    <xf numFmtId="179" fontId="4" fillId="3" borderId="1" xfId="1" applyNumberFormat="1" applyFont="1" applyFill="1" applyBorder="1" applyAlignment="1">
      <alignment horizontal="right" vertical="center" wrapText="1"/>
    </xf>
    <xf numFmtId="177" fontId="4" fillId="3" borderId="1" xfId="3" applyNumberFormat="1" applyFont="1" applyFill="1" applyBorder="1" applyAlignment="1">
      <alignment vertical="center"/>
    </xf>
    <xf numFmtId="0" fontId="4" fillId="0" borderId="1" xfId="1" applyFont="1" applyBorder="1">
      <alignment vertical="center"/>
    </xf>
    <xf numFmtId="0" fontId="4" fillId="0" borderId="1" xfId="1" applyFont="1" applyBorder="1" applyAlignment="1">
      <alignment horizontal="center" vertical="center"/>
    </xf>
    <xf numFmtId="0" fontId="7" fillId="0" borderId="0" xfId="0" applyFont="1">
      <alignment vertical="center"/>
    </xf>
    <xf numFmtId="49" fontId="4" fillId="0" borderId="0" xfId="1" applyNumberFormat="1" applyFont="1" applyAlignment="1">
      <alignment horizontal="center" vertical="center"/>
    </xf>
    <xf numFmtId="177" fontId="4" fillId="0" borderId="0" xfId="1" applyNumberFormat="1" applyFont="1" applyAlignment="1">
      <alignment vertical="center"/>
    </xf>
    <xf numFmtId="0" fontId="4" fillId="0" borderId="0" xfId="1" applyFont="1" applyAlignment="1">
      <alignment horizontal="center" vertical="center"/>
    </xf>
    <xf numFmtId="179" fontId="4" fillId="0" borderId="0" xfId="1" applyNumberFormat="1" applyFont="1">
      <alignment vertical="center"/>
    </xf>
    <xf numFmtId="0" fontId="7" fillId="0" borderId="1" xfId="2" applyFont="1" applyBorder="1" applyAlignment="1">
      <alignment horizontal="center" vertical="center"/>
    </xf>
    <xf numFmtId="177" fontId="4" fillId="0" borderId="1" xfId="1" applyNumberFormat="1" applyFont="1" applyFill="1" applyBorder="1" applyAlignment="1">
      <alignment horizontal="center" vertical="center" wrapText="1"/>
    </xf>
    <xf numFmtId="180" fontId="7" fillId="0" borderId="1" xfId="2" applyNumberFormat="1" applyFont="1" applyBorder="1" applyAlignment="1">
      <alignment horizontal="left" vertical="center"/>
    </xf>
    <xf numFmtId="0" fontId="7" fillId="3" borderId="1" xfId="2" applyFont="1" applyFill="1" applyBorder="1" applyAlignment="1">
      <alignment horizontal="center" vertical="center"/>
    </xf>
    <xf numFmtId="0" fontId="4" fillId="3" borderId="1" xfId="1" applyFont="1" applyFill="1" applyBorder="1">
      <alignment vertical="center"/>
    </xf>
    <xf numFmtId="177" fontId="4" fillId="3" borderId="1" xfId="1" applyNumberFormat="1" applyFont="1" applyFill="1" applyBorder="1" applyAlignment="1">
      <alignment horizontal="center" vertical="center" wrapText="1"/>
    </xf>
    <xf numFmtId="0" fontId="6" fillId="0" borderId="0" xfId="1" applyFont="1">
      <alignment vertical="center"/>
    </xf>
    <xf numFmtId="176" fontId="0" fillId="0" borderId="25" xfId="0" applyNumberFormat="1" applyBorder="1" applyAlignment="1">
      <alignment wrapText="1"/>
    </xf>
    <xf numFmtId="0" fontId="0" fillId="0" borderId="0" xfId="0" applyFill="1" applyBorder="1" applyAlignment="1">
      <alignment horizontal="center" vertical="center"/>
    </xf>
    <xf numFmtId="0" fontId="0" fillId="0" borderId="8" xfId="0" applyBorder="1" applyAlignment="1">
      <alignment horizontal="left"/>
    </xf>
    <xf numFmtId="0" fontId="0" fillId="0" borderId="1" xfId="0" applyBorder="1" applyAlignment="1">
      <alignment horizontal="left"/>
    </xf>
    <xf numFmtId="0" fontId="0" fillId="0" borderId="11" xfId="0" applyBorder="1" applyAlignment="1">
      <alignment horizontal="left"/>
    </xf>
    <xf numFmtId="0" fontId="0" fillId="2" borderId="1" xfId="0" applyFill="1" applyBorder="1" applyAlignment="1">
      <alignment horizontal="left"/>
    </xf>
    <xf numFmtId="0" fontId="0" fillId="0" borderId="16" xfId="0" applyBorder="1" applyAlignment="1">
      <alignment horizontal="left"/>
    </xf>
    <xf numFmtId="0" fontId="0" fillId="2" borderId="15" xfId="0" applyFill="1" applyBorder="1" applyAlignment="1">
      <alignment horizontal="left"/>
    </xf>
    <xf numFmtId="0" fontId="0" fillId="2" borderId="1" xfId="0" applyFill="1" applyBorder="1" applyAlignment="1">
      <alignment horizontal="left" wrapText="1"/>
    </xf>
    <xf numFmtId="181" fontId="0" fillId="0" borderId="0" xfId="4" applyNumberFormat="1" applyFont="1">
      <alignment vertical="center"/>
    </xf>
    <xf numFmtId="0" fontId="0" fillId="0" borderId="0" xfId="0" applyAlignment="1">
      <alignment vertical="center"/>
    </xf>
    <xf numFmtId="176" fontId="0" fillId="0" borderId="24" xfId="0" applyNumberFormat="1" applyBorder="1" applyAlignment="1">
      <alignment horizontal="left" wrapText="1"/>
    </xf>
    <xf numFmtId="176" fontId="0" fillId="0" borderId="24" xfId="0" applyNumberFormat="1" applyBorder="1" applyAlignment="1">
      <alignment wrapText="1"/>
    </xf>
    <xf numFmtId="176" fontId="9" fillId="0" borderId="24" xfId="0" applyNumberFormat="1" applyFont="1" applyBorder="1" applyAlignment="1">
      <alignment wrapText="1"/>
    </xf>
    <xf numFmtId="176" fontId="0" fillId="0" borderId="24" xfId="0" applyNumberFormat="1" applyFill="1" applyBorder="1" applyAlignment="1">
      <alignment horizontal="left" wrapText="1"/>
    </xf>
    <xf numFmtId="0" fontId="0" fillId="4" borderId="2" xfId="0" applyFill="1" applyBorder="1">
      <alignment vertical="center"/>
    </xf>
    <xf numFmtId="0" fontId="0" fillId="4" borderId="1" xfId="0" applyFill="1" applyBorder="1" applyAlignment="1">
      <alignment horizontal="center"/>
    </xf>
    <xf numFmtId="0" fontId="0" fillId="4" borderId="1" xfId="0" applyFill="1" applyBorder="1" applyAlignment="1">
      <alignment horizontal="left" wrapText="1"/>
    </xf>
    <xf numFmtId="0" fontId="0" fillId="4" borderId="1" xfId="0" applyFill="1" applyBorder="1" applyAlignment="1"/>
    <xf numFmtId="176" fontId="0" fillId="4" borderId="1" xfId="0" applyNumberFormat="1" applyFill="1" applyBorder="1" applyAlignment="1"/>
    <xf numFmtId="0" fontId="0" fillId="4" borderId="1" xfId="0" applyFill="1" applyBorder="1" applyAlignment="1">
      <alignment horizontal="left"/>
    </xf>
    <xf numFmtId="0" fontId="0" fillId="4" borderId="21" xfId="0" applyFill="1" applyBorder="1">
      <alignment vertical="center"/>
    </xf>
    <xf numFmtId="0" fontId="0" fillId="4" borderId="16" xfId="0" applyFill="1" applyBorder="1" applyAlignment="1">
      <alignment horizontal="center"/>
    </xf>
    <xf numFmtId="0" fontId="0" fillId="4" borderId="16" xfId="0" applyFill="1" applyBorder="1" applyAlignment="1">
      <alignment horizontal="left"/>
    </xf>
    <xf numFmtId="0" fontId="0" fillId="4" borderId="16" xfId="0" applyFill="1" applyBorder="1" applyAlignment="1"/>
    <xf numFmtId="176" fontId="0" fillId="4" borderId="16" xfId="0" applyNumberFormat="1" applyFill="1" applyBorder="1" applyAlignment="1"/>
    <xf numFmtId="176" fontId="0" fillId="4" borderId="24" xfId="0" applyNumberFormat="1" applyFill="1" applyBorder="1" applyAlignment="1">
      <alignment horizontal="left" wrapText="1"/>
    </xf>
    <xf numFmtId="0" fontId="0" fillId="4" borderId="15" xfId="0" applyFill="1" applyBorder="1" applyAlignment="1">
      <alignment horizontal="center"/>
    </xf>
    <xf numFmtId="0" fontId="0" fillId="4" borderId="15" xfId="0" applyFill="1" applyBorder="1" applyAlignment="1">
      <alignment horizontal="left"/>
    </xf>
    <xf numFmtId="0" fontId="0" fillId="4" borderId="15" xfId="0" applyFill="1" applyBorder="1" applyAlignment="1"/>
    <xf numFmtId="176" fontId="0" fillId="4" borderId="15" xfId="0" applyNumberFormat="1" applyFill="1" applyBorder="1" applyAlignment="1"/>
    <xf numFmtId="176" fontId="0" fillId="4" borderId="1" xfId="0" applyNumberFormat="1" applyFill="1" applyBorder="1" applyAlignment="1">
      <alignment horizontal="center"/>
    </xf>
    <xf numFmtId="0" fontId="0" fillId="0" borderId="0" xfId="0" applyAlignment="1"/>
    <xf numFmtId="182" fontId="0" fillId="0" borderId="0" xfId="0" applyNumberFormat="1">
      <alignment vertical="center"/>
    </xf>
    <xf numFmtId="182" fontId="0" fillId="0" borderId="11" xfId="0" applyNumberFormat="1" applyBorder="1" applyAlignment="1">
      <alignment horizontal="center" vertical="center"/>
    </xf>
    <xf numFmtId="182" fontId="0" fillId="0" borderId="0" xfId="0" applyNumberFormat="1" applyAlignment="1">
      <alignment vertical="center"/>
    </xf>
    <xf numFmtId="0" fontId="0" fillId="2" borderId="7" xfId="0" applyFill="1" applyBorder="1">
      <alignment vertical="center"/>
    </xf>
    <xf numFmtId="0" fontId="0" fillId="4" borderId="7" xfId="0" applyFill="1" applyBorder="1">
      <alignment vertical="center"/>
    </xf>
    <xf numFmtId="0" fontId="0" fillId="0" borderId="7" xfId="0" applyFill="1" applyBorder="1">
      <alignment vertical="center"/>
    </xf>
    <xf numFmtId="0" fontId="0" fillId="0" borderId="2" xfId="0" applyFill="1" applyBorder="1">
      <alignment vertical="center"/>
    </xf>
    <xf numFmtId="0" fontId="0" fillId="0" borderId="10" xfId="0" applyFill="1" applyBorder="1">
      <alignment vertical="center"/>
    </xf>
    <xf numFmtId="0" fontId="0" fillId="0" borderId="21" xfId="0" applyFill="1" applyBorder="1">
      <alignment vertical="center"/>
    </xf>
    <xf numFmtId="176" fontId="0" fillId="0" borderId="23" xfId="0" applyNumberFormat="1" applyBorder="1" applyAlignment="1">
      <alignment horizontal="left"/>
    </xf>
    <xf numFmtId="176" fontId="0" fillId="4" borderId="24" xfId="0" applyNumberFormat="1" applyFill="1" applyBorder="1" applyAlignment="1">
      <alignment horizontal="left"/>
    </xf>
    <xf numFmtId="176" fontId="0" fillId="0" borderId="24" xfId="0" applyNumberFormat="1" applyBorder="1" applyAlignment="1">
      <alignment horizontal="left"/>
    </xf>
    <xf numFmtId="176" fontId="0" fillId="2" borderId="24" xfId="0" applyNumberFormat="1" applyFill="1" applyBorder="1" applyAlignment="1">
      <alignment horizontal="left" wrapText="1"/>
    </xf>
    <xf numFmtId="176" fontId="0" fillId="2" borderId="24" xfId="0" applyNumberFormat="1" applyFill="1" applyBorder="1" applyAlignment="1">
      <alignment horizontal="left"/>
    </xf>
    <xf numFmtId="176" fontId="0" fillId="4" borderId="26" xfId="0" applyNumberFormat="1" applyFill="1" applyBorder="1" applyAlignment="1">
      <alignment horizontal="left"/>
    </xf>
    <xf numFmtId="176" fontId="0" fillId="4" borderId="20" xfId="0" applyNumberFormat="1" applyFill="1" applyBorder="1" applyAlignment="1">
      <alignment horizontal="left"/>
    </xf>
    <xf numFmtId="176" fontId="0" fillId="4" borderId="3" xfId="0" applyNumberFormat="1" applyFill="1" applyBorder="1" applyAlignment="1">
      <alignment horizontal="left"/>
    </xf>
    <xf numFmtId="176" fontId="0" fillId="0" borderId="14" xfId="0" applyNumberFormat="1" applyBorder="1" applyAlignment="1">
      <alignment horizontal="left"/>
    </xf>
    <xf numFmtId="176" fontId="0" fillId="0" borderId="26" xfId="0" applyNumberFormat="1" applyBorder="1" applyAlignment="1">
      <alignment horizontal="left"/>
    </xf>
    <xf numFmtId="176" fontId="0" fillId="4" borderId="26" xfId="0" applyNumberFormat="1" applyFill="1" applyBorder="1" applyAlignment="1">
      <alignment horizontal="left" wrapText="1"/>
    </xf>
    <xf numFmtId="0" fontId="0" fillId="4" borderId="8" xfId="0" applyFill="1" applyBorder="1" applyAlignment="1"/>
    <xf numFmtId="182" fontId="0" fillId="0" borderId="1" xfId="0" applyNumberFormat="1" applyBorder="1" applyAlignment="1"/>
    <xf numFmtId="182" fontId="0" fillId="4" borderId="1" xfId="0" applyNumberFormat="1" applyFill="1" applyBorder="1" applyAlignment="1"/>
    <xf numFmtId="0" fontId="0" fillId="0" borderId="3" xfId="0" applyBorder="1">
      <alignment vertical="center"/>
    </xf>
    <xf numFmtId="0" fontId="0" fillId="0" borderId="3" xfId="0" applyBorder="1" applyAlignment="1">
      <alignment vertical="center" wrapText="1"/>
    </xf>
    <xf numFmtId="0" fontId="0" fillId="4" borderId="3" xfId="0" applyFill="1" applyBorder="1">
      <alignment vertical="center"/>
    </xf>
    <xf numFmtId="0" fontId="0" fillId="0" borderId="6" xfId="0" applyBorder="1">
      <alignment vertical="center"/>
    </xf>
    <xf numFmtId="182" fontId="0" fillId="0" borderId="8" xfId="0" applyNumberFormat="1" applyBorder="1" applyAlignment="1"/>
    <xf numFmtId="0" fontId="0" fillId="0" borderId="9" xfId="0" applyBorder="1">
      <alignment vertical="center"/>
    </xf>
    <xf numFmtId="0" fontId="0" fillId="0" borderId="12" xfId="0" applyFill="1" applyBorder="1" applyAlignment="1">
      <alignment horizontal="center" vertical="center"/>
    </xf>
    <xf numFmtId="0" fontId="0" fillId="0" borderId="0" xfId="0" applyFill="1" applyAlignment="1">
      <alignment horizontal="right" vertical="top"/>
    </xf>
    <xf numFmtId="176" fontId="0" fillId="0" borderId="12" xfId="0" applyNumberFormat="1" applyBorder="1" applyAlignment="1">
      <alignment horizontal="left"/>
    </xf>
    <xf numFmtId="176" fontId="0" fillId="0" borderId="12" xfId="0" applyNumberFormat="1" applyBorder="1" applyAlignment="1">
      <alignment horizontal="left" wrapText="1"/>
    </xf>
    <xf numFmtId="0" fontId="0" fillId="0" borderId="8" xfId="0" applyBorder="1" applyAlignment="1">
      <alignment horizontal="center" vertical="top"/>
    </xf>
    <xf numFmtId="0" fontId="0" fillId="0" borderId="8" xfId="0" applyBorder="1" applyAlignment="1">
      <alignment vertical="top"/>
    </xf>
    <xf numFmtId="176" fontId="0" fillId="0" borderId="8" xfId="0" applyNumberFormat="1" applyBorder="1" applyAlignment="1">
      <alignment vertical="top"/>
    </xf>
    <xf numFmtId="0" fontId="0" fillId="0" borderId="1" xfId="0" applyBorder="1" applyAlignment="1">
      <alignment horizontal="center" vertical="top"/>
    </xf>
    <xf numFmtId="0" fontId="0" fillId="0" borderId="1" xfId="0" applyBorder="1" applyAlignment="1">
      <alignment vertical="top"/>
    </xf>
    <xf numFmtId="176" fontId="0" fillId="0" borderId="1" xfId="0" applyNumberFormat="1" applyBorder="1" applyAlignment="1">
      <alignment vertical="top"/>
    </xf>
    <xf numFmtId="176" fontId="0" fillId="0" borderId="15" xfId="0" applyNumberFormat="1" applyBorder="1" applyAlignment="1">
      <alignment vertical="top" wrapText="1"/>
    </xf>
    <xf numFmtId="0" fontId="0" fillId="0" borderId="32" xfId="0" applyBorder="1" applyAlignment="1">
      <alignment vertical="top"/>
    </xf>
    <xf numFmtId="0" fontId="0" fillId="0" borderId="15" xfId="0" applyBorder="1" applyAlignment="1">
      <alignment horizontal="center" vertical="top"/>
    </xf>
    <xf numFmtId="176" fontId="0" fillId="0" borderId="5" xfId="0" applyNumberFormat="1" applyBorder="1" applyAlignment="1">
      <alignment vertical="top" wrapText="1"/>
    </xf>
    <xf numFmtId="0" fontId="0" fillId="0" borderId="33" xfId="0" applyBorder="1" applyAlignment="1">
      <alignment vertical="top"/>
    </xf>
    <xf numFmtId="176" fontId="0" fillId="0" borderId="15" xfId="0" applyNumberFormat="1" applyBorder="1" applyAlignment="1">
      <alignment vertical="top"/>
    </xf>
    <xf numFmtId="0" fontId="0" fillId="0" borderId="15" xfId="0" applyBorder="1" applyAlignment="1">
      <alignment vertical="top"/>
    </xf>
    <xf numFmtId="0" fontId="0" fillId="0" borderId="11" xfId="0" applyBorder="1" applyAlignment="1">
      <alignment horizontal="center" vertical="top"/>
    </xf>
    <xf numFmtId="0" fontId="0" fillId="0" borderId="11" xfId="0" applyBorder="1" applyAlignment="1">
      <alignment vertical="top"/>
    </xf>
    <xf numFmtId="176" fontId="0" fillId="0" borderId="11" xfId="0" applyNumberFormat="1" applyBorder="1" applyAlignment="1">
      <alignment vertical="top"/>
    </xf>
    <xf numFmtId="0" fontId="3" fillId="0" borderId="11" xfId="0" applyNumberFormat="1" applyFont="1" applyBorder="1" applyAlignment="1">
      <alignment vertical="top"/>
    </xf>
    <xf numFmtId="176" fontId="0" fillId="0" borderId="1" xfId="0" applyNumberFormat="1" applyBorder="1" applyAlignment="1">
      <alignment vertical="top" wrapText="1"/>
    </xf>
    <xf numFmtId="0" fontId="3" fillId="0" borderId="11" xfId="0" applyFont="1" applyBorder="1" applyAlignment="1">
      <alignment vertical="top"/>
    </xf>
    <xf numFmtId="0" fontId="0" fillId="0" borderId="16" xfId="0" applyBorder="1" applyAlignment="1">
      <alignment horizontal="center" vertical="top"/>
    </xf>
    <xf numFmtId="0" fontId="0" fillId="0" borderId="16" xfId="0" applyBorder="1" applyAlignment="1">
      <alignment vertical="top"/>
    </xf>
    <xf numFmtId="176" fontId="0" fillId="0" borderId="16" xfId="0" applyNumberFormat="1" applyBorder="1" applyAlignment="1">
      <alignment vertical="top"/>
    </xf>
    <xf numFmtId="0" fontId="0" fillId="0" borderId="1" xfId="0" applyFill="1" applyBorder="1" applyAlignment="1">
      <alignment horizontal="left" vertical="top" wrapText="1"/>
    </xf>
    <xf numFmtId="0" fontId="0" fillId="0" borderId="1" xfId="0" applyBorder="1" applyAlignment="1">
      <alignment horizontal="left" vertical="top" wrapText="1"/>
    </xf>
    <xf numFmtId="0" fontId="0" fillId="0" borderId="1" xfId="0" applyFill="1" applyBorder="1" applyAlignment="1">
      <alignment horizontal="center" vertical="top"/>
    </xf>
    <xf numFmtId="0" fontId="0" fillId="0" borderId="1" xfId="0" applyFill="1" applyBorder="1" applyAlignment="1">
      <alignment vertical="top"/>
    </xf>
    <xf numFmtId="176" fontId="0" fillId="0" borderId="1" xfId="0" applyNumberFormat="1" applyFill="1" applyBorder="1" applyAlignment="1">
      <alignment vertical="top"/>
    </xf>
    <xf numFmtId="0" fontId="0" fillId="2" borderId="1" xfId="0" applyFill="1" applyBorder="1" applyAlignment="1">
      <alignment horizontal="center" vertical="top"/>
    </xf>
    <xf numFmtId="0" fontId="0" fillId="2" borderId="1" xfId="0" applyFill="1" applyBorder="1" applyAlignment="1">
      <alignment vertical="top"/>
    </xf>
    <xf numFmtId="176" fontId="0" fillId="2" borderId="1" xfId="0" applyNumberFormat="1" applyFill="1" applyBorder="1" applyAlignment="1">
      <alignment vertical="top"/>
    </xf>
    <xf numFmtId="0" fontId="0" fillId="2" borderId="15" xfId="0" applyFill="1" applyBorder="1" applyAlignment="1">
      <alignment horizontal="center" vertical="top"/>
    </xf>
    <xf numFmtId="0" fontId="0" fillId="2" borderId="15" xfId="0" applyFill="1" applyBorder="1" applyAlignment="1">
      <alignment vertical="top"/>
    </xf>
    <xf numFmtId="176" fontId="0" fillId="2" borderId="15" xfId="0" applyNumberFormat="1" applyFill="1" applyBorder="1" applyAlignment="1">
      <alignment vertical="top"/>
    </xf>
    <xf numFmtId="0" fontId="0" fillId="0" borderId="0" xfId="0" applyBorder="1" applyAlignment="1">
      <alignment horizontal="center" vertical="center"/>
    </xf>
    <xf numFmtId="0" fontId="0" fillId="0" borderId="1" xfId="0" applyBorder="1">
      <alignment vertical="center"/>
    </xf>
    <xf numFmtId="181" fontId="0" fillId="0" borderId="1" xfId="4" applyNumberFormat="1" applyFont="1" applyBorder="1">
      <alignment vertical="center"/>
    </xf>
    <xf numFmtId="183" fontId="0" fillId="0" borderId="0" xfId="0" applyNumberFormat="1" applyBorder="1" applyAlignment="1">
      <alignment horizontal="left" vertical="center"/>
    </xf>
    <xf numFmtId="181" fontId="0" fillId="0" borderId="11" xfId="4" applyNumberFormat="1" applyFont="1" applyBorder="1" applyAlignment="1">
      <alignment horizontal="center" vertical="center"/>
    </xf>
    <xf numFmtId="181" fontId="0" fillId="0" borderId="11" xfId="4" applyNumberFormat="1" applyFont="1" applyBorder="1">
      <alignment vertical="center"/>
    </xf>
    <xf numFmtId="0" fontId="0" fillId="0" borderId="12" xfId="0" applyBorder="1">
      <alignment vertical="center"/>
    </xf>
    <xf numFmtId="181" fontId="0" fillId="0" borderId="35" xfId="4" applyNumberFormat="1" applyFont="1" applyBorder="1">
      <alignment vertical="center"/>
    </xf>
    <xf numFmtId="0" fontId="0" fillId="0" borderId="8" xfId="0" applyBorder="1">
      <alignment vertical="center"/>
    </xf>
    <xf numFmtId="181" fontId="0" fillId="0" borderId="8" xfId="4" applyNumberFormat="1" applyFont="1" applyBorder="1">
      <alignment vertical="center"/>
    </xf>
    <xf numFmtId="0" fontId="0" fillId="0" borderId="15" xfId="0" applyBorder="1">
      <alignment vertical="center"/>
    </xf>
    <xf numFmtId="181" fontId="0" fillId="0" borderId="15" xfId="4" applyNumberFormat="1" applyFont="1" applyBorder="1">
      <alignment vertical="center"/>
    </xf>
    <xf numFmtId="0" fontId="0" fillId="0" borderId="20" xfId="0" applyBorder="1">
      <alignment vertical="center"/>
    </xf>
    <xf numFmtId="0" fontId="12" fillId="0" borderId="10" xfId="0" applyFont="1" applyBorder="1">
      <alignment vertical="center"/>
    </xf>
    <xf numFmtId="0" fontId="0" fillId="0" borderId="37" xfId="0" applyBorder="1">
      <alignment vertical="center"/>
    </xf>
    <xf numFmtId="0" fontId="0" fillId="0" borderId="38" xfId="0" applyBorder="1">
      <alignment vertical="center"/>
    </xf>
    <xf numFmtId="0" fontId="0" fillId="0" borderId="41" xfId="0" applyBorder="1">
      <alignment vertical="center"/>
    </xf>
    <xf numFmtId="181" fontId="0" fillId="0" borderId="40" xfId="4" applyNumberFormat="1" applyFont="1" applyBorder="1">
      <alignment vertical="center"/>
    </xf>
    <xf numFmtId="181" fontId="0" fillId="0" borderId="42" xfId="4" applyNumberFormat="1" applyFont="1" applyBorder="1">
      <alignment vertical="center"/>
    </xf>
    <xf numFmtId="0" fontId="0" fillId="0" borderId="39" xfId="0" applyBorder="1">
      <alignment vertical="center"/>
    </xf>
    <xf numFmtId="0" fontId="0" fillId="0" borderId="43" xfId="0" applyBorder="1">
      <alignment vertical="center"/>
    </xf>
    <xf numFmtId="0" fontId="0" fillId="0" borderId="44" xfId="0" applyBorder="1">
      <alignment vertical="center"/>
    </xf>
    <xf numFmtId="181" fontId="0" fillId="0" borderId="5" xfId="4" applyNumberFormat="1" applyFont="1" applyBorder="1">
      <alignment vertical="center"/>
    </xf>
    <xf numFmtId="0" fontId="0" fillId="0" borderId="31" xfId="0" applyBorder="1">
      <alignment vertical="center"/>
    </xf>
    <xf numFmtId="0" fontId="0" fillId="0" borderId="0" xfId="0" applyAlignment="1">
      <alignment vertical="top"/>
    </xf>
    <xf numFmtId="176" fontId="9" fillId="2" borderId="24" xfId="0" applyNumberFormat="1" applyFont="1" applyFill="1" applyBorder="1" applyAlignment="1">
      <alignment wrapText="1"/>
    </xf>
    <xf numFmtId="0" fontId="0" fillId="2" borderId="1" xfId="0" applyFill="1" applyBorder="1" applyAlignment="1">
      <alignment horizontal="left" vertical="top"/>
    </xf>
    <xf numFmtId="0" fontId="0" fillId="2" borderId="32" xfId="0" applyFill="1" applyBorder="1" applyAlignment="1">
      <alignment vertical="top"/>
    </xf>
    <xf numFmtId="176" fontId="0" fillId="2" borderId="24" xfId="0" applyNumberFormat="1" applyFill="1" applyBorder="1" applyAlignment="1">
      <alignment wrapText="1"/>
    </xf>
    <xf numFmtId="0" fontId="0" fillId="0" borderId="1" xfId="0" applyBorder="1" applyAlignment="1">
      <alignment horizontal="left" vertical="center"/>
    </xf>
    <xf numFmtId="0" fontId="0" fillId="0" borderId="0" xfId="0" applyFill="1" applyBorder="1" applyAlignment="1"/>
    <xf numFmtId="182" fontId="0" fillId="0" borderId="1" xfId="0" applyNumberFormat="1" applyBorder="1">
      <alignment vertical="center"/>
    </xf>
    <xf numFmtId="181" fontId="0" fillId="0" borderId="1" xfId="4" applyNumberFormat="1" applyFont="1" applyBorder="1" applyAlignment="1">
      <alignment horizontal="left" vertical="center"/>
    </xf>
    <xf numFmtId="181" fontId="0" fillId="0" borderId="1" xfId="4" applyNumberFormat="1" applyFont="1" applyBorder="1" applyAlignment="1">
      <alignment horizontal="center" vertical="center"/>
    </xf>
    <xf numFmtId="0" fontId="0" fillId="0" borderId="45" xfId="0" applyBorder="1">
      <alignment vertical="center"/>
    </xf>
    <xf numFmtId="181" fontId="0" fillId="0" borderId="45" xfId="4" applyNumberFormat="1" applyFont="1" applyBorder="1">
      <alignment vertical="center"/>
    </xf>
    <xf numFmtId="182" fontId="0" fillId="0" borderId="45" xfId="0" applyNumberFormat="1" applyBorder="1">
      <alignment vertical="center"/>
    </xf>
    <xf numFmtId="0" fontId="0" fillId="0" borderId="46" xfId="0" applyFill="1" applyBorder="1">
      <alignment vertical="center"/>
    </xf>
    <xf numFmtId="181" fontId="0" fillId="0" borderId="46" xfId="4" applyNumberFormat="1" applyFont="1" applyBorder="1">
      <alignment vertical="center"/>
    </xf>
    <xf numFmtId="10" fontId="0" fillId="0" borderId="46" xfId="6" applyNumberFormat="1" applyFont="1" applyBorder="1">
      <alignment vertical="center"/>
    </xf>
    <xf numFmtId="0" fontId="0" fillId="0" borderId="46" xfId="0" applyBorder="1">
      <alignment vertical="center"/>
    </xf>
    <xf numFmtId="0" fontId="0" fillId="0" borderId="47" xfId="0" applyFill="1" applyBorder="1">
      <alignment vertical="center"/>
    </xf>
    <xf numFmtId="181" fontId="0" fillId="0" borderId="47" xfId="4" applyNumberFormat="1" applyFont="1" applyBorder="1">
      <alignment vertical="center"/>
    </xf>
    <xf numFmtId="10" fontId="0" fillId="0" borderId="47" xfId="6" applyNumberFormat="1" applyFont="1" applyBorder="1">
      <alignment vertical="center"/>
    </xf>
    <xf numFmtId="0" fontId="0" fillId="0" borderId="47" xfId="0" applyBorder="1">
      <alignment vertical="center"/>
    </xf>
    <xf numFmtId="182" fontId="0" fillId="0" borderId="5" xfId="0" applyNumberFormat="1" applyBorder="1">
      <alignment vertical="center"/>
    </xf>
    <xf numFmtId="182" fontId="0" fillId="0" borderId="8" xfId="0" applyNumberFormat="1" applyBorder="1">
      <alignment vertical="center"/>
    </xf>
    <xf numFmtId="0" fontId="9" fillId="0" borderId="0" xfId="0" applyFont="1">
      <alignment vertical="center"/>
    </xf>
    <xf numFmtId="0" fontId="13" fillId="0" borderId="0" xfId="0" applyFont="1">
      <alignment vertical="center"/>
    </xf>
    <xf numFmtId="0" fontId="13" fillId="0" borderId="48" xfId="0" applyFont="1" applyBorder="1" applyAlignment="1">
      <alignment horizontal="center" vertical="top" wrapText="1"/>
    </xf>
    <xf numFmtId="0" fontId="13" fillId="0" borderId="48" xfId="0" applyFont="1" applyBorder="1" applyAlignment="1">
      <alignment vertical="top" wrapText="1"/>
    </xf>
    <xf numFmtId="0" fontId="14" fillId="0" borderId="0" xfId="0" applyFont="1">
      <alignment vertical="center"/>
    </xf>
    <xf numFmtId="0" fontId="14" fillId="0" borderId="0" xfId="0" applyFont="1" applyFill="1">
      <alignment vertical="center"/>
    </xf>
    <xf numFmtId="0" fontId="14" fillId="0" borderId="1" xfId="0" applyFont="1" applyBorder="1">
      <alignment vertical="center"/>
    </xf>
    <xf numFmtId="0" fontId="14" fillId="0" borderId="1" xfId="0" applyFont="1" applyFill="1" applyBorder="1">
      <alignment vertical="center"/>
    </xf>
    <xf numFmtId="0" fontId="6" fillId="0" borderId="27" xfId="1" applyFont="1" applyBorder="1" applyAlignment="1">
      <alignment horizontal="left" vertical="center"/>
    </xf>
    <xf numFmtId="0" fontId="6" fillId="0" borderId="16" xfId="1" applyFont="1" applyBorder="1" applyAlignment="1">
      <alignment horizontal="left" vertical="center"/>
    </xf>
    <xf numFmtId="0" fontId="6" fillId="0" borderId="28" xfId="1" applyFont="1" applyBorder="1" applyAlignment="1">
      <alignment horizontal="left" vertical="center"/>
    </xf>
    <xf numFmtId="0" fontId="4" fillId="0" borderId="1" xfId="1" applyFont="1" applyBorder="1" applyAlignment="1">
      <alignment horizontal="center" vertical="center" wrapText="1"/>
    </xf>
    <xf numFmtId="0" fontId="4" fillId="0" borderId="1" xfId="1" applyFont="1" applyBorder="1" applyAlignment="1">
      <alignment vertical="center"/>
    </xf>
    <xf numFmtId="0" fontId="4" fillId="0" borderId="1" xfId="1" applyFont="1" applyBorder="1" applyAlignment="1">
      <alignment horizontal="center" vertical="center"/>
    </xf>
    <xf numFmtId="177" fontId="4" fillId="0" borderId="1" xfId="1" applyNumberFormat="1" applyFont="1" applyBorder="1" applyAlignment="1">
      <alignment horizontal="center" vertical="center" wrapText="1"/>
    </xf>
    <xf numFmtId="177" fontId="4" fillId="0" borderId="1" xfId="1" applyNumberFormat="1" applyFont="1" applyBorder="1" applyAlignment="1">
      <alignment horizontal="center" vertical="center"/>
    </xf>
    <xf numFmtId="49" fontId="4" fillId="0" borderId="15" xfId="1" applyNumberFormat="1" applyFont="1" applyBorder="1" applyAlignment="1">
      <alignment horizontal="center" vertical="center" wrapText="1"/>
    </xf>
    <xf numFmtId="49" fontId="4" fillId="0" borderId="16" xfId="1" applyNumberFormat="1" applyFont="1" applyBorder="1" applyAlignment="1">
      <alignment horizontal="center" vertical="center" wrapText="1"/>
    </xf>
    <xf numFmtId="49" fontId="4" fillId="0" borderId="8" xfId="1" applyNumberFormat="1" applyFont="1" applyBorder="1" applyAlignment="1">
      <alignment horizontal="center" vertical="center" wrapText="1"/>
    </xf>
    <xf numFmtId="0" fontId="7" fillId="0" borderId="15" xfId="2" applyFont="1" applyBorder="1" applyAlignment="1">
      <alignment horizontal="center" vertical="center"/>
    </xf>
    <xf numFmtId="0" fontId="7" fillId="0" borderId="16" xfId="2" applyFont="1" applyBorder="1" applyAlignment="1">
      <alignment horizontal="center" vertical="center"/>
    </xf>
    <xf numFmtId="0" fontId="7" fillId="0" borderId="8" xfId="2" applyFont="1" applyBorder="1" applyAlignment="1">
      <alignment horizontal="center" vertical="center"/>
    </xf>
    <xf numFmtId="179" fontId="4" fillId="0" borderId="15" xfId="1" applyNumberFormat="1" applyFont="1" applyBorder="1" applyAlignment="1">
      <alignment horizontal="right" vertical="center" wrapText="1"/>
    </xf>
    <xf numFmtId="179" fontId="4" fillId="0" borderId="16" xfId="1" applyNumberFormat="1" applyFont="1" applyBorder="1" applyAlignment="1">
      <alignment horizontal="right" vertical="center" wrapText="1"/>
    </xf>
    <xf numFmtId="179" fontId="4" fillId="0" borderId="8" xfId="1" applyNumberFormat="1" applyFont="1" applyBorder="1" applyAlignment="1">
      <alignment horizontal="right" vertical="center" wrapText="1"/>
    </xf>
    <xf numFmtId="177" fontId="4" fillId="0" borderId="15" xfId="3" applyNumberFormat="1" applyFont="1" applyBorder="1" applyAlignment="1">
      <alignment horizontal="center" vertical="center"/>
    </xf>
    <xf numFmtId="177" fontId="4" fillId="0" borderId="16" xfId="3" applyNumberFormat="1" applyFont="1" applyBorder="1" applyAlignment="1">
      <alignment horizontal="center" vertical="center"/>
    </xf>
    <xf numFmtId="177" fontId="4" fillId="0" borderId="8" xfId="3" applyNumberFormat="1" applyFont="1" applyBorder="1" applyAlignment="1">
      <alignment horizontal="center" vertical="center"/>
    </xf>
    <xf numFmtId="49" fontId="4" fillId="0" borderId="15" xfId="1" applyNumberFormat="1" applyFont="1" applyBorder="1" applyAlignment="1">
      <alignment horizontal="right" vertical="center" wrapText="1"/>
    </xf>
    <xf numFmtId="49" fontId="4" fillId="0" borderId="16" xfId="1" applyNumberFormat="1" applyFont="1" applyBorder="1" applyAlignment="1">
      <alignment horizontal="right" vertical="center" wrapText="1"/>
    </xf>
    <xf numFmtId="49" fontId="4" fillId="0" borderId="8" xfId="1" applyNumberFormat="1" applyFont="1" applyBorder="1" applyAlignment="1">
      <alignment horizontal="right" vertical="center" wrapText="1"/>
    </xf>
    <xf numFmtId="6" fontId="4" fillId="0" borderId="15" xfId="1" applyNumberFormat="1" applyFont="1" applyBorder="1" applyAlignment="1">
      <alignment horizontal="center" vertical="center" wrapText="1"/>
    </xf>
    <xf numFmtId="42" fontId="4" fillId="0" borderId="16" xfId="1" applyNumberFormat="1" applyFont="1" applyBorder="1" applyAlignment="1">
      <alignment horizontal="center" vertical="center" wrapText="1"/>
    </xf>
    <xf numFmtId="42" fontId="4" fillId="0" borderId="8" xfId="1" applyNumberFormat="1" applyFont="1" applyBorder="1" applyAlignment="1">
      <alignment horizontal="center" vertical="center" wrapText="1"/>
    </xf>
    <xf numFmtId="178" fontId="7" fillId="0" borderId="15" xfId="2" applyNumberFormat="1" applyFont="1" applyBorder="1" applyAlignment="1">
      <alignment horizontal="right" vertical="center"/>
    </xf>
    <xf numFmtId="178" fontId="7" fillId="0" borderId="8" xfId="2" applyNumberFormat="1" applyFont="1" applyBorder="1" applyAlignment="1">
      <alignment horizontal="right" vertical="center"/>
    </xf>
    <xf numFmtId="177" fontId="4" fillId="3" borderId="15" xfId="3" applyNumberFormat="1" applyFont="1" applyFill="1" applyBorder="1" applyAlignment="1">
      <alignment horizontal="center" vertical="center"/>
    </xf>
    <xf numFmtId="177" fontId="4" fillId="3" borderId="8" xfId="3" applyNumberFormat="1" applyFont="1" applyFill="1" applyBorder="1" applyAlignment="1">
      <alignment horizontal="center" vertical="center"/>
    </xf>
    <xf numFmtId="49" fontId="4" fillId="3" borderId="15" xfId="1" applyNumberFormat="1" applyFont="1" applyFill="1" applyBorder="1" applyAlignment="1">
      <alignment horizontal="center" vertical="center" wrapText="1"/>
    </xf>
    <xf numFmtId="49" fontId="4" fillId="3" borderId="8" xfId="1" applyNumberFormat="1" applyFont="1" applyFill="1" applyBorder="1" applyAlignment="1">
      <alignment horizontal="center" vertical="center" wrapText="1"/>
    </xf>
    <xf numFmtId="0" fontId="7" fillId="3" borderId="15" xfId="2" applyFont="1" applyFill="1" applyBorder="1" applyAlignment="1">
      <alignment horizontal="center" vertical="center"/>
    </xf>
    <xf numFmtId="0" fontId="7" fillId="3" borderId="8" xfId="2" applyFont="1" applyFill="1" applyBorder="1" applyAlignment="1">
      <alignment horizontal="center" vertical="center"/>
    </xf>
    <xf numFmtId="180" fontId="7" fillId="3" borderId="15" xfId="2" applyNumberFormat="1" applyFont="1" applyFill="1" applyBorder="1" applyAlignment="1">
      <alignment horizontal="center" vertical="center"/>
    </xf>
    <xf numFmtId="180" fontId="7" fillId="3" borderId="8" xfId="2" applyNumberFormat="1" applyFont="1" applyFill="1" applyBorder="1" applyAlignment="1">
      <alignment horizontal="center" vertical="center"/>
    </xf>
    <xf numFmtId="179" fontId="4" fillId="3" borderId="15" xfId="1" applyNumberFormat="1" applyFont="1" applyFill="1" applyBorder="1" applyAlignment="1">
      <alignment horizontal="right" vertical="center" wrapText="1"/>
    </xf>
    <xf numFmtId="179" fontId="4" fillId="3" borderId="8" xfId="1" applyNumberFormat="1" applyFont="1" applyFill="1" applyBorder="1" applyAlignment="1">
      <alignment horizontal="right" vertical="center" wrapText="1"/>
    </xf>
    <xf numFmtId="0" fontId="0" fillId="0" borderId="0" xfId="0" applyAlignment="1">
      <alignment horizontal="left" vertical="center" wrapText="1"/>
    </xf>
    <xf numFmtId="0" fontId="0" fillId="0" borderId="17" xfId="0" applyBorder="1" applyAlignment="1">
      <alignment horizontal="center"/>
    </xf>
    <xf numFmtId="0" fontId="0" fillId="0" borderId="13" xfId="0" applyBorder="1" applyAlignment="1">
      <alignment horizontal="center"/>
    </xf>
    <xf numFmtId="0" fontId="0" fillId="0" borderId="18" xfId="0" applyBorder="1" applyAlignment="1">
      <alignment horizontal="center"/>
    </xf>
    <xf numFmtId="0" fontId="0" fillId="0" borderId="0" xfId="0" applyAlignment="1">
      <alignment vertical="center" wrapText="1"/>
    </xf>
    <xf numFmtId="176" fontId="0" fillId="0" borderId="30" xfId="0" applyNumberFormat="1" applyFill="1" applyBorder="1" applyAlignment="1">
      <alignment horizontal="left" vertical="top" wrapText="1"/>
    </xf>
    <xf numFmtId="176" fontId="0" fillId="0" borderId="22" xfId="0" applyNumberFormat="1" applyFill="1" applyBorder="1" applyAlignment="1">
      <alignment horizontal="left" vertical="top" wrapText="1"/>
    </xf>
    <xf numFmtId="176" fontId="0" fillId="0" borderId="31" xfId="0" applyNumberFormat="1" applyFill="1" applyBorder="1" applyAlignment="1">
      <alignment horizontal="left" vertical="top" wrapText="1"/>
    </xf>
    <xf numFmtId="176" fontId="0" fillId="0" borderId="30" xfId="0" applyNumberFormat="1" applyFill="1" applyBorder="1" applyAlignment="1">
      <alignment horizontal="left" wrapText="1"/>
    </xf>
    <xf numFmtId="176" fontId="0" fillId="0" borderId="22" xfId="0" applyNumberFormat="1" applyFill="1" applyBorder="1" applyAlignment="1">
      <alignment horizontal="left" wrapText="1"/>
    </xf>
    <xf numFmtId="176" fontId="0" fillId="0" borderId="31" xfId="0" applyNumberFormat="1" applyFill="1" applyBorder="1" applyAlignment="1">
      <alignment horizontal="left" wrapText="1"/>
    </xf>
    <xf numFmtId="0" fontId="0" fillId="0" borderId="0" xfId="0" applyBorder="1" applyAlignment="1">
      <alignment horizontal="left" vertical="center" wrapText="1"/>
    </xf>
    <xf numFmtId="0" fontId="0" fillId="0" borderId="34" xfId="0" applyBorder="1" applyAlignment="1">
      <alignment horizontal="center" vertical="center"/>
    </xf>
    <xf numFmtId="0" fontId="0" fillId="0" borderId="13" xfId="0" applyBorder="1" applyAlignment="1">
      <alignment horizontal="center" vertical="center"/>
    </xf>
    <xf numFmtId="0" fontId="0" fillId="0" borderId="18" xfId="0" applyBorder="1" applyAlignment="1">
      <alignment horizontal="center" vertical="center"/>
    </xf>
    <xf numFmtId="0" fontId="3" fillId="0" borderId="17" xfId="0" applyFont="1" applyBorder="1" applyAlignment="1">
      <alignment horizontal="center"/>
    </xf>
    <xf numFmtId="0" fontId="3" fillId="0" borderId="18" xfId="0" applyFont="1" applyBorder="1" applyAlignment="1">
      <alignment horizontal="center"/>
    </xf>
    <xf numFmtId="0" fontId="0" fillId="0" borderId="17" xfId="0" applyBorder="1" applyAlignment="1">
      <alignment horizontal="center" vertical="center" wrapText="1"/>
    </xf>
    <xf numFmtId="0" fontId="0" fillId="0" borderId="13" xfId="0" applyBorder="1" applyAlignment="1">
      <alignment horizontal="center" vertical="center" wrapText="1"/>
    </xf>
    <xf numFmtId="0" fontId="0" fillId="0" borderId="18" xfId="0" applyBorder="1" applyAlignment="1">
      <alignment horizontal="center" vertical="center" wrapText="1"/>
    </xf>
    <xf numFmtId="0" fontId="0" fillId="0" borderId="40" xfId="0" applyBorder="1" applyAlignment="1">
      <alignment horizontal="center" vertical="center"/>
    </xf>
    <xf numFmtId="0" fontId="0" fillId="0" borderId="1" xfId="0" applyBorder="1" applyAlignment="1">
      <alignment horizontal="center" vertical="center"/>
    </xf>
    <xf numFmtId="0" fontId="0" fillId="0" borderId="8" xfId="0" applyBorder="1" applyAlignment="1">
      <alignment horizontal="left" vertical="center"/>
    </xf>
    <xf numFmtId="0" fontId="12" fillId="0" borderId="11" xfId="0" applyFont="1" applyBorder="1" applyAlignment="1">
      <alignment horizontal="center" vertical="center" wrapText="1"/>
    </xf>
    <xf numFmtId="0" fontId="11" fillId="0" borderId="37" xfId="0" applyFont="1" applyBorder="1" applyAlignment="1">
      <alignment horizontal="center" vertical="center"/>
    </xf>
    <xf numFmtId="0" fontId="11" fillId="0" borderId="36" xfId="0" applyFont="1" applyBorder="1" applyAlignment="1">
      <alignment horizontal="center" vertical="center"/>
    </xf>
    <xf numFmtId="0" fontId="11" fillId="0" borderId="38" xfId="0" applyFont="1" applyBorder="1" applyAlignment="1">
      <alignment horizontal="center" vertical="center"/>
    </xf>
    <xf numFmtId="0" fontId="0" fillId="0" borderId="36" xfId="0" applyBorder="1" applyAlignment="1">
      <alignment horizontal="left" vertical="center" wrapText="1"/>
    </xf>
    <xf numFmtId="0" fontId="0" fillId="0" borderId="5" xfId="0" applyBorder="1" applyAlignment="1">
      <alignment horizontal="left" vertical="center"/>
    </xf>
    <xf numFmtId="0" fontId="0" fillId="0" borderId="1" xfId="0" applyBorder="1" applyAlignment="1">
      <alignment horizontal="left" vertical="center" wrapText="1"/>
    </xf>
    <xf numFmtId="0" fontId="0" fillId="0" borderId="3"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4" borderId="3" xfId="0" applyFill="1" applyBorder="1" applyAlignment="1">
      <alignment horizontal="left" vertical="center" wrapText="1"/>
    </xf>
    <xf numFmtId="0" fontId="0" fillId="0" borderId="49" xfId="0" applyBorder="1" applyAlignment="1">
      <alignment horizontal="left" vertical="center" wrapText="1"/>
    </xf>
    <xf numFmtId="0" fontId="0" fillId="0" borderId="0" xfId="0" applyAlignment="1">
      <alignment horizontal="left" vertical="top" wrapText="1"/>
    </xf>
  </cellXfs>
  <cellStyles count="7">
    <cellStyle name="一般" xfId="0" builtinId="0"/>
    <cellStyle name="一般 2" xfId="1"/>
    <cellStyle name="一般 2 2" xfId="2"/>
    <cellStyle name="一般 3" xfId="5"/>
    <cellStyle name="千分位" xfId="4" builtinId="3"/>
    <cellStyle name="百分比" xfId="6" builtinId="5"/>
    <cellStyle name="貨幣 2"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sheetPr>
    <pageSetUpPr fitToPage="1"/>
  </sheetPr>
  <dimension ref="A1:L275"/>
  <sheetViews>
    <sheetView zoomScale="80" zoomScaleNormal="80" workbookViewId="0">
      <pane ySplit="3" topLeftCell="A263" activePane="bottomLeft" state="frozen"/>
      <selection pane="bottomLeft" activeCell="B275" sqref="B275"/>
    </sheetView>
  </sheetViews>
  <sheetFormatPr defaultRowHeight="34.5" customHeight="1"/>
  <cols>
    <col min="1" max="2" width="11.109375" style="66" customWidth="1"/>
    <col min="3" max="3" width="11.44140625" style="82" customWidth="1"/>
    <col min="4" max="4" width="14.109375" style="66" customWidth="1"/>
    <col min="5" max="5" width="6.77734375" style="66" customWidth="1"/>
    <col min="6" max="6" width="12.88671875" style="66" customWidth="1"/>
    <col min="7" max="7" width="7" style="66" customWidth="1"/>
    <col min="8" max="8" width="15.77734375" style="83" customWidth="1"/>
    <col min="9" max="9" width="17.5546875" style="84" customWidth="1"/>
    <col min="10" max="10" width="15.88671875" style="66" customWidth="1"/>
    <col min="11" max="11" width="16.5546875" style="66" bestFit="1" customWidth="1"/>
    <col min="12" max="12" width="19" style="66" bestFit="1" customWidth="1"/>
    <col min="13" max="256" width="8.88671875" style="66"/>
    <col min="257" max="258" width="11.109375" style="66" customWidth="1"/>
    <col min="259" max="259" width="11.44140625" style="66" customWidth="1"/>
    <col min="260" max="260" width="15.33203125" style="66" customWidth="1"/>
    <col min="261" max="261" width="9.44140625" style="66" bestFit="1" customWidth="1"/>
    <col min="262" max="262" width="13" style="66" customWidth="1"/>
    <col min="263" max="263" width="9.44140625" style="66" bestFit="1" customWidth="1"/>
    <col min="264" max="264" width="15.77734375" style="66" customWidth="1"/>
    <col min="265" max="265" width="7.88671875" style="66" customWidth="1"/>
    <col min="266" max="266" width="15.88671875" style="66" customWidth="1"/>
    <col min="267" max="267" width="16.5546875" style="66" bestFit="1" customWidth="1"/>
    <col min="268" max="268" width="15.109375" style="66" customWidth="1"/>
    <col min="269" max="512" width="8.88671875" style="66"/>
    <col min="513" max="514" width="11.109375" style="66" customWidth="1"/>
    <col min="515" max="515" width="11.44140625" style="66" customWidth="1"/>
    <col min="516" max="516" width="15.33203125" style="66" customWidth="1"/>
    <col min="517" max="517" width="9.44140625" style="66" bestFit="1" customWidth="1"/>
    <col min="518" max="518" width="13" style="66" customWidth="1"/>
    <col min="519" max="519" width="9.44140625" style="66" bestFit="1" customWidth="1"/>
    <col min="520" max="520" width="15.77734375" style="66" customWidth="1"/>
    <col min="521" max="521" width="7.88671875" style="66" customWidth="1"/>
    <col min="522" max="522" width="15.88671875" style="66" customWidth="1"/>
    <col min="523" max="523" width="16.5546875" style="66" bestFit="1" customWidth="1"/>
    <col min="524" max="524" width="15.109375" style="66" customWidth="1"/>
    <col min="525" max="768" width="8.88671875" style="66"/>
    <col min="769" max="770" width="11.109375" style="66" customWidth="1"/>
    <col min="771" max="771" width="11.44140625" style="66" customWidth="1"/>
    <col min="772" max="772" width="15.33203125" style="66" customWidth="1"/>
    <col min="773" max="773" width="9.44140625" style="66" bestFit="1" customWidth="1"/>
    <col min="774" max="774" width="13" style="66" customWidth="1"/>
    <col min="775" max="775" width="9.44140625" style="66" bestFit="1" customWidth="1"/>
    <col min="776" max="776" width="15.77734375" style="66" customWidth="1"/>
    <col min="777" max="777" width="7.88671875" style="66" customWidth="1"/>
    <col min="778" max="778" width="15.88671875" style="66" customWidth="1"/>
    <col min="779" max="779" width="16.5546875" style="66" bestFit="1" customWidth="1"/>
    <col min="780" max="780" width="15.109375" style="66" customWidth="1"/>
    <col min="781" max="1024" width="8.88671875" style="66"/>
    <col min="1025" max="1026" width="11.109375" style="66" customWidth="1"/>
    <col min="1027" max="1027" width="11.44140625" style="66" customWidth="1"/>
    <col min="1028" max="1028" width="15.33203125" style="66" customWidth="1"/>
    <col min="1029" max="1029" width="9.44140625" style="66" bestFit="1" customWidth="1"/>
    <col min="1030" max="1030" width="13" style="66" customWidth="1"/>
    <col min="1031" max="1031" width="9.44140625" style="66" bestFit="1" customWidth="1"/>
    <col min="1032" max="1032" width="15.77734375" style="66" customWidth="1"/>
    <col min="1033" max="1033" width="7.88671875" style="66" customWidth="1"/>
    <col min="1034" max="1034" width="15.88671875" style="66" customWidth="1"/>
    <col min="1035" max="1035" width="16.5546875" style="66" bestFit="1" customWidth="1"/>
    <col min="1036" max="1036" width="15.109375" style="66" customWidth="1"/>
    <col min="1037" max="1280" width="8.88671875" style="66"/>
    <col min="1281" max="1282" width="11.109375" style="66" customWidth="1"/>
    <col min="1283" max="1283" width="11.44140625" style="66" customWidth="1"/>
    <col min="1284" max="1284" width="15.33203125" style="66" customWidth="1"/>
    <col min="1285" max="1285" width="9.44140625" style="66" bestFit="1" customWidth="1"/>
    <col min="1286" max="1286" width="13" style="66" customWidth="1"/>
    <col min="1287" max="1287" width="9.44140625" style="66" bestFit="1" customWidth="1"/>
    <col min="1288" max="1288" width="15.77734375" style="66" customWidth="1"/>
    <col min="1289" max="1289" width="7.88671875" style="66" customWidth="1"/>
    <col min="1290" max="1290" width="15.88671875" style="66" customWidth="1"/>
    <col min="1291" max="1291" width="16.5546875" style="66" bestFit="1" customWidth="1"/>
    <col min="1292" max="1292" width="15.109375" style="66" customWidth="1"/>
    <col min="1293" max="1536" width="8.88671875" style="66"/>
    <col min="1537" max="1538" width="11.109375" style="66" customWidth="1"/>
    <col min="1539" max="1539" width="11.44140625" style="66" customWidth="1"/>
    <col min="1540" max="1540" width="15.33203125" style="66" customWidth="1"/>
    <col min="1541" max="1541" width="9.44140625" style="66" bestFit="1" customWidth="1"/>
    <col min="1542" max="1542" width="13" style="66" customWidth="1"/>
    <col min="1543" max="1543" width="9.44140625" style="66" bestFit="1" customWidth="1"/>
    <col min="1544" max="1544" width="15.77734375" style="66" customWidth="1"/>
    <col min="1545" max="1545" width="7.88671875" style="66" customWidth="1"/>
    <col min="1546" max="1546" width="15.88671875" style="66" customWidth="1"/>
    <col min="1547" max="1547" width="16.5546875" style="66" bestFit="1" customWidth="1"/>
    <col min="1548" max="1548" width="15.109375" style="66" customWidth="1"/>
    <col min="1549" max="1792" width="8.88671875" style="66"/>
    <col min="1793" max="1794" width="11.109375" style="66" customWidth="1"/>
    <col min="1795" max="1795" width="11.44140625" style="66" customWidth="1"/>
    <col min="1796" max="1796" width="15.33203125" style="66" customWidth="1"/>
    <col min="1797" max="1797" width="9.44140625" style="66" bestFit="1" customWidth="1"/>
    <col min="1798" max="1798" width="13" style="66" customWidth="1"/>
    <col min="1799" max="1799" width="9.44140625" style="66" bestFit="1" customWidth="1"/>
    <col min="1800" max="1800" width="15.77734375" style="66" customWidth="1"/>
    <col min="1801" max="1801" width="7.88671875" style="66" customWidth="1"/>
    <col min="1802" max="1802" width="15.88671875" style="66" customWidth="1"/>
    <col min="1803" max="1803" width="16.5546875" style="66" bestFit="1" customWidth="1"/>
    <col min="1804" max="1804" width="15.109375" style="66" customWidth="1"/>
    <col min="1805" max="2048" width="8.88671875" style="66"/>
    <col min="2049" max="2050" width="11.109375" style="66" customWidth="1"/>
    <col min="2051" max="2051" width="11.44140625" style="66" customWidth="1"/>
    <col min="2052" max="2052" width="15.33203125" style="66" customWidth="1"/>
    <col min="2053" max="2053" width="9.44140625" style="66" bestFit="1" customWidth="1"/>
    <col min="2054" max="2054" width="13" style="66" customWidth="1"/>
    <col min="2055" max="2055" width="9.44140625" style="66" bestFit="1" customWidth="1"/>
    <col min="2056" max="2056" width="15.77734375" style="66" customWidth="1"/>
    <col min="2057" max="2057" width="7.88671875" style="66" customWidth="1"/>
    <col min="2058" max="2058" width="15.88671875" style="66" customWidth="1"/>
    <col min="2059" max="2059" width="16.5546875" style="66" bestFit="1" customWidth="1"/>
    <col min="2060" max="2060" width="15.109375" style="66" customWidth="1"/>
    <col min="2061" max="2304" width="8.88671875" style="66"/>
    <col min="2305" max="2306" width="11.109375" style="66" customWidth="1"/>
    <col min="2307" max="2307" width="11.44140625" style="66" customWidth="1"/>
    <col min="2308" max="2308" width="15.33203125" style="66" customWidth="1"/>
    <col min="2309" max="2309" width="9.44140625" style="66" bestFit="1" customWidth="1"/>
    <col min="2310" max="2310" width="13" style="66" customWidth="1"/>
    <col min="2311" max="2311" width="9.44140625" style="66" bestFit="1" customWidth="1"/>
    <col min="2312" max="2312" width="15.77734375" style="66" customWidth="1"/>
    <col min="2313" max="2313" width="7.88671875" style="66" customWidth="1"/>
    <col min="2314" max="2314" width="15.88671875" style="66" customWidth="1"/>
    <col min="2315" max="2315" width="16.5546875" style="66" bestFit="1" customWidth="1"/>
    <col min="2316" max="2316" width="15.109375" style="66" customWidth="1"/>
    <col min="2317" max="2560" width="8.88671875" style="66"/>
    <col min="2561" max="2562" width="11.109375" style="66" customWidth="1"/>
    <col min="2563" max="2563" width="11.44140625" style="66" customWidth="1"/>
    <col min="2564" max="2564" width="15.33203125" style="66" customWidth="1"/>
    <col min="2565" max="2565" width="9.44140625" style="66" bestFit="1" customWidth="1"/>
    <col min="2566" max="2566" width="13" style="66" customWidth="1"/>
    <col min="2567" max="2567" width="9.44140625" style="66" bestFit="1" customWidth="1"/>
    <col min="2568" max="2568" width="15.77734375" style="66" customWidth="1"/>
    <col min="2569" max="2569" width="7.88671875" style="66" customWidth="1"/>
    <col min="2570" max="2570" width="15.88671875" style="66" customWidth="1"/>
    <col min="2571" max="2571" width="16.5546875" style="66" bestFit="1" customWidth="1"/>
    <col min="2572" max="2572" width="15.109375" style="66" customWidth="1"/>
    <col min="2573" max="2816" width="8.88671875" style="66"/>
    <col min="2817" max="2818" width="11.109375" style="66" customWidth="1"/>
    <col min="2819" max="2819" width="11.44140625" style="66" customWidth="1"/>
    <col min="2820" max="2820" width="15.33203125" style="66" customWidth="1"/>
    <col min="2821" max="2821" width="9.44140625" style="66" bestFit="1" customWidth="1"/>
    <col min="2822" max="2822" width="13" style="66" customWidth="1"/>
    <col min="2823" max="2823" width="9.44140625" style="66" bestFit="1" customWidth="1"/>
    <col min="2824" max="2824" width="15.77734375" style="66" customWidth="1"/>
    <col min="2825" max="2825" width="7.88671875" style="66" customWidth="1"/>
    <col min="2826" max="2826" width="15.88671875" style="66" customWidth="1"/>
    <col min="2827" max="2827" width="16.5546875" style="66" bestFit="1" customWidth="1"/>
    <col min="2828" max="2828" width="15.109375" style="66" customWidth="1"/>
    <col min="2829" max="3072" width="8.88671875" style="66"/>
    <col min="3073" max="3074" width="11.109375" style="66" customWidth="1"/>
    <col min="3075" max="3075" width="11.44140625" style="66" customWidth="1"/>
    <col min="3076" max="3076" width="15.33203125" style="66" customWidth="1"/>
    <col min="3077" max="3077" width="9.44140625" style="66" bestFit="1" customWidth="1"/>
    <col min="3078" max="3078" width="13" style="66" customWidth="1"/>
    <col min="3079" max="3079" width="9.44140625" style="66" bestFit="1" customWidth="1"/>
    <col min="3080" max="3080" width="15.77734375" style="66" customWidth="1"/>
    <col min="3081" max="3081" width="7.88671875" style="66" customWidth="1"/>
    <col min="3082" max="3082" width="15.88671875" style="66" customWidth="1"/>
    <col min="3083" max="3083" width="16.5546875" style="66" bestFit="1" customWidth="1"/>
    <col min="3084" max="3084" width="15.109375" style="66" customWidth="1"/>
    <col min="3085" max="3328" width="8.88671875" style="66"/>
    <col min="3329" max="3330" width="11.109375" style="66" customWidth="1"/>
    <col min="3331" max="3331" width="11.44140625" style="66" customWidth="1"/>
    <col min="3332" max="3332" width="15.33203125" style="66" customWidth="1"/>
    <col min="3333" max="3333" width="9.44140625" style="66" bestFit="1" customWidth="1"/>
    <col min="3334" max="3334" width="13" style="66" customWidth="1"/>
    <col min="3335" max="3335" width="9.44140625" style="66" bestFit="1" customWidth="1"/>
    <col min="3336" max="3336" width="15.77734375" style="66" customWidth="1"/>
    <col min="3337" max="3337" width="7.88671875" style="66" customWidth="1"/>
    <col min="3338" max="3338" width="15.88671875" style="66" customWidth="1"/>
    <col min="3339" max="3339" width="16.5546875" style="66" bestFit="1" customWidth="1"/>
    <col min="3340" max="3340" width="15.109375" style="66" customWidth="1"/>
    <col min="3341" max="3584" width="8.88671875" style="66"/>
    <col min="3585" max="3586" width="11.109375" style="66" customWidth="1"/>
    <col min="3587" max="3587" width="11.44140625" style="66" customWidth="1"/>
    <col min="3588" max="3588" width="15.33203125" style="66" customWidth="1"/>
    <col min="3589" max="3589" width="9.44140625" style="66" bestFit="1" customWidth="1"/>
    <col min="3590" max="3590" width="13" style="66" customWidth="1"/>
    <col min="3591" max="3591" width="9.44140625" style="66" bestFit="1" customWidth="1"/>
    <col min="3592" max="3592" width="15.77734375" style="66" customWidth="1"/>
    <col min="3593" max="3593" width="7.88671875" style="66" customWidth="1"/>
    <col min="3594" max="3594" width="15.88671875" style="66" customWidth="1"/>
    <col min="3595" max="3595" width="16.5546875" style="66" bestFit="1" customWidth="1"/>
    <col min="3596" max="3596" width="15.109375" style="66" customWidth="1"/>
    <col min="3597" max="3840" width="8.88671875" style="66"/>
    <col min="3841" max="3842" width="11.109375" style="66" customWidth="1"/>
    <col min="3843" max="3843" width="11.44140625" style="66" customWidth="1"/>
    <col min="3844" max="3844" width="15.33203125" style="66" customWidth="1"/>
    <col min="3845" max="3845" width="9.44140625" style="66" bestFit="1" customWidth="1"/>
    <col min="3846" max="3846" width="13" style="66" customWidth="1"/>
    <col min="3847" max="3847" width="9.44140625" style="66" bestFit="1" customWidth="1"/>
    <col min="3848" max="3848" width="15.77734375" style="66" customWidth="1"/>
    <col min="3849" max="3849" width="7.88671875" style="66" customWidth="1"/>
    <col min="3850" max="3850" width="15.88671875" style="66" customWidth="1"/>
    <col min="3851" max="3851" width="16.5546875" style="66" bestFit="1" customWidth="1"/>
    <col min="3852" max="3852" width="15.109375" style="66" customWidth="1"/>
    <col min="3853" max="4096" width="8.88671875" style="66"/>
    <col min="4097" max="4098" width="11.109375" style="66" customWidth="1"/>
    <col min="4099" max="4099" width="11.44140625" style="66" customWidth="1"/>
    <col min="4100" max="4100" width="15.33203125" style="66" customWidth="1"/>
    <col min="4101" max="4101" width="9.44140625" style="66" bestFit="1" customWidth="1"/>
    <col min="4102" max="4102" width="13" style="66" customWidth="1"/>
    <col min="4103" max="4103" width="9.44140625" style="66" bestFit="1" customWidth="1"/>
    <col min="4104" max="4104" width="15.77734375" style="66" customWidth="1"/>
    <col min="4105" max="4105" width="7.88671875" style="66" customWidth="1"/>
    <col min="4106" max="4106" width="15.88671875" style="66" customWidth="1"/>
    <col min="4107" max="4107" width="16.5546875" style="66" bestFit="1" customWidth="1"/>
    <col min="4108" max="4108" width="15.109375" style="66" customWidth="1"/>
    <col min="4109" max="4352" width="8.88671875" style="66"/>
    <col min="4353" max="4354" width="11.109375" style="66" customWidth="1"/>
    <col min="4355" max="4355" width="11.44140625" style="66" customWidth="1"/>
    <col min="4356" max="4356" width="15.33203125" style="66" customWidth="1"/>
    <col min="4357" max="4357" width="9.44140625" style="66" bestFit="1" customWidth="1"/>
    <col min="4358" max="4358" width="13" style="66" customWidth="1"/>
    <col min="4359" max="4359" width="9.44140625" style="66" bestFit="1" customWidth="1"/>
    <col min="4360" max="4360" width="15.77734375" style="66" customWidth="1"/>
    <col min="4361" max="4361" width="7.88671875" style="66" customWidth="1"/>
    <col min="4362" max="4362" width="15.88671875" style="66" customWidth="1"/>
    <col min="4363" max="4363" width="16.5546875" style="66" bestFit="1" customWidth="1"/>
    <col min="4364" max="4364" width="15.109375" style="66" customWidth="1"/>
    <col min="4365" max="4608" width="8.88671875" style="66"/>
    <col min="4609" max="4610" width="11.109375" style="66" customWidth="1"/>
    <col min="4611" max="4611" width="11.44140625" style="66" customWidth="1"/>
    <col min="4612" max="4612" width="15.33203125" style="66" customWidth="1"/>
    <col min="4613" max="4613" width="9.44140625" style="66" bestFit="1" customWidth="1"/>
    <col min="4614" max="4614" width="13" style="66" customWidth="1"/>
    <col min="4615" max="4615" width="9.44140625" style="66" bestFit="1" customWidth="1"/>
    <col min="4616" max="4616" width="15.77734375" style="66" customWidth="1"/>
    <col min="4617" max="4617" width="7.88671875" style="66" customWidth="1"/>
    <col min="4618" max="4618" width="15.88671875" style="66" customWidth="1"/>
    <col min="4619" max="4619" width="16.5546875" style="66" bestFit="1" customWidth="1"/>
    <col min="4620" max="4620" width="15.109375" style="66" customWidth="1"/>
    <col min="4621" max="4864" width="8.88671875" style="66"/>
    <col min="4865" max="4866" width="11.109375" style="66" customWidth="1"/>
    <col min="4867" max="4867" width="11.44140625" style="66" customWidth="1"/>
    <col min="4868" max="4868" width="15.33203125" style="66" customWidth="1"/>
    <col min="4869" max="4869" width="9.44140625" style="66" bestFit="1" customWidth="1"/>
    <col min="4870" max="4870" width="13" style="66" customWidth="1"/>
    <col min="4871" max="4871" width="9.44140625" style="66" bestFit="1" customWidth="1"/>
    <col min="4872" max="4872" width="15.77734375" style="66" customWidth="1"/>
    <col min="4873" max="4873" width="7.88671875" style="66" customWidth="1"/>
    <col min="4874" max="4874" width="15.88671875" style="66" customWidth="1"/>
    <col min="4875" max="4875" width="16.5546875" style="66" bestFit="1" customWidth="1"/>
    <col min="4876" max="4876" width="15.109375" style="66" customWidth="1"/>
    <col min="4877" max="5120" width="8.88671875" style="66"/>
    <col min="5121" max="5122" width="11.109375" style="66" customWidth="1"/>
    <col min="5123" max="5123" width="11.44140625" style="66" customWidth="1"/>
    <col min="5124" max="5124" width="15.33203125" style="66" customWidth="1"/>
    <col min="5125" max="5125" width="9.44140625" style="66" bestFit="1" customWidth="1"/>
    <col min="5126" max="5126" width="13" style="66" customWidth="1"/>
    <col min="5127" max="5127" width="9.44140625" style="66" bestFit="1" customWidth="1"/>
    <col min="5128" max="5128" width="15.77734375" style="66" customWidth="1"/>
    <col min="5129" max="5129" width="7.88671875" style="66" customWidth="1"/>
    <col min="5130" max="5130" width="15.88671875" style="66" customWidth="1"/>
    <col min="5131" max="5131" width="16.5546875" style="66" bestFit="1" customWidth="1"/>
    <col min="5132" max="5132" width="15.109375" style="66" customWidth="1"/>
    <col min="5133" max="5376" width="8.88671875" style="66"/>
    <col min="5377" max="5378" width="11.109375" style="66" customWidth="1"/>
    <col min="5379" max="5379" width="11.44140625" style="66" customWidth="1"/>
    <col min="5380" max="5380" width="15.33203125" style="66" customWidth="1"/>
    <col min="5381" max="5381" width="9.44140625" style="66" bestFit="1" customWidth="1"/>
    <col min="5382" max="5382" width="13" style="66" customWidth="1"/>
    <col min="5383" max="5383" width="9.44140625" style="66" bestFit="1" customWidth="1"/>
    <col min="5384" max="5384" width="15.77734375" style="66" customWidth="1"/>
    <col min="5385" max="5385" width="7.88671875" style="66" customWidth="1"/>
    <col min="5386" max="5386" width="15.88671875" style="66" customWidth="1"/>
    <col min="5387" max="5387" width="16.5546875" style="66" bestFit="1" customWidth="1"/>
    <col min="5388" max="5388" width="15.109375" style="66" customWidth="1"/>
    <col min="5389" max="5632" width="8.88671875" style="66"/>
    <col min="5633" max="5634" width="11.109375" style="66" customWidth="1"/>
    <col min="5635" max="5635" width="11.44140625" style="66" customWidth="1"/>
    <col min="5636" max="5636" width="15.33203125" style="66" customWidth="1"/>
    <col min="5637" max="5637" width="9.44140625" style="66" bestFit="1" customWidth="1"/>
    <col min="5638" max="5638" width="13" style="66" customWidth="1"/>
    <col min="5639" max="5639" width="9.44140625" style="66" bestFit="1" customWidth="1"/>
    <col min="5640" max="5640" width="15.77734375" style="66" customWidth="1"/>
    <col min="5641" max="5641" width="7.88671875" style="66" customWidth="1"/>
    <col min="5642" max="5642" width="15.88671875" style="66" customWidth="1"/>
    <col min="5643" max="5643" width="16.5546875" style="66" bestFit="1" customWidth="1"/>
    <col min="5644" max="5644" width="15.109375" style="66" customWidth="1"/>
    <col min="5645" max="5888" width="8.88671875" style="66"/>
    <col min="5889" max="5890" width="11.109375" style="66" customWidth="1"/>
    <col min="5891" max="5891" width="11.44140625" style="66" customWidth="1"/>
    <col min="5892" max="5892" width="15.33203125" style="66" customWidth="1"/>
    <col min="5893" max="5893" width="9.44140625" style="66" bestFit="1" customWidth="1"/>
    <col min="5894" max="5894" width="13" style="66" customWidth="1"/>
    <col min="5895" max="5895" width="9.44140625" style="66" bestFit="1" customWidth="1"/>
    <col min="5896" max="5896" width="15.77734375" style="66" customWidth="1"/>
    <col min="5897" max="5897" width="7.88671875" style="66" customWidth="1"/>
    <col min="5898" max="5898" width="15.88671875" style="66" customWidth="1"/>
    <col min="5899" max="5899" width="16.5546875" style="66" bestFit="1" customWidth="1"/>
    <col min="5900" max="5900" width="15.109375" style="66" customWidth="1"/>
    <col min="5901" max="6144" width="8.88671875" style="66"/>
    <col min="6145" max="6146" width="11.109375" style="66" customWidth="1"/>
    <col min="6147" max="6147" width="11.44140625" style="66" customWidth="1"/>
    <col min="6148" max="6148" width="15.33203125" style="66" customWidth="1"/>
    <col min="6149" max="6149" width="9.44140625" style="66" bestFit="1" customWidth="1"/>
    <col min="6150" max="6150" width="13" style="66" customWidth="1"/>
    <col min="6151" max="6151" width="9.44140625" style="66" bestFit="1" customWidth="1"/>
    <col min="6152" max="6152" width="15.77734375" style="66" customWidth="1"/>
    <col min="6153" max="6153" width="7.88671875" style="66" customWidth="1"/>
    <col min="6154" max="6154" width="15.88671875" style="66" customWidth="1"/>
    <col min="6155" max="6155" width="16.5546875" style="66" bestFit="1" customWidth="1"/>
    <col min="6156" max="6156" width="15.109375" style="66" customWidth="1"/>
    <col min="6157" max="6400" width="8.88671875" style="66"/>
    <col min="6401" max="6402" width="11.109375" style="66" customWidth="1"/>
    <col min="6403" max="6403" width="11.44140625" style="66" customWidth="1"/>
    <col min="6404" max="6404" width="15.33203125" style="66" customWidth="1"/>
    <col min="6405" max="6405" width="9.44140625" style="66" bestFit="1" customWidth="1"/>
    <col min="6406" max="6406" width="13" style="66" customWidth="1"/>
    <col min="6407" max="6407" width="9.44140625" style="66" bestFit="1" customWidth="1"/>
    <col min="6408" max="6408" width="15.77734375" style="66" customWidth="1"/>
    <col min="6409" max="6409" width="7.88671875" style="66" customWidth="1"/>
    <col min="6410" max="6410" width="15.88671875" style="66" customWidth="1"/>
    <col min="6411" max="6411" width="16.5546875" style="66" bestFit="1" customWidth="1"/>
    <col min="6412" max="6412" width="15.109375" style="66" customWidth="1"/>
    <col min="6413" max="6656" width="8.88671875" style="66"/>
    <col min="6657" max="6658" width="11.109375" style="66" customWidth="1"/>
    <col min="6659" max="6659" width="11.44140625" style="66" customWidth="1"/>
    <col min="6660" max="6660" width="15.33203125" style="66" customWidth="1"/>
    <col min="6661" max="6661" width="9.44140625" style="66" bestFit="1" customWidth="1"/>
    <col min="6662" max="6662" width="13" style="66" customWidth="1"/>
    <col min="6663" max="6663" width="9.44140625" style="66" bestFit="1" customWidth="1"/>
    <col min="6664" max="6664" width="15.77734375" style="66" customWidth="1"/>
    <col min="6665" max="6665" width="7.88671875" style="66" customWidth="1"/>
    <col min="6666" max="6666" width="15.88671875" style="66" customWidth="1"/>
    <col min="6667" max="6667" width="16.5546875" style="66" bestFit="1" customWidth="1"/>
    <col min="6668" max="6668" width="15.109375" style="66" customWidth="1"/>
    <col min="6669" max="6912" width="8.88671875" style="66"/>
    <col min="6913" max="6914" width="11.109375" style="66" customWidth="1"/>
    <col min="6915" max="6915" width="11.44140625" style="66" customWidth="1"/>
    <col min="6916" max="6916" width="15.33203125" style="66" customWidth="1"/>
    <col min="6917" max="6917" width="9.44140625" style="66" bestFit="1" customWidth="1"/>
    <col min="6918" max="6918" width="13" style="66" customWidth="1"/>
    <col min="6919" max="6919" width="9.44140625" style="66" bestFit="1" customWidth="1"/>
    <col min="6920" max="6920" width="15.77734375" style="66" customWidth="1"/>
    <col min="6921" max="6921" width="7.88671875" style="66" customWidth="1"/>
    <col min="6922" max="6922" width="15.88671875" style="66" customWidth="1"/>
    <col min="6923" max="6923" width="16.5546875" style="66" bestFit="1" customWidth="1"/>
    <col min="6924" max="6924" width="15.109375" style="66" customWidth="1"/>
    <col min="6925" max="7168" width="8.88671875" style="66"/>
    <col min="7169" max="7170" width="11.109375" style="66" customWidth="1"/>
    <col min="7171" max="7171" width="11.44140625" style="66" customWidth="1"/>
    <col min="7172" max="7172" width="15.33203125" style="66" customWidth="1"/>
    <col min="7173" max="7173" width="9.44140625" style="66" bestFit="1" customWidth="1"/>
    <col min="7174" max="7174" width="13" style="66" customWidth="1"/>
    <col min="7175" max="7175" width="9.44140625" style="66" bestFit="1" customWidth="1"/>
    <col min="7176" max="7176" width="15.77734375" style="66" customWidth="1"/>
    <col min="7177" max="7177" width="7.88671875" style="66" customWidth="1"/>
    <col min="7178" max="7178" width="15.88671875" style="66" customWidth="1"/>
    <col min="7179" max="7179" width="16.5546875" style="66" bestFit="1" customWidth="1"/>
    <col min="7180" max="7180" width="15.109375" style="66" customWidth="1"/>
    <col min="7181" max="7424" width="8.88671875" style="66"/>
    <col min="7425" max="7426" width="11.109375" style="66" customWidth="1"/>
    <col min="7427" max="7427" width="11.44140625" style="66" customWidth="1"/>
    <col min="7428" max="7428" width="15.33203125" style="66" customWidth="1"/>
    <col min="7429" max="7429" width="9.44140625" style="66" bestFit="1" customWidth="1"/>
    <col min="7430" max="7430" width="13" style="66" customWidth="1"/>
    <col min="7431" max="7431" width="9.44140625" style="66" bestFit="1" customWidth="1"/>
    <col min="7432" max="7432" width="15.77734375" style="66" customWidth="1"/>
    <col min="7433" max="7433" width="7.88671875" style="66" customWidth="1"/>
    <col min="7434" max="7434" width="15.88671875" style="66" customWidth="1"/>
    <col min="7435" max="7435" width="16.5546875" style="66" bestFit="1" customWidth="1"/>
    <col min="7436" max="7436" width="15.109375" style="66" customWidth="1"/>
    <col min="7437" max="7680" width="8.88671875" style="66"/>
    <col min="7681" max="7682" width="11.109375" style="66" customWidth="1"/>
    <col min="7683" max="7683" width="11.44140625" style="66" customWidth="1"/>
    <col min="7684" max="7684" width="15.33203125" style="66" customWidth="1"/>
    <col min="7685" max="7685" width="9.44140625" style="66" bestFit="1" customWidth="1"/>
    <col min="7686" max="7686" width="13" style="66" customWidth="1"/>
    <col min="7687" max="7687" width="9.44140625" style="66" bestFit="1" customWidth="1"/>
    <col min="7688" max="7688" width="15.77734375" style="66" customWidth="1"/>
    <col min="7689" max="7689" width="7.88671875" style="66" customWidth="1"/>
    <col min="7690" max="7690" width="15.88671875" style="66" customWidth="1"/>
    <col min="7691" max="7691" width="16.5546875" style="66" bestFit="1" customWidth="1"/>
    <col min="7692" max="7692" width="15.109375" style="66" customWidth="1"/>
    <col min="7693" max="7936" width="8.88671875" style="66"/>
    <col min="7937" max="7938" width="11.109375" style="66" customWidth="1"/>
    <col min="7939" max="7939" width="11.44140625" style="66" customWidth="1"/>
    <col min="7940" max="7940" width="15.33203125" style="66" customWidth="1"/>
    <col min="7941" max="7941" width="9.44140625" style="66" bestFit="1" customWidth="1"/>
    <col min="7942" max="7942" width="13" style="66" customWidth="1"/>
    <col min="7943" max="7943" width="9.44140625" style="66" bestFit="1" customWidth="1"/>
    <col min="7944" max="7944" width="15.77734375" style="66" customWidth="1"/>
    <col min="7945" max="7945" width="7.88671875" style="66" customWidth="1"/>
    <col min="7946" max="7946" width="15.88671875" style="66" customWidth="1"/>
    <col min="7947" max="7947" width="16.5546875" style="66" bestFit="1" customWidth="1"/>
    <col min="7948" max="7948" width="15.109375" style="66" customWidth="1"/>
    <col min="7949" max="8192" width="8.88671875" style="66"/>
    <col min="8193" max="8194" width="11.109375" style="66" customWidth="1"/>
    <col min="8195" max="8195" width="11.44140625" style="66" customWidth="1"/>
    <col min="8196" max="8196" width="15.33203125" style="66" customWidth="1"/>
    <col min="8197" max="8197" width="9.44140625" style="66" bestFit="1" customWidth="1"/>
    <col min="8198" max="8198" width="13" style="66" customWidth="1"/>
    <col min="8199" max="8199" width="9.44140625" style="66" bestFit="1" customWidth="1"/>
    <col min="8200" max="8200" width="15.77734375" style="66" customWidth="1"/>
    <col min="8201" max="8201" width="7.88671875" style="66" customWidth="1"/>
    <col min="8202" max="8202" width="15.88671875" style="66" customWidth="1"/>
    <col min="8203" max="8203" width="16.5546875" style="66" bestFit="1" customWidth="1"/>
    <col min="8204" max="8204" width="15.109375" style="66" customWidth="1"/>
    <col min="8205" max="8448" width="8.88671875" style="66"/>
    <col min="8449" max="8450" width="11.109375" style="66" customWidth="1"/>
    <col min="8451" max="8451" width="11.44140625" style="66" customWidth="1"/>
    <col min="8452" max="8452" width="15.33203125" style="66" customWidth="1"/>
    <col min="8453" max="8453" width="9.44140625" style="66" bestFit="1" customWidth="1"/>
    <col min="8454" max="8454" width="13" style="66" customWidth="1"/>
    <col min="8455" max="8455" width="9.44140625" style="66" bestFit="1" customWidth="1"/>
    <col min="8456" max="8456" width="15.77734375" style="66" customWidth="1"/>
    <col min="8457" max="8457" width="7.88671875" style="66" customWidth="1"/>
    <col min="8458" max="8458" width="15.88671875" style="66" customWidth="1"/>
    <col min="8459" max="8459" width="16.5546875" style="66" bestFit="1" customWidth="1"/>
    <col min="8460" max="8460" width="15.109375" style="66" customWidth="1"/>
    <col min="8461" max="8704" width="8.88671875" style="66"/>
    <col min="8705" max="8706" width="11.109375" style="66" customWidth="1"/>
    <col min="8707" max="8707" width="11.44140625" style="66" customWidth="1"/>
    <col min="8708" max="8708" width="15.33203125" style="66" customWidth="1"/>
    <col min="8709" max="8709" width="9.44140625" style="66" bestFit="1" customWidth="1"/>
    <col min="8710" max="8710" width="13" style="66" customWidth="1"/>
    <col min="8711" max="8711" width="9.44140625" style="66" bestFit="1" customWidth="1"/>
    <col min="8712" max="8712" width="15.77734375" style="66" customWidth="1"/>
    <col min="8713" max="8713" width="7.88671875" style="66" customWidth="1"/>
    <col min="8714" max="8714" width="15.88671875" style="66" customWidth="1"/>
    <col min="8715" max="8715" width="16.5546875" style="66" bestFit="1" customWidth="1"/>
    <col min="8716" max="8716" width="15.109375" style="66" customWidth="1"/>
    <col min="8717" max="8960" width="8.88671875" style="66"/>
    <col min="8961" max="8962" width="11.109375" style="66" customWidth="1"/>
    <col min="8963" max="8963" width="11.44140625" style="66" customWidth="1"/>
    <col min="8964" max="8964" width="15.33203125" style="66" customWidth="1"/>
    <col min="8965" max="8965" width="9.44140625" style="66" bestFit="1" customWidth="1"/>
    <col min="8966" max="8966" width="13" style="66" customWidth="1"/>
    <col min="8967" max="8967" width="9.44140625" style="66" bestFit="1" customWidth="1"/>
    <col min="8968" max="8968" width="15.77734375" style="66" customWidth="1"/>
    <col min="8969" max="8969" width="7.88671875" style="66" customWidth="1"/>
    <col min="8970" max="8970" width="15.88671875" style="66" customWidth="1"/>
    <col min="8971" max="8971" width="16.5546875" style="66" bestFit="1" customWidth="1"/>
    <col min="8972" max="8972" width="15.109375" style="66" customWidth="1"/>
    <col min="8973" max="9216" width="8.88671875" style="66"/>
    <col min="9217" max="9218" width="11.109375" style="66" customWidth="1"/>
    <col min="9219" max="9219" width="11.44140625" style="66" customWidth="1"/>
    <col min="9220" max="9220" width="15.33203125" style="66" customWidth="1"/>
    <col min="9221" max="9221" width="9.44140625" style="66" bestFit="1" customWidth="1"/>
    <col min="9222" max="9222" width="13" style="66" customWidth="1"/>
    <col min="9223" max="9223" width="9.44140625" style="66" bestFit="1" customWidth="1"/>
    <col min="9224" max="9224" width="15.77734375" style="66" customWidth="1"/>
    <col min="9225" max="9225" width="7.88671875" style="66" customWidth="1"/>
    <col min="9226" max="9226" width="15.88671875" style="66" customWidth="1"/>
    <col min="9227" max="9227" width="16.5546875" style="66" bestFit="1" customWidth="1"/>
    <col min="9228" max="9228" width="15.109375" style="66" customWidth="1"/>
    <col min="9229" max="9472" width="8.88671875" style="66"/>
    <col min="9473" max="9474" width="11.109375" style="66" customWidth="1"/>
    <col min="9475" max="9475" width="11.44140625" style="66" customWidth="1"/>
    <col min="9476" max="9476" width="15.33203125" style="66" customWidth="1"/>
    <col min="9477" max="9477" width="9.44140625" style="66" bestFit="1" customWidth="1"/>
    <col min="9478" max="9478" width="13" style="66" customWidth="1"/>
    <col min="9479" max="9479" width="9.44140625" style="66" bestFit="1" customWidth="1"/>
    <col min="9480" max="9480" width="15.77734375" style="66" customWidth="1"/>
    <col min="9481" max="9481" width="7.88671875" style="66" customWidth="1"/>
    <col min="9482" max="9482" width="15.88671875" style="66" customWidth="1"/>
    <col min="9483" max="9483" width="16.5546875" style="66" bestFit="1" customWidth="1"/>
    <col min="9484" max="9484" width="15.109375" style="66" customWidth="1"/>
    <col min="9485" max="9728" width="8.88671875" style="66"/>
    <col min="9729" max="9730" width="11.109375" style="66" customWidth="1"/>
    <col min="9731" max="9731" width="11.44140625" style="66" customWidth="1"/>
    <col min="9732" max="9732" width="15.33203125" style="66" customWidth="1"/>
    <col min="9733" max="9733" width="9.44140625" style="66" bestFit="1" customWidth="1"/>
    <col min="9734" max="9734" width="13" style="66" customWidth="1"/>
    <col min="9735" max="9735" width="9.44140625" style="66" bestFit="1" customWidth="1"/>
    <col min="9736" max="9736" width="15.77734375" style="66" customWidth="1"/>
    <col min="9737" max="9737" width="7.88671875" style="66" customWidth="1"/>
    <col min="9738" max="9738" width="15.88671875" style="66" customWidth="1"/>
    <col min="9739" max="9739" width="16.5546875" style="66" bestFit="1" customWidth="1"/>
    <col min="9740" max="9740" width="15.109375" style="66" customWidth="1"/>
    <col min="9741" max="9984" width="8.88671875" style="66"/>
    <col min="9985" max="9986" width="11.109375" style="66" customWidth="1"/>
    <col min="9987" max="9987" width="11.44140625" style="66" customWidth="1"/>
    <col min="9988" max="9988" width="15.33203125" style="66" customWidth="1"/>
    <col min="9989" max="9989" width="9.44140625" style="66" bestFit="1" customWidth="1"/>
    <col min="9990" max="9990" width="13" style="66" customWidth="1"/>
    <col min="9991" max="9991" width="9.44140625" style="66" bestFit="1" customWidth="1"/>
    <col min="9992" max="9992" width="15.77734375" style="66" customWidth="1"/>
    <col min="9993" max="9993" width="7.88671875" style="66" customWidth="1"/>
    <col min="9994" max="9994" width="15.88671875" style="66" customWidth="1"/>
    <col min="9995" max="9995" width="16.5546875" style="66" bestFit="1" customWidth="1"/>
    <col min="9996" max="9996" width="15.109375" style="66" customWidth="1"/>
    <col min="9997" max="10240" width="8.88671875" style="66"/>
    <col min="10241" max="10242" width="11.109375" style="66" customWidth="1"/>
    <col min="10243" max="10243" width="11.44140625" style="66" customWidth="1"/>
    <col min="10244" max="10244" width="15.33203125" style="66" customWidth="1"/>
    <col min="10245" max="10245" width="9.44140625" style="66" bestFit="1" customWidth="1"/>
    <col min="10246" max="10246" width="13" style="66" customWidth="1"/>
    <col min="10247" max="10247" width="9.44140625" style="66" bestFit="1" customWidth="1"/>
    <col min="10248" max="10248" width="15.77734375" style="66" customWidth="1"/>
    <col min="10249" max="10249" width="7.88671875" style="66" customWidth="1"/>
    <col min="10250" max="10250" width="15.88671875" style="66" customWidth="1"/>
    <col min="10251" max="10251" width="16.5546875" style="66" bestFit="1" customWidth="1"/>
    <col min="10252" max="10252" width="15.109375" style="66" customWidth="1"/>
    <col min="10253" max="10496" width="8.88671875" style="66"/>
    <col min="10497" max="10498" width="11.109375" style="66" customWidth="1"/>
    <col min="10499" max="10499" width="11.44140625" style="66" customWidth="1"/>
    <col min="10500" max="10500" width="15.33203125" style="66" customWidth="1"/>
    <col min="10501" max="10501" width="9.44140625" style="66" bestFit="1" customWidth="1"/>
    <col min="10502" max="10502" width="13" style="66" customWidth="1"/>
    <col min="10503" max="10503" width="9.44140625" style="66" bestFit="1" customWidth="1"/>
    <col min="10504" max="10504" width="15.77734375" style="66" customWidth="1"/>
    <col min="10505" max="10505" width="7.88671875" style="66" customWidth="1"/>
    <col min="10506" max="10506" width="15.88671875" style="66" customWidth="1"/>
    <col min="10507" max="10507" width="16.5546875" style="66" bestFit="1" customWidth="1"/>
    <col min="10508" max="10508" width="15.109375" style="66" customWidth="1"/>
    <col min="10509" max="10752" width="8.88671875" style="66"/>
    <col min="10753" max="10754" width="11.109375" style="66" customWidth="1"/>
    <col min="10755" max="10755" width="11.44140625" style="66" customWidth="1"/>
    <col min="10756" max="10756" width="15.33203125" style="66" customWidth="1"/>
    <col min="10757" max="10757" width="9.44140625" style="66" bestFit="1" customWidth="1"/>
    <col min="10758" max="10758" width="13" style="66" customWidth="1"/>
    <col min="10759" max="10759" width="9.44140625" style="66" bestFit="1" customWidth="1"/>
    <col min="10760" max="10760" width="15.77734375" style="66" customWidth="1"/>
    <col min="10761" max="10761" width="7.88671875" style="66" customWidth="1"/>
    <col min="10762" max="10762" width="15.88671875" style="66" customWidth="1"/>
    <col min="10763" max="10763" width="16.5546875" style="66" bestFit="1" customWidth="1"/>
    <col min="10764" max="10764" width="15.109375" style="66" customWidth="1"/>
    <col min="10765" max="11008" width="8.88671875" style="66"/>
    <col min="11009" max="11010" width="11.109375" style="66" customWidth="1"/>
    <col min="11011" max="11011" width="11.44140625" style="66" customWidth="1"/>
    <col min="11012" max="11012" width="15.33203125" style="66" customWidth="1"/>
    <col min="11013" max="11013" width="9.44140625" style="66" bestFit="1" customWidth="1"/>
    <col min="11014" max="11014" width="13" style="66" customWidth="1"/>
    <col min="11015" max="11015" width="9.44140625" style="66" bestFit="1" customWidth="1"/>
    <col min="11016" max="11016" width="15.77734375" style="66" customWidth="1"/>
    <col min="11017" max="11017" width="7.88671875" style="66" customWidth="1"/>
    <col min="11018" max="11018" width="15.88671875" style="66" customWidth="1"/>
    <col min="11019" max="11019" width="16.5546875" style="66" bestFit="1" customWidth="1"/>
    <col min="11020" max="11020" width="15.109375" style="66" customWidth="1"/>
    <col min="11021" max="11264" width="8.88671875" style="66"/>
    <col min="11265" max="11266" width="11.109375" style="66" customWidth="1"/>
    <col min="11267" max="11267" width="11.44140625" style="66" customWidth="1"/>
    <col min="11268" max="11268" width="15.33203125" style="66" customWidth="1"/>
    <col min="11269" max="11269" width="9.44140625" style="66" bestFit="1" customWidth="1"/>
    <col min="11270" max="11270" width="13" style="66" customWidth="1"/>
    <col min="11271" max="11271" width="9.44140625" style="66" bestFit="1" customWidth="1"/>
    <col min="11272" max="11272" width="15.77734375" style="66" customWidth="1"/>
    <col min="11273" max="11273" width="7.88671875" style="66" customWidth="1"/>
    <col min="11274" max="11274" width="15.88671875" style="66" customWidth="1"/>
    <col min="11275" max="11275" width="16.5546875" style="66" bestFit="1" customWidth="1"/>
    <col min="11276" max="11276" width="15.109375" style="66" customWidth="1"/>
    <col min="11277" max="11520" width="8.88671875" style="66"/>
    <col min="11521" max="11522" width="11.109375" style="66" customWidth="1"/>
    <col min="11523" max="11523" width="11.44140625" style="66" customWidth="1"/>
    <col min="11524" max="11524" width="15.33203125" style="66" customWidth="1"/>
    <col min="11525" max="11525" width="9.44140625" style="66" bestFit="1" customWidth="1"/>
    <col min="11526" max="11526" width="13" style="66" customWidth="1"/>
    <col min="11527" max="11527" width="9.44140625" style="66" bestFit="1" customWidth="1"/>
    <col min="11528" max="11528" width="15.77734375" style="66" customWidth="1"/>
    <col min="11529" max="11529" width="7.88671875" style="66" customWidth="1"/>
    <col min="11530" max="11530" width="15.88671875" style="66" customWidth="1"/>
    <col min="11531" max="11531" width="16.5546875" style="66" bestFit="1" customWidth="1"/>
    <col min="11532" max="11532" width="15.109375" style="66" customWidth="1"/>
    <col min="11533" max="11776" width="8.88671875" style="66"/>
    <col min="11777" max="11778" width="11.109375" style="66" customWidth="1"/>
    <col min="11779" max="11779" width="11.44140625" style="66" customWidth="1"/>
    <col min="11780" max="11780" width="15.33203125" style="66" customWidth="1"/>
    <col min="11781" max="11781" width="9.44140625" style="66" bestFit="1" customWidth="1"/>
    <col min="11782" max="11782" width="13" style="66" customWidth="1"/>
    <col min="11783" max="11783" width="9.44140625" style="66" bestFit="1" customWidth="1"/>
    <col min="11784" max="11784" width="15.77734375" style="66" customWidth="1"/>
    <col min="11785" max="11785" width="7.88671875" style="66" customWidth="1"/>
    <col min="11786" max="11786" width="15.88671875" style="66" customWidth="1"/>
    <col min="11787" max="11787" width="16.5546875" style="66" bestFit="1" customWidth="1"/>
    <col min="11788" max="11788" width="15.109375" style="66" customWidth="1"/>
    <col min="11789" max="12032" width="8.88671875" style="66"/>
    <col min="12033" max="12034" width="11.109375" style="66" customWidth="1"/>
    <col min="12035" max="12035" width="11.44140625" style="66" customWidth="1"/>
    <col min="12036" max="12036" width="15.33203125" style="66" customWidth="1"/>
    <col min="12037" max="12037" width="9.44140625" style="66" bestFit="1" customWidth="1"/>
    <col min="12038" max="12038" width="13" style="66" customWidth="1"/>
    <col min="12039" max="12039" width="9.44140625" style="66" bestFit="1" customWidth="1"/>
    <col min="12040" max="12040" width="15.77734375" style="66" customWidth="1"/>
    <col min="12041" max="12041" width="7.88671875" style="66" customWidth="1"/>
    <col min="12042" max="12042" width="15.88671875" style="66" customWidth="1"/>
    <col min="12043" max="12043" width="16.5546875" style="66" bestFit="1" customWidth="1"/>
    <col min="12044" max="12044" width="15.109375" style="66" customWidth="1"/>
    <col min="12045" max="12288" width="8.88671875" style="66"/>
    <col min="12289" max="12290" width="11.109375" style="66" customWidth="1"/>
    <col min="12291" max="12291" width="11.44140625" style="66" customWidth="1"/>
    <col min="12292" max="12292" width="15.33203125" style="66" customWidth="1"/>
    <col min="12293" max="12293" width="9.44140625" style="66" bestFit="1" customWidth="1"/>
    <col min="12294" max="12294" width="13" style="66" customWidth="1"/>
    <col min="12295" max="12295" width="9.44140625" style="66" bestFit="1" customWidth="1"/>
    <col min="12296" max="12296" width="15.77734375" style="66" customWidth="1"/>
    <col min="12297" max="12297" width="7.88671875" style="66" customWidth="1"/>
    <col min="12298" max="12298" width="15.88671875" style="66" customWidth="1"/>
    <col min="12299" max="12299" width="16.5546875" style="66" bestFit="1" customWidth="1"/>
    <col min="12300" max="12300" width="15.109375" style="66" customWidth="1"/>
    <col min="12301" max="12544" width="8.88671875" style="66"/>
    <col min="12545" max="12546" width="11.109375" style="66" customWidth="1"/>
    <col min="12547" max="12547" width="11.44140625" style="66" customWidth="1"/>
    <col min="12548" max="12548" width="15.33203125" style="66" customWidth="1"/>
    <col min="12549" max="12549" width="9.44140625" style="66" bestFit="1" customWidth="1"/>
    <col min="12550" max="12550" width="13" style="66" customWidth="1"/>
    <col min="12551" max="12551" width="9.44140625" style="66" bestFit="1" customWidth="1"/>
    <col min="12552" max="12552" width="15.77734375" style="66" customWidth="1"/>
    <col min="12553" max="12553" width="7.88671875" style="66" customWidth="1"/>
    <col min="12554" max="12554" width="15.88671875" style="66" customWidth="1"/>
    <col min="12555" max="12555" width="16.5546875" style="66" bestFit="1" customWidth="1"/>
    <col min="12556" max="12556" width="15.109375" style="66" customWidth="1"/>
    <col min="12557" max="12800" width="8.88671875" style="66"/>
    <col min="12801" max="12802" width="11.109375" style="66" customWidth="1"/>
    <col min="12803" max="12803" width="11.44140625" style="66" customWidth="1"/>
    <col min="12804" max="12804" width="15.33203125" style="66" customWidth="1"/>
    <col min="12805" max="12805" width="9.44140625" style="66" bestFit="1" customWidth="1"/>
    <col min="12806" max="12806" width="13" style="66" customWidth="1"/>
    <col min="12807" max="12807" width="9.44140625" style="66" bestFit="1" customWidth="1"/>
    <col min="12808" max="12808" width="15.77734375" style="66" customWidth="1"/>
    <col min="12809" max="12809" width="7.88671875" style="66" customWidth="1"/>
    <col min="12810" max="12810" width="15.88671875" style="66" customWidth="1"/>
    <col min="12811" max="12811" width="16.5546875" style="66" bestFit="1" customWidth="1"/>
    <col min="12812" max="12812" width="15.109375" style="66" customWidth="1"/>
    <col min="12813" max="13056" width="8.88671875" style="66"/>
    <col min="13057" max="13058" width="11.109375" style="66" customWidth="1"/>
    <col min="13059" max="13059" width="11.44140625" style="66" customWidth="1"/>
    <col min="13060" max="13060" width="15.33203125" style="66" customWidth="1"/>
    <col min="13061" max="13061" width="9.44140625" style="66" bestFit="1" customWidth="1"/>
    <col min="13062" max="13062" width="13" style="66" customWidth="1"/>
    <col min="13063" max="13063" width="9.44140625" style="66" bestFit="1" customWidth="1"/>
    <col min="13064" max="13064" width="15.77734375" style="66" customWidth="1"/>
    <col min="13065" max="13065" width="7.88671875" style="66" customWidth="1"/>
    <col min="13066" max="13066" width="15.88671875" style="66" customWidth="1"/>
    <col min="13067" max="13067" width="16.5546875" style="66" bestFit="1" customWidth="1"/>
    <col min="13068" max="13068" width="15.109375" style="66" customWidth="1"/>
    <col min="13069" max="13312" width="8.88671875" style="66"/>
    <col min="13313" max="13314" width="11.109375" style="66" customWidth="1"/>
    <col min="13315" max="13315" width="11.44140625" style="66" customWidth="1"/>
    <col min="13316" max="13316" width="15.33203125" style="66" customWidth="1"/>
    <col min="13317" max="13317" width="9.44140625" style="66" bestFit="1" customWidth="1"/>
    <col min="13318" max="13318" width="13" style="66" customWidth="1"/>
    <col min="13319" max="13319" width="9.44140625" style="66" bestFit="1" customWidth="1"/>
    <col min="13320" max="13320" width="15.77734375" style="66" customWidth="1"/>
    <col min="13321" max="13321" width="7.88671875" style="66" customWidth="1"/>
    <col min="13322" max="13322" width="15.88671875" style="66" customWidth="1"/>
    <col min="13323" max="13323" width="16.5546875" style="66" bestFit="1" customWidth="1"/>
    <col min="13324" max="13324" width="15.109375" style="66" customWidth="1"/>
    <col min="13325" max="13568" width="8.88671875" style="66"/>
    <col min="13569" max="13570" width="11.109375" style="66" customWidth="1"/>
    <col min="13571" max="13571" width="11.44140625" style="66" customWidth="1"/>
    <col min="13572" max="13572" width="15.33203125" style="66" customWidth="1"/>
    <col min="13573" max="13573" width="9.44140625" style="66" bestFit="1" customWidth="1"/>
    <col min="13574" max="13574" width="13" style="66" customWidth="1"/>
    <col min="13575" max="13575" width="9.44140625" style="66" bestFit="1" customWidth="1"/>
    <col min="13576" max="13576" width="15.77734375" style="66" customWidth="1"/>
    <col min="13577" max="13577" width="7.88671875" style="66" customWidth="1"/>
    <col min="13578" max="13578" width="15.88671875" style="66" customWidth="1"/>
    <col min="13579" max="13579" width="16.5546875" style="66" bestFit="1" customWidth="1"/>
    <col min="13580" max="13580" width="15.109375" style="66" customWidth="1"/>
    <col min="13581" max="13824" width="8.88671875" style="66"/>
    <col min="13825" max="13826" width="11.109375" style="66" customWidth="1"/>
    <col min="13827" max="13827" width="11.44140625" style="66" customWidth="1"/>
    <col min="13828" max="13828" width="15.33203125" style="66" customWidth="1"/>
    <col min="13829" max="13829" width="9.44140625" style="66" bestFit="1" customWidth="1"/>
    <col min="13830" max="13830" width="13" style="66" customWidth="1"/>
    <col min="13831" max="13831" width="9.44140625" style="66" bestFit="1" customWidth="1"/>
    <col min="13832" max="13832" width="15.77734375" style="66" customWidth="1"/>
    <col min="13833" max="13833" width="7.88671875" style="66" customWidth="1"/>
    <col min="13834" max="13834" width="15.88671875" style="66" customWidth="1"/>
    <col min="13835" max="13835" width="16.5546875" style="66" bestFit="1" customWidth="1"/>
    <col min="13836" max="13836" width="15.109375" style="66" customWidth="1"/>
    <col min="13837" max="14080" width="8.88671875" style="66"/>
    <col min="14081" max="14082" width="11.109375" style="66" customWidth="1"/>
    <col min="14083" max="14083" width="11.44140625" style="66" customWidth="1"/>
    <col min="14084" max="14084" width="15.33203125" style="66" customWidth="1"/>
    <col min="14085" max="14085" width="9.44140625" style="66" bestFit="1" customWidth="1"/>
    <col min="14086" max="14086" width="13" style="66" customWidth="1"/>
    <col min="14087" max="14087" width="9.44140625" style="66" bestFit="1" customWidth="1"/>
    <col min="14088" max="14088" width="15.77734375" style="66" customWidth="1"/>
    <col min="14089" max="14089" width="7.88671875" style="66" customWidth="1"/>
    <col min="14090" max="14090" width="15.88671875" style="66" customWidth="1"/>
    <col min="14091" max="14091" width="16.5546875" style="66" bestFit="1" customWidth="1"/>
    <col min="14092" max="14092" width="15.109375" style="66" customWidth="1"/>
    <col min="14093" max="14336" width="8.88671875" style="66"/>
    <col min="14337" max="14338" width="11.109375" style="66" customWidth="1"/>
    <col min="14339" max="14339" width="11.44140625" style="66" customWidth="1"/>
    <col min="14340" max="14340" width="15.33203125" style="66" customWidth="1"/>
    <col min="14341" max="14341" width="9.44140625" style="66" bestFit="1" customWidth="1"/>
    <col min="14342" max="14342" width="13" style="66" customWidth="1"/>
    <col min="14343" max="14343" width="9.44140625" style="66" bestFit="1" customWidth="1"/>
    <col min="14344" max="14344" width="15.77734375" style="66" customWidth="1"/>
    <col min="14345" max="14345" width="7.88671875" style="66" customWidth="1"/>
    <col min="14346" max="14346" width="15.88671875" style="66" customWidth="1"/>
    <col min="14347" max="14347" width="16.5546875" style="66" bestFit="1" customWidth="1"/>
    <col min="14348" max="14348" width="15.109375" style="66" customWidth="1"/>
    <col min="14349" max="14592" width="8.88671875" style="66"/>
    <col min="14593" max="14594" width="11.109375" style="66" customWidth="1"/>
    <col min="14595" max="14595" width="11.44140625" style="66" customWidth="1"/>
    <col min="14596" max="14596" width="15.33203125" style="66" customWidth="1"/>
    <col min="14597" max="14597" width="9.44140625" style="66" bestFit="1" customWidth="1"/>
    <col min="14598" max="14598" width="13" style="66" customWidth="1"/>
    <col min="14599" max="14599" width="9.44140625" style="66" bestFit="1" customWidth="1"/>
    <col min="14600" max="14600" width="15.77734375" style="66" customWidth="1"/>
    <col min="14601" max="14601" width="7.88671875" style="66" customWidth="1"/>
    <col min="14602" max="14602" width="15.88671875" style="66" customWidth="1"/>
    <col min="14603" max="14603" width="16.5546875" style="66" bestFit="1" customWidth="1"/>
    <col min="14604" max="14604" width="15.109375" style="66" customWidth="1"/>
    <col min="14605" max="14848" width="8.88671875" style="66"/>
    <col min="14849" max="14850" width="11.109375" style="66" customWidth="1"/>
    <col min="14851" max="14851" width="11.44140625" style="66" customWidth="1"/>
    <col min="14852" max="14852" width="15.33203125" style="66" customWidth="1"/>
    <col min="14853" max="14853" width="9.44140625" style="66" bestFit="1" customWidth="1"/>
    <col min="14854" max="14854" width="13" style="66" customWidth="1"/>
    <col min="14855" max="14855" width="9.44140625" style="66" bestFit="1" customWidth="1"/>
    <col min="14856" max="14856" width="15.77734375" style="66" customWidth="1"/>
    <col min="14857" max="14857" width="7.88671875" style="66" customWidth="1"/>
    <col min="14858" max="14858" width="15.88671875" style="66" customWidth="1"/>
    <col min="14859" max="14859" width="16.5546875" style="66" bestFit="1" customWidth="1"/>
    <col min="14860" max="14860" width="15.109375" style="66" customWidth="1"/>
    <col min="14861" max="15104" width="8.88671875" style="66"/>
    <col min="15105" max="15106" width="11.109375" style="66" customWidth="1"/>
    <col min="15107" max="15107" width="11.44140625" style="66" customWidth="1"/>
    <col min="15108" max="15108" width="15.33203125" style="66" customWidth="1"/>
    <col min="15109" max="15109" width="9.44140625" style="66" bestFit="1" customWidth="1"/>
    <col min="15110" max="15110" width="13" style="66" customWidth="1"/>
    <col min="15111" max="15111" width="9.44140625" style="66" bestFit="1" customWidth="1"/>
    <col min="15112" max="15112" width="15.77734375" style="66" customWidth="1"/>
    <col min="15113" max="15113" width="7.88671875" style="66" customWidth="1"/>
    <col min="15114" max="15114" width="15.88671875" style="66" customWidth="1"/>
    <col min="15115" max="15115" width="16.5546875" style="66" bestFit="1" customWidth="1"/>
    <col min="15116" max="15116" width="15.109375" style="66" customWidth="1"/>
    <col min="15117" max="15360" width="8.88671875" style="66"/>
    <col min="15361" max="15362" width="11.109375" style="66" customWidth="1"/>
    <col min="15363" max="15363" width="11.44140625" style="66" customWidth="1"/>
    <col min="15364" max="15364" width="15.33203125" style="66" customWidth="1"/>
    <col min="15365" max="15365" width="9.44140625" style="66" bestFit="1" customWidth="1"/>
    <col min="15366" max="15366" width="13" style="66" customWidth="1"/>
    <col min="15367" max="15367" width="9.44140625" style="66" bestFit="1" customWidth="1"/>
    <col min="15368" max="15368" width="15.77734375" style="66" customWidth="1"/>
    <col min="15369" max="15369" width="7.88671875" style="66" customWidth="1"/>
    <col min="15370" max="15370" width="15.88671875" style="66" customWidth="1"/>
    <col min="15371" max="15371" width="16.5546875" style="66" bestFit="1" customWidth="1"/>
    <col min="15372" max="15372" width="15.109375" style="66" customWidth="1"/>
    <col min="15373" max="15616" width="8.88671875" style="66"/>
    <col min="15617" max="15618" width="11.109375" style="66" customWidth="1"/>
    <col min="15619" max="15619" width="11.44140625" style="66" customWidth="1"/>
    <col min="15620" max="15620" width="15.33203125" style="66" customWidth="1"/>
    <col min="15621" max="15621" width="9.44140625" style="66" bestFit="1" customWidth="1"/>
    <col min="15622" max="15622" width="13" style="66" customWidth="1"/>
    <col min="15623" max="15623" width="9.44140625" style="66" bestFit="1" customWidth="1"/>
    <col min="15624" max="15624" width="15.77734375" style="66" customWidth="1"/>
    <col min="15625" max="15625" width="7.88671875" style="66" customWidth="1"/>
    <col min="15626" max="15626" width="15.88671875" style="66" customWidth="1"/>
    <col min="15627" max="15627" width="16.5546875" style="66" bestFit="1" customWidth="1"/>
    <col min="15628" max="15628" width="15.109375" style="66" customWidth="1"/>
    <col min="15629" max="15872" width="8.88671875" style="66"/>
    <col min="15873" max="15874" width="11.109375" style="66" customWidth="1"/>
    <col min="15875" max="15875" width="11.44140625" style="66" customWidth="1"/>
    <col min="15876" max="15876" width="15.33203125" style="66" customWidth="1"/>
    <col min="15877" max="15877" width="9.44140625" style="66" bestFit="1" customWidth="1"/>
    <col min="15878" max="15878" width="13" style="66" customWidth="1"/>
    <col min="15879" max="15879" width="9.44140625" style="66" bestFit="1" customWidth="1"/>
    <col min="15880" max="15880" width="15.77734375" style="66" customWidth="1"/>
    <col min="15881" max="15881" width="7.88671875" style="66" customWidth="1"/>
    <col min="15882" max="15882" width="15.88671875" style="66" customWidth="1"/>
    <col min="15883" max="15883" width="16.5546875" style="66" bestFit="1" customWidth="1"/>
    <col min="15884" max="15884" width="15.109375" style="66" customWidth="1"/>
    <col min="15885" max="16128" width="8.88671875" style="66"/>
    <col min="16129" max="16130" width="11.109375" style="66" customWidth="1"/>
    <col min="16131" max="16131" width="11.44140625" style="66" customWidth="1"/>
    <col min="16132" max="16132" width="15.33203125" style="66" customWidth="1"/>
    <col min="16133" max="16133" width="9.44140625" style="66" bestFit="1" customWidth="1"/>
    <col min="16134" max="16134" width="13" style="66" customWidth="1"/>
    <col min="16135" max="16135" width="9.44140625" style="66" bestFit="1" customWidth="1"/>
    <col min="16136" max="16136" width="15.77734375" style="66" customWidth="1"/>
    <col min="16137" max="16137" width="7.88671875" style="66" customWidth="1"/>
    <col min="16138" max="16138" width="15.88671875" style="66" customWidth="1"/>
    <col min="16139" max="16139" width="16.5546875" style="66" bestFit="1" customWidth="1"/>
    <col min="16140" max="16140" width="15.109375" style="66" customWidth="1"/>
    <col min="16141" max="16384" width="8.88671875" style="66"/>
  </cols>
  <sheetData>
    <row r="1" spans="1:12" s="92" customFormat="1" ht="34.5" customHeight="1">
      <c r="A1" s="247" t="s">
        <v>1559</v>
      </c>
      <c r="B1" s="247"/>
      <c r="C1" s="248"/>
      <c r="D1" s="248"/>
      <c r="E1" s="248"/>
      <c r="F1" s="248"/>
      <c r="G1" s="248"/>
      <c r="H1" s="248"/>
      <c r="I1" s="248"/>
      <c r="J1" s="248"/>
      <c r="K1" s="248"/>
      <c r="L1" s="249"/>
    </row>
    <row r="2" spans="1:12" ht="16.2">
      <c r="A2" s="250" t="s">
        <v>908</v>
      </c>
      <c r="B2" s="250" t="s">
        <v>909</v>
      </c>
      <c r="C2" s="250" t="s">
        <v>910</v>
      </c>
      <c r="D2" s="250" t="s">
        <v>911</v>
      </c>
      <c r="E2" s="250" t="s">
        <v>912</v>
      </c>
      <c r="F2" s="250" t="s">
        <v>913</v>
      </c>
      <c r="G2" s="250" t="s">
        <v>914</v>
      </c>
      <c r="H2" s="253" t="s">
        <v>915</v>
      </c>
      <c r="I2" s="250" t="s">
        <v>916</v>
      </c>
      <c r="J2" s="251"/>
      <c r="K2" s="251"/>
      <c r="L2" s="250" t="s">
        <v>917</v>
      </c>
    </row>
    <row r="3" spans="1:12" ht="16.2">
      <c r="A3" s="251"/>
      <c r="B3" s="251"/>
      <c r="C3" s="252"/>
      <c r="D3" s="251"/>
      <c r="E3" s="251"/>
      <c r="F3" s="251"/>
      <c r="G3" s="251"/>
      <c r="H3" s="254"/>
      <c r="I3" s="67" t="s">
        <v>918</v>
      </c>
      <c r="J3" s="67" t="s">
        <v>919</v>
      </c>
      <c r="K3" s="67" t="s">
        <v>920</v>
      </c>
      <c r="L3" s="251"/>
    </row>
    <row r="4" spans="1:12" ht="34.5" customHeight="1">
      <c r="A4" s="68" t="s">
        <v>921</v>
      </c>
      <c r="B4" s="68" t="str">
        <f>"97"</f>
        <v>97</v>
      </c>
      <c r="C4" s="86" t="str">
        <f>"陳天輝"</f>
        <v>陳天輝</v>
      </c>
      <c r="D4" s="69">
        <v>41842</v>
      </c>
      <c r="E4" s="70" t="s">
        <v>922</v>
      </c>
      <c r="F4" s="71">
        <v>20000</v>
      </c>
      <c r="G4" s="72">
        <v>25</v>
      </c>
      <c r="H4" s="72">
        <f>F4*G4</f>
        <v>500000</v>
      </c>
      <c r="I4" s="67" t="s">
        <v>1181</v>
      </c>
      <c r="J4" s="69">
        <v>41842</v>
      </c>
      <c r="K4" s="72">
        <f>H4</f>
        <v>500000</v>
      </c>
      <c r="L4" s="55"/>
    </row>
    <row r="5" spans="1:12" ht="34.5" customHeight="1">
      <c r="A5" s="68" t="s">
        <v>923</v>
      </c>
      <c r="B5" s="68" t="str">
        <f>"86"</f>
        <v>86</v>
      </c>
      <c r="C5" s="86" t="str">
        <f>"吳世隆"</f>
        <v>吳世隆</v>
      </c>
      <c r="D5" s="69">
        <v>41842</v>
      </c>
      <c r="E5" s="70" t="s">
        <v>922</v>
      </c>
      <c r="F5" s="71">
        <v>2000</v>
      </c>
      <c r="G5" s="72">
        <v>25</v>
      </c>
      <c r="H5" s="72">
        <f t="shared" ref="H5:H19" si="0">F5*G5</f>
        <v>50000</v>
      </c>
      <c r="I5" s="67" t="s">
        <v>1181</v>
      </c>
      <c r="J5" s="69">
        <v>41842</v>
      </c>
      <c r="K5" s="72">
        <f t="shared" ref="K5:K19" si="1">H5</f>
        <v>50000</v>
      </c>
      <c r="L5" s="87"/>
    </row>
    <row r="6" spans="1:12" ht="34.5" customHeight="1">
      <c r="A6" s="68" t="s">
        <v>924</v>
      </c>
      <c r="B6" s="68" t="str">
        <f>"222"</f>
        <v>222</v>
      </c>
      <c r="C6" s="86" t="str">
        <f>"林谷安"</f>
        <v>林谷安</v>
      </c>
      <c r="D6" s="69">
        <v>41844</v>
      </c>
      <c r="E6" s="70" t="s">
        <v>922</v>
      </c>
      <c r="F6" s="71">
        <v>2000</v>
      </c>
      <c r="G6" s="72">
        <v>25</v>
      </c>
      <c r="H6" s="72">
        <f t="shared" si="0"/>
        <v>50000</v>
      </c>
      <c r="I6" s="67" t="s">
        <v>1181</v>
      </c>
      <c r="J6" s="69">
        <v>41844</v>
      </c>
      <c r="K6" s="72">
        <f t="shared" si="1"/>
        <v>50000</v>
      </c>
      <c r="L6" s="87"/>
    </row>
    <row r="7" spans="1:12" ht="34.5" customHeight="1">
      <c r="A7" s="68" t="s">
        <v>925</v>
      </c>
      <c r="B7" s="68" t="str">
        <f>"22"</f>
        <v>22</v>
      </c>
      <c r="C7" s="86" t="str">
        <f>"柯重安"</f>
        <v>柯重安</v>
      </c>
      <c r="D7" s="69">
        <v>41845</v>
      </c>
      <c r="E7" s="70" t="s">
        <v>922</v>
      </c>
      <c r="F7" s="71">
        <v>10000</v>
      </c>
      <c r="G7" s="72">
        <v>25</v>
      </c>
      <c r="H7" s="72">
        <f t="shared" si="0"/>
        <v>250000</v>
      </c>
      <c r="I7" s="67" t="s">
        <v>1181</v>
      </c>
      <c r="J7" s="69">
        <v>41845</v>
      </c>
      <c r="K7" s="72">
        <f t="shared" si="1"/>
        <v>250000</v>
      </c>
      <c r="L7" s="87"/>
    </row>
    <row r="8" spans="1:12" ht="34.5" customHeight="1">
      <c r="A8" s="68" t="s">
        <v>926</v>
      </c>
      <c r="B8" s="68" t="str">
        <f>"284"</f>
        <v>284</v>
      </c>
      <c r="C8" s="86" t="str">
        <f>"林慶華"</f>
        <v>林慶華</v>
      </c>
      <c r="D8" s="69">
        <v>41845</v>
      </c>
      <c r="E8" s="70" t="s">
        <v>922</v>
      </c>
      <c r="F8" s="71">
        <v>3000</v>
      </c>
      <c r="G8" s="72">
        <v>25</v>
      </c>
      <c r="H8" s="72">
        <f t="shared" si="0"/>
        <v>75000</v>
      </c>
      <c r="I8" s="67" t="s">
        <v>1181</v>
      </c>
      <c r="J8" s="69">
        <v>41845</v>
      </c>
      <c r="K8" s="72">
        <f t="shared" si="1"/>
        <v>75000</v>
      </c>
      <c r="L8" s="87"/>
    </row>
    <row r="9" spans="1:12" ht="34.5" customHeight="1">
      <c r="A9" s="68" t="s">
        <v>927</v>
      </c>
      <c r="B9" s="68" t="str">
        <f>"400"</f>
        <v>400</v>
      </c>
      <c r="C9" s="86" t="str">
        <f>"莊心然"</f>
        <v>莊心然</v>
      </c>
      <c r="D9" s="69">
        <v>41848</v>
      </c>
      <c r="E9" s="70" t="s">
        <v>922</v>
      </c>
      <c r="F9" s="71">
        <v>2000</v>
      </c>
      <c r="G9" s="72">
        <v>25</v>
      </c>
      <c r="H9" s="72">
        <f t="shared" si="0"/>
        <v>50000</v>
      </c>
      <c r="I9" s="67" t="s">
        <v>1181</v>
      </c>
      <c r="J9" s="69">
        <v>41848</v>
      </c>
      <c r="K9" s="72">
        <f t="shared" si="1"/>
        <v>50000</v>
      </c>
      <c r="L9" s="87"/>
    </row>
    <row r="10" spans="1:12" ht="34.5" customHeight="1">
      <c r="A10" s="68" t="s">
        <v>928</v>
      </c>
      <c r="B10" s="68" t="str">
        <f>"90"</f>
        <v>90</v>
      </c>
      <c r="C10" s="86" t="str">
        <f>"施锝岷"</f>
        <v>施锝岷</v>
      </c>
      <c r="D10" s="69">
        <v>41848</v>
      </c>
      <c r="E10" s="70" t="s">
        <v>922</v>
      </c>
      <c r="F10" s="71">
        <v>2000</v>
      </c>
      <c r="G10" s="72">
        <v>25</v>
      </c>
      <c r="H10" s="72">
        <f t="shared" si="0"/>
        <v>50000</v>
      </c>
      <c r="I10" s="67" t="s">
        <v>1181</v>
      </c>
      <c r="J10" s="69">
        <v>41848</v>
      </c>
      <c r="K10" s="72">
        <f t="shared" si="1"/>
        <v>50000</v>
      </c>
      <c r="L10" s="87"/>
    </row>
    <row r="11" spans="1:12" ht="34.5" customHeight="1">
      <c r="A11" s="68" t="s">
        <v>929</v>
      </c>
      <c r="B11" s="68" t="str">
        <f>"33"</f>
        <v>33</v>
      </c>
      <c r="C11" s="86" t="str">
        <f>"傅應龍"</f>
        <v>傅應龍</v>
      </c>
      <c r="D11" s="69">
        <v>41848</v>
      </c>
      <c r="E11" s="70" t="s">
        <v>922</v>
      </c>
      <c r="F11" s="71">
        <v>12000</v>
      </c>
      <c r="G11" s="72">
        <v>25</v>
      </c>
      <c r="H11" s="72">
        <f t="shared" si="0"/>
        <v>300000</v>
      </c>
      <c r="I11" s="67" t="s">
        <v>1181</v>
      </c>
      <c r="J11" s="69">
        <v>41848</v>
      </c>
      <c r="K11" s="72">
        <f t="shared" si="1"/>
        <v>300000</v>
      </c>
      <c r="L11" s="87"/>
    </row>
    <row r="12" spans="1:12" ht="34.5" customHeight="1">
      <c r="A12" s="68" t="s">
        <v>930</v>
      </c>
      <c r="B12" s="68" t="str">
        <f>"15"</f>
        <v>15</v>
      </c>
      <c r="C12" s="86" t="str">
        <f>"劉子鵬"</f>
        <v>劉子鵬</v>
      </c>
      <c r="D12" s="69">
        <v>41848</v>
      </c>
      <c r="E12" s="70" t="s">
        <v>922</v>
      </c>
      <c r="F12" s="71">
        <v>16000</v>
      </c>
      <c r="G12" s="72">
        <v>25</v>
      </c>
      <c r="H12" s="72">
        <f t="shared" si="0"/>
        <v>400000</v>
      </c>
      <c r="I12" s="67" t="s">
        <v>1181</v>
      </c>
      <c r="J12" s="69">
        <v>41848</v>
      </c>
      <c r="K12" s="72">
        <f t="shared" si="1"/>
        <v>400000</v>
      </c>
      <c r="L12" s="87"/>
    </row>
    <row r="13" spans="1:12" ht="34.5" customHeight="1">
      <c r="A13" s="68" t="s">
        <v>931</v>
      </c>
      <c r="B13" s="68" t="str">
        <f>"163"</f>
        <v>163</v>
      </c>
      <c r="C13" s="86" t="str">
        <f>"郭連興"</f>
        <v>郭連興</v>
      </c>
      <c r="D13" s="69">
        <v>41848</v>
      </c>
      <c r="E13" s="70" t="s">
        <v>922</v>
      </c>
      <c r="F13" s="71">
        <v>1000</v>
      </c>
      <c r="G13" s="72">
        <v>25</v>
      </c>
      <c r="H13" s="72">
        <f t="shared" si="0"/>
        <v>25000</v>
      </c>
      <c r="I13" s="67" t="s">
        <v>1181</v>
      </c>
      <c r="J13" s="69">
        <v>41848</v>
      </c>
      <c r="K13" s="72">
        <f t="shared" si="1"/>
        <v>25000</v>
      </c>
      <c r="L13" s="87"/>
    </row>
    <row r="14" spans="1:12" ht="34.5" customHeight="1">
      <c r="A14" s="68" t="s">
        <v>932</v>
      </c>
      <c r="B14" s="68" t="str">
        <f>"250"</f>
        <v>250</v>
      </c>
      <c r="C14" s="86" t="str">
        <f>"吳柏羽"</f>
        <v>吳柏羽</v>
      </c>
      <c r="D14" s="69">
        <v>41848</v>
      </c>
      <c r="E14" s="70" t="s">
        <v>922</v>
      </c>
      <c r="F14" s="71">
        <v>5000</v>
      </c>
      <c r="G14" s="72">
        <v>25</v>
      </c>
      <c r="H14" s="72">
        <f t="shared" si="0"/>
        <v>125000</v>
      </c>
      <c r="I14" s="67" t="s">
        <v>1181</v>
      </c>
      <c r="J14" s="69">
        <v>41848</v>
      </c>
      <c r="K14" s="72">
        <f t="shared" si="1"/>
        <v>125000</v>
      </c>
      <c r="L14" s="87"/>
    </row>
    <row r="15" spans="1:12" ht="34.5" customHeight="1">
      <c r="A15" s="68" t="s">
        <v>933</v>
      </c>
      <c r="B15" s="68" t="str">
        <f>"235"</f>
        <v>235</v>
      </c>
      <c r="C15" s="86" t="str">
        <f>"江志賢"</f>
        <v>江志賢</v>
      </c>
      <c r="D15" s="69">
        <v>41848</v>
      </c>
      <c r="E15" s="70" t="s">
        <v>922</v>
      </c>
      <c r="F15" s="71">
        <v>1000</v>
      </c>
      <c r="G15" s="72">
        <v>25</v>
      </c>
      <c r="H15" s="72">
        <f t="shared" si="0"/>
        <v>25000</v>
      </c>
      <c r="I15" s="67" t="s">
        <v>1181</v>
      </c>
      <c r="J15" s="69">
        <v>41848</v>
      </c>
      <c r="K15" s="72">
        <f t="shared" si="1"/>
        <v>25000</v>
      </c>
      <c r="L15" s="87"/>
    </row>
    <row r="16" spans="1:12" ht="34.5" customHeight="1">
      <c r="A16" s="68" t="s">
        <v>934</v>
      </c>
      <c r="B16" s="68" t="str">
        <f>"363"</f>
        <v>363</v>
      </c>
      <c r="C16" s="86" t="str">
        <f>"李渝倬"</f>
        <v>李渝倬</v>
      </c>
      <c r="D16" s="69">
        <v>41848</v>
      </c>
      <c r="E16" s="70" t="s">
        <v>922</v>
      </c>
      <c r="F16" s="71">
        <v>2000</v>
      </c>
      <c r="G16" s="72">
        <v>25</v>
      </c>
      <c r="H16" s="72">
        <f t="shared" si="0"/>
        <v>50000</v>
      </c>
      <c r="I16" s="67" t="s">
        <v>1181</v>
      </c>
      <c r="J16" s="69">
        <v>41848</v>
      </c>
      <c r="K16" s="72">
        <f t="shared" si="1"/>
        <v>50000</v>
      </c>
      <c r="L16" s="87"/>
    </row>
    <row r="17" spans="1:12" ht="34.5" customHeight="1">
      <c r="A17" s="68" t="s">
        <v>935</v>
      </c>
      <c r="B17" s="68" t="str">
        <f>"67"</f>
        <v>67</v>
      </c>
      <c r="C17" s="86" t="str">
        <f>"黃麗娟"</f>
        <v>黃麗娟</v>
      </c>
      <c r="D17" s="69">
        <v>41848</v>
      </c>
      <c r="E17" s="70" t="s">
        <v>922</v>
      </c>
      <c r="F17" s="71">
        <v>1000</v>
      </c>
      <c r="G17" s="72">
        <v>25</v>
      </c>
      <c r="H17" s="72">
        <f t="shared" si="0"/>
        <v>25000</v>
      </c>
      <c r="I17" s="67" t="s">
        <v>1181</v>
      </c>
      <c r="J17" s="69">
        <v>41848</v>
      </c>
      <c r="K17" s="72">
        <f t="shared" si="1"/>
        <v>25000</v>
      </c>
      <c r="L17" s="87"/>
    </row>
    <row r="18" spans="1:12" ht="34.5" customHeight="1">
      <c r="A18" s="68" t="s">
        <v>936</v>
      </c>
      <c r="B18" s="68" t="str">
        <f>"150"</f>
        <v>150</v>
      </c>
      <c r="C18" s="86" t="str">
        <f>"劉石振"</f>
        <v>劉石振</v>
      </c>
      <c r="D18" s="69">
        <v>41848</v>
      </c>
      <c r="E18" s="70" t="s">
        <v>922</v>
      </c>
      <c r="F18" s="71">
        <v>4000</v>
      </c>
      <c r="G18" s="72">
        <v>25</v>
      </c>
      <c r="H18" s="72">
        <f t="shared" si="0"/>
        <v>100000</v>
      </c>
      <c r="I18" s="67" t="s">
        <v>1181</v>
      </c>
      <c r="J18" s="69">
        <v>41848</v>
      </c>
      <c r="K18" s="72">
        <f t="shared" si="1"/>
        <v>100000</v>
      </c>
      <c r="L18" s="87"/>
    </row>
    <row r="19" spans="1:12" ht="34.5" customHeight="1">
      <c r="A19" s="68" t="s">
        <v>937</v>
      </c>
      <c r="B19" s="68" t="str">
        <f>"107"</f>
        <v>107</v>
      </c>
      <c r="C19" s="86" t="str">
        <f>"魏哲云"</f>
        <v>魏哲云</v>
      </c>
      <c r="D19" s="69">
        <v>41848</v>
      </c>
      <c r="E19" s="70" t="s">
        <v>922</v>
      </c>
      <c r="F19" s="71">
        <v>1000</v>
      </c>
      <c r="G19" s="72">
        <v>25</v>
      </c>
      <c r="H19" s="72">
        <f t="shared" si="0"/>
        <v>25000</v>
      </c>
      <c r="I19" s="67" t="s">
        <v>1181</v>
      </c>
      <c r="J19" s="69">
        <v>41848</v>
      </c>
      <c r="K19" s="72">
        <f t="shared" si="1"/>
        <v>25000</v>
      </c>
      <c r="L19" s="87"/>
    </row>
    <row r="20" spans="1:12" ht="17.25" customHeight="1">
      <c r="A20" s="255" t="s">
        <v>938</v>
      </c>
      <c r="B20" s="255" t="str">
        <f>"48"</f>
        <v>48</v>
      </c>
      <c r="C20" s="258" t="str">
        <f>"余忠實"</f>
        <v>余忠實</v>
      </c>
      <c r="D20" s="255" t="s">
        <v>939</v>
      </c>
      <c r="E20" s="255" t="s">
        <v>922</v>
      </c>
      <c r="F20" s="261">
        <v>16000</v>
      </c>
      <c r="G20" s="264">
        <v>25</v>
      </c>
      <c r="H20" s="264">
        <f>F20*G20</f>
        <v>400000</v>
      </c>
      <c r="I20" s="67" t="s">
        <v>1181</v>
      </c>
      <c r="J20" s="267" t="s">
        <v>939</v>
      </c>
      <c r="K20" s="270">
        <v>400000</v>
      </c>
      <c r="L20" s="88" t="s">
        <v>940</v>
      </c>
    </row>
    <row r="21" spans="1:12" ht="16.5" customHeight="1">
      <c r="A21" s="256"/>
      <c r="B21" s="256"/>
      <c r="C21" s="259"/>
      <c r="D21" s="256"/>
      <c r="E21" s="256"/>
      <c r="F21" s="262"/>
      <c r="G21" s="265"/>
      <c r="H21" s="265"/>
      <c r="I21" s="67" t="s">
        <v>1181</v>
      </c>
      <c r="J21" s="268"/>
      <c r="K21" s="271"/>
      <c r="L21" s="88" t="s">
        <v>941</v>
      </c>
    </row>
    <row r="22" spans="1:12" ht="16.5" customHeight="1">
      <c r="A22" s="257"/>
      <c r="B22" s="257"/>
      <c r="C22" s="260"/>
      <c r="D22" s="257"/>
      <c r="E22" s="257"/>
      <c r="F22" s="263"/>
      <c r="G22" s="266"/>
      <c r="H22" s="266"/>
      <c r="I22" s="67" t="s">
        <v>1181</v>
      </c>
      <c r="J22" s="269"/>
      <c r="K22" s="272"/>
      <c r="L22" s="88" t="s">
        <v>942</v>
      </c>
    </row>
    <row r="23" spans="1:12" ht="34.5" customHeight="1">
      <c r="A23" s="68" t="s">
        <v>943</v>
      </c>
      <c r="B23" s="68" t="str">
        <f>"227"</f>
        <v>227</v>
      </c>
      <c r="C23" s="86" t="str">
        <f>"郭鳳晴"</f>
        <v>郭鳳晴</v>
      </c>
      <c r="D23" s="69">
        <v>41848</v>
      </c>
      <c r="E23" s="70" t="s">
        <v>922</v>
      </c>
      <c r="F23" s="71">
        <v>2000</v>
      </c>
      <c r="G23" s="72">
        <v>25</v>
      </c>
      <c r="H23" s="72">
        <f>F23*G23</f>
        <v>50000</v>
      </c>
      <c r="I23" s="67" t="s">
        <v>1181</v>
      </c>
      <c r="J23" s="69">
        <v>41848</v>
      </c>
      <c r="K23" s="72">
        <f>H23</f>
        <v>50000</v>
      </c>
      <c r="L23" s="87"/>
    </row>
    <row r="24" spans="1:12" ht="34.5" customHeight="1">
      <c r="A24" s="68" t="s">
        <v>944</v>
      </c>
      <c r="B24" s="68" t="str">
        <f>"315"</f>
        <v>315</v>
      </c>
      <c r="C24" s="86" t="str">
        <f xml:space="preserve">  "   陳姷女勻"</f>
        <v xml:space="preserve">   陳姷女勻</v>
      </c>
      <c r="D24" s="69">
        <v>41849</v>
      </c>
      <c r="E24" s="70" t="s">
        <v>922</v>
      </c>
      <c r="F24" s="71">
        <v>5000</v>
      </c>
      <c r="G24" s="72">
        <v>25</v>
      </c>
      <c r="H24" s="72">
        <f t="shared" ref="H24:H87" si="2">F24*G24</f>
        <v>125000</v>
      </c>
      <c r="I24" s="67" t="s">
        <v>1181</v>
      </c>
      <c r="J24" s="69">
        <v>41849</v>
      </c>
      <c r="K24" s="72">
        <f t="shared" ref="K24:K87" si="3">H24</f>
        <v>125000</v>
      </c>
      <c r="L24" s="87"/>
    </row>
    <row r="25" spans="1:12" ht="34.5" customHeight="1">
      <c r="A25" s="68" t="s">
        <v>945</v>
      </c>
      <c r="B25" s="68" t="str">
        <f>"196"</f>
        <v>196</v>
      </c>
      <c r="C25" s="86" t="str">
        <f>"何彩綢"</f>
        <v>何彩綢</v>
      </c>
      <c r="D25" s="69">
        <v>41849</v>
      </c>
      <c r="E25" s="70" t="s">
        <v>922</v>
      </c>
      <c r="F25" s="71">
        <v>3000</v>
      </c>
      <c r="G25" s="72">
        <v>25</v>
      </c>
      <c r="H25" s="72">
        <f t="shared" si="2"/>
        <v>75000</v>
      </c>
      <c r="I25" s="67" t="s">
        <v>1181</v>
      </c>
      <c r="J25" s="69">
        <v>41849</v>
      </c>
      <c r="K25" s="72">
        <f t="shared" si="3"/>
        <v>75000</v>
      </c>
      <c r="L25" s="87"/>
    </row>
    <row r="26" spans="1:12" ht="34.5" customHeight="1">
      <c r="A26" s="68" t="s">
        <v>946</v>
      </c>
      <c r="B26" s="68" t="str">
        <f>"409"</f>
        <v>409</v>
      </c>
      <c r="C26" s="86" t="str">
        <f>"劉素芬"</f>
        <v>劉素芬</v>
      </c>
      <c r="D26" s="69">
        <v>41849</v>
      </c>
      <c r="E26" s="70" t="s">
        <v>922</v>
      </c>
      <c r="F26" s="71">
        <v>10000</v>
      </c>
      <c r="G26" s="72">
        <v>25</v>
      </c>
      <c r="H26" s="72">
        <f t="shared" si="2"/>
        <v>250000</v>
      </c>
      <c r="I26" s="67" t="s">
        <v>1181</v>
      </c>
      <c r="J26" s="69">
        <v>41849</v>
      </c>
      <c r="K26" s="72">
        <f t="shared" si="3"/>
        <v>250000</v>
      </c>
      <c r="L26" s="87"/>
    </row>
    <row r="27" spans="1:12" ht="34.5" customHeight="1">
      <c r="A27" s="68" t="s">
        <v>947</v>
      </c>
      <c r="B27" s="68" t="str">
        <f>"164"</f>
        <v>164</v>
      </c>
      <c r="C27" s="86" t="str">
        <f>"吳劉素琴"</f>
        <v>吳劉素琴</v>
      </c>
      <c r="D27" s="69">
        <v>41849</v>
      </c>
      <c r="E27" s="70" t="s">
        <v>922</v>
      </c>
      <c r="F27" s="71">
        <v>10000</v>
      </c>
      <c r="G27" s="72">
        <v>25</v>
      </c>
      <c r="H27" s="72">
        <f t="shared" si="2"/>
        <v>250000</v>
      </c>
      <c r="I27" s="67" t="s">
        <v>1181</v>
      </c>
      <c r="J27" s="69">
        <v>41849</v>
      </c>
      <c r="K27" s="72">
        <f t="shared" si="3"/>
        <v>250000</v>
      </c>
      <c r="L27" s="87"/>
    </row>
    <row r="28" spans="1:12" ht="34.5" customHeight="1">
      <c r="A28" s="68" t="s">
        <v>948</v>
      </c>
      <c r="B28" s="68" t="str">
        <f>"395"</f>
        <v>395</v>
      </c>
      <c r="C28" s="86" t="str">
        <f>"陳沅池"</f>
        <v>陳沅池</v>
      </c>
      <c r="D28" s="69">
        <v>41849</v>
      </c>
      <c r="E28" s="70" t="s">
        <v>922</v>
      </c>
      <c r="F28" s="71">
        <v>3000</v>
      </c>
      <c r="G28" s="72">
        <v>25</v>
      </c>
      <c r="H28" s="72">
        <f t="shared" si="2"/>
        <v>75000</v>
      </c>
      <c r="I28" s="67" t="s">
        <v>1181</v>
      </c>
      <c r="J28" s="69">
        <v>41849</v>
      </c>
      <c r="K28" s="72">
        <f t="shared" si="3"/>
        <v>75000</v>
      </c>
      <c r="L28" s="87"/>
    </row>
    <row r="29" spans="1:12" ht="34.5" customHeight="1">
      <c r="A29" s="68" t="s">
        <v>949</v>
      </c>
      <c r="B29" s="68" t="str">
        <f>"314"</f>
        <v>314</v>
      </c>
      <c r="C29" s="86" t="str">
        <f>"謝秋琴"</f>
        <v>謝秋琴</v>
      </c>
      <c r="D29" s="69">
        <v>41849</v>
      </c>
      <c r="E29" s="70" t="s">
        <v>922</v>
      </c>
      <c r="F29" s="71">
        <v>3000</v>
      </c>
      <c r="G29" s="72">
        <v>25</v>
      </c>
      <c r="H29" s="72">
        <f t="shared" si="2"/>
        <v>75000</v>
      </c>
      <c r="I29" s="67" t="s">
        <v>1181</v>
      </c>
      <c r="J29" s="69">
        <v>41849</v>
      </c>
      <c r="K29" s="72">
        <f t="shared" si="3"/>
        <v>75000</v>
      </c>
      <c r="L29" s="87"/>
    </row>
    <row r="30" spans="1:12" ht="34.5" customHeight="1">
      <c r="A30" s="68" t="s">
        <v>950</v>
      </c>
      <c r="B30" s="68" t="str">
        <f>"148"</f>
        <v>148</v>
      </c>
      <c r="C30" s="86" t="str">
        <f>"陳萍實"</f>
        <v>陳萍實</v>
      </c>
      <c r="D30" s="69">
        <v>41849</v>
      </c>
      <c r="E30" s="70" t="s">
        <v>922</v>
      </c>
      <c r="F30" s="71">
        <v>10000</v>
      </c>
      <c r="G30" s="72">
        <v>25</v>
      </c>
      <c r="H30" s="72">
        <f t="shared" si="2"/>
        <v>250000</v>
      </c>
      <c r="I30" s="67" t="s">
        <v>1181</v>
      </c>
      <c r="J30" s="69">
        <v>41849</v>
      </c>
      <c r="K30" s="72">
        <f t="shared" si="3"/>
        <v>250000</v>
      </c>
      <c r="L30" s="87"/>
    </row>
    <row r="31" spans="1:12" ht="34.5" customHeight="1">
      <c r="A31" s="68" t="s">
        <v>951</v>
      </c>
      <c r="B31" s="68" t="str">
        <f>"310"</f>
        <v>310</v>
      </c>
      <c r="C31" s="86" t="str">
        <f>"鍾毓珊"</f>
        <v>鍾毓珊</v>
      </c>
      <c r="D31" s="69">
        <v>41849</v>
      </c>
      <c r="E31" s="70" t="s">
        <v>922</v>
      </c>
      <c r="F31" s="71">
        <v>2000</v>
      </c>
      <c r="G31" s="72">
        <v>25</v>
      </c>
      <c r="H31" s="72">
        <f t="shared" si="2"/>
        <v>50000</v>
      </c>
      <c r="I31" s="67" t="s">
        <v>1181</v>
      </c>
      <c r="J31" s="69">
        <v>41849</v>
      </c>
      <c r="K31" s="72">
        <f t="shared" si="3"/>
        <v>50000</v>
      </c>
      <c r="L31" s="87"/>
    </row>
    <row r="32" spans="1:12" ht="34.5" customHeight="1">
      <c r="A32" s="68" t="s">
        <v>952</v>
      </c>
      <c r="B32" s="68" t="str">
        <f>"255"</f>
        <v>255</v>
      </c>
      <c r="C32" s="86" t="str">
        <f>"陳鄧秀讓"</f>
        <v>陳鄧秀讓</v>
      </c>
      <c r="D32" s="69">
        <v>41849</v>
      </c>
      <c r="E32" s="70" t="s">
        <v>922</v>
      </c>
      <c r="F32" s="71">
        <v>10000</v>
      </c>
      <c r="G32" s="72">
        <v>25</v>
      </c>
      <c r="H32" s="72">
        <f t="shared" si="2"/>
        <v>250000</v>
      </c>
      <c r="I32" s="67" t="s">
        <v>1181</v>
      </c>
      <c r="J32" s="69">
        <v>41849</v>
      </c>
      <c r="K32" s="72">
        <f t="shared" si="3"/>
        <v>250000</v>
      </c>
      <c r="L32" s="87"/>
    </row>
    <row r="33" spans="1:12" ht="34.5" customHeight="1">
      <c r="A33" s="68" t="s">
        <v>953</v>
      </c>
      <c r="B33" s="68" t="str">
        <f>"300"</f>
        <v>300</v>
      </c>
      <c r="C33" s="86" t="str">
        <f>"楊進義"</f>
        <v>楊進義</v>
      </c>
      <c r="D33" s="69">
        <v>41849</v>
      </c>
      <c r="E33" s="70" t="s">
        <v>922</v>
      </c>
      <c r="F33" s="71">
        <v>5000</v>
      </c>
      <c r="G33" s="72">
        <v>25</v>
      </c>
      <c r="H33" s="72">
        <f t="shared" si="2"/>
        <v>125000</v>
      </c>
      <c r="I33" s="67" t="s">
        <v>1181</v>
      </c>
      <c r="J33" s="69">
        <v>41849</v>
      </c>
      <c r="K33" s="72">
        <f t="shared" si="3"/>
        <v>125000</v>
      </c>
      <c r="L33" s="87"/>
    </row>
    <row r="34" spans="1:12" ht="34.5" customHeight="1">
      <c r="A34" s="68" t="s">
        <v>954</v>
      </c>
      <c r="B34" s="68" t="str">
        <f>"42"</f>
        <v>42</v>
      </c>
      <c r="C34" s="86" t="str">
        <f>"羅家炎"</f>
        <v>羅家炎</v>
      </c>
      <c r="D34" s="69">
        <v>41849</v>
      </c>
      <c r="E34" s="70" t="s">
        <v>922</v>
      </c>
      <c r="F34" s="71">
        <v>20000</v>
      </c>
      <c r="G34" s="72">
        <v>25</v>
      </c>
      <c r="H34" s="72">
        <f t="shared" si="2"/>
        <v>500000</v>
      </c>
      <c r="I34" s="67" t="s">
        <v>1181</v>
      </c>
      <c r="J34" s="69">
        <v>41849</v>
      </c>
      <c r="K34" s="72">
        <f t="shared" si="3"/>
        <v>500000</v>
      </c>
      <c r="L34" s="87"/>
    </row>
    <row r="35" spans="1:12" ht="34.5" customHeight="1">
      <c r="A35" s="68" t="s">
        <v>955</v>
      </c>
      <c r="B35" s="68" t="str">
        <f>"377"</f>
        <v>377</v>
      </c>
      <c r="C35" s="86" t="str">
        <f>"莊美琪"</f>
        <v>莊美琪</v>
      </c>
      <c r="D35" s="69">
        <v>41849</v>
      </c>
      <c r="E35" s="70" t="s">
        <v>922</v>
      </c>
      <c r="F35" s="71">
        <v>4000</v>
      </c>
      <c r="G35" s="72">
        <v>25</v>
      </c>
      <c r="H35" s="72">
        <f t="shared" si="2"/>
        <v>100000</v>
      </c>
      <c r="I35" s="67" t="s">
        <v>1181</v>
      </c>
      <c r="J35" s="69">
        <v>41849</v>
      </c>
      <c r="K35" s="72">
        <f t="shared" si="3"/>
        <v>100000</v>
      </c>
      <c r="L35" s="87"/>
    </row>
    <row r="36" spans="1:12" ht="34.5" customHeight="1">
      <c r="A36" s="68" t="s">
        <v>956</v>
      </c>
      <c r="B36" s="68" t="str">
        <f>"240"</f>
        <v>240</v>
      </c>
      <c r="C36" s="86" t="str">
        <f>"黃賓"</f>
        <v>黃賓</v>
      </c>
      <c r="D36" s="69">
        <v>41849</v>
      </c>
      <c r="E36" s="70" t="s">
        <v>922</v>
      </c>
      <c r="F36" s="71">
        <v>2000</v>
      </c>
      <c r="G36" s="72">
        <v>25</v>
      </c>
      <c r="H36" s="72">
        <f t="shared" si="2"/>
        <v>50000</v>
      </c>
      <c r="I36" s="67" t="s">
        <v>1181</v>
      </c>
      <c r="J36" s="69">
        <v>41849</v>
      </c>
      <c r="K36" s="72">
        <f t="shared" si="3"/>
        <v>50000</v>
      </c>
      <c r="L36" s="87"/>
    </row>
    <row r="37" spans="1:12" ht="34.5" customHeight="1">
      <c r="A37" s="68" t="s">
        <v>957</v>
      </c>
      <c r="B37" s="68" t="str">
        <f>"201"</f>
        <v>201</v>
      </c>
      <c r="C37" s="86" t="str">
        <f>"湯美珍"</f>
        <v>湯美珍</v>
      </c>
      <c r="D37" s="69">
        <v>41849</v>
      </c>
      <c r="E37" s="70" t="s">
        <v>922</v>
      </c>
      <c r="F37" s="71">
        <v>1000</v>
      </c>
      <c r="G37" s="72">
        <v>25</v>
      </c>
      <c r="H37" s="72">
        <f t="shared" si="2"/>
        <v>25000</v>
      </c>
      <c r="I37" s="67" t="s">
        <v>1181</v>
      </c>
      <c r="J37" s="69">
        <v>41849</v>
      </c>
      <c r="K37" s="72">
        <f t="shared" si="3"/>
        <v>25000</v>
      </c>
      <c r="L37" s="87"/>
    </row>
    <row r="38" spans="1:12" ht="34.5" customHeight="1">
      <c r="A38" s="68" t="s">
        <v>958</v>
      </c>
      <c r="B38" s="68" t="str">
        <f>"341"</f>
        <v>341</v>
      </c>
      <c r="C38" s="86" t="str">
        <f>"何正民"</f>
        <v>何正民</v>
      </c>
      <c r="D38" s="69">
        <v>41849</v>
      </c>
      <c r="E38" s="70" t="s">
        <v>922</v>
      </c>
      <c r="F38" s="71">
        <v>5000</v>
      </c>
      <c r="G38" s="72">
        <v>25</v>
      </c>
      <c r="H38" s="72">
        <f t="shared" si="2"/>
        <v>125000</v>
      </c>
      <c r="I38" s="67" t="s">
        <v>1181</v>
      </c>
      <c r="J38" s="69">
        <v>41849</v>
      </c>
      <c r="K38" s="72">
        <f t="shared" si="3"/>
        <v>125000</v>
      </c>
      <c r="L38" s="87"/>
    </row>
    <row r="39" spans="1:12" ht="34.5" customHeight="1">
      <c r="A39" s="68" t="s">
        <v>959</v>
      </c>
      <c r="B39" s="68" t="str">
        <f>"12"</f>
        <v>12</v>
      </c>
      <c r="C39" s="86" t="str">
        <f>"曾榮鑾"</f>
        <v>曾榮鑾</v>
      </c>
      <c r="D39" s="69">
        <v>41849</v>
      </c>
      <c r="E39" s="70" t="s">
        <v>922</v>
      </c>
      <c r="F39" s="71">
        <v>2000</v>
      </c>
      <c r="G39" s="72">
        <v>25</v>
      </c>
      <c r="H39" s="72">
        <f t="shared" si="2"/>
        <v>50000</v>
      </c>
      <c r="I39" s="67" t="s">
        <v>1181</v>
      </c>
      <c r="J39" s="69">
        <v>41849</v>
      </c>
      <c r="K39" s="72">
        <f t="shared" si="3"/>
        <v>50000</v>
      </c>
      <c r="L39" s="87"/>
    </row>
    <row r="40" spans="1:12" ht="34.5" customHeight="1">
      <c r="A40" s="68" t="s">
        <v>960</v>
      </c>
      <c r="B40" s="68" t="str">
        <f>"261"</f>
        <v>261</v>
      </c>
      <c r="C40" s="86" t="str">
        <f>"郭德茂"</f>
        <v>郭德茂</v>
      </c>
      <c r="D40" s="69">
        <v>41849</v>
      </c>
      <c r="E40" s="70" t="s">
        <v>922</v>
      </c>
      <c r="F40" s="71">
        <v>1000</v>
      </c>
      <c r="G40" s="72">
        <v>25</v>
      </c>
      <c r="H40" s="72">
        <f t="shared" si="2"/>
        <v>25000</v>
      </c>
      <c r="I40" s="67" t="s">
        <v>1181</v>
      </c>
      <c r="J40" s="69">
        <v>41849</v>
      </c>
      <c r="K40" s="72">
        <f t="shared" si="3"/>
        <v>25000</v>
      </c>
      <c r="L40" s="87"/>
    </row>
    <row r="41" spans="1:12" ht="34.5" customHeight="1">
      <c r="A41" s="68" t="s">
        <v>961</v>
      </c>
      <c r="B41" s="68" t="str">
        <f>"161"</f>
        <v>161</v>
      </c>
      <c r="C41" s="86" t="str">
        <f>"陳坤禮"</f>
        <v>陳坤禮</v>
      </c>
      <c r="D41" s="69">
        <v>41849</v>
      </c>
      <c r="E41" s="70" t="s">
        <v>922</v>
      </c>
      <c r="F41" s="71">
        <v>3000</v>
      </c>
      <c r="G41" s="72">
        <v>25</v>
      </c>
      <c r="H41" s="72">
        <f t="shared" si="2"/>
        <v>75000</v>
      </c>
      <c r="I41" s="67" t="s">
        <v>1181</v>
      </c>
      <c r="J41" s="69">
        <v>41849</v>
      </c>
      <c r="K41" s="72">
        <f t="shared" si="3"/>
        <v>75000</v>
      </c>
      <c r="L41" s="87"/>
    </row>
    <row r="42" spans="1:12" ht="34.5" customHeight="1">
      <c r="A42" s="68" t="s">
        <v>962</v>
      </c>
      <c r="B42" s="68" t="str">
        <f>"305"</f>
        <v>305</v>
      </c>
      <c r="C42" s="86" t="str">
        <f>"邱綉珍"</f>
        <v>邱綉珍</v>
      </c>
      <c r="D42" s="69">
        <v>41849</v>
      </c>
      <c r="E42" s="70" t="s">
        <v>922</v>
      </c>
      <c r="F42" s="71">
        <v>7000</v>
      </c>
      <c r="G42" s="72">
        <v>25</v>
      </c>
      <c r="H42" s="72">
        <f t="shared" si="2"/>
        <v>175000</v>
      </c>
      <c r="I42" s="67" t="s">
        <v>1181</v>
      </c>
      <c r="J42" s="69">
        <v>41849</v>
      </c>
      <c r="K42" s="72">
        <f t="shared" si="3"/>
        <v>175000</v>
      </c>
      <c r="L42" s="87"/>
    </row>
    <row r="43" spans="1:12" ht="34.5" customHeight="1">
      <c r="A43" s="68" t="s">
        <v>963</v>
      </c>
      <c r="B43" s="68" t="str">
        <f>"66"</f>
        <v>66</v>
      </c>
      <c r="C43" s="86" t="str">
        <f>"陳沁琇"</f>
        <v>陳沁琇</v>
      </c>
      <c r="D43" s="69">
        <v>41850</v>
      </c>
      <c r="E43" s="70" t="s">
        <v>922</v>
      </c>
      <c r="F43" s="71">
        <v>5000</v>
      </c>
      <c r="G43" s="72">
        <v>25</v>
      </c>
      <c r="H43" s="72">
        <f t="shared" si="2"/>
        <v>125000</v>
      </c>
      <c r="I43" s="67" t="s">
        <v>1181</v>
      </c>
      <c r="J43" s="69">
        <v>41850</v>
      </c>
      <c r="K43" s="72">
        <f t="shared" si="3"/>
        <v>125000</v>
      </c>
      <c r="L43" s="87"/>
    </row>
    <row r="44" spans="1:12" ht="34.5" customHeight="1">
      <c r="A44" s="68" t="s">
        <v>964</v>
      </c>
      <c r="B44" s="68" t="str">
        <f>"103"</f>
        <v>103</v>
      </c>
      <c r="C44" s="86" t="str">
        <f>"鄭彩惠"</f>
        <v>鄭彩惠</v>
      </c>
      <c r="D44" s="69">
        <v>41850</v>
      </c>
      <c r="E44" s="70" t="s">
        <v>922</v>
      </c>
      <c r="F44" s="71">
        <v>1000</v>
      </c>
      <c r="G44" s="72">
        <v>25</v>
      </c>
      <c r="H44" s="72">
        <f t="shared" si="2"/>
        <v>25000</v>
      </c>
      <c r="I44" s="67" t="s">
        <v>1181</v>
      </c>
      <c r="J44" s="69">
        <v>41850</v>
      </c>
      <c r="K44" s="72">
        <f t="shared" si="3"/>
        <v>25000</v>
      </c>
      <c r="L44" s="87"/>
    </row>
    <row r="45" spans="1:12" ht="34.5" customHeight="1">
      <c r="A45" s="68" t="s">
        <v>965</v>
      </c>
      <c r="B45" s="68" t="str">
        <f>"69"</f>
        <v>69</v>
      </c>
      <c r="C45" s="86" t="str">
        <f>"林安安"</f>
        <v>林安安</v>
      </c>
      <c r="D45" s="69">
        <v>41850</v>
      </c>
      <c r="E45" s="70" t="s">
        <v>922</v>
      </c>
      <c r="F45" s="71">
        <v>5000</v>
      </c>
      <c r="G45" s="72">
        <v>25</v>
      </c>
      <c r="H45" s="72">
        <f t="shared" si="2"/>
        <v>125000</v>
      </c>
      <c r="I45" s="67" t="s">
        <v>1181</v>
      </c>
      <c r="J45" s="69">
        <v>41850</v>
      </c>
      <c r="K45" s="72">
        <f t="shared" si="3"/>
        <v>125000</v>
      </c>
      <c r="L45" s="87"/>
    </row>
    <row r="46" spans="1:12" ht="34.5" customHeight="1">
      <c r="A46" s="68" t="s">
        <v>966</v>
      </c>
      <c r="B46" s="68" t="str">
        <f>"197"</f>
        <v>197</v>
      </c>
      <c r="C46" s="86" t="str">
        <f>"蔡妤炘"</f>
        <v>蔡妤炘</v>
      </c>
      <c r="D46" s="69">
        <v>41850</v>
      </c>
      <c r="E46" s="70" t="s">
        <v>922</v>
      </c>
      <c r="F46" s="71">
        <v>5000</v>
      </c>
      <c r="G46" s="72">
        <v>25</v>
      </c>
      <c r="H46" s="72">
        <f t="shared" si="2"/>
        <v>125000</v>
      </c>
      <c r="I46" s="67" t="s">
        <v>1181</v>
      </c>
      <c r="J46" s="69">
        <v>41850</v>
      </c>
      <c r="K46" s="72">
        <f t="shared" si="3"/>
        <v>125000</v>
      </c>
      <c r="L46" s="87"/>
    </row>
    <row r="47" spans="1:12" ht="34.5" customHeight="1">
      <c r="A47" s="68" t="s">
        <v>967</v>
      </c>
      <c r="B47" s="68" t="str">
        <f>"198"</f>
        <v>198</v>
      </c>
      <c r="C47" s="86" t="str">
        <f>"徐正民"</f>
        <v>徐正民</v>
      </c>
      <c r="D47" s="69">
        <v>41850</v>
      </c>
      <c r="E47" s="70" t="s">
        <v>922</v>
      </c>
      <c r="F47" s="71">
        <v>1000</v>
      </c>
      <c r="G47" s="72">
        <v>25</v>
      </c>
      <c r="H47" s="72">
        <f t="shared" si="2"/>
        <v>25000</v>
      </c>
      <c r="I47" s="67" t="s">
        <v>1181</v>
      </c>
      <c r="J47" s="69">
        <v>41850</v>
      </c>
      <c r="K47" s="72">
        <f t="shared" si="3"/>
        <v>25000</v>
      </c>
      <c r="L47" s="87"/>
    </row>
    <row r="48" spans="1:12" ht="34.5" customHeight="1">
      <c r="A48" s="68" t="s">
        <v>968</v>
      </c>
      <c r="B48" s="68" t="str">
        <f>"401"</f>
        <v>401</v>
      </c>
      <c r="C48" s="86" t="str">
        <f>"駱明貴"</f>
        <v>駱明貴</v>
      </c>
      <c r="D48" s="69">
        <v>41850</v>
      </c>
      <c r="E48" s="70" t="s">
        <v>922</v>
      </c>
      <c r="F48" s="71">
        <v>5000</v>
      </c>
      <c r="G48" s="72">
        <v>25</v>
      </c>
      <c r="H48" s="72">
        <f t="shared" si="2"/>
        <v>125000</v>
      </c>
      <c r="I48" s="67" t="s">
        <v>1181</v>
      </c>
      <c r="J48" s="69">
        <v>41850</v>
      </c>
      <c r="K48" s="72">
        <f t="shared" si="3"/>
        <v>125000</v>
      </c>
      <c r="L48" s="87"/>
    </row>
    <row r="49" spans="1:12" ht="34.5" customHeight="1">
      <c r="A49" s="68" t="s">
        <v>969</v>
      </c>
      <c r="B49" s="68" t="str">
        <f>"188"</f>
        <v>188</v>
      </c>
      <c r="C49" s="86" t="str">
        <f>"吳銘展"</f>
        <v>吳銘展</v>
      </c>
      <c r="D49" s="73">
        <v>41850</v>
      </c>
      <c r="E49" s="70" t="s">
        <v>922</v>
      </c>
      <c r="F49" s="71">
        <v>10000</v>
      </c>
      <c r="G49" s="72">
        <v>25</v>
      </c>
      <c r="H49" s="72">
        <f t="shared" si="2"/>
        <v>250000</v>
      </c>
      <c r="I49" s="67" t="s">
        <v>1181</v>
      </c>
      <c r="J49" s="73">
        <v>41850</v>
      </c>
      <c r="K49" s="72">
        <f t="shared" si="3"/>
        <v>250000</v>
      </c>
      <c r="L49" s="87"/>
    </row>
    <row r="50" spans="1:12" ht="34.5" customHeight="1">
      <c r="A50" s="68" t="s">
        <v>970</v>
      </c>
      <c r="B50" s="68" t="str">
        <f>"47"</f>
        <v>47</v>
      </c>
      <c r="C50" s="86" t="str">
        <f>"蘇介亮"</f>
        <v>蘇介亮</v>
      </c>
      <c r="D50" s="69">
        <v>41850</v>
      </c>
      <c r="E50" s="70" t="s">
        <v>922</v>
      </c>
      <c r="F50" s="71">
        <v>5000</v>
      </c>
      <c r="G50" s="72">
        <v>25</v>
      </c>
      <c r="H50" s="72">
        <f t="shared" si="2"/>
        <v>125000</v>
      </c>
      <c r="I50" s="67" t="s">
        <v>1181</v>
      </c>
      <c r="J50" s="69">
        <v>41850</v>
      </c>
      <c r="K50" s="72">
        <f t="shared" si="3"/>
        <v>125000</v>
      </c>
      <c r="L50" s="87"/>
    </row>
    <row r="51" spans="1:12" ht="34.5" customHeight="1">
      <c r="A51" s="68" t="s">
        <v>971</v>
      </c>
      <c r="B51" s="68" t="str">
        <f>"26"</f>
        <v>26</v>
      </c>
      <c r="C51" s="86" t="str">
        <f>"邱永鎮"</f>
        <v>邱永鎮</v>
      </c>
      <c r="D51" s="69">
        <v>41850</v>
      </c>
      <c r="E51" s="70" t="s">
        <v>922</v>
      </c>
      <c r="F51" s="71">
        <v>6000</v>
      </c>
      <c r="G51" s="72">
        <v>25</v>
      </c>
      <c r="H51" s="72">
        <f t="shared" si="2"/>
        <v>150000</v>
      </c>
      <c r="I51" s="67" t="s">
        <v>1181</v>
      </c>
      <c r="J51" s="69">
        <v>41850</v>
      </c>
      <c r="K51" s="72">
        <f t="shared" si="3"/>
        <v>150000</v>
      </c>
      <c r="L51" s="87"/>
    </row>
    <row r="52" spans="1:12" ht="34.5" customHeight="1">
      <c r="A52" s="68" t="s">
        <v>972</v>
      </c>
      <c r="B52" s="68" t="str">
        <f>"288"</f>
        <v>288</v>
      </c>
      <c r="C52" s="86" t="str">
        <f>"王素如"</f>
        <v>王素如</v>
      </c>
      <c r="D52" s="69">
        <v>41850</v>
      </c>
      <c r="E52" s="70" t="s">
        <v>922</v>
      </c>
      <c r="F52" s="71">
        <v>5000</v>
      </c>
      <c r="G52" s="72">
        <v>25</v>
      </c>
      <c r="H52" s="72">
        <f t="shared" si="2"/>
        <v>125000</v>
      </c>
      <c r="I52" s="67" t="s">
        <v>1181</v>
      </c>
      <c r="J52" s="69">
        <v>41850</v>
      </c>
      <c r="K52" s="72">
        <f t="shared" si="3"/>
        <v>125000</v>
      </c>
      <c r="L52" s="87"/>
    </row>
    <row r="53" spans="1:12" ht="34.5" customHeight="1">
      <c r="A53" s="68" t="s">
        <v>973</v>
      </c>
      <c r="B53" s="68" t="str">
        <f>"306"</f>
        <v>306</v>
      </c>
      <c r="C53" s="86" t="str">
        <f>"陳綠蒂"</f>
        <v>陳綠蒂</v>
      </c>
      <c r="D53" s="69">
        <v>41850</v>
      </c>
      <c r="E53" s="70" t="s">
        <v>922</v>
      </c>
      <c r="F53" s="71">
        <v>3000</v>
      </c>
      <c r="G53" s="72">
        <v>25</v>
      </c>
      <c r="H53" s="72">
        <f t="shared" si="2"/>
        <v>75000</v>
      </c>
      <c r="I53" s="67" t="s">
        <v>1181</v>
      </c>
      <c r="J53" s="69">
        <v>41850</v>
      </c>
      <c r="K53" s="72">
        <f t="shared" si="3"/>
        <v>75000</v>
      </c>
      <c r="L53" s="87"/>
    </row>
    <row r="54" spans="1:12" ht="34.5" customHeight="1">
      <c r="A54" s="68" t="s">
        <v>974</v>
      </c>
      <c r="B54" s="68" t="str">
        <f>"92"</f>
        <v>92</v>
      </c>
      <c r="C54" s="86" t="str">
        <f>"邱碧芬"</f>
        <v>邱碧芬</v>
      </c>
      <c r="D54" s="69">
        <v>41850</v>
      </c>
      <c r="E54" s="70" t="s">
        <v>922</v>
      </c>
      <c r="F54" s="71">
        <v>6000</v>
      </c>
      <c r="G54" s="72">
        <v>25</v>
      </c>
      <c r="H54" s="72">
        <f t="shared" si="2"/>
        <v>150000</v>
      </c>
      <c r="I54" s="67" t="s">
        <v>1181</v>
      </c>
      <c r="J54" s="69">
        <v>41850</v>
      </c>
      <c r="K54" s="72">
        <f t="shared" si="3"/>
        <v>150000</v>
      </c>
      <c r="L54" s="87"/>
    </row>
    <row r="55" spans="1:12" ht="34.5" customHeight="1">
      <c r="A55" s="68" t="s">
        <v>975</v>
      </c>
      <c r="B55" s="68" t="str">
        <f>"38"</f>
        <v>38</v>
      </c>
      <c r="C55" s="86" t="str">
        <f>"林智瑝"</f>
        <v>林智瑝</v>
      </c>
      <c r="D55" s="69">
        <v>41851</v>
      </c>
      <c r="E55" s="70" t="s">
        <v>922</v>
      </c>
      <c r="F55" s="71">
        <v>4000</v>
      </c>
      <c r="G55" s="72">
        <v>25</v>
      </c>
      <c r="H55" s="72">
        <f t="shared" si="2"/>
        <v>100000</v>
      </c>
      <c r="I55" s="67" t="s">
        <v>1181</v>
      </c>
      <c r="J55" s="69">
        <v>41851</v>
      </c>
      <c r="K55" s="72">
        <f t="shared" si="3"/>
        <v>100000</v>
      </c>
      <c r="L55" s="87"/>
    </row>
    <row r="56" spans="1:12" ht="34.5" customHeight="1">
      <c r="A56" s="68" t="s">
        <v>976</v>
      </c>
      <c r="B56" s="68" t="str">
        <f>"55"</f>
        <v>55</v>
      </c>
      <c r="C56" s="86" t="str">
        <f>"鍾國文"</f>
        <v>鍾國文</v>
      </c>
      <c r="D56" s="69">
        <v>41851</v>
      </c>
      <c r="E56" s="70" t="s">
        <v>922</v>
      </c>
      <c r="F56" s="71">
        <v>5000</v>
      </c>
      <c r="G56" s="72">
        <v>25</v>
      </c>
      <c r="H56" s="72">
        <f t="shared" si="2"/>
        <v>125000</v>
      </c>
      <c r="I56" s="67" t="s">
        <v>1181</v>
      </c>
      <c r="J56" s="69">
        <v>41851</v>
      </c>
      <c r="K56" s="72">
        <f t="shared" si="3"/>
        <v>125000</v>
      </c>
      <c r="L56" s="87"/>
    </row>
    <row r="57" spans="1:12" ht="34.5" customHeight="1">
      <c r="A57" s="68" t="s">
        <v>977</v>
      </c>
      <c r="B57" s="68" t="str">
        <f>"298"</f>
        <v>298</v>
      </c>
      <c r="C57" s="86" t="str">
        <f>"簡仁平"</f>
        <v>簡仁平</v>
      </c>
      <c r="D57" s="69">
        <v>41851</v>
      </c>
      <c r="E57" s="70" t="s">
        <v>922</v>
      </c>
      <c r="F57" s="71">
        <v>1000</v>
      </c>
      <c r="G57" s="72">
        <v>25</v>
      </c>
      <c r="H57" s="72">
        <f t="shared" si="2"/>
        <v>25000</v>
      </c>
      <c r="I57" s="67" t="s">
        <v>1181</v>
      </c>
      <c r="J57" s="69">
        <v>41851</v>
      </c>
      <c r="K57" s="72">
        <f t="shared" si="3"/>
        <v>25000</v>
      </c>
      <c r="L57" s="87"/>
    </row>
    <row r="58" spans="1:12" ht="34.5" customHeight="1">
      <c r="A58" s="68" t="s">
        <v>978</v>
      </c>
      <c r="B58" s="68" t="str">
        <f>"246"</f>
        <v>246</v>
      </c>
      <c r="C58" s="86" t="str">
        <f>"施華龍"</f>
        <v>施華龍</v>
      </c>
      <c r="D58" s="69">
        <v>41851</v>
      </c>
      <c r="E58" s="70" t="s">
        <v>922</v>
      </c>
      <c r="F58" s="71">
        <v>6000</v>
      </c>
      <c r="G58" s="72">
        <v>25</v>
      </c>
      <c r="H58" s="72">
        <f t="shared" si="2"/>
        <v>150000</v>
      </c>
      <c r="I58" s="67" t="s">
        <v>1181</v>
      </c>
      <c r="J58" s="69">
        <v>41851</v>
      </c>
      <c r="K58" s="72">
        <f t="shared" si="3"/>
        <v>150000</v>
      </c>
      <c r="L58" s="87"/>
    </row>
    <row r="59" spans="1:12" ht="34.5" customHeight="1">
      <c r="A59" s="68" t="s">
        <v>979</v>
      </c>
      <c r="B59" s="68" t="str">
        <f>"319"</f>
        <v>319</v>
      </c>
      <c r="C59" s="86" t="str">
        <f>"羅羽孜"</f>
        <v>羅羽孜</v>
      </c>
      <c r="D59" s="69">
        <v>41851</v>
      </c>
      <c r="E59" s="70" t="s">
        <v>922</v>
      </c>
      <c r="F59" s="71">
        <v>8000</v>
      </c>
      <c r="G59" s="72">
        <v>25</v>
      </c>
      <c r="H59" s="72">
        <f t="shared" si="2"/>
        <v>200000</v>
      </c>
      <c r="I59" s="67" t="s">
        <v>1181</v>
      </c>
      <c r="J59" s="69">
        <v>41851</v>
      </c>
      <c r="K59" s="72">
        <f t="shared" si="3"/>
        <v>200000</v>
      </c>
      <c r="L59" s="87"/>
    </row>
    <row r="60" spans="1:12" ht="34.5" customHeight="1">
      <c r="A60" s="68" t="s">
        <v>980</v>
      </c>
      <c r="B60" s="68" t="str">
        <f>"292"</f>
        <v>292</v>
      </c>
      <c r="C60" s="86" t="str">
        <f>"游閔暉"</f>
        <v>游閔暉</v>
      </c>
      <c r="D60" s="69">
        <v>41851</v>
      </c>
      <c r="E60" s="70" t="s">
        <v>922</v>
      </c>
      <c r="F60" s="71">
        <v>2000</v>
      </c>
      <c r="G60" s="72">
        <v>25</v>
      </c>
      <c r="H60" s="72">
        <f t="shared" si="2"/>
        <v>50000</v>
      </c>
      <c r="I60" s="67" t="s">
        <v>1181</v>
      </c>
      <c r="J60" s="69">
        <v>41851</v>
      </c>
      <c r="K60" s="72">
        <f t="shared" si="3"/>
        <v>50000</v>
      </c>
      <c r="L60" s="87"/>
    </row>
    <row r="61" spans="1:12" ht="34.5" customHeight="1">
      <c r="A61" s="68" t="s">
        <v>981</v>
      </c>
      <c r="B61" s="68" t="str">
        <f>"333"</f>
        <v>333</v>
      </c>
      <c r="C61" s="86" t="str">
        <f>"洪育德"</f>
        <v>洪育德</v>
      </c>
      <c r="D61" s="69">
        <v>41851</v>
      </c>
      <c r="E61" s="70" t="s">
        <v>922</v>
      </c>
      <c r="F61" s="71">
        <v>5000</v>
      </c>
      <c r="G61" s="72">
        <v>25</v>
      </c>
      <c r="H61" s="72">
        <f t="shared" si="2"/>
        <v>125000</v>
      </c>
      <c r="I61" s="67" t="s">
        <v>1181</v>
      </c>
      <c r="J61" s="69">
        <v>41851</v>
      </c>
      <c r="K61" s="72">
        <f t="shared" si="3"/>
        <v>125000</v>
      </c>
      <c r="L61" s="87"/>
    </row>
    <row r="62" spans="1:12" ht="34.5" customHeight="1">
      <c r="A62" s="68" t="s">
        <v>982</v>
      </c>
      <c r="B62" s="68" t="str">
        <f>"241"</f>
        <v>241</v>
      </c>
      <c r="C62" s="86" t="str">
        <f>"陳秀春"</f>
        <v>陳秀春</v>
      </c>
      <c r="D62" s="69">
        <v>41851</v>
      </c>
      <c r="E62" s="70" t="s">
        <v>922</v>
      </c>
      <c r="F62" s="71">
        <v>2000</v>
      </c>
      <c r="G62" s="72">
        <v>25</v>
      </c>
      <c r="H62" s="72">
        <f t="shared" si="2"/>
        <v>50000</v>
      </c>
      <c r="I62" s="67" t="s">
        <v>1181</v>
      </c>
      <c r="J62" s="69">
        <v>41851</v>
      </c>
      <c r="K62" s="72">
        <f t="shared" si="3"/>
        <v>50000</v>
      </c>
      <c r="L62" s="87"/>
    </row>
    <row r="63" spans="1:12" ht="34.5" customHeight="1">
      <c r="A63" s="68" t="s">
        <v>983</v>
      </c>
      <c r="B63" s="68" t="str">
        <f>"320"</f>
        <v>320</v>
      </c>
      <c r="C63" s="86" t="str">
        <f>"王俊隆"</f>
        <v>王俊隆</v>
      </c>
      <c r="D63" s="69">
        <v>41852</v>
      </c>
      <c r="E63" s="70" t="s">
        <v>922</v>
      </c>
      <c r="F63" s="71">
        <v>4000</v>
      </c>
      <c r="G63" s="72">
        <v>25</v>
      </c>
      <c r="H63" s="72">
        <f t="shared" si="2"/>
        <v>100000</v>
      </c>
      <c r="I63" s="67" t="s">
        <v>1181</v>
      </c>
      <c r="J63" s="69">
        <v>41852</v>
      </c>
      <c r="K63" s="72">
        <f t="shared" si="3"/>
        <v>100000</v>
      </c>
      <c r="L63" s="87"/>
    </row>
    <row r="64" spans="1:12" ht="34.5" customHeight="1">
      <c r="A64" s="68" t="s">
        <v>984</v>
      </c>
      <c r="B64" s="68" t="str">
        <f>"355"</f>
        <v>355</v>
      </c>
      <c r="C64" s="86" t="str">
        <f>"曾春明"</f>
        <v>曾春明</v>
      </c>
      <c r="D64" s="69">
        <v>41852</v>
      </c>
      <c r="E64" s="70" t="s">
        <v>922</v>
      </c>
      <c r="F64" s="71">
        <v>5000</v>
      </c>
      <c r="G64" s="72">
        <v>25</v>
      </c>
      <c r="H64" s="72">
        <f t="shared" si="2"/>
        <v>125000</v>
      </c>
      <c r="I64" s="67" t="s">
        <v>1181</v>
      </c>
      <c r="J64" s="69">
        <v>41852</v>
      </c>
      <c r="K64" s="72">
        <f t="shared" si="3"/>
        <v>125000</v>
      </c>
      <c r="L64" s="87"/>
    </row>
    <row r="65" spans="1:12" ht="34.5" customHeight="1">
      <c r="A65" s="68" t="s">
        <v>985</v>
      </c>
      <c r="B65" s="68" t="str">
        <f>"75"</f>
        <v>75</v>
      </c>
      <c r="C65" s="86" t="str">
        <f>"李安興"</f>
        <v>李安興</v>
      </c>
      <c r="D65" s="69">
        <v>41852</v>
      </c>
      <c r="E65" s="70" t="s">
        <v>922</v>
      </c>
      <c r="F65" s="71">
        <v>3000</v>
      </c>
      <c r="G65" s="72">
        <v>25</v>
      </c>
      <c r="H65" s="72">
        <f t="shared" si="2"/>
        <v>75000</v>
      </c>
      <c r="I65" s="67" t="s">
        <v>1181</v>
      </c>
      <c r="J65" s="69">
        <v>41852</v>
      </c>
      <c r="K65" s="72">
        <f t="shared" si="3"/>
        <v>75000</v>
      </c>
      <c r="L65" s="87"/>
    </row>
    <row r="66" spans="1:12" ht="34.5" customHeight="1">
      <c r="A66" s="68" t="s">
        <v>986</v>
      </c>
      <c r="B66" s="68" t="str">
        <f>"81"</f>
        <v>81</v>
      </c>
      <c r="C66" s="86" t="str">
        <f>"蘇碧玉"</f>
        <v>蘇碧玉</v>
      </c>
      <c r="D66" s="69">
        <v>41852</v>
      </c>
      <c r="E66" s="70" t="s">
        <v>922</v>
      </c>
      <c r="F66" s="71">
        <v>1000</v>
      </c>
      <c r="G66" s="72">
        <v>25</v>
      </c>
      <c r="H66" s="72">
        <f t="shared" si="2"/>
        <v>25000</v>
      </c>
      <c r="I66" s="67" t="s">
        <v>1181</v>
      </c>
      <c r="J66" s="69">
        <v>41852</v>
      </c>
      <c r="K66" s="72">
        <f t="shared" si="3"/>
        <v>25000</v>
      </c>
      <c r="L66" s="87"/>
    </row>
    <row r="67" spans="1:12" ht="34.5" customHeight="1">
      <c r="A67" s="68" t="s">
        <v>987</v>
      </c>
      <c r="B67" s="68" t="str">
        <f>"322"</f>
        <v>322</v>
      </c>
      <c r="C67" s="86" t="str">
        <f>"林宏軒"</f>
        <v>林宏軒</v>
      </c>
      <c r="D67" s="69">
        <v>41852</v>
      </c>
      <c r="E67" s="70" t="s">
        <v>922</v>
      </c>
      <c r="F67" s="71">
        <v>2000</v>
      </c>
      <c r="G67" s="72">
        <v>25</v>
      </c>
      <c r="H67" s="72">
        <f t="shared" si="2"/>
        <v>50000</v>
      </c>
      <c r="I67" s="67" t="s">
        <v>1181</v>
      </c>
      <c r="J67" s="69">
        <v>41852</v>
      </c>
      <c r="K67" s="72">
        <f t="shared" si="3"/>
        <v>50000</v>
      </c>
      <c r="L67" s="87"/>
    </row>
    <row r="68" spans="1:12" ht="34.5" customHeight="1">
      <c r="A68" s="68" t="s">
        <v>988</v>
      </c>
      <c r="B68" s="68" t="str">
        <f>"323"</f>
        <v>323</v>
      </c>
      <c r="C68" s="86" t="str">
        <f>"林佳蒨"</f>
        <v>林佳蒨</v>
      </c>
      <c r="D68" s="69">
        <v>41852</v>
      </c>
      <c r="E68" s="70" t="s">
        <v>922</v>
      </c>
      <c r="F68" s="71">
        <v>2000</v>
      </c>
      <c r="G68" s="72">
        <v>25</v>
      </c>
      <c r="H68" s="72">
        <f t="shared" si="2"/>
        <v>50000</v>
      </c>
      <c r="I68" s="67" t="s">
        <v>1181</v>
      </c>
      <c r="J68" s="69">
        <v>41852</v>
      </c>
      <c r="K68" s="72">
        <f t="shared" si="3"/>
        <v>50000</v>
      </c>
      <c r="L68" s="87"/>
    </row>
    <row r="69" spans="1:12" ht="34.5" customHeight="1">
      <c r="A69" s="68" t="s">
        <v>989</v>
      </c>
      <c r="B69" s="68" t="str">
        <f>"326"</f>
        <v>326</v>
      </c>
      <c r="C69" s="86" t="str">
        <f>"潘梅桂"</f>
        <v>潘梅桂</v>
      </c>
      <c r="D69" s="69">
        <v>41852</v>
      </c>
      <c r="E69" s="70" t="s">
        <v>922</v>
      </c>
      <c r="F69" s="71">
        <v>6000</v>
      </c>
      <c r="G69" s="72">
        <v>25</v>
      </c>
      <c r="H69" s="72">
        <f t="shared" si="2"/>
        <v>150000</v>
      </c>
      <c r="I69" s="67" t="s">
        <v>1181</v>
      </c>
      <c r="J69" s="69">
        <v>41852</v>
      </c>
      <c r="K69" s="72">
        <f t="shared" si="3"/>
        <v>150000</v>
      </c>
      <c r="L69" s="87"/>
    </row>
    <row r="70" spans="1:12" ht="34.5" customHeight="1">
      <c r="A70" s="68" t="s">
        <v>990</v>
      </c>
      <c r="B70" s="68" t="str">
        <f>"282"</f>
        <v>282</v>
      </c>
      <c r="C70" s="86" t="str">
        <f>"林齊瑞"</f>
        <v>林齊瑞</v>
      </c>
      <c r="D70" s="69">
        <v>41852</v>
      </c>
      <c r="E70" s="70" t="s">
        <v>922</v>
      </c>
      <c r="F70" s="71">
        <v>20000</v>
      </c>
      <c r="G70" s="72">
        <v>25</v>
      </c>
      <c r="H70" s="72">
        <f t="shared" si="2"/>
        <v>500000</v>
      </c>
      <c r="I70" s="67" t="s">
        <v>1181</v>
      </c>
      <c r="J70" s="69">
        <v>41852</v>
      </c>
      <c r="K70" s="72">
        <f t="shared" si="3"/>
        <v>500000</v>
      </c>
      <c r="L70" s="87"/>
    </row>
    <row r="71" spans="1:12" ht="34.5" customHeight="1">
      <c r="A71" s="68" t="s">
        <v>991</v>
      </c>
      <c r="B71" s="68" t="str">
        <f>"64"</f>
        <v>64</v>
      </c>
      <c r="C71" s="86" t="str">
        <f>"黃治元"</f>
        <v>黃治元</v>
      </c>
      <c r="D71" s="69">
        <v>41852</v>
      </c>
      <c r="E71" s="70" t="s">
        <v>922</v>
      </c>
      <c r="F71" s="71">
        <v>6000</v>
      </c>
      <c r="G71" s="72">
        <v>25</v>
      </c>
      <c r="H71" s="72">
        <f t="shared" si="2"/>
        <v>150000</v>
      </c>
      <c r="I71" s="67" t="s">
        <v>1181</v>
      </c>
      <c r="J71" s="69">
        <v>41852</v>
      </c>
      <c r="K71" s="72">
        <f t="shared" si="3"/>
        <v>150000</v>
      </c>
      <c r="L71" s="87"/>
    </row>
    <row r="72" spans="1:12" ht="34.5" customHeight="1">
      <c r="A72" s="68" t="s">
        <v>992</v>
      </c>
      <c r="B72" s="68" t="str">
        <f>"346"</f>
        <v>346</v>
      </c>
      <c r="C72" s="86" t="str">
        <f>"劉姿君"</f>
        <v>劉姿君</v>
      </c>
      <c r="D72" s="69">
        <v>41852</v>
      </c>
      <c r="E72" s="70" t="s">
        <v>922</v>
      </c>
      <c r="F72" s="71">
        <v>4000</v>
      </c>
      <c r="G72" s="72">
        <v>25</v>
      </c>
      <c r="H72" s="72">
        <f t="shared" si="2"/>
        <v>100000</v>
      </c>
      <c r="I72" s="67" t="s">
        <v>1181</v>
      </c>
      <c r="J72" s="69">
        <v>41852</v>
      </c>
      <c r="K72" s="72">
        <f t="shared" si="3"/>
        <v>100000</v>
      </c>
      <c r="L72" s="87"/>
    </row>
    <row r="73" spans="1:12" ht="34.5" customHeight="1">
      <c r="A73" s="68" t="s">
        <v>993</v>
      </c>
      <c r="B73" s="68" t="str">
        <f>"275"</f>
        <v>275</v>
      </c>
      <c r="C73" s="86" t="str">
        <f>"王翔藝"</f>
        <v>王翔藝</v>
      </c>
      <c r="D73" s="69">
        <v>41852</v>
      </c>
      <c r="E73" s="70" t="s">
        <v>922</v>
      </c>
      <c r="F73" s="71">
        <v>4000</v>
      </c>
      <c r="G73" s="72">
        <v>25</v>
      </c>
      <c r="H73" s="72">
        <f t="shared" si="2"/>
        <v>100000</v>
      </c>
      <c r="I73" s="67" t="s">
        <v>1181</v>
      </c>
      <c r="J73" s="69">
        <v>41852</v>
      </c>
      <c r="K73" s="72">
        <f t="shared" si="3"/>
        <v>100000</v>
      </c>
      <c r="L73" s="87"/>
    </row>
    <row r="74" spans="1:12" ht="34.5" customHeight="1">
      <c r="A74" s="68" t="s">
        <v>994</v>
      </c>
      <c r="B74" s="68" t="str">
        <f>"125"</f>
        <v>125</v>
      </c>
      <c r="C74" s="86" t="str">
        <f>"廖森雲"</f>
        <v>廖森雲</v>
      </c>
      <c r="D74" s="69">
        <v>41852</v>
      </c>
      <c r="E74" s="70" t="s">
        <v>922</v>
      </c>
      <c r="F74" s="71">
        <v>1000</v>
      </c>
      <c r="G74" s="72">
        <v>25</v>
      </c>
      <c r="H74" s="72">
        <f t="shared" si="2"/>
        <v>25000</v>
      </c>
      <c r="I74" s="67" t="s">
        <v>1181</v>
      </c>
      <c r="J74" s="69">
        <v>41852</v>
      </c>
      <c r="K74" s="72">
        <f t="shared" si="3"/>
        <v>25000</v>
      </c>
      <c r="L74" s="87"/>
    </row>
    <row r="75" spans="1:12" ht="34.5" customHeight="1">
      <c r="A75" s="68" t="s">
        <v>995</v>
      </c>
      <c r="B75" s="68" t="str">
        <f>"31"</f>
        <v>31</v>
      </c>
      <c r="C75" s="86" t="str">
        <f>"陳啟瀚"</f>
        <v>陳啟瀚</v>
      </c>
      <c r="D75" s="69">
        <v>41852</v>
      </c>
      <c r="E75" s="70" t="s">
        <v>922</v>
      </c>
      <c r="F75" s="71">
        <v>4000</v>
      </c>
      <c r="G75" s="72">
        <v>25</v>
      </c>
      <c r="H75" s="72">
        <f t="shared" si="2"/>
        <v>100000</v>
      </c>
      <c r="I75" s="67" t="s">
        <v>1181</v>
      </c>
      <c r="J75" s="69">
        <v>41852</v>
      </c>
      <c r="K75" s="72">
        <f t="shared" si="3"/>
        <v>100000</v>
      </c>
      <c r="L75" s="87"/>
    </row>
    <row r="76" spans="1:12" ht="34.5" customHeight="1">
      <c r="A76" s="68" t="s">
        <v>996</v>
      </c>
      <c r="B76" s="68" t="str">
        <f>"263"</f>
        <v>263</v>
      </c>
      <c r="C76" s="86" t="str">
        <f>"紀若凡"</f>
        <v>紀若凡</v>
      </c>
      <c r="D76" s="69">
        <v>41852</v>
      </c>
      <c r="E76" s="70" t="s">
        <v>922</v>
      </c>
      <c r="F76" s="71">
        <v>2000</v>
      </c>
      <c r="G76" s="72">
        <v>25</v>
      </c>
      <c r="H76" s="72">
        <f t="shared" si="2"/>
        <v>50000</v>
      </c>
      <c r="I76" s="67" t="s">
        <v>1181</v>
      </c>
      <c r="J76" s="69">
        <v>41852</v>
      </c>
      <c r="K76" s="72">
        <f t="shared" si="3"/>
        <v>50000</v>
      </c>
      <c r="L76" s="87"/>
    </row>
    <row r="77" spans="1:12" ht="34.5" customHeight="1">
      <c r="A77" s="68" t="s">
        <v>997</v>
      </c>
      <c r="B77" s="68" t="str">
        <f>"203"</f>
        <v>203</v>
      </c>
      <c r="C77" s="86" t="str">
        <f>"李純香"</f>
        <v>李純香</v>
      </c>
      <c r="D77" s="69">
        <v>41852</v>
      </c>
      <c r="E77" s="70" t="s">
        <v>922</v>
      </c>
      <c r="F77" s="71">
        <v>7000</v>
      </c>
      <c r="G77" s="72">
        <v>25</v>
      </c>
      <c r="H77" s="72">
        <f t="shared" si="2"/>
        <v>175000</v>
      </c>
      <c r="I77" s="67" t="s">
        <v>1181</v>
      </c>
      <c r="J77" s="69">
        <v>41852</v>
      </c>
      <c r="K77" s="72">
        <f t="shared" si="3"/>
        <v>175000</v>
      </c>
      <c r="L77" s="87"/>
    </row>
    <row r="78" spans="1:12" ht="34.5" customHeight="1">
      <c r="A78" s="68" t="s">
        <v>998</v>
      </c>
      <c r="B78" s="68" t="str">
        <f>"286"</f>
        <v>286</v>
      </c>
      <c r="C78" s="86" t="str">
        <f>"林惠宜"</f>
        <v>林惠宜</v>
      </c>
      <c r="D78" s="69">
        <v>41855</v>
      </c>
      <c r="E78" s="70" t="s">
        <v>922</v>
      </c>
      <c r="F78" s="71">
        <v>2000</v>
      </c>
      <c r="G78" s="72">
        <v>25</v>
      </c>
      <c r="H78" s="72">
        <f>F78*G78</f>
        <v>50000</v>
      </c>
      <c r="I78" s="67" t="s">
        <v>1181</v>
      </c>
      <c r="J78" s="69">
        <v>41855</v>
      </c>
      <c r="K78" s="72">
        <f t="shared" si="3"/>
        <v>50000</v>
      </c>
      <c r="L78" s="87"/>
    </row>
    <row r="79" spans="1:12" ht="34.5" customHeight="1">
      <c r="A79" s="68" t="s">
        <v>999</v>
      </c>
      <c r="B79" s="68" t="str">
        <f>"191"</f>
        <v>191</v>
      </c>
      <c r="C79" s="86" t="str">
        <f>"簡月真"</f>
        <v>簡月真</v>
      </c>
      <c r="D79" s="69">
        <v>41855</v>
      </c>
      <c r="E79" s="70" t="s">
        <v>922</v>
      </c>
      <c r="F79" s="71">
        <v>5000</v>
      </c>
      <c r="G79" s="72">
        <v>25</v>
      </c>
      <c r="H79" s="72">
        <f t="shared" si="2"/>
        <v>125000</v>
      </c>
      <c r="I79" s="67" t="s">
        <v>1181</v>
      </c>
      <c r="J79" s="69">
        <v>41855</v>
      </c>
      <c r="K79" s="72">
        <f t="shared" si="3"/>
        <v>125000</v>
      </c>
      <c r="L79" s="87"/>
    </row>
    <row r="80" spans="1:12" ht="34.5" customHeight="1">
      <c r="A80" s="68" t="s">
        <v>1000</v>
      </c>
      <c r="B80" s="68" t="str">
        <f>"287"</f>
        <v>287</v>
      </c>
      <c r="C80" s="86" t="str">
        <f>"蔡翌純"</f>
        <v>蔡翌純</v>
      </c>
      <c r="D80" s="69">
        <v>41855</v>
      </c>
      <c r="E80" s="70" t="s">
        <v>922</v>
      </c>
      <c r="F80" s="71">
        <v>2000</v>
      </c>
      <c r="G80" s="72">
        <v>25</v>
      </c>
      <c r="H80" s="72">
        <f t="shared" si="2"/>
        <v>50000</v>
      </c>
      <c r="I80" s="67" t="s">
        <v>1181</v>
      </c>
      <c r="J80" s="69">
        <v>41855</v>
      </c>
      <c r="K80" s="72">
        <f t="shared" si="3"/>
        <v>50000</v>
      </c>
      <c r="L80" s="87"/>
    </row>
    <row r="81" spans="1:12" ht="34.5" customHeight="1">
      <c r="A81" s="68" t="s">
        <v>1001</v>
      </c>
      <c r="B81" s="68" t="str">
        <f>"386"</f>
        <v>386</v>
      </c>
      <c r="C81" s="86" t="str">
        <f>"黃桂芬"</f>
        <v>黃桂芬</v>
      </c>
      <c r="D81" s="69">
        <v>41855</v>
      </c>
      <c r="E81" s="70" t="s">
        <v>922</v>
      </c>
      <c r="F81" s="71">
        <v>2000</v>
      </c>
      <c r="G81" s="72">
        <v>25</v>
      </c>
      <c r="H81" s="72">
        <f t="shared" si="2"/>
        <v>50000</v>
      </c>
      <c r="I81" s="67" t="s">
        <v>1181</v>
      </c>
      <c r="J81" s="69">
        <v>41855</v>
      </c>
      <c r="K81" s="72">
        <f t="shared" si="3"/>
        <v>50000</v>
      </c>
      <c r="L81" s="87"/>
    </row>
    <row r="82" spans="1:12" ht="34.5" customHeight="1">
      <c r="A82" s="68" t="s">
        <v>1002</v>
      </c>
      <c r="B82" s="68" t="str">
        <f>"205"</f>
        <v>205</v>
      </c>
      <c r="C82" s="86" t="str">
        <f>"馬幽梅"</f>
        <v>馬幽梅</v>
      </c>
      <c r="D82" s="69">
        <v>41855</v>
      </c>
      <c r="E82" s="70" t="s">
        <v>922</v>
      </c>
      <c r="F82" s="71">
        <v>2000</v>
      </c>
      <c r="G82" s="72">
        <v>25</v>
      </c>
      <c r="H82" s="72">
        <f t="shared" si="2"/>
        <v>50000</v>
      </c>
      <c r="I82" s="67" t="s">
        <v>1181</v>
      </c>
      <c r="J82" s="69">
        <v>41855</v>
      </c>
      <c r="K82" s="72">
        <f t="shared" si="3"/>
        <v>50000</v>
      </c>
      <c r="L82" s="87"/>
    </row>
    <row r="83" spans="1:12" ht="34.5" customHeight="1">
      <c r="A83" s="68" t="s">
        <v>1003</v>
      </c>
      <c r="B83" s="68" t="str">
        <f>"357"</f>
        <v>357</v>
      </c>
      <c r="C83" s="86" t="str">
        <f>"陳藝文"</f>
        <v>陳藝文</v>
      </c>
      <c r="D83" s="69">
        <v>41855</v>
      </c>
      <c r="E83" s="70" t="s">
        <v>922</v>
      </c>
      <c r="F83" s="71">
        <v>5000</v>
      </c>
      <c r="G83" s="72">
        <v>25</v>
      </c>
      <c r="H83" s="72">
        <f t="shared" si="2"/>
        <v>125000</v>
      </c>
      <c r="I83" s="67" t="s">
        <v>1181</v>
      </c>
      <c r="J83" s="69">
        <v>41855</v>
      </c>
      <c r="K83" s="72">
        <f t="shared" si="3"/>
        <v>125000</v>
      </c>
      <c r="L83" s="87"/>
    </row>
    <row r="84" spans="1:12" ht="34.5" customHeight="1">
      <c r="A84" s="68" t="s">
        <v>1004</v>
      </c>
      <c r="B84" s="68" t="str">
        <f>"331"</f>
        <v>331</v>
      </c>
      <c r="C84" s="86" t="str">
        <f>"陳義正"</f>
        <v>陳義正</v>
      </c>
      <c r="D84" s="69">
        <v>41855</v>
      </c>
      <c r="E84" s="70" t="s">
        <v>922</v>
      </c>
      <c r="F84" s="71">
        <v>5000</v>
      </c>
      <c r="G84" s="72">
        <v>25</v>
      </c>
      <c r="H84" s="72">
        <f t="shared" si="2"/>
        <v>125000</v>
      </c>
      <c r="I84" s="67" t="s">
        <v>1181</v>
      </c>
      <c r="J84" s="69">
        <v>41855</v>
      </c>
      <c r="K84" s="72">
        <f t="shared" si="3"/>
        <v>125000</v>
      </c>
      <c r="L84" s="87"/>
    </row>
    <row r="85" spans="1:12" ht="34.5" customHeight="1">
      <c r="A85" s="68" t="s">
        <v>1005</v>
      </c>
      <c r="B85" s="68" t="str">
        <f>"173"</f>
        <v>173</v>
      </c>
      <c r="C85" s="86" t="str">
        <f>"許正典"</f>
        <v>許正典</v>
      </c>
      <c r="D85" s="69">
        <v>41855</v>
      </c>
      <c r="E85" s="70" t="s">
        <v>922</v>
      </c>
      <c r="F85" s="71">
        <v>3000</v>
      </c>
      <c r="G85" s="72">
        <v>25</v>
      </c>
      <c r="H85" s="72">
        <f t="shared" si="2"/>
        <v>75000</v>
      </c>
      <c r="I85" s="67" t="s">
        <v>1181</v>
      </c>
      <c r="J85" s="69">
        <v>41855</v>
      </c>
      <c r="K85" s="72">
        <f t="shared" si="3"/>
        <v>75000</v>
      </c>
      <c r="L85" s="87"/>
    </row>
    <row r="86" spans="1:12" ht="34.5" customHeight="1">
      <c r="A86" s="68" t="s">
        <v>1006</v>
      </c>
      <c r="B86" s="68" t="str">
        <f>"74"</f>
        <v>74</v>
      </c>
      <c r="C86" s="86" t="str">
        <f>"江錦祥"</f>
        <v>江錦祥</v>
      </c>
      <c r="D86" s="69">
        <v>41855</v>
      </c>
      <c r="E86" s="70" t="s">
        <v>922</v>
      </c>
      <c r="F86" s="71">
        <v>5000</v>
      </c>
      <c r="G86" s="72">
        <v>25</v>
      </c>
      <c r="H86" s="72">
        <f t="shared" si="2"/>
        <v>125000</v>
      </c>
      <c r="I86" s="67" t="s">
        <v>1181</v>
      </c>
      <c r="J86" s="69">
        <v>41855</v>
      </c>
      <c r="K86" s="72">
        <f t="shared" si="3"/>
        <v>125000</v>
      </c>
      <c r="L86" s="87"/>
    </row>
    <row r="87" spans="1:12" ht="34.5" customHeight="1">
      <c r="A87" s="68" t="s">
        <v>1007</v>
      </c>
      <c r="B87" s="68" t="str">
        <f>"156"</f>
        <v>156</v>
      </c>
      <c r="C87" s="86" t="str">
        <f>"駱沛婕"</f>
        <v>駱沛婕</v>
      </c>
      <c r="D87" s="69">
        <v>41855</v>
      </c>
      <c r="E87" s="70" t="s">
        <v>922</v>
      </c>
      <c r="F87" s="71">
        <v>5000</v>
      </c>
      <c r="G87" s="72">
        <v>25</v>
      </c>
      <c r="H87" s="72">
        <f t="shared" si="2"/>
        <v>125000</v>
      </c>
      <c r="I87" s="67" t="s">
        <v>1181</v>
      </c>
      <c r="J87" s="69">
        <v>41855</v>
      </c>
      <c r="K87" s="72">
        <f t="shared" si="3"/>
        <v>125000</v>
      </c>
      <c r="L87" s="87"/>
    </row>
    <row r="88" spans="1:12" ht="34.5" customHeight="1">
      <c r="A88" s="68" t="s">
        <v>1008</v>
      </c>
      <c r="B88" s="68" t="str">
        <f>"269"</f>
        <v>269</v>
      </c>
      <c r="C88" s="86" t="str">
        <f>"黃昶芳"</f>
        <v>黃昶芳</v>
      </c>
      <c r="D88" s="69">
        <v>41856</v>
      </c>
      <c r="E88" s="70" t="s">
        <v>922</v>
      </c>
      <c r="F88" s="71">
        <v>6000</v>
      </c>
      <c r="G88" s="72">
        <v>25</v>
      </c>
      <c r="H88" s="72">
        <f t="shared" ref="H88:H115" si="4">F88*G88</f>
        <v>150000</v>
      </c>
      <c r="I88" s="67" t="s">
        <v>1181</v>
      </c>
      <c r="J88" s="69">
        <v>41856</v>
      </c>
      <c r="K88" s="72">
        <f t="shared" ref="K88:K151" si="5">H88</f>
        <v>150000</v>
      </c>
      <c r="L88" s="87"/>
    </row>
    <row r="89" spans="1:12" ht="34.5" customHeight="1">
      <c r="A89" s="68" t="s">
        <v>1009</v>
      </c>
      <c r="B89" s="68" t="str">
        <f>"242"</f>
        <v>242</v>
      </c>
      <c r="C89" s="86" t="str">
        <f>"李梅芬"</f>
        <v>李梅芬</v>
      </c>
      <c r="D89" s="69">
        <v>41856</v>
      </c>
      <c r="E89" s="70" t="s">
        <v>922</v>
      </c>
      <c r="F89" s="71">
        <v>5000</v>
      </c>
      <c r="G89" s="72">
        <v>25</v>
      </c>
      <c r="H89" s="72">
        <f t="shared" si="4"/>
        <v>125000</v>
      </c>
      <c r="I89" s="67" t="s">
        <v>1181</v>
      </c>
      <c r="J89" s="69">
        <v>41856</v>
      </c>
      <c r="K89" s="72">
        <f t="shared" si="5"/>
        <v>125000</v>
      </c>
      <c r="L89" s="87"/>
    </row>
    <row r="90" spans="1:12" ht="34.5" customHeight="1">
      <c r="A90" s="68" t="s">
        <v>1010</v>
      </c>
      <c r="B90" s="68" t="str">
        <f>"141"</f>
        <v>141</v>
      </c>
      <c r="C90" s="86" t="str">
        <f>"羅文峰"</f>
        <v>羅文峰</v>
      </c>
      <c r="D90" s="69">
        <v>41856</v>
      </c>
      <c r="E90" s="70" t="s">
        <v>922</v>
      </c>
      <c r="F90" s="71">
        <v>10000</v>
      </c>
      <c r="G90" s="72">
        <v>25</v>
      </c>
      <c r="H90" s="72">
        <f t="shared" si="4"/>
        <v>250000</v>
      </c>
      <c r="I90" s="67" t="s">
        <v>1181</v>
      </c>
      <c r="J90" s="69">
        <v>41856</v>
      </c>
      <c r="K90" s="72">
        <f t="shared" si="5"/>
        <v>250000</v>
      </c>
      <c r="L90" s="87"/>
    </row>
    <row r="91" spans="1:12" ht="34.5" customHeight="1">
      <c r="A91" s="68" t="s">
        <v>1011</v>
      </c>
      <c r="B91" s="68" t="str">
        <f>"208"</f>
        <v>208</v>
      </c>
      <c r="C91" s="86" t="str">
        <f>"吳沛蒼"</f>
        <v>吳沛蒼</v>
      </c>
      <c r="D91" s="69">
        <v>41856</v>
      </c>
      <c r="E91" s="70" t="s">
        <v>922</v>
      </c>
      <c r="F91" s="71">
        <v>5000</v>
      </c>
      <c r="G91" s="72">
        <v>25</v>
      </c>
      <c r="H91" s="72">
        <f t="shared" si="4"/>
        <v>125000</v>
      </c>
      <c r="I91" s="67" t="s">
        <v>1181</v>
      </c>
      <c r="J91" s="69">
        <v>41856</v>
      </c>
      <c r="K91" s="72">
        <f t="shared" si="5"/>
        <v>125000</v>
      </c>
      <c r="L91" s="87"/>
    </row>
    <row r="92" spans="1:12" ht="34.5" customHeight="1">
      <c r="A92" s="68" t="s">
        <v>1012</v>
      </c>
      <c r="B92" s="68" t="str">
        <f>"189"</f>
        <v>189</v>
      </c>
      <c r="C92" s="86" t="str">
        <f>"劉聰杰"</f>
        <v>劉聰杰</v>
      </c>
      <c r="D92" s="73">
        <v>41856</v>
      </c>
      <c r="E92" s="70" t="s">
        <v>922</v>
      </c>
      <c r="F92" s="71">
        <v>10000</v>
      </c>
      <c r="G92" s="72">
        <v>25</v>
      </c>
      <c r="H92" s="72">
        <f t="shared" si="4"/>
        <v>250000</v>
      </c>
      <c r="I92" s="67" t="s">
        <v>1181</v>
      </c>
      <c r="J92" s="73">
        <v>41856</v>
      </c>
      <c r="K92" s="72">
        <f t="shared" si="5"/>
        <v>250000</v>
      </c>
      <c r="L92" s="87"/>
    </row>
    <row r="93" spans="1:12" ht="34.5" customHeight="1">
      <c r="A93" s="68" t="s">
        <v>1013</v>
      </c>
      <c r="B93" s="68" t="str">
        <f>"41"</f>
        <v>41</v>
      </c>
      <c r="C93" s="86" t="str">
        <f>"鍾美玉"</f>
        <v>鍾美玉</v>
      </c>
      <c r="D93" s="69">
        <v>41856</v>
      </c>
      <c r="E93" s="70" t="s">
        <v>922</v>
      </c>
      <c r="F93" s="71">
        <v>5000</v>
      </c>
      <c r="G93" s="72">
        <v>25</v>
      </c>
      <c r="H93" s="72">
        <f t="shared" si="4"/>
        <v>125000</v>
      </c>
      <c r="I93" s="67" t="s">
        <v>1181</v>
      </c>
      <c r="J93" s="69">
        <v>41856</v>
      </c>
      <c r="K93" s="72">
        <f t="shared" si="5"/>
        <v>125000</v>
      </c>
      <c r="L93" s="87"/>
    </row>
    <row r="94" spans="1:12" ht="34.5" customHeight="1">
      <c r="A94" s="68" t="s">
        <v>1014</v>
      </c>
      <c r="B94" s="68" t="str">
        <f>"256"</f>
        <v>256</v>
      </c>
      <c r="C94" s="86" t="str">
        <f>"陳鈞裕"</f>
        <v>陳鈞裕</v>
      </c>
      <c r="D94" s="69">
        <v>41856</v>
      </c>
      <c r="E94" s="70" t="s">
        <v>922</v>
      </c>
      <c r="F94" s="71">
        <v>5000</v>
      </c>
      <c r="G94" s="72">
        <v>25</v>
      </c>
      <c r="H94" s="72">
        <f t="shared" si="4"/>
        <v>125000</v>
      </c>
      <c r="I94" s="67" t="s">
        <v>1181</v>
      </c>
      <c r="J94" s="69">
        <v>41856</v>
      </c>
      <c r="K94" s="72">
        <f t="shared" si="5"/>
        <v>125000</v>
      </c>
      <c r="L94" s="87"/>
    </row>
    <row r="95" spans="1:12" ht="34.5" customHeight="1">
      <c r="A95" s="68" t="s">
        <v>1015</v>
      </c>
      <c r="B95" s="68" t="str">
        <f>"224"</f>
        <v>224</v>
      </c>
      <c r="C95" s="86" t="str">
        <f>"陳惠春"</f>
        <v>陳惠春</v>
      </c>
      <c r="D95" s="69">
        <v>41856</v>
      </c>
      <c r="E95" s="70" t="s">
        <v>922</v>
      </c>
      <c r="F95" s="71">
        <v>4000</v>
      </c>
      <c r="G95" s="72">
        <v>25</v>
      </c>
      <c r="H95" s="72">
        <f t="shared" si="4"/>
        <v>100000</v>
      </c>
      <c r="I95" s="67" t="s">
        <v>1181</v>
      </c>
      <c r="J95" s="69">
        <v>41856</v>
      </c>
      <c r="K95" s="72">
        <f t="shared" si="5"/>
        <v>100000</v>
      </c>
      <c r="L95" s="87"/>
    </row>
    <row r="96" spans="1:12" ht="34.5" customHeight="1">
      <c r="A96" s="68" t="s">
        <v>1016</v>
      </c>
      <c r="B96" s="68" t="str">
        <f>"225"</f>
        <v>225</v>
      </c>
      <c r="C96" s="86" t="str">
        <f>"陳淑如"</f>
        <v>陳淑如</v>
      </c>
      <c r="D96" s="69">
        <v>41856</v>
      </c>
      <c r="E96" s="70" t="s">
        <v>922</v>
      </c>
      <c r="F96" s="71">
        <v>5000</v>
      </c>
      <c r="G96" s="72">
        <v>25</v>
      </c>
      <c r="H96" s="72">
        <f t="shared" si="4"/>
        <v>125000</v>
      </c>
      <c r="I96" s="67" t="s">
        <v>1181</v>
      </c>
      <c r="J96" s="69">
        <v>41856</v>
      </c>
      <c r="K96" s="72">
        <f t="shared" si="5"/>
        <v>125000</v>
      </c>
      <c r="L96" s="87"/>
    </row>
    <row r="97" spans="1:12" ht="34.5" customHeight="1">
      <c r="A97" s="68" t="s">
        <v>1017</v>
      </c>
      <c r="B97" s="68" t="str">
        <f>"16"</f>
        <v>16</v>
      </c>
      <c r="C97" s="86" t="str">
        <f>"韓寶玲"</f>
        <v>韓寶玲</v>
      </c>
      <c r="D97" s="69">
        <v>41856</v>
      </c>
      <c r="E97" s="70" t="s">
        <v>922</v>
      </c>
      <c r="F97" s="71">
        <v>2000</v>
      </c>
      <c r="G97" s="72">
        <v>25</v>
      </c>
      <c r="H97" s="72">
        <f t="shared" si="4"/>
        <v>50000</v>
      </c>
      <c r="I97" s="67" t="s">
        <v>1181</v>
      </c>
      <c r="J97" s="69">
        <v>41856</v>
      </c>
      <c r="K97" s="72">
        <f t="shared" si="5"/>
        <v>50000</v>
      </c>
      <c r="L97" s="87"/>
    </row>
    <row r="98" spans="1:12" ht="34.5" customHeight="1">
      <c r="A98" s="68" t="s">
        <v>1018</v>
      </c>
      <c r="B98" s="68" t="str">
        <f>"368"</f>
        <v>368</v>
      </c>
      <c r="C98" s="86" t="str">
        <f>"宋愛萍"</f>
        <v>宋愛萍</v>
      </c>
      <c r="D98" s="69">
        <v>41856</v>
      </c>
      <c r="E98" s="70" t="s">
        <v>922</v>
      </c>
      <c r="F98" s="71">
        <v>2000</v>
      </c>
      <c r="G98" s="72">
        <v>25</v>
      </c>
      <c r="H98" s="72">
        <f t="shared" si="4"/>
        <v>50000</v>
      </c>
      <c r="I98" s="67" t="s">
        <v>1181</v>
      </c>
      <c r="J98" s="69">
        <v>41856</v>
      </c>
      <c r="K98" s="72">
        <f t="shared" si="5"/>
        <v>50000</v>
      </c>
      <c r="L98" s="87"/>
    </row>
    <row r="99" spans="1:12" ht="34.5" customHeight="1">
      <c r="A99" s="68" t="s">
        <v>1019</v>
      </c>
      <c r="B99" s="68" t="str">
        <f>"104"</f>
        <v>104</v>
      </c>
      <c r="C99" s="86" t="str">
        <f>"陳良賓"</f>
        <v>陳良賓</v>
      </c>
      <c r="D99" s="69">
        <v>41856</v>
      </c>
      <c r="E99" s="70" t="s">
        <v>922</v>
      </c>
      <c r="F99" s="71">
        <v>2000</v>
      </c>
      <c r="G99" s="72">
        <v>25</v>
      </c>
      <c r="H99" s="72">
        <f t="shared" si="4"/>
        <v>50000</v>
      </c>
      <c r="I99" s="67" t="s">
        <v>1181</v>
      </c>
      <c r="J99" s="69">
        <v>41856</v>
      </c>
      <c r="K99" s="72">
        <f t="shared" si="5"/>
        <v>50000</v>
      </c>
      <c r="L99" s="87"/>
    </row>
    <row r="100" spans="1:12" ht="34.5" customHeight="1">
      <c r="A100" s="68" t="s">
        <v>1020</v>
      </c>
      <c r="B100" s="68" t="str">
        <f>"329"</f>
        <v>329</v>
      </c>
      <c r="C100" s="86" t="str">
        <f>"曾耀慶"</f>
        <v>曾耀慶</v>
      </c>
      <c r="D100" s="69">
        <v>41856</v>
      </c>
      <c r="E100" s="70" t="s">
        <v>922</v>
      </c>
      <c r="F100" s="71">
        <v>5000</v>
      </c>
      <c r="G100" s="72">
        <v>25</v>
      </c>
      <c r="H100" s="72">
        <f t="shared" si="4"/>
        <v>125000</v>
      </c>
      <c r="I100" s="67" t="s">
        <v>1181</v>
      </c>
      <c r="J100" s="69">
        <v>41856</v>
      </c>
      <c r="K100" s="72">
        <f t="shared" si="5"/>
        <v>125000</v>
      </c>
      <c r="L100" s="87"/>
    </row>
    <row r="101" spans="1:12" ht="34.5" customHeight="1">
      <c r="A101" s="68" t="s">
        <v>1021</v>
      </c>
      <c r="B101" s="68" t="str">
        <f>"392"</f>
        <v>392</v>
      </c>
      <c r="C101" s="86" t="str">
        <f>"李永澤"</f>
        <v>李永澤</v>
      </c>
      <c r="D101" s="69">
        <v>41856</v>
      </c>
      <c r="E101" s="70" t="s">
        <v>922</v>
      </c>
      <c r="F101" s="71">
        <v>2000</v>
      </c>
      <c r="G101" s="72">
        <v>25</v>
      </c>
      <c r="H101" s="72">
        <f t="shared" si="4"/>
        <v>50000</v>
      </c>
      <c r="I101" s="67" t="s">
        <v>1181</v>
      </c>
      <c r="J101" s="69">
        <v>41856</v>
      </c>
      <c r="K101" s="72">
        <f t="shared" si="5"/>
        <v>50000</v>
      </c>
      <c r="L101" s="87"/>
    </row>
    <row r="102" spans="1:12" ht="34.5" customHeight="1">
      <c r="A102" s="68" t="s">
        <v>1022</v>
      </c>
      <c r="B102" s="68" t="str">
        <f>"137"</f>
        <v>137</v>
      </c>
      <c r="C102" s="86" t="str">
        <f>"高欣瑜"</f>
        <v>高欣瑜</v>
      </c>
      <c r="D102" s="69">
        <v>41856</v>
      </c>
      <c r="E102" s="70" t="s">
        <v>922</v>
      </c>
      <c r="F102" s="71">
        <v>1000</v>
      </c>
      <c r="G102" s="72">
        <v>25</v>
      </c>
      <c r="H102" s="72">
        <f t="shared" si="4"/>
        <v>25000</v>
      </c>
      <c r="I102" s="67" t="s">
        <v>1181</v>
      </c>
      <c r="J102" s="69">
        <v>41856</v>
      </c>
      <c r="K102" s="72">
        <f t="shared" si="5"/>
        <v>25000</v>
      </c>
      <c r="L102" s="87"/>
    </row>
    <row r="103" spans="1:12" ht="34.5" customHeight="1">
      <c r="A103" s="68" t="s">
        <v>1023</v>
      </c>
      <c r="B103" s="68" t="str">
        <f>"8"</f>
        <v>8</v>
      </c>
      <c r="C103" s="86" t="str">
        <f>"張清波"</f>
        <v>張清波</v>
      </c>
      <c r="D103" s="69">
        <v>41856</v>
      </c>
      <c r="E103" s="70" t="s">
        <v>922</v>
      </c>
      <c r="F103" s="71">
        <v>6000</v>
      </c>
      <c r="G103" s="72">
        <v>25</v>
      </c>
      <c r="H103" s="72">
        <f t="shared" si="4"/>
        <v>150000</v>
      </c>
      <c r="I103" s="67" t="s">
        <v>1181</v>
      </c>
      <c r="J103" s="69">
        <v>41856</v>
      </c>
      <c r="K103" s="72">
        <f t="shared" si="5"/>
        <v>150000</v>
      </c>
      <c r="L103" s="87"/>
    </row>
    <row r="104" spans="1:12" ht="34.5" customHeight="1">
      <c r="A104" s="68" t="s">
        <v>1024</v>
      </c>
      <c r="B104" s="68" t="str">
        <f>"18"</f>
        <v>18</v>
      </c>
      <c r="C104" s="86" t="str">
        <f>"張陳雪玉"</f>
        <v>張陳雪玉</v>
      </c>
      <c r="D104" s="69">
        <v>41856</v>
      </c>
      <c r="E104" s="70" t="s">
        <v>922</v>
      </c>
      <c r="F104" s="71">
        <v>3000</v>
      </c>
      <c r="G104" s="72">
        <v>25</v>
      </c>
      <c r="H104" s="72">
        <f t="shared" si="4"/>
        <v>75000</v>
      </c>
      <c r="I104" s="67" t="s">
        <v>1181</v>
      </c>
      <c r="J104" s="69">
        <v>41856</v>
      </c>
      <c r="K104" s="72">
        <f t="shared" si="5"/>
        <v>75000</v>
      </c>
      <c r="L104" s="87"/>
    </row>
    <row r="105" spans="1:12" ht="34.5" customHeight="1">
      <c r="A105" s="68" t="s">
        <v>1025</v>
      </c>
      <c r="B105" s="68" t="str">
        <f>"397"</f>
        <v>397</v>
      </c>
      <c r="C105" s="86" t="str">
        <f>"許正義"</f>
        <v>許正義</v>
      </c>
      <c r="D105" s="69">
        <v>41856</v>
      </c>
      <c r="E105" s="70" t="s">
        <v>1192</v>
      </c>
      <c r="F105" s="71">
        <v>2000</v>
      </c>
      <c r="G105" s="72">
        <v>25</v>
      </c>
      <c r="H105" s="72">
        <f t="shared" si="4"/>
        <v>50000</v>
      </c>
      <c r="I105" s="67" t="s">
        <v>1193</v>
      </c>
      <c r="J105" s="69">
        <v>41856</v>
      </c>
      <c r="K105" s="72">
        <f t="shared" si="5"/>
        <v>50000</v>
      </c>
      <c r="L105" s="87"/>
    </row>
    <row r="106" spans="1:12" ht="34.5" customHeight="1">
      <c r="A106" s="68" t="s">
        <v>1026</v>
      </c>
      <c r="B106" s="68" t="str">
        <f>"376"</f>
        <v>376</v>
      </c>
      <c r="C106" s="86" t="str">
        <f>"林賜恩"</f>
        <v>林賜恩</v>
      </c>
      <c r="D106" s="69">
        <v>41856</v>
      </c>
      <c r="E106" s="70" t="s">
        <v>1194</v>
      </c>
      <c r="F106" s="71">
        <v>6000</v>
      </c>
      <c r="G106" s="72">
        <v>25</v>
      </c>
      <c r="H106" s="72">
        <f t="shared" si="4"/>
        <v>150000</v>
      </c>
      <c r="I106" s="67" t="s">
        <v>1195</v>
      </c>
      <c r="J106" s="69">
        <v>41856</v>
      </c>
      <c r="K106" s="72">
        <f t="shared" si="5"/>
        <v>150000</v>
      </c>
      <c r="L106" s="87"/>
    </row>
    <row r="107" spans="1:12" ht="34.5" customHeight="1">
      <c r="A107" s="68" t="s">
        <v>1027</v>
      </c>
      <c r="B107" s="68" t="str">
        <f>"327"</f>
        <v>327</v>
      </c>
      <c r="C107" s="86" t="str">
        <f>"林依潔"</f>
        <v>林依潔</v>
      </c>
      <c r="D107" s="69">
        <v>41856</v>
      </c>
      <c r="E107" s="70" t="s">
        <v>1196</v>
      </c>
      <c r="F107" s="71">
        <v>5000</v>
      </c>
      <c r="G107" s="72">
        <v>25</v>
      </c>
      <c r="H107" s="72">
        <f t="shared" si="4"/>
        <v>125000</v>
      </c>
      <c r="I107" s="67" t="s">
        <v>1197</v>
      </c>
      <c r="J107" s="69">
        <v>41856</v>
      </c>
      <c r="K107" s="72">
        <f t="shared" si="5"/>
        <v>125000</v>
      </c>
      <c r="L107" s="87"/>
    </row>
    <row r="108" spans="1:12" ht="34.5" customHeight="1">
      <c r="A108" s="68" t="s">
        <v>1028</v>
      </c>
      <c r="B108" s="68" t="str">
        <f>"311"</f>
        <v>311</v>
      </c>
      <c r="C108" s="86" t="str">
        <f>"陳祈男"</f>
        <v>陳祈男</v>
      </c>
      <c r="D108" s="69">
        <v>41856</v>
      </c>
      <c r="E108" s="70" t="s">
        <v>1198</v>
      </c>
      <c r="F108" s="71">
        <v>1000</v>
      </c>
      <c r="G108" s="72">
        <v>25</v>
      </c>
      <c r="H108" s="72">
        <f t="shared" si="4"/>
        <v>25000</v>
      </c>
      <c r="I108" s="67" t="s">
        <v>1199</v>
      </c>
      <c r="J108" s="69">
        <v>41856</v>
      </c>
      <c r="K108" s="72">
        <f t="shared" si="5"/>
        <v>25000</v>
      </c>
      <c r="L108" s="87"/>
    </row>
    <row r="109" spans="1:12" ht="34.5" customHeight="1">
      <c r="A109" s="68" t="s">
        <v>1029</v>
      </c>
      <c r="B109" s="68" t="str">
        <f>"359"</f>
        <v>359</v>
      </c>
      <c r="C109" s="86" t="str">
        <f>"王端美"</f>
        <v>王端美</v>
      </c>
      <c r="D109" s="69">
        <v>41857</v>
      </c>
      <c r="E109" s="70" t="s">
        <v>1200</v>
      </c>
      <c r="F109" s="71">
        <v>12000</v>
      </c>
      <c r="G109" s="72">
        <v>25</v>
      </c>
      <c r="H109" s="72">
        <f t="shared" si="4"/>
        <v>300000</v>
      </c>
      <c r="I109" s="67" t="s">
        <v>1201</v>
      </c>
      <c r="J109" s="69">
        <v>41857</v>
      </c>
      <c r="K109" s="72">
        <f t="shared" si="5"/>
        <v>300000</v>
      </c>
      <c r="L109" s="87"/>
    </row>
    <row r="110" spans="1:12" ht="34.5" customHeight="1">
      <c r="A110" s="68" t="s">
        <v>1030</v>
      </c>
      <c r="B110" s="68" t="str">
        <f>"366"</f>
        <v>366</v>
      </c>
      <c r="C110" s="86" t="str">
        <f>"陳仲卿"</f>
        <v>陳仲卿</v>
      </c>
      <c r="D110" s="69">
        <v>41857</v>
      </c>
      <c r="E110" s="70" t="s">
        <v>1202</v>
      </c>
      <c r="F110" s="71">
        <v>3000</v>
      </c>
      <c r="G110" s="72">
        <v>25</v>
      </c>
      <c r="H110" s="72">
        <f t="shared" si="4"/>
        <v>75000</v>
      </c>
      <c r="I110" s="67" t="s">
        <v>1203</v>
      </c>
      <c r="J110" s="69">
        <v>41857</v>
      </c>
      <c r="K110" s="72">
        <f t="shared" si="5"/>
        <v>75000</v>
      </c>
      <c r="L110" s="87"/>
    </row>
    <row r="111" spans="1:12" ht="34.5" customHeight="1">
      <c r="A111" s="68" t="s">
        <v>1031</v>
      </c>
      <c r="B111" s="68" t="str">
        <f>"183"</f>
        <v>183</v>
      </c>
      <c r="C111" s="86" t="str">
        <f>"曾穩銘"</f>
        <v>曾穩銘</v>
      </c>
      <c r="D111" s="69">
        <v>41857</v>
      </c>
      <c r="E111" s="70" t="s">
        <v>1204</v>
      </c>
      <c r="F111" s="71">
        <v>1000</v>
      </c>
      <c r="G111" s="72">
        <v>25</v>
      </c>
      <c r="H111" s="72">
        <f t="shared" si="4"/>
        <v>25000</v>
      </c>
      <c r="I111" s="67" t="s">
        <v>1205</v>
      </c>
      <c r="J111" s="69">
        <v>41857</v>
      </c>
      <c r="K111" s="72">
        <f t="shared" si="5"/>
        <v>25000</v>
      </c>
      <c r="L111" s="87"/>
    </row>
    <row r="112" spans="1:12" ht="34.5" customHeight="1">
      <c r="A112" s="68" t="s">
        <v>1032</v>
      </c>
      <c r="B112" s="68" t="str">
        <f>"91"</f>
        <v>91</v>
      </c>
      <c r="C112" s="86" t="str">
        <f>"廖坤立"</f>
        <v>廖坤立</v>
      </c>
      <c r="D112" s="69">
        <v>41857</v>
      </c>
      <c r="E112" s="70" t="s">
        <v>1206</v>
      </c>
      <c r="F112" s="71">
        <v>5000</v>
      </c>
      <c r="G112" s="72">
        <v>25</v>
      </c>
      <c r="H112" s="72">
        <f t="shared" si="4"/>
        <v>125000</v>
      </c>
      <c r="I112" s="67" t="s">
        <v>1207</v>
      </c>
      <c r="J112" s="69">
        <v>41857</v>
      </c>
      <c r="K112" s="72">
        <f t="shared" si="5"/>
        <v>125000</v>
      </c>
      <c r="L112" s="87"/>
    </row>
    <row r="113" spans="1:12" ht="34.5" customHeight="1">
      <c r="A113" s="68" t="s">
        <v>1033</v>
      </c>
      <c r="B113" s="68" t="str">
        <f>"130"</f>
        <v>130</v>
      </c>
      <c r="C113" s="86" t="str">
        <f>"莊永隆"</f>
        <v>莊永隆</v>
      </c>
      <c r="D113" s="69">
        <v>41857</v>
      </c>
      <c r="E113" s="70" t="s">
        <v>1208</v>
      </c>
      <c r="F113" s="71">
        <v>2000</v>
      </c>
      <c r="G113" s="72">
        <v>25</v>
      </c>
      <c r="H113" s="72">
        <f t="shared" si="4"/>
        <v>50000</v>
      </c>
      <c r="I113" s="67" t="s">
        <v>1209</v>
      </c>
      <c r="J113" s="69">
        <v>41857</v>
      </c>
      <c r="K113" s="72">
        <f t="shared" si="5"/>
        <v>50000</v>
      </c>
      <c r="L113" s="87"/>
    </row>
    <row r="114" spans="1:12" ht="34.5" customHeight="1">
      <c r="A114" s="68" t="s">
        <v>1034</v>
      </c>
      <c r="B114" s="68" t="str">
        <f>"259"</f>
        <v>259</v>
      </c>
      <c r="C114" s="86" t="str">
        <f>"陳彥宏"</f>
        <v>陳彥宏</v>
      </c>
      <c r="D114" s="69">
        <v>41857</v>
      </c>
      <c r="E114" s="70" t="s">
        <v>1210</v>
      </c>
      <c r="F114" s="71">
        <v>4000</v>
      </c>
      <c r="G114" s="72">
        <v>25</v>
      </c>
      <c r="H114" s="72">
        <f t="shared" si="4"/>
        <v>100000</v>
      </c>
      <c r="I114" s="67" t="s">
        <v>1211</v>
      </c>
      <c r="J114" s="69">
        <v>41857</v>
      </c>
      <c r="K114" s="72">
        <f t="shared" si="5"/>
        <v>100000</v>
      </c>
      <c r="L114" s="87"/>
    </row>
    <row r="115" spans="1:12" ht="34.5" customHeight="1">
      <c r="A115" s="68" t="s">
        <v>1035</v>
      </c>
      <c r="B115" s="68" t="str">
        <f>"328"</f>
        <v>328</v>
      </c>
      <c r="C115" s="86" t="str">
        <f>"王定忠"</f>
        <v>王定忠</v>
      </c>
      <c r="D115" s="69">
        <v>41857</v>
      </c>
      <c r="E115" s="70" t="s">
        <v>1192</v>
      </c>
      <c r="F115" s="71">
        <v>42000</v>
      </c>
      <c r="G115" s="72">
        <v>25</v>
      </c>
      <c r="H115" s="72">
        <f t="shared" si="4"/>
        <v>1050000</v>
      </c>
      <c r="I115" s="67" t="s">
        <v>1193</v>
      </c>
      <c r="J115" s="69">
        <v>41857</v>
      </c>
      <c r="K115" s="72">
        <f t="shared" si="5"/>
        <v>1050000</v>
      </c>
      <c r="L115" s="87"/>
    </row>
    <row r="116" spans="1:12" ht="34.5" customHeight="1">
      <c r="A116" s="68" t="s">
        <v>1036</v>
      </c>
      <c r="B116" s="68" t="str">
        <f>"200"</f>
        <v>200</v>
      </c>
      <c r="C116" s="86" t="str">
        <f>"吳景輝"</f>
        <v>吳景輝</v>
      </c>
      <c r="D116" s="69">
        <v>41857</v>
      </c>
      <c r="E116" s="70" t="s">
        <v>1194</v>
      </c>
      <c r="F116" s="71">
        <v>1000</v>
      </c>
      <c r="G116" s="72">
        <v>25</v>
      </c>
      <c r="H116" s="72">
        <f>F116*G116</f>
        <v>25000</v>
      </c>
      <c r="I116" s="67" t="s">
        <v>1195</v>
      </c>
      <c r="J116" s="69">
        <v>41857</v>
      </c>
      <c r="K116" s="72">
        <f t="shared" si="5"/>
        <v>25000</v>
      </c>
      <c r="L116" s="87"/>
    </row>
    <row r="117" spans="1:12" ht="34.5" customHeight="1">
      <c r="A117" s="68" t="s">
        <v>1037</v>
      </c>
      <c r="B117" s="68" t="str">
        <f>"71"</f>
        <v>71</v>
      </c>
      <c r="C117" s="86" t="str">
        <f>"王昕遠"</f>
        <v>王昕遠</v>
      </c>
      <c r="D117" s="69">
        <v>41857</v>
      </c>
      <c r="E117" s="70" t="s">
        <v>1196</v>
      </c>
      <c r="F117" s="71">
        <v>3000</v>
      </c>
      <c r="G117" s="72">
        <v>25</v>
      </c>
      <c r="H117" s="72">
        <f t="shared" ref="H117:H129" si="6">F117*G117</f>
        <v>75000</v>
      </c>
      <c r="I117" s="67" t="s">
        <v>1197</v>
      </c>
      <c r="J117" s="69">
        <f t="shared" ref="J117:J162" si="7">D117</f>
        <v>41857</v>
      </c>
      <c r="K117" s="72">
        <f t="shared" si="5"/>
        <v>75000</v>
      </c>
      <c r="L117" s="87"/>
    </row>
    <row r="118" spans="1:12" ht="34.5" customHeight="1">
      <c r="A118" s="68" t="s">
        <v>1038</v>
      </c>
      <c r="B118" s="68" t="str">
        <f>"119"</f>
        <v>119</v>
      </c>
      <c r="C118" s="86" t="str">
        <f>"廖芳藝"</f>
        <v>廖芳藝</v>
      </c>
      <c r="D118" s="69">
        <v>41857</v>
      </c>
      <c r="E118" s="70" t="s">
        <v>1198</v>
      </c>
      <c r="F118" s="71">
        <v>2000</v>
      </c>
      <c r="G118" s="72">
        <v>25</v>
      </c>
      <c r="H118" s="72">
        <f t="shared" si="6"/>
        <v>50000</v>
      </c>
      <c r="I118" s="67" t="s">
        <v>1199</v>
      </c>
      <c r="J118" s="69">
        <f t="shared" si="7"/>
        <v>41857</v>
      </c>
      <c r="K118" s="72">
        <f t="shared" si="5"/>
        <v>50000</v>
      </c>
      <c r="L118" s="87"/>
    </row>
    <row r="119" spans="1:12" ht="34.5" customHeight="1">
      <c r="A119" s="68" t="s">
        <v>1039</v>
      </c>
      <c r="B119" s="68" t="str">
        <f>"122"</f>
        <v>122</v>
      </c>
      <c r="C119" s="86" t="str">
        <f>"康美玉"</f>
        <v>康美玉</v>
      </c>
      <c r="D119" s="69">
        <v>41857</v>
      </c>
      <c r="E119" s="70" t="s">
        <v>1200</v>
      </c>
      <c r="F119" s="71">
        <v>5000</v>
      </c>
      <c r="G119" s="72">
        <v>25</v>
      </c>
      <c r="H119" s="72">
        <f t="shared" si="6"/>
        <v>125000</v>
      </c>
      <c r="I119" s="67" t="s">
        <v>1201</v>
      </c>
      <c r="J119" s="69">
        <f t="shared" si="7"/>
        <v>41857</v>
      </c>
      <c r="K119" s="72">
        <f t="shared" si="5"/>
        <v>125000</v>
      </c>
      <c r="L119" s="87"/>
    </row>
    <row r="120" spans="1:12" ht="34.5" customHeight="1">
      <c r="A120" s="68" t="s">
        <v>1040</v>
      </c>
      <c r="B120" s="68" t="str">
        <f>"236"</f>
        <v>236</v>
      </c>
      <c r="C120" s="86" t="str">
        <f>"方燦堂"</f>
        <v>方燦堂</v>
      </c>
      <c r="D120" s="69">
        <v>41857</v>
      </c>
      <c r="E120" s="70" t="s">
        <v>1202</v>
      </c>
      <c r="F120" s="71">
        <v>10000</v>
      </c>
      <c r="G120" s="72">
        <v>25</v>
      </c>
      <c r="H120" s="72">
        <f t="shared" si="6"/>
        <v>250000</v>
      </c>
      <c r="I120" s="67" t="s">
        <v>1203</v>
      </c>
      <c r="J120" s="69">
        <f t="shared" si="7"/>
        <v>41857</v>
      </c>
      <c r="K120" s="72">
        <f t="shared" si="5"/>
        <v>250000</v>
      </c>
      <c r="L120" s="87"/>
    </row>
    <row r="121" spans="1:12" ht="34.5" customHeight="1">
      <c r="A121" s="68" t="s">
        <v>1041</v>
      </c>
      <c r="B121" s="68" t="str">
        <f>"159"</f>
        <v>159</v>
      </c>
      <c r="C121" s="86" t="str">
        <f>"吳文秩"</f>
        <v>吳文秩</v>
      </c>
      <c r="D121" s="69">
        <v>41858</v>
      </c>
      <c r="E121" s="70" t="s">
        <v>1204</v>
      </c>
      <c r="F121" s="71">
        <v>5000</v>
      </c>
      <c r="G121" s="72">
        <v>25</v>
      </c>
      <c r="H121" s="72">
        <f t="shared" si="6"/>
        <v>125000</v>
      </c>
      <c r="I121" s="67" t="s">
        <v>1205</v>
      </c>
      <c r="J121" s="69">
        <f t="shared" si="7"/>
        <v>41858</v>
      </c>
      <c r="K121" s="72">
        <f t="shared" si="5"/>
        <v>125000</v>
      </c>
      <c r="L121" s="87"/>
    </row>
    <row r="122" spans="1:12" ht="34.5" customHeight="1">
      <c r="A122" s="68" t="s">
        <v>1042</v>
      </c>
      <c r="B122" s="68" t="str">
        <f>"52"</f>
        <v>52</v>
      </c>
      <c r="C122" s="86" t="str">
        <f>"梁進勝"</f>
        <v>梁進勝</v>
      </c>
      <c r="D122" s="69">
        <v>41858</v>
      </c>
      <c r="E122" s="70" t="s">
        <v>1206</v>
      </c>
      <c r="F122" s="71">
        <v>2000</v>
      </c>
      <c r="G122" s="72">
        <v>25</v>
      </c>
      <c r="H122" s="72">
        <f t="shared" si="6"/>
        <v>50000</v>
      </c>
      <c r="I122" s="67" t="s">
        <v>1207</v>
      </c>
      <c r="J122" s="69">
        <f t="shared" si="7"/>
        <v>41858</v>
      </c>
      <c r="K122" s="72">
        <f t="shared" si="5"/>
        <v>50000</v>
      </c>
      <c r="L122" s="87"/>
    </row>
    <row r="123" spans="1:12" ht="34.5" customHeight="1">
      <c r="A123" s="68" t="s">
        <v>1043</v>
      </c>
      <c r="B123" s="68" t="str">
        <f>"194"</f>
        <v>194</v>
      </c>
      <c r="C123" s="86" t="str">
        <f>"陳禎志"</f>
        <v>陳禎志</v>
      </c>
      <c r="D123" s="69">
        <v>41858</v>
      </c>
      <c r="E123" s="70" t="s">
        <v>1208</v>
      </c>
      <c r="F123" s="71">
        <v>1000</v>
      </c>
      <c r="G123" s="72">
        <v>25</v>
      </c>
      <c r="H123" s="72">
        <f t="shared" si="6"/>
        <v>25000</v>
      </c>
      <c r="I123" s="67" t="s">
        <v>1209</v>
      </c>
      <c r="J123" s="69">
        <f t="shared" si="7"/>
        <v>41858</v>
      </c>
      <c r="K123" s="72">
        <f t="shared" si="5"/>
        <v>25000</v>
      </c>
      <c r="L123" s="87"/>
    </row>
    <row r="124" spans="1:12" ht="34.5" customHeight="1">
      <c r="A124" s="68" t="s">
        <v>1044</v>
      </c>
      <c r="B124" s="68" t="str">
        <f>"142"</f>
        <v>142</v>
      </c>
      <c r="C124" s="86" t="str">
        <f>"徐弘縣"</f>
        <v>徐弘縣</v>
      </c>
      <c r="D124" s="69">
        <v>41858</v>
      </c>
      <c r="E124" s="70" t="s">
        <v>1210</v>
      </c>
      <c r="F124" s="71">
        <v>1000</v>
      </c>
      <c r="G124" s="72">
        <v>25</v>
      </c>
      <c r="H124" s="72">
        <f t="shared" si="6"/>
        <v>25000</v>
      </c>
      <c r="I124" s="67" t="s">
        <v>1211</v>
      </c>
      <c r="J124" s="69">
        <f t="shared" si="7"/>
        <v>41858</v>
      </c>
      <c r="K124" s="72">
        <f t="shared" si="5"/>
        <v>25000</v>
      </c>
      <c r="L124" s="87"/>
    </row>
    <row r="125" spans="1:12" ht="34.5" customHeight="1">
      <c r="A125" s="68" t="s">
        <v>1045</v>
      </c>
      <c r="B125" s="68" t="str">
        <f>"369"</f>
        <v>369</v>
      </c>
      <c r="C125" s="86" t="str">
        <f>"郭炳金"</f>
        <v>郭炳金</v>
      </c>
      <c r="D125" s="69">
        <v>41858</v>
      </c>
      <c r="E125" s="70" t="s">
        <v>1192</v>
      </c>
      <c r="F125" s="71">
        <v>2000</v>
      </c>
      <c r="G125" s="72">
        <v>25</v>
      </c>
      <c r="H125" s="72">
        <f t="shared" si="6"/>
        <v>50000</v>
      </c>
      <c r="I125" s="67" t="s">
        <v>1193</v>
      </c>
      <c r="J125" s="69">
        <f t="shared" si="7"/>
        <v>41858</v>
      </c>
      <c r="K125" s="72">
        <f t="shared" si="5"/>
        <v>50000</v>
      </c>
      <c r="L125" s="87"/>
    </row>
    <row r="126" spans="1:12" ht="34.5" customHeight="1">
      <c r="A126" s="68" t="s">
        <v>1046</v>
      </c>
      <c r="B126" s="68" t="str">
        <f>"295"</f>
        <v>295</v>
      </c>
      <c r="C126" s="86" t="str">
        <f>"李太陽"</f>
        <v>李太陽</v>
      </c>
      <c r="D126" s="69">
        <v>41858</v>
      </c>
      <c r="E126" s="70" t="s">
        <v>1194</v>
      </c>
      <c r="F126" s="71">
        <v>2000</v>
      </c>
      <c r="G126" s="72">
        <v>25</v>
      </c>
      <c r="H126" s="72">
        <f t="shared" si="6"/>
        <v>50000</v>
      </c>
      <c r="I126" s="67" t="s">
        <v>1195</v>
      </c>
      <c r="J126" s="69">
        <f t="shared" si="7"/>
        <v>41858</v>
      </c>
      <c r="K126" s="72">
        <f t="shared" si="5"/>
        <v>50000</v>
      </c>
      <c r="L126" s="87"/>
    </row>
    <row r="127" spans="1:12" ht="34.5" customHeight="1">
      <c r="A127" s="68" t="s">
        <v>1047</v>
      </c>
      <c r="B127" s="68" t="str">
        <f>"230"</f>
        <v>230</v>
      </c>
      <c r="C127" s="86" t="str">
        <f>"陳玉麗"</f>
        <v>陳玉麗</v>
      </c>
      <c r="D127" s="69">
        <v>41858</v>
      </c>
      <c r="E127" s="70" t="s">
        <v>1196</v>
      </c>
      <c r="F127" s="71">
        <v>2000</v>
      </c>
      <c r="G127" s="72">
        <v>25</v>
      </c>
      <c r="H127" s="72">
        <f t="shared" si="6"/>
        <v>50000</v>
      </c>
      <c r="I127" s="67" t="s">
        <v>1197</v>
      </c>
      <c r="J127" s="69">
        <f t="shared" si="7"/>
        <v>41858</v>
      </c>
      <c r="K127" s="72">
        <f t="shared" si="5"/>
        <v>50000</v>
      </c>
      <c r="L127" s="87"/>
    </row>
    <row r="128" spans="1:12" ht="34.5" customHeight="1">
      <c r="A128" s="68" t="s">
        <v>1048</v>
      </c>
      <c r="B128" s="68" t="str">
        <f>"354"</f>
        <v>354</v>
      </c>
      <c r="C128" s="86" t="str">
        <f>"吳翠琴"</f>
        <v>吳翠琴</v>
      </c>
      <c r="D128" s="69">
        <v>41858</v>
      </c>
      <c r="E128" s="70" t="s">
        <v>1198</v>
      </c>
      <c r="F128" s="71">
        <v>1000</v>
      </c>
      <c r="G128" s="72">
        <v>25</v>
      </c>
      <c r="H128" s="72">
        <f t="shared" si="6"/>
        <v>25000</v>
      </c>
      <c r="I128" s="67" t="s">
        <v>1199</v>
      </c>
      <c r="J128" s="69">
        <f t="shared" si="7"/>
        <v>41858</v>
      </c>
      <c r="K128" s="72">
        <f t="shared" si="5"/>
        <v>25000</v>
      </c>
      <c r="L128" s="87"/>
    </row>
    <row r="129" spans="1:12" ht="34.5" customHeight="1">
      <c r="A129" s="68" t="s">
        <v>1049</v>
      </c>
      <c r="B129" s="68" t="str">
        <f>"312"</f>
        <v>312</v>
      </c>
      <c r="C129" s="86" t="str">
        <f>"許文錦"</f>
        <v>許文錦</v>
      </c>
      <c r="D129" s="69">
        <v>41858</v>
      </c>
      <c r="E129" s="70" t="s">
        <v>1200</v>
      </c>
      <c r="F129" s="71">
        <v>6000</v>
      </c>
      <c r="G129" s="72">
        <v>25</v>
      </c>
      <c r="H129" s="72">
        <f t="shared" si="6"/>
        <v>150000</v>
      </c>
      <c r="I129" s="67" t="s">
        <v>1201</v>
      </c>
      <c r="J129" s="69">
        <f t="shared" si="7"/>
        <v>41858</v>
      </c>
      <c r="K129" s="72">
        <f t="shared" si="5"/>
        <v>150000</v>
      </c>
      <c r="L129" s="87"/>
    </row>
    <row r="130" spans="1:12" ht="34.5" customHeight="1">
      <c r="A130" s="68" t="s">
        <v>1050</v>
      </c>
      <c r="B130" s="68" t="str">
        <f>"228"</f>
        <v>228</v>
      </c>
      <c r="C130" s="86" t="str">
        <f>"楊曼玲"</f>
        <v>楊曼玲</v>
      </c>
      <c r="D130" s="69">
        <v>41858</v>
      </c>
      <c r="E130" s="70" t="s">
        <v>1202</v>
      </c>
      <c r="F130" s="71">
        <v>2000</v>
      </c>
      <c r="G130" s="72">
        <v>25</v>
      </c>
      <c r="H130" s="72">
        <f>F130*G130</f>
        <v>50000</v>
      </c>
      <c r="I130" s="67" t="s">
        <v>1203</v>
      </c>
      <c r="J130" s="69">
        <f t="shared" si="7"/>
        <v>41858</v>
      </c>
      <c r="K130" s="72">
        <f t="shared" si="5"/>
        <v>50000</v>
      </c>
      <c r="L130" s="87"/>
    </row>
    <row r="131" spans="1:12" ht="34.5" customHeight="1">
      <c r="A131" s="68" t="s">
        <v>1051</v>
      </c>
      <c r="B131" s="68" t="str">
        <f>"204"</f>
        <v>204</v>
      </c>
      <c r="C131" s="86" t="str">
        <f>"陳慕緯"</f>
        <v>陳慕緯</v>
      </c>
      <c r="D131" s="69">
        <v>41858</v>
      </c>
      <c r="E131" s="70" t="s">
        <v>1204</v>
      </c>
      <c r="F131" s="71">
        <v>20000</v>
      </c>
      <c r="G131" s="72">
        <v>25</v>
      </c>
      <c r="H131" s="72">
        <f t="shared" ref="H131:H142" si="8">F131*G131</f>
        <v>500000</v>
      </c>
      <c r="I131" s="67" t="s">
        <v>1205</v>
      </c>
      <c r="J131" s="69">
        <f t="shared" si="7"/>
        <v>41858</v>
      </c>
      <c r="K131" s="72">
        <f t="shared" si="5"/>
        <v>500000</v>
      </c>
      <c r="L131" s="87"/>
    </row>
    <row r="132" spans="1:12" ht="34.5" customHeight="1">
      <c r="A132" s="68" t="s">
        <v>1052</v>
      </c>
      <c r="B132" s="68" t="str">
        <f>"158"</f>
        <v>158</v>
      </c>
      <c r="C132" s="86" t="str">
        <f>"莊倉江"</f>
        <v>莊倉江</v>
      </c>
      <c r="D132" s="69">
        <v>41858</v>
      </c>
      <c r="E132" s="70" t="s">
        <v>1206</v>
      </c>
      <c r="F132" s="71">
        <v>3000</v>
      </c>
      <c r="G132" s="72">
        <v>25</v>
      </c>
      <c r="H132" s="72">
        <f t="shared" si="8"/>
        <v>75000</v>
      </c>
      <c r="I132" s="67" t="s">
        <v>1207</v>
      </c>
      <c r="J132" s="69">
        <f t="shared" si="7"/>
        <v>41858</v>
      </c>
      <c r="K132" s="72">
        <f t="shared" si="5"/>
        <v>75000</v>
      </c>
      <c r="L132" s="87"/>
    </row>
    <row r="133" spans="1:12" ht="34.5" customHeight="1">
      <c r="A133" s="68" t="s">
        <v>1053</v>
      </c>
      <c r="B133" s="68" t="str">
        <f>"128"</f>
        <v>128</v>
      </c>
      <c r="C133" s="86" t="str">
        <f>"邱必義"</f>
        <v>邱必義</v>
      </c>
      <c r="D133" s="69">
        <v>41858</v>
      </c>
      <c r="E133" s="70" t="s">
        <v>1208</v>
      </c>
      <c r="F133" s="71">
        <v>1000</v>
      </c>
      <c r="G133" s="72">
        <v>25</v>
      </c>
      <c r="H133" s="72">
        <f t="shared" si="8"/>
        <v>25000</v>
      </c>
      <c r="I133" s="67" t="s">
        <v>1209</v>
      </c>
      <c r="J133" s="69">
        <f t="shared" si="7"/>
        <v>41858</v>
      </c>
      <c r="K133" s="72">
        <f t="shared" si="5"/>
        <v>25000</v>
      </c>
      <c r="L133" s="87"/>
    </row>
    <row r="134" spans="1:12" ht="34.5" customHeight="1">
      <c r="A134" s="68" t="s">
        <v>1054</v>
      </c>
      <c r="B134" s="68" t="str">
        <f>"127"</f>
        <v>127</v>
      </c>
      <c r="C134" s="86" t="str">
        <f>"董國勝"</f>
        <v>董國勝</v>
      </c>
      <c r="D134" s="69">
        <v>41858</v>
      </c>
      <c r="E134" s="70" t="s">
        <v>1210</v>
      </c>
      <c r="F134" s="71">
        <v>1000</v>
      </c>
      <c r="G134" s="72">
        <v>25</v>
      </c>
      <c r="H134" s="72">
        <f t="shared" si="8"/>
        <v>25000</v>
      </c>
      <c r="I134" s="67" t="s">
        <v>1211</v>
      </c>
      <c r="J134" s="69">
        <f t="shared" si="7"/>
        <v>41858</v>
      </c>
      <c r="K134" s="72">
        <f t="shared" si="5"/>
        <v>25000</v>
      </c>
      <c r="L134" s="87"/>
    </row>
    <row r="135" spans="1:12" ht="34.5" customHeight="1">
      <c r="A135" s="68" t="s">
        <v>1055</v>
      </c>
      <c r="B135" s="68" t="str">
        <f>"174"</f>
        <v>174</v>
      </c>
      <c r="C135" s="86" t="str">
        <f>"鄭乃銘"</f>
        <v>鄭乃銘</v>
      </c>
      <c r="D135" s="69">
        <v>41858</v>
      </c>
      <c r="E135" s="70" t="s">
        <v>1192</v>
      </c>
      <c r="F135" s="71">
        <v>4000</v>
      </c>
      <c r="G135" s="72">
        <v>25</v>
      </c>
      <c r="H135" s="72">
        <f t="shared" si="8"/>
        <v>100000</v>
      </c>
      <c r="I135" s="67" t="s">
        <v>1193</v>
      </c>
      <c r="J135" s="69">
        <f t="shared" si="7"/>
        <v>41858</v>
      </c>
      <c r="K135" s="72">
        <f t="shared" si="5"/>
        <v>100000</v>
      </c>
      <c r="L135" s="87"/>
    </row>
    <row r="136" spans="1:12" ht="34.5" customHeight="1">
      <c r="A136" s="68" t="s">
        <v>1056</v>
      </c>
      <c r="B136" s="68" t="str">
        <f>"185"</f>
        <v>185</v>
      </c>
      <c r="C136" s="86" t="str">
        <f>"邱寀縈"</f>
        <v>邱寀縈</v>
      </c>
      <c r="D136" s="69">
        <v>41858</v>
      </c>
      <c r="E136" s="70" t="s">
        <v>1194</v>
      </c>
      <c r="F136" s="71">
        <v>2000</v>
      </c>
      <c r="G136" s="72">
        <v>25</v>
      </c>
      <c r="H136" s="72">
        <f t="shared" si="8"/>
        <v>50000</v>
      </c>
      <c r="I136" s="67" t="s">
        <v>1195</v>
      </c>
      <c r="J136" s="69">
        <f t="shared" si="7"/>
        <v>41858</v>
      </c>
      <c r="K136" s="72">
        <f t="shared" si="5"/>
        <v>50000</v>
      </c>
      <c r="L136" s="87"/>
    </row>
    <row r="137" spans="1:12" ht="34.5" customHeight="1">
      <c r="A137" s="68" t="s">
        <v>1057</v>
      </c>
      <c r="B137" s="68" t="str">
        <f>"20"</f>
        <v>20</v>
      </c>
      <c r="C137" s="86" t="str">
        <f>"黃順良"</f>
        <v>黃順良</v>
      </c>
      <c r="D137" s="69">
        <v>41859</v>
      </c>
      <c r="E137" s="70" t="s">
        <v>1196</v>
      </c>
      <c r="F137" s="71">
        <v>4000</v>
      </c>
      <c r="G137" s="72">
        <v>25</v>
      </c>
      <c r="H137" s="72">
        <f t="shared" si="8"/>
        <v>100000</v>
      </c>
      <c r="I137" s="67" t="s">
        <v>1197</v>
      </c>
      <c r="J137" s="69">
        <f t="shared" si="7"/>
        <v>41859</v>
      </c>
      <c r="K137" s="72">
        <f t="shared" si="5"/>
        <v>100000</v>
      </c>
      <c r="L137" s="87"/>
    </row>
    <row r="138" spans="1:12" ht="34.5" customHeight="1">
      <c r="A138" s="68" t="s">
        <v>1058</v>
      </c>
      <c r="B138" s="68" t="str">
        <f>"82"</f>
        <v>82</v>
      </c>
      <c r="C138" s="86" t="str">
        <f>"林文香"</f>
        <v>林文香</v>
      </c>
      <c r="D138" s="69">
        <v>41859</v>
      </c>
      <c r="E138" s="70" t="s">
        <v>1198</v>
      </c>
      <c r="F138" s="71">
        <v>2000</v>
      </c>
      <c r="G138" s="72">
        <v>25</v>
      </c>
      <c r="H138" s="72">
        <f t="shared" si="8"/>
        <v>50000</v>
      </c>
      <c r="I138" s="67" t="s">
        <v>1199</v>
      </c>
      <c r="J138" s="69">
        <f t="shared" si="7"/>
        <v>41859</v>
      </c>
      <c r="K138" s="72">
        <f t="shared" si="5"/>
        <v>50000</v>
      </c>
      <c r="L138" s="87"/>
    </row>
    <row r="139" spans="1:12" ht="34.5" customHeight="1">
      <c r="A139" s="68" t="s">
        <v>1059</v>
      </c>
      <c r="B139" s="68" t="str">
        <f>"72"</f>
        <v>72</v>
      </c>
      <c r="C139" s="86" t="str">
        <f>"曾喜樑"</f>
        <v>曾喜樑</v>
      </c>
      <c r="D139" s="69">
        <v>41859</v>
      </c>
      <c r="E139" s="70" t="s">
        <v>1200</v>
      </c>
      <c r="F139" s="71">
        <v>10000</v>
      </c>
      <c r="G139" s="72">
        <v>25</v>
      </c>
      <c r="H139" s="72">
        <f t="shared" si="8"/>
        <v>250000</v>
      </c>
      <c r="I139" s="67" t="s">
        <v>1201</v>
      </c>
      <c r="J139" s="69">
        <f t="shared" si="7"/>
        <v>41859</v>
      </c>
      <c r="K139" s="72">
        <f t="shared" si="5"/>
        <v>250000</v>
      </c>
      <c r="L139" s="87"/>
    </row>
    <row r="140" spans="1:12" ht="34.5" customHeight="1">
      <c r="A140" s="68" t="s">
        <v>1060</v>
      </c>
      <c r="B140" s="68" t="str">
        <f>"345"</f>
        <v>345</v>
      </c>
      <c r="C140" s="86" t="str">
        <f>"陳玉燕"</f>
        <v>陳玉燕</v>
      </c>
      <c r="D140" s="69">
        <v>41859</v>
      </c>
      <c r="E140" s="70" t="s">
        <v>1202</v>
      </c>
      <c r="F140" s="71">
        <v>5000</v>
      </c>
      <c r="G140" s="72">
        <v>25</v>
      </c>
      <c r="H140" s="72">
        <f t="shared" si="8"/>
        <v>125000</v>
      </c>
      <c r="I140" s="67" t="s">
        <v>1203</v>
      </c>
      <c r="J140" s="69">
        <f t="shared" si="7"/>
        <v>41859</v>
      </c>
      <c r="K140" s="72">
        <f t="shared" si="5"/>
        <v>125000</v>
      </c>
      <c r="L140" s="87"/>
    </row>
    <row r="141" spans="1:12" ht="34.5" customHeight="1">
      <c r="A141" s="68" t="s">
        <v>1061</v>
      </c>
      <c r="B141" s="68" t="str">
        <f>"365"</f>
        <v>365</v>
      </c>
      <c r="C141" s="86" t="str">
        <f>"楊秋惠"</f>
        <v>楊秋惠</v>
      </c>
      <c r="D141" s="69">
        <v>41859</v>
      </c>
      <c r="E141" s="70" t="s">
        <v>1204</v>
      </c>
      <c r="F141" s="71">
        <v>2000</v>
      </c>
      <c r="G141" s="72">
        <v>25</v>
      </c>
      <c r="H141" s="72">
        <f t="shared" si="8"/>
        <v>50000</v>
      </c>
      <c r="I141" s="67" t="s">
        <v>1205</v>
      </c>
      <c r="J141" s="69">
        <f t="shared" si="7"/>
        <v>41859</v>
      </c>
      <c r="K141" s="72">
        <f t="shared" si="5"/>
        <v>50000</v>
      </c>
      <c r="L141" s="87"/>
    </row>
    <row r="142" spans="1:12" ht="34.5" customHeight="1">
      <c r="A142" s="68" t="s">
        <v>1062</v>
      </c>
      <c r="B142" s="68" t="str">
        <f>"244"</f>
        <v>244</v>
      </c>
      <c r="C142" s="86" t="str">
        <f>"林延鳳"</f>
        <v>林延鳳</v>
      </c>
      <c r="D142" s="69">
        <v>41859</v>
      </c>
      <c r="E142" s="70" t="s">
        <v>1206</v>
      </c>
      <c r="F142" s="71">
        <v>10000</v>
      </c>
      <c r="G142" s="72">
        <v>25</v>
      </c>
      <c r="H142" s="72">
        <f t="shared" si="8"/>
        <v>250000</v>
      </c>
      <c r="I142" s="67" t="s">
        <v>1207</v>
      </c>
      <c r="J142" s="69">
        <f t="shared" si="7"/>
        <v>41859</v>
      </c>
      <c r="K142" s="72">
        <f t="shared" si="5"/>
        <v>250000</v>
      </c>
      <c r="L142" s="87"/>
    </row>
    <row r="143" spans="1:12" ht="34.5" customHeight="1">
      <c r="A143" s="68" t="s">
        <v>1063</v>
      </c>
      <c r="B143" s="68" t="str">
        <f>"302"</f>
        <v>302</v>
      </c>
      <c r="C143" s="86" t="str">
        <f>"鄭瑞千"</f>
        <v>鄭瑞千</v>
      </c>
      <c r="D143" s="69">
        <v>41859</v>
      </c>
      <c r="E143" s="70" t="s">
        <v>1208</v>
      </c>
      <c r="F143" s="71">
        <v>3000</v>
      </c>
      <c r="G143" s="72">
        <v>25</v>
      </c>
      <c r="H143" s="72">
        <f>F143*G143</f>
        <v>75000</v>
      </c>
      <c r="I143" s="67" t="s">
        <v>1209</v>
      </c>
      <c r="J143" s="69">
        <f t="shared" si="7"/>
        <v>41859</v>
      </c>
      <c r="K143" s="72">
        <f t="shared" si="5"/>
        <v>75000</v>
      </c>
      <c r="L143" s="87"/>
    </row>
    <row r="144" spans="1:12" ht="34.5" customHeight="1">
      <c r="A144" s="68" t="s">
        <v>1064</v>
      </c>
      <c r="B144" s="68" t="str">
        <f>"133"</f>
        <v>133</v>
      </c>
      <c r="C144" s="86" t="str">
        <f>"鄭素萍"</f>
        <v>鄭素萍</v>
      </c>
      <c r="D144" s="69">
        <v>41859</v>
      </c>
      <c r="E144" s="70" t="s">
        <v>1210</v>
      </c>
      <c r="F144" s="71">
        <v>5000</v>
      </c>
      <c r="G144" s="72">
        <v>25</v>
      </c>
      <c r="H144" s="72">
        <f t="shared" ref="H144:H159" si="9">F144*G144</f>
        <v>125000</v>
      </c>
      <c r="I144" s="67" t="s">
        <v>1211</v>
      </c>
      <c r="J144" s="69">
        <f t="shared" si="7"/>
        <v>41859</v>
      </c>
      <c r="K144" s="72">
        <f t="shared" si="5"/>
        <v>125000</v>
      </c>
      <c r="L144" s="87"/>
    </row>
    <row r="145" spans="1:12" ht="34.5" customHeight="1">
      <c r="A145" s="68" t="s">
        <v>1065</v>
      </c>
      <c r="B145" s="68" t="str">
        <f>"217"</f>
        <v>217</v>
      </c>
      <c r="C145" s="86" t="str">
        <f>"楊志碩"</f>
        <v>楊志碩</v>
      </c>
      <c r="D145" s="69">
        <v>41859</v>
      </c>
      <c r="E145" s="70" t="s">
        <v>1192</v>
      </c>
      <c r="F145" s="71">
        <v>2000</v>
      </c>
      <c r="G145" s="72">
        <v>25</v>
      </c>
      <c r="H145" s="72">
        <f t="shared" si="9"/>
        <v>50000</v>
      </c>
      <c r="I145" s="67" t="s">
        <v>1193</v>
      </c>
      <c r="J145" s="69">
        <f t="shared" si="7"/>
        <v>41859</v>
      </c>
      <c r="K145" s="72">
        <f t="shared" si="5"/>
        <v>50000</v>
      </c>
      <c r="L145" s="87"/>
    </row>
    <row r="146" spans="1:12" ht="34.5" customHeight="1">
      <c r="A146" s="68" t="s">
        <v>1066</v>
      </c>
      <c r="B146" s="68" t="str">
        <f>"182"</f>
        <v>182</v>
      </c>
      <c r="C146" s="86" t="str">
        <f>"簡淑華"</f>
        <v>簡淑華</v>
      </c>
      <c r="D146" s="69">
        <v>41859</v>
      </c>
      <c r="E146" s="70" t="s">
        <v>1194</v>
      </c>
      <c r="F146" s="71">
        <v>10000</v>
      </c>
      <c r="G146" s="72">
        <v>25</v>
      </c>
      <c r="H146" s="72">
        <f t="shared" si="9"/>
        <v>250000</v>
      </c>
      <c r="I146" s="67" t="s">
        <v>1195</v>
      </c>
      <c r="J146" s="69">
        <f t="shared" si="7"/>
        <v>41859</v>
      </c>
      <c r="K146" s="72">
        <f t="shared" si="5"/>
        <v>250000</v>
      </c>
      <c r="L146" s="87"/>
    </row>
    <row r="147" spans="1:12" ht="34.5" customHeight="1">
      <c r="A147" s="68" t="s">
        <v>1067</v>
      </c>
      <c r="B147" s="68" t="str">
        <f>"88"</f>
        <v>88</v>
      </c>
      <c r="C147" s="86" t="str">
        <f>"廖繼仕"</f>
        <v>廖繼仕</v>
      </c>
      <c r="D147" s="69">
        <v>41859</v>
      </c>
      <c r="E147" s="70" t="s">
        <v>1196</v>
      </c>
      <c r="F147" s="71">
        <v>3000</v>
      </c>
      <c r="G147" s="72">
        <v>25</v>
      </c>
      <c r="H147" s="72">
        <f t="shared" si="9"/>
        <v>75000</v>
      </c>
      <c r="I147" s="67" t="s">
        <v>1197</v>
      </c>
      <c r="J147" s="69">
        <f t="shared" si="7"/>
        <v>41859</v>
      </c>
      <c r="K147" s="72">
        <f t="shared" si="5"/>
        <v>75000</v>
      </c>
      <c r="L147" s="87"/>
    </row>
    <row r="148" spans="1:12" ht="34.5" customHeight="1">
      <c r="A148" s="68" t="s">
        <v>1068</v>
      </c>
      <c r="B148" s="68" t="str">
        <f>"318"</f>
        <v>318</v>
      </c>
      <c r="C148" s="86" t="str">
        <f>"許健國"</f>
        <v>許健國</v>
      </c>
      <c r="D148" s="69">
        <v>41859</v>
      </c>
      <c r="E148" s="70" t="s">
        <v>1198</v>
      </c>
      <c r="F148" s="71">
        <v>8000</v>
      </c>
      <c r="G148" s="72">
        <v>25</v>
      </c>
      <c r="H148" s="72">
        <f t="shared" si="9"/>
        <v>200000</v>
      </c>
      <c r="I148" s="67" t="s">
        <v>1199</v>
      </c>
      <c r="J148" s="69">
        <f t="shared" si="7"/>
        <v>41859</v>
      </c>
      <c r="K148" s="72">
        <f t="shared" si="5"/>
        <v>200000</v>
      </c>
      <c r="L148" s="87"/>
    </row>
    <row r="149" spans="1:12" ht="34.5" customHeight="1">
      <c r="A149" s="68" t="s">
        <v>1069</v>
      </c>
      <c r="B149" s="68" t="str">
        <f>"87"</f>
        <v>87</v>
      </c>
      <c r="C149" s="86" t="str">
        <f>"鍾瑞堂"</f>
        <v>鍾瑞堂</v>
      </c>
      <c r="D149" s="69">
        <v>41859</v>
      </c>
      <c r="E149" s="70" t="s">
        <v>1200</v>
      </c>
      <c r="F149" s="71">
        <v>2000</v>
      </c>
      <c r="G149" s="72">
        <v>25</v>
      </c>
      <c r="H149" s="72">
        <f t="shared" si="9"/>
        <v>50000</v>
      </c>
      <c r="I149" s="67" t="s">
        <v>1201</v>
      </c>
      <c r="J149" s="69">
        <f t="shared" si="7"/>
        <v>41859</v>
      </c>
      <c r="K149" s="72">
        <f t="shared" si="5"/>
        <v>50000</v>
      </c>
      <c r="L149" s="87"/>
    </row>
    <row r="150" spans="1:12" ht="34.5" customHeight="1">
      <c r="A150" s="68" t="s">
        <v>1070</v>
      </c>
      <c r="B150" s="68" t="str">
        <f>"340"</f>
        <v>340</v>
      </c>
      <c r="C150" s="86" t="str">
        <f>"謝玄昭"</f>
        <v>謝玄昭</v>
      </c>
      <c r="D150" s="69">
        <v>41859</v>
      </c>
      <c r="E150" s="70" t="s">
        <v>1202</v>
      </c>
      <c r="F150" s="71">
        <v>3000</v>
      </c>
      <c r="G150" s="72">
        <v>25</v>
      </c>
      <c r="H150" s="72">
        <f t="shared" si="9"/>
        <v>75000</v>
      </c>
      <c r="I150" s="67" t="s">
        <v>1203</v>
      </c>
      <c r="J150" s="69">
        <f t="shared" si="7"/>
        <v>41859</v>
      </c>
      <c r="K150" s="72">
        <f t="shared" si="5"/>
        <v>75000</v>
      </c>
      <c r="L150" s="87"/>
    </row>
    <row r="151" spans="1:12" ht="34.5" customHeight="1">
      <c r="A151" s="68" t="s">
        <v>1071</v>
      </c>
      <c r="B151" s="68" t="str">
        <f>"139"</f>
        <v>139</v>
      </c>
      <c r="C151" s="86" t="str">
        <f>"葉金光"</f>
        <v>葉金光</v>
      </c>
      <c r="D151" s="69">
        <v>41859</v>
      </c>
      <c r="E151" s="70" t="s">
        <v>1204</v>
      </c>
      <c r="F151" s="71">
        <v>6000</v>
      </c>
      <c r="G151" s="72">
        <v>25</v>
      </c>
      <c r="H151" s="72">
        <f t="shared" si="9"/>
        <v>150000</v>
      </c>
      <c r="I151" s="67" t="s">
        <v>1205</v>
      </c>
      <c r="J151" s="69">
        <f t="shared" si="7"/>
        <v>41859</v>
      </c>
      <c r="K151" s="72">
        <f t="shared" si="5"/>
        <v>150000</v>
      </c>
      <c r="L151" s="87"/>
    </row>
    <row r="152" spans="1:12" ht="34.5" customHeight="1">
      <c r="A152" s="68" t="s">
        <v>1072</v>
      </c>
      <c r="B152" s="68" t="str">
        <f>"309"</f>
        <v>309</v>
      </c>
      <c r="C152" s="86" t="str">
        <f>"王裕仁"</f>
        <v>王裕仁</v>
      </c>
      <c r="D152" s="69">
        <v>41859</v>
      </c>
      <c r="E152" s="70" t="s">
        <v>1206</v>
      </c>
      <c r="F152" s="71">
        <v>10000</v>
      </c>
      <c r="G152" s="72">
        <v>25</v>
      </c>
      <c r="H152" s="72">
        <f t="shared" si="9"/>
        <v>250000</v>
      </c>
      <c r="I152" s="67" t="s">
        <v>1207</v>
      </c>
      <c r="J152" s="69">
        <f t="shared" si="7"/>
        <v>41859</v>
      </c>
      <c r="K152" s="72">
        <f t="shared" ref="K152:K173" si="10">H152</f>
        <v>250000</v>
      </c>
      <c r="L152" s="87"/>
    </row>
    <row r="153" spans="1:12" ht="34.5" customHeight="1">
      <c r="A153" s="68" t="s">
        <v>1073</v>
      </c>
      <c r="B153" s="68" t="str">
        <f>"54"</f>
        <v>54</v>
      </c>
      <c r="C153" s="86" t="str">
        <f>"李陳正香"</f>
        <v>李陳正香</v>
      </c>
      <c r="D153" s="69">
        <v>41859</v>
      </c>
      <c r="E153" s="70" t="s">
        <v>1208</v>
      </c>
      <c r="F153" s="71">
        <v>8000</v>
      </c>
      <c r="G153" s="72">
        <v>25</v>
      </c>
      <c r="H153" s="72">
        <f t="shared" si="9"/>
        <v>200000</v>
      </c>
      <c r="I153" s="67" t="s">
        <v>1209</v>
      </c>
      <c r="J153" s="69">
        <f t="shared" si="7"/>
        <v>41859</v>
      </c>
      <c r="K153" s="72">
        <f t="shared" si="10"/>
        <v>200000</v>
      </c>
      <c r="L153" s="87"/>
    </row>
    <row r="154" spans="1:12" ht="34.5" customHeight="1">
      <c r="A154" s="68" t="s">
        <v>1074</v>
      </c>
      <c r="B154" s="68" t="str">
        <f>"316"</f>
        <v>316</v>
      </c>
      <c r="C154" s="86" t="str">
        <f>"尤銘德"</f>
        <v>尤銘德</v>
      </c>
      <c r="D154" s="69">
        <v>41861</v>
      </c>
      <c r="E154" s="70" t="s">
        <v>1210</v>
      </c>
      <c r="F154" s="71">
        <v>5000</v>
      </c>
      <c r="G154" s="72">
        <v>25</v>
      </c>
      <c r="H154" s="72">
        <f t="shared" si="9"/>
        <v>125000</v>
      </c>
      <c r="I154" s="67" t="s">
        <v>1211</v>
      </c>
      <c r="J154" s="69">
        <f t="shared" si="7"/>
        <v>41861</v>
      </c>
      <c r="K154" s="72">
        <f t="shared" si="10"/>
        <v>125000</v>
      </c>
      <c r="L154" s="87"/>
    </row>
    <row r="155" spans="1:12" ht="34.5" customHeight="1">
      <c r="A155" s="68" t="s">
        <v>1075</v>
      </c>
      <c r="B155" s="68" t="str">
        <f>"223"</f>
        <v>223</v>
      </c>
      <c r="C155" s="86" t="str">
        <f>"陳淑濤"</f>
        <v>陳淑濤</v>
      </c>
      <c r="D155" s="69">
        <v>41862</v>
      </c>
      <c r="E155" s="70" t="s">
        <v>1192</v>
      </c>
      <c r="F155" s="71">
        <v>5000</v>
      </c>
      <c r="G155" s="72">
        <v>25</v>
      </c>
      <c r="H155" s="72">
        <f t="shared" si="9"/>
        <v>125000</v>
      </c>
      <c r="I155" s="67" t="s">
        <v>1193</v>
      </c>
      <c r="J155" s="69">
        <f t="shared" si="7"/>
        <v>41862</v>
      </c>
      <c r="K155" s="72">
        <f t="shared" si="10"/>
        <v>125000</v>
      </c>
      <c r="L155" s="87"/>
    </row>
    <row r="156" spans="1:12" ht="34.5" customHeight="1">
      <c r="A156" s="68" t="s">
        <v>1076</v>
      </c>
      <c r="B156" s="68" t="str">
        <f>"211"</f>
        <v>211</v>
      </c>
      <c r="C156" s="86" t="str">
        <f>"王冬立"</f>
        <v>王冬立</v>
      </c>
      <c r="D156" s="69">
        <v>41862</v>
      </c>
      <c r="E156" s="70" t="s">
        <v>1194</v>
      </c>
      <c r="F156" s="71">
        <v>3000</v>
      </c>
      <c r="G156" s="72">
        <v>25</v>
      </c>
      <c r="H156" s="72">
        <f t="shared" si="9"/>
        <v>75000</v>
      </c>
      <c r="I156" s="67" t="s">
        <v>1195</v>
      </c>
      <c r="J156" s="69">
        <f t="shared" si="7"/>
        <v>41862</v>
      </c>
      <c r="K156" s="72">
        <f t="shared" si="10"/>
        <v>75000</v>
      </c>
      <c r="L156" s="87"/>
    </row>
    <row r="157" spans="1:12" ht="34.5" customHeight="1">
      <c r="A157" s="68" t="s">
        <v>1077</v>
      </c>
      <c r="B157" s="68" t="str">
        <f>"297"</f>
        <v>297</v>
      </c>
      <c r="C157" s="86" t="str">
        <f>"黃揆勻"</f>
        <v>黃揆勻</v>
      </c>
      <c r="D157" s="69">
        <v>41862</v>
      </c>
      <c r="E157" s="70" t="s">
        <v>1196</v>
      </c>
      <c r="F157" s="71">
        <v>1000</v>
      </c>
      <c r="G157" s="72">
        <v>25</v>
      </c>
      <c r="H157" s="72">
        <f t="shared" si="9"/>
        <v>25000</v>
      </c>
      <c r="I157" s="67" t="s">
        <v>1197</v>
      </c>
      <c r="J157" s="69">
        <f t="shared" si="7"/>
        <v>41862</v>
      </c>
      <c r="K157" s="72">
        <f t="shared" si="10"/>
        <v>25000</v>
      </c>
      <c r="L157" s="87"/>
    </row>
    <row r="158" spans="1:12" ht="34.5" customHeight="1">
      <c r="A158" s="68" t="s">
        <v>1078</v>
      </c>
      <c r="B158" s="68" t="str">
        <f>"186"</f>
        <v>186</v>
      </c>
      <c r="C158" s="86" t="str">
        <f>"林錦裕"</f>
        <v>林錦裕</v>
      </c>
      <c r="D158" s="69">
        <v>41862</v>
      </c>
      <c r="E158" s="70" t="s">
        <v>1198</v>
      </c>
      <c r="F158" s="71">
        <v>5000</v>
      </c>
      <c r="G158" s="72">
        <v>25</v>
      </c>
      <c r="H158" s="72">
        <f t="shared" si="9"/>
        <v>125000</v>
      </c>
      <c r="I158" s="67" t="s">
        <v>1199</v>
      </c>
      <c r="J158" s="69">
        <f t="shared" si="7"/>
        <v>41862</v>
      </c>
      <c r="K158" s="72">
        <f t="shared" si="10"/>
        <v>125000</v>
      </c>
      <c r="L158" s="87"/>
    </row>
    <row r="159" spans="1:12" ht="34.5" customHeight="1">
      <c r="A159" s="68" t="s">
        <v>1079</v>
      </c>
      <c r="B159" s="68" t="str">
        <f>"25"</f>
        <v>25</v>
      </c>
      <c r="C159" s="86" t="str">
        <f>"陳孟雪"</f>
        <v>陳孟雪</v>
      </c>
      <c r="D159" s="69">
        <v>41862</v>
      </c>
      <c r="E159" s="70" t="s">
        <v>1200</v>
      </c>
      <c r="F159" s="71">
        <v>1000</v>
      </c>
      <c r="G159" s="72">
        <v>25</v>
      </c>
      <c r="H159" s="72">
        <f t="shared" si="9"/>
        <v>25000</v>
      </c>
      <c r="I159" s="67" t="s">
        <v>1201</v>
      </c>
      <c r="J159" s="69">
        <f t="shared" si="7"/>
        <v>41862</v>
      </c>
      <c r="K159" s="72">
        <f t="shared" si="10"/>
        <v>25000</v>
      </c>
      <c r="L159" s="87"/>
    </row>
    <row r="160" spans="1:12" ht="34.5" customHeight="1">
      <c r="A160" s="68" t="s">
        <v>1080</v>
      </c>
      <c r="B160" s="68" t="str">
        <f>"94"</f>
        <v>94</v>
      </c>
      <c r="C160" s="86" t="str">
        <f>"黃曉萍"</f>
        <v>黃曉萍</v>
      </c>
      <c r="D160" s="69">
        <v>41862</v>
      </c>
      <c r="E160" s="70" t="s">
        <v>1202</v>
      </c>
      <c r="F160" s="71">
        <v>2000</v>
      </c>
      <c r="G160" s="72">
        <v>25</v>
      </c>
      <c r="H160" s="72">
        <f>F160*G160</f>
        <v>50000</v>
      </c>
      <c r="I160" s="67" t="s">
        <v>1203</v>
      </c>
      <c r="J160" s="69">
        <f t="shared" si="7"/>
        <v>41862</v>
      </c>
      <c r="K160" s="72">
        <f t="shared" si="10"/>
        <v>50000</v>
      </c>
      <c r="L160" s="87"/>
    </row>
    <row r="161" spans="1:12" ht="34.5" customHeight="1">
      <c r="A161" s="68" t="s">
        <v>1081</v>
      </c>
      <c r="B161" s="68" t="str">
        <f>"251"</f>
        <v>251</v>
      </c>
      <c r="C161" s="86" t="str">
        <f>"姚文清"</f>
        <v>姚文清</v>
      </c>
      <c r="D161" s="69">
        <v>41862</v>
      </c>
      <c r="E161" s="70" t="s">
        <v>1204</v>
      </c>
      <c r="F161" s="71">
        <v>5000</v>
      </c>
      <c r="G161" s="72">
        <v>25</v>
      </c>
      <c r="H161" s="72">
        <f t="shared" ref="H161:H172" si="11">F161*G161</f>
        <v>125000</v>
      </c>
      <c r="I161" s="67" t="s">
        <v>1205</v>
      </c>
      <c r="J161" s="69">
        <f t="shared" si="7"/>
        <v>41862</v>
      </c>
      <c r="K161" s="72">
        <f t="shared" si="10"/>
        <v>125000</v>
      </c>
      <c r="L161" s="87"/>
    </row>
    <row r="162" spans="1:12" ht="34.5" customHeight="1">
      <c r="A162" s="68" t="s">
        <v>1082</v>
      </c>
      <c r="B162" s="68" t="str">
        <f>"36"</f>
        <v>36</v>
      </c>
      <c r="C162" s="86" t="str">
        <f>"蔡文益"</f>
        <v>蔡文益</v>
      </c>
      <c r="D162" s="69">
        <v>41862</v>
      </c>
      <c r="E162" s="70" t="s">
        <v>1206</v>
      </c>
      <c r="F162" s="71">
        <v>10000</v>
      </c>
      <c r="G162" s="72">
        <v>25</v>
      </c>
      <c r="H162" s="72">
        <f t="shared" si="11"/>
        <v>250000</v>
      </c>
      <c r="I162" s="67" t="s">
        <v>1207</v>
      </c>
      <c r="J162" s="69">
        <f t="shared" si="7"/>
        <v>41862</v>
      </c>
      <c r="K162" s="72">
        <f t="shared" si="10"/>
        <v>250000</v>
      </c>
      <c r="L162" s="87"/>
    </row>
    <row r="163" spans="1:12" ht="34.5" customHeight="1">
      <c r="A163" s="68" t="s">
        <v>1083</v>
      </c>
      <c r="B163" s="68" t="str">
        <f>"356"</f>
        <v>356</v>
      </c>
      <c r="C163" s="86" t="str">
        <f>"黃阿勤"</f>
        <v>黃阿勤</v>
      </c>
      <c r="D163" s="69">
        <v>41862</v>
      </c>
      <c r="E163" s="70" t="s">
        <v>1208</v>
      </c>
      <c r="F163" s="71">
        <v>10000</v>
      </c>
      <c r="G163" s="72">
        <v>25</v>
      </c>
      <c r="H163" s="72">
        <f t="shared" si="11"/>
        <v>250000</v>
      </c>
      <c r="I163" s="67" t="s">
        <v>1209</v>
      </c>
      <c r="J163" s="69">
        <v>41862</v>
      </c>
      <c r="K163" s="72">
        <f t="shared" si="10"/>
        <v>250000</v>
      </c>
      <c r="L163" s="87"/>
    </row>
    <row r="164" spans="1:12" ht="34.5" customHeight="1">
      <c r="A164" s="68" t="s">
        <v>1084</v>
      </c>
      <c r="B164" s="68" t="str">
        <f>"178"</f>
        <v>178</v>
      </c>
      <c r="C164" s="86" t="str">
        <f>"蔡佩蓉"</f>
        <v>蔡佩蓉</v>
      </c>
      <c r="D164" s="69">
        <v>41862</v>
      </c>
      <c r="E164" s="70" t="s">
        <v>1210</v>
      </c>
      <c r="F164" s="71">
        <v>5000</v>
      </c>
      <c r="G164" s="72">
        <v>25</v>
      </c>
      <c r="H164" s="72">
        <f t="shared" si="11"/>
        <v>125000</v>
      </c>
      <c r="I164" s="67" t="s">
        <v>1211</v>
      </c>
      <c r="J164" s="69">
        <f t="shared" ref="J164:J170" si="12">D164</f>
        <v>41862</v>
      </c>
      <c r="K164" s="72">
        <f t="shared" si="10"/>
        <v>125000</v>
      </c>
      <c r="L164" s="87"/>
    </row>
    <row r="165" spans="1:12" ht="34.5" customHeight="1">
      <c r="A165" s="68" t="s">
        <v>1085</v>
      </c>
      <c r="B165" s="68" t="str">
        <f>"179"</f>
        <v>179</v>
      </c>
      <c r="C165" s="86" t="str">
        <f>"蔡長霖"</f>
        <v>蔡長霖</v>
      </c>
      <c r="D165" s="69">
        <v>41862</v>
      </c>
      <c r="E165" s="70" t="s">
        <v>1192</v>
      </c>
      <c r="F165" s="71">
        <v>5000</v>
      </c>
      <c r="G165" s="72">
        <v>25</v>
      </c>
      <c r="H165" s="72">
        <f t="shared" si="11"/>
        <v>125000</v>
      </c>
      <c r="I165" s="67" t="s">
        <v>1193</v>
      </c>
      <c r="J165" s="69">
        <f t="shared" si="12"/>
        <v>41862</v>
      </c>
      <c r="K165" s="72">
        <f t="shared" si="10"/>
        <v>125000</v>
      </c>
      <c r="L165" s="87"/>
    </row>
    <row r="166" spans="1:12" ht="34.5" customHeight="1">
      <c r="A166" s="68" t="s">
        <v>1086</v>
      </c>
      <c r="B166" s="68" t="str">
        <f>"143"</f>
        <v>143</v>
      </c>
      <c r="C166" s="86" t="str">
        <f>"陳檉熹"</f>
        <v>陳檉熹</v>
      </c>
      <c r="D166" s="69">
        <v>41862</v>
      </c>
      <c r="E166" s="70" t="s">
        <v>1194</v>
      </c>
      <c r="F166" s="71">
        <v>1000</v>
      </c>
      <c r="G166" s="72">
        <v>25</v>
      </c>
      <c r="H166" s="72">
        <f t="shared" si="11"/>
        <v>25000</v>
      </c>
      <c r="I166" s="67" t="s">
        <v>1195</v>
      </c>
      <c r="J166" s="69">
        <f t="shared" si="12"/>
        <v>41862</v>
      </c>
      <c r="K166" s="72">
        <f t="shared" si="10"/>
        <v>25000</v>
      </c>
      <c r="L166" s="87"/>
    </row>
    <row r="167" spans="1:12" ht="34.5" customHeight="1">
      <c r="A167" s="68" t="s">
        <v>1087</v>
      </c>
      <c r="B167" s="68" t="str">
        <f>"232"</f>
        <v>232</v>
      </c>
      <c r="C167" s="86" t="str">
        <f>"黃明智"</f>
        <v>黃明智</v>
      </c>
      <c r="D167" s="69">
        <v>41862</v>
      </c>
      <c r="E167" s="70" t="s">
        <v>1196</v>
      </c>
      <c r="F167" s="71">
        <v>2000</v>
      </c>
      <c r="G167" s="72">
        <v>25</v>
      </c>
      <c r="H167" s="72">
        <f t="shared" si="11"/>
        <v>50000</v>
      </c>
      <c r="I167" s="67" t="s">
        <v>1197</v>
      </c>
      <c r="J167" s="69">
        <f t="shared" si="12"/>
        <v>41862</v>
      </c>
      <c r="K167" s="72">
        <f t="shared" si="10"/>
        <v>50000</v>
      </c>
      <c r="L167" s="87"/>
    </row>
    <row r="168" spans="1:12" ht="34.5" customHeight="1">
      <c r="A168" s="68" t="s">
        <v>1088</v>
      </c>
      <c r="B168" s="68" t="str">
        <f>"83"</f>
        <v>83</v>
      </c>
      <c r="C168" s="86" t="str">
        <f>"曾文清"</f>
        <v>曾文清</v>
      </c>
      <c r="D168" s="69">
        <v>41862</v>
      </c>
      <c r="E168" s="70" t="s">
        <v>1198</v>
      </c>
      <c r="F168" s="71">
        <v>1000</v>
      </c>
      <c r="G168" s="72">
        <v>25</v>
      </c>
      <c r="H168" s="72">
        <f t="shared" si="11"/>
        <v>25000</v>
      </c>
      <c r="I168" s="67" t="s">
        <v>1199</v>
      </c>
      <c r="J168" s="69">
        <f t="shared" si="12"/>
        <v>41862</v>
      </c>
      <c r="K168" s="72">
        <f t="shared" si="10"/>
        <v>25000</v>
      </c>
      <c r="L168" s="87"/>
    </row>
    <row r="169" spans="1:12" ht="34.5" customHeight="1">
      <c r="A169" s="68" t="s">
        <v>1089</v>
      </c>
      <c r="B169" s="68" t="str">
        <f>"40"</f>
        <v>40</v>
      </c>
      <c r="C169" s="86" t="str">
        <f>"張潘喜英"</f>
        <v>張潘喜英</v>
      </c>
      <c r="D169" s="69">
        <v>41862</v>
      </c>
      <c r="E169" s="70" t="s">
        <v>1200</v>
      </c>
      <c r="F169" s="71">
        <v>2000</v>
      </c>
      <c r="G169" s="72">
        <v>25</v>
      </c>
      <c r="H169" s="72">
        <f t="shared" si="11"/>
        <v>50000</v>
      </c>
      <c r="I169" s="67" t="s">
        <v>1201</v>
      </c>
      <c r="J169" s="69">
        <f t="shared" si="12"/>
        <v>41862</v>
      </c>
      <c r="K169" s="72">
        <f t="shared" si="10"/>
        <v>50000</v>
      </c>
      <c r="L169" s="87"/>
    </row>
    <row r="170" spans="1:12" ht="34.5" customHeight="1">
      <c r="A170" s="68" t="s">
        <v>1090</v>
      </c>
      <c r="B170" s="68" t="str">
        <f>"68"</f>
        <v>68</v>
      </c>
      <c r="C170" s="86" t="str">
        <f>"陳宏洋"</f>
        <v>陳宏洋</v>
      </c>
      <c r="D170" s="69">
        <v>41862</v>
      </c>
      <c r="E170" s="70" t="s">
        <v>1202</v>
      </c>
      <c r="F170" s="71">
        <v>2000</v>
      </c>
      <c r="G170" s="72">
        <v>25</v>
      </c>
      <c r="H170" s="72">
        <f t="shared" si="11"/>
        <v>50000</v>
      </c>
      <c r="I170" s="67" t="s">
        <v>1203</v>
      </c>
      <c r="J170" s="69">
        <f t="shared" si="12"/>
        <v>41862</v>
      </c>
      <c r="K170" s="72">
        <f t="shared" si="10"/>
        <v>50000</v>
      </c>
      <c r="L170" s="87"/>
    </row>
    <row r="171" spans="1:12" ht="34.5" customHeight="1">
      <c r="A171" s="68" t="s">
        <v>1091</v>
      </c>
      <c r="B171" s="68" t="str">
        <f>"96"</f>
        <v>96</v>
      </c>
      <c r="C171" s="86" t="str">
        <f>"郭如玲"</f>
        <v>郭如玲</v>
      </c>
      <c r="D171" s="69">
        <v>41862</v>
      </c>
      <c r="E171" s="70" t="s">
        <v>1204</v>
      </c>
      <c r="F171" s="71">
        <v>20000</v>
      </c>
      <c r="G171" s="72">
        <v>25</v>
      </c>
      <c r="H171" s="72">
        <f t="shared" si="11"/>
        <v>500000</v>
      </c>
      <c r="I171" s="67" t="s">
        <v>1205</v>
      </c>
      <c r="J171" s="69">
        <v>41862</v>
      </c>
      <c r="K171" s="72">
        <f t="shared" si="10"/>
        <v>500000</v>
      </c>
      <c r="L171" s="87"/>
    </row>
    <row r="172" spans="1:12" ht="34.5" customHeight="1">
      <c r="A172" s="68" t="s">
        <v>1092</v>
      </c>
      <c r="B172" s="68" t="str">
        <f>"337"</f>
        <v>337</v>
      </c>
      <c r="C172" s="86" t="str">
        <f>"翁明昆"</f>
        <v>翁明昆</v>
      </c>
      <c r="D172" s="69">
        <v>41862</v>
      </c>
      <c r="E172" s="70" t="s">
        <v>1206</v>
      </c>
      <c r="F172" s="71">
        <v>5000</v>
      </c>
      <c r="G172" s="72">
        <v>25</v>
      </c>
      <c r="H172" s="72">
        <f t="shared" si="11"/>
        <v>125000</v>
      </c>
      <c r="I172" s="67" t="s">
        <v>1207</v>
      </c>
      <c r="J172" s="69">
        <f>D172</f>
        <v>41862</v>
      </c>
      <c r="K172" s="72">
        <f t="shared" si="10"/>
        <v>125000</v>
      </c>
      <c r="L172" s="87"/>
    </row>
    <row r="173" spans="1:12" ht="34.5" customHeight="1">
      <c r="A173" s="68" t="s">
        <v>1093</v>
      </c>
      <c r="B173" s="68" t="str">
        <f>"391"</f>
        <v>391</v>
      </c>
      <c r="C173" s="86" t="str">
        <f>"楊小宜"</f>
        <v>楊小宜</v>
      </c>
      <c r="D173" s="69">
        <v>41862</v>
      </c>
      <c r="E173" s="70" t="s">
        <v>1208</v>
      </c>
      <c r="F173" s="71">
        <v>3000</v>
      </c>
      <c r="G173" s="72">
        <v>25</v>
      </c>
      <c r="H173" s="72">
        <f>F173*G173</f>
        <v>75000</v>
      </c>
      <c r="I173" s="67" t="s">
        <v>1209</v>
      </c>
      <c r="J173" s="69">
        <f>D173</f>
        <v>41862</v>
      </c>
      <c r="K173" s="72">
        <f t="shared" si="10"/>
        <v>75000</v>
      </c>
      <c r="L173" s="87"/>
    </row>
    <row r="174" spans="1:12" ht="21" customHeight="1">
      <c r="A174" s="255" t="s">
        <v>1094</v>
      </c>
      <c r="B174" s="255" t="str">
        <f>"406"</f>
        <v>406</v>
      </c>
      <c r="C174" s="258" t="str">
        <f>"高素雲"</f>
        <v>高素雲</v>
      </c>
      <c r="D174" s="273">
        <v>41862</v>
      </c>
      <c r="E174" s="255" t="s">
        <v>1210</v>
      </c>
      <c r="F174" s="261">
        <v>6000</v>
      </c>
      <c r="G174" s="264">
        <v>25</v>
      </c>
      <c r="H174" s="264">
        <f>F174*G174</f>
        <v>150000</v>
      </c>
      <c r="I174" s="67" t="s">
        <v>1211</v>
      </c>
      <c r="J174" s="273">
        <f>D174</f>
        <v>41862</v>
      </c>
      <c r="K174" s="264">
        <f>H174</f>
        <v>150000</v>
      </c>
      <c r="L174" s="87" t="s">
        <v>1212</v>
      </c>
    </row>
    <row r="175" spans="1:12" ht="18" customHeight="1">
      <c r="A175" s="257"/>
      <c r="B175" s="257"/>
      <c r="C175" s="260"/>
      <c r="D175" s="274"/>
      <c r="E175" s="257"/>
      <c r="F175" s="263"/>
      <c r="G175" s="266"/>
      <c r="H175" s="266"/>
      <c r="I175" s="67" t="s">
        <v>1211</v>
      </c>
      <c r="J175" s="274"/>
      <c r="K175" s="266"/>
      <c r="L175" s="87" t="s">
        <v>1213</v>
      </c>
    </row>
    <row r="176" spans="1:12" ht="34.5" customHeight="1">
      <c r="A176" s="74" t="s">
        <v>1095</v>
      </c>
      <c r="B176" s="74" t="str">
        <f>"168"</f>
        <v>168</v>
      </c>
      <c r="C176" s="89" t="str">
        <f>"莊德謀"</f>
        <v>莊德謀</v>
      </c>
      <c r="D176" s="75">
        <v>41862</v>
      </c>
      <c r="E176" s="76" t="s">
        <v>1192</v>
      </c>
      <c r="F176" s="77">
        <v>1000</v>
      </c>
      <c r="G176" s="78">
        <v>25</v>
      </c>
      <c r="H176" s="78">
        <f t="shared" ref="H176:H181" si="13">F176*G176</f>
        <v>25000</v>
      </c>
      <c r="I176" s="67" t="s">
        <v>1193</v>
      </c>
      <c r="J176" s="75">
        <f t="shared" ref="J176:J181" si="14">D176</f>
        <v>41862</v>
      </c>
      <c r="K176" s="78">
        <f>H176</f>
        <v>25000</v>
      </c>
      <c r="L176" s="90" t="s">
        <v>1214</v>
      </c>
    </row>
    <row r="177" spans="1:12" ht="34.5" customHeight="1">
      <c r="A177" s="68" t="s">
        <v>1096</v>
      </c>
      <c r="B177" s="68" t="str">
        <f>"187"</f>
        <v>187</v>
      </c>
      <c r="C177" s="86" t="str">
        <f>"尤伍能"</f>
        <v>尤伍能</v>
      </c>
      <c r="D177" s="69">
        <v>41862</v>
      </c>
      <c r="E177" s="70" t="s">
        <v>1194</v>
      </c>
      <c r="F177" s="71">
        <v>2000</v>
      </c>
      <c r="G177" s="72">
        <v>25</v>
      </c>
      <c r="H177" s="78">
        <f t="shared" si="13"/>
        <v>50000</v>
      </c>
      <c r="I177" s="67" t="s">
        <v>1195</v>
      </c>
      <c r="J177" s="69">
        <f t="shared" si="14"/>
        <v>41862</v>
      </c>
      <c r="K177" s="72">
        <f>H177</f>
        <v>50000</v>
      </c>
      <c r="L177" s="87"/>
    </row>
    <row r="178" spans="1:12" ht="34.5" customHeight="1">
      <c r="A178" s="68" t="s">
        <v>1097</v>
      </c>
      <c r="B178" s="68" t="str">
        <f>"155"</f>
        <v>155</v>
      </c>
      <c r="C178" s="86" t="str">
        <f>"駱詠潔"</f>
        <v>駱詠潔</v>
      </c>
      <c r="D178" s="69">
        <v>41862</v>
      </c>
      <c r="E178" s="70" t="s">
        <v>1196</v>
      </c>
      <c r="F178" s="71">
        <v>5000</v>
      </c>
      <c r="G178" s="72">
        <v>25</v>
      </c>
      <c r="H178" s="78">
        <f t="shared" si="13"/>
        <v>125000</v>
      </c>
      <c r="I178" s="67" t="s">
        <v>1197</v>
      </c>
      <c r="J178" s="69">
        <f t="shared" si="14"/>
        <v>41862</v>
      </c>
      <c r="K178" s="72">
        <f t="shared" ref="K178:K241" si="15">H178</f>
        <v>125000</v>
      </c>
      <c r="L178" s="87"/>
    </row>
    <row r="179" spans="1:12" ht="34.5" customHeight="1">
      <c r="A179" s="68" t="s">
        <v>1098</v>
      </c>
      <c r="B179" s="68" t="str">
        <f>"78"</f>
        <v>78</v>
      </c>
      <c r="C179" s="86" t="str">
        <f>"官裕宗"</f>
        <v>官裕宗</v>
      </c>
      <c r="D179" s="69">
        <v>41862</v>
      </c>
      <c r="E179" s="70" t="s">
        <v>1198</v>
      </c>
      <c r="F179" s="71">
        <v>15000</v>
      </c>
      <c r="G179" s="72">
        <v>25</v>
      </c>
      <c r="H179" s="78">
        <f t="shared" si="13"/>
        <v>375000</v>
      </c>
      <c r="I179" s="67" t="s">
        <v>1199</v>
      </c>
      <c r="J179" s="69">
        <f t="shared" si="14"/>
        <v>41862</v>
      </c>
      <c r="K179" s="72">
        <f t="shared" si="15"/>
        <v>375000</v>
      </c>
      <c r="L179" s="87"/>
    </row>
    <row r="180" spans="1:12" ht="34.5" customHeight="1">
      <c r="A180" s="68" t="s">
        <v>1099</v>
      </c>
      <c r="B180" s="68" t="str">
        <f>"106"</f>
        <v>106</v>
      </c>
      <c r="C180" s="86" t="str">
        <f>"陳復章"</f>
        <v>陳復章</v>
      </c>
      <c r="D180" s="69">
        <v>41862</v>
      </c>
      <c r="E180" s="70" t="s">
        <v>1200</v>
      </c>
      <c r="F180" s="71">
        <v>1000</v>
      </c>
      <c r="G180" s="72">
        <v>25</v>
      </c>
      <c r="H180" s="78">
        <f t="shared" si="13"/>
        <v>25000</v>
      </c>
      <c r="I180" s="67" t="s">
        <v>1201</v>
      </c>
      <c r="J180" s="69">
        <f t="shared" si="14"/>
        <v>41862</v>
      </c>
      <c r="K180" s="72">
        <f t="shared" si="15"/>
        <v>25000</v>
      </c>
      <c r="L180" s="87"/>
    </row>
    <row r="181" spans="1:12" ht="17.25" customHeight="1">
      <c r="A181" s="277" t="s">
        <v>1215</v>
      </c>
      <c r="B181" s="277" t="str">
        <f>"169"</f>
        <v>169</v>
      </c>
      <c r="C181" s="279" t="str">
        <f>"李德昱"</f>
        <v>李德昱</v>
      </c>
      <c r="D181" s="281" t="s">
        <v>1216</v>
      </c>
      <c r="E181" s="277" t="s">
        <v>1200</v>
      </c>
      <c r="F181" s="283">
        <v>2000</v>
      </c>
      <c r="G181" s="275">
        <v>25</v>
      </c>
      <c r="H181" s="275">
        <f t="shared" si="13"/>
        <v>50000</v>
      </c>
      <c r="I181" s="67" t="s">
        <v>1201</v>
      </c>
      <c r="J181" s="281" t="str">
        <f t="shared" si="14"/>
        <v>2014/8/11、8/13</v>
      </c>
      <c r="K181" s="275">
        <f>H181</f>
        <v>50000</v>
      </c>
      <c r="L181" s="91" t="s">
        <v>1217</v>
      </c>
    </row>
    <row r="182" spans="1:12" ht="15.75" customHeight="1">
      <c r="A182" s="278"/>
      <c r="B182" s="278"/>
      <c r="C182" s="280"/>
      <c r="D182" s="282"/>
      <c r="E182" s="278"/>
      <c r="F182" s="284"/>
      <c r="G182" s="276"/>
      <c r="H182" s="276"/>
      <c r="I182" s="67" t="s">
        <v>1201</v>
      </c>
      <c r="J182" s="282"/>
      <c r="K182" s="276"/>
      <c r="L182" s="91" t="s">
        <v>1218</v>
      </c>
    </row>
    <row r="183" spans="1:12" ht="34.5" customHeight="1">
      <c r="A183" s="68" t="s">
        <v>1100</v>
      </c>
      <c r="B183" s="68" t="str">
        <f>"98"</f>
        <v>98</v>
      </c>
      <c r="C183" s="86" t="str">
        <f>"莊重信"</f>
        <v>莊重信</v>
      </c>
      <c r="D183" s="69">
        <v>41862</v>
      </c>
      <c r="E183" s="70" t="s">
        <v>1204</v>
      </c>
      <c r="F183" s="71">
        <v>6000</v>
      </c>
      <c r="G183" s="72">
        <v>25</v>
      </c>
      <c r="H183" s="72">
        <f>F183*G183</f>
        <v>150000</v>
      </c>
      <c r="I183" s="67" t="s">
        <v>1205</v>
      </c>
      <c r="J183" s="69">
        <f t="shared" ref="J183:J246" si="16">D183</f>
        <v>41862</v>
      </c>
      <c r="K183" s="72">
        <f t="shared" si="15"/>
        <v>150000</v>
      </c>
      <c r="L183" s="87"/>
    </row>
    <row r="184" spans="1:12" ht="34.5" customHeight="1">
      <c r="A184" s="68" t="s">
        <v>1101</v>
      </c>
      <c r="B184" s="68" t="str">
        <f>"184"</f>
        <v>184</v>
      </c>
      <c r="C184" s="86" t="str">
        <f>"吳勝傑"</f>
        <v>吳勝傑</v>
      </c>
      <c r="D184" s="69">
        <v>41862</v>
      </c>
      <c r="E184" s="70" t="s">
        <v>1206</v>
      </c>
      <c r="F184" s="71">
        <v>4000</v>
      </c>
      <c r="G184" s="72">
        <v>25</v>
      </c>
      <c r="H184" s="72">
        <f t="shared" ref="H184:H247" si="17">F184*G184</f>
        <v>100000</v>
      </c>
      <c r="I184" s="67" t="s">
        <v>1207</v>
      </c>
      <c r="J184" s="69">
        <f t="shared" si="16"/>
        <v>41862</v>
      </c>
      <c r="K184" s="72">
        <f t="shared" si="15"/>
        <v>100000</v>
      </c>
      <c r="L184" s="87"/>
    </row>
    <row r="185" spans="1:12" ht="34.5" customHeight="1">
      <c r="A185" s="68" t="s">
        <v>1102</v>
      </c>
      <c r="B185" s="68" t="str">
        <f>"237"</f>
        <v>237</v>
      </c>
      <c r="C185" s="86" t="str">
        <f>"洪仁成"</f>
        <v>洪仁成</v>
      </c>
      <c r="D185" s="69">
        <v>41862</v>
      </c>
      <c r="E185" s="70" t="s">
        <v>1208</v>
      </c>
      <c r="F185" s="71">
        <v>5000</v>
      </c>
      <c r="G185" s="72">
        <v>25</v>
      </c>
      <c r="H185" s="72">
        <f t="shared" si="17"/>
        <v>125000</v>
      </c>
      <c r="I185" s="67" t="s">
        <v>1209</v>
      </c>
      <c r="J185" s="69">
        <f t="shared" si="16"/>
        <v>41862</v>
      </c>
      <c r="K185" s="72">
        <f t="shared" si="15"/>
        <v>125000</v>
      </c>
      <c r="L185" s="87"/>
    </row>
    <row r="186" spans="1:12" ht="36" customHeight="1">
      <c r="A186" s="68" t="s">
        <v>1103</v>
      </c>
      <c r="B186" s="68" t="str">
        <f>"79"</f>
        <v>79</v>
      </c>
      <c r="C186" s="86" t="str">
        <f>"李孟訓"</f>
        <v>李孟訓</v>
      </c>
      <c r="D186" s="69">
        <v>41862</v>
      </c>
      <c r="E186" s="70" t="s">
        <v>1210</v>
      </c>
      <c r="F186" s="71">
        <v>5000</v>
      </c>
      <c r="G186" s="72">
        <v>25</v>
      </c>
      <c r="H186" s="72">
        <f t="shared" si="17"/>
        <v>125000</v>
      </c>
      <c r="I186" s="67" t="s">
        <v>1211</v>
      </c>
      <c r="J186" s="69">
        <f t="shared" si="16"/>
        <v>41862</v>
      </c>
      <c r="K186" s="72">
        <f t="shared" si="15"/>
        <v>125000</v>
      </c>
      <c r="L186" s="87"/>
    </row>
    <row r="187" spans="1:12" ht="46.5" customHeight="1">
      <c r="A187" s="68" t="s">
        <v>1104</v>
      </c>
      <c r="B187" s="68" t="str">
        <f>"138"</f>
        <v>138</v>
      </c>
      <c r="C187" s="86" t="str">
        <f>"李桂鶯"</f>
        <v>李桂鶯</v>
      </c>
      <c r="D187" s="69">
        <v>41862</v>
      </c>
      <c r="E187" s="70" t="s">
        <v>1192</v>
      </c>
      <c r="F187" s="71">
        <v>15000</v>
      </c>
      <c r="G187" s="72">
        <v>25</v>
      </c>
      <c r="H187" s="72">
        <f t="shared" si="17"/>
        <v>375000</v>
      </c>
      <c r="I187" s="67" t="s">
        <v>1193</v>
      </c>
      <c r="J187" s="69">
        <f t="shared" si="16"/>
        <v>41862</v>
      </c>
      <c r="K187" s="72">
        <f t="shared" si="15"/>
        <v>375000</v>
      </c>
      <c r="L187" s="87"/>
    </row>
    <row r="188" spans="1:12" ht="46.5" customHeight="1">
      <c r="A188" s="68" t="s">
        <v>1105</v>
      </c>
      <c r="B188" s="68" t="str">
        <f>"347"</f>
        <v>347</v>
      </c>
      <c r="C188" s="86" t="str">
        <f>"張建成"</f>
        <v>張建成</v>
      </c>
      <c r="D188" s="69">
        <v>41862</v>
      </c>
      <c r="E188" s="70" t="s">
        <v>1194</v>
      </c>
      <c r="F188" s="71">
        <v>5000</v>
      </c>
      <c r="G188" s="72">
        <v>25</v>
      </c>
      <c r="H188" s="72">
        <f t="shared" si="17"/>
        <v>125000</v>
      </c>
      <c r="I188" s="67" t="s">
        <v>1195</v>
      </c>
      <c r="J188" s="69">
        <f>D188</f>
        <v>41862</v>
      </c>
      <c r="K188" s="72">
        <f>H188</f>
        <v>125000</v>
      </c>
      <c r="L188" s="87"/>
    </row>
    <row r="189" spans="1:12" ht="46.5" customHeight="1">
      <c r="A189" s="68" t="s">
        <v>1106</v>
      </c>
      <c r="B189" s="68" t="str">
        <f>"249"</f>
        <v>249</v>
      </c>
      <c r="C189" s="86" t="str">
        <f>"伍正康"</f>
        <v>伍正康</v>
      </c>
      <c r="D189" s="69">
        <v>41862</v>
      </c>
      <c r="E189" s="70" t="s">
        <v>1196</v>
      </c>
      <c r="F189" s="71">
        <v>5000</v>
      </c>
      <c r="G189" s="72">
        <v>25</v>
      </c>
      <c r="H189" s="72">
        <f t="shared" si="17"/>
        <v>125000</v>
      </c>
      <c r="I189" s="67" t="s">
        <v>1197</v>
      </c>
      <c r="J189" s="69">
        <f t="shared" si="16"/>
        <v>41862</v>
      </c>
      <c r="K189" s="72">
        <f t="shared" si="15"/>
        <v>125000</v>
      </c>
      <c r="L189" s="87"/>
    </row>
    <row r="190" spans="1:12" ht="46.5" customHeight="1">
      <c r="A190" s="68" t="s">
        <v>1107</v>
      </c>
      <c r="B190" s="68" t="str">
        <f>"338"</f>
        <v>338</v>
      </c>
      <c r="C190" s="86" t="str">
        <f>"羅誘貽"</f>
        <v>羅誘貽</v>
      </c>
      <c r="D190" s="69">
        <v>41862</v>
      </c>
      <c r="E190" s="70" t="s">
        <v>1198</v>
      </c>
      <c r="F190" s="71">
        <v>2000</v>
      </c>
      <c r="G190" s="72">
        <v>25</v>
      </c>
      <c r="H190" s="72">
        <f t="shared" si="17"/>
        <v>50000</v>
      </c>
      <c r="I190" s="67" t="s">
        <v>1199</v>
      </c>
      <c r="J190" s="69">
        <f t="shared" si="16"/>
        <v>41862</v>
      </c>
      <c r="K190" s="72">
        <f t="shared" si="15"/>
        <v>50000</v>
      </c>
      <c r="L190" s="87"/>
    </row>
    <row r="191" spans="1:12" ht="46.5" customHeight="1">
      <c r="A191" s="68" t="s">
        <v>1108</v>
      </c>
      <c r="B191" s="68" t="str">
        <f>"77"</f>
        <v>77</v>
      </c>
      <c r="C191" s="86" t="str">
        <f>"陳信宏"</f>
        <v>陳信宏</v>
      </c>
      <c r="D191" s="69">
        <v>41862</v>
      </c>
      <c r="E191" s="70" t="s">
        <v>1200</v>
      </c>
      <c r="F191" s="71">
        <v>2000</v>
      </c>
      <c r="G191" s="72">
        <v>25</v>
      </c>
      <c r="H191" s="72">
        <f t="shared" si="17"/>
        <v>50000</v>
      </c>
      <c r="I191" s="67" t="s">
        <v>1201</v>
      </c>
      <c r="J191" s="69">
        <f t="shared" si="16"/>
        <v>41862</v>
      </c>
      <c r="K191" s="72">
        <f t="shared" si="15"/>
        <v>50000</v>
      </c>
      <c r="L191" s="87"/>
    </row>
    <row r="192" spans="1:12" ht="46.5" customHeight="1">
      <c r="A192" s="68" t="s">
        <v>1109</v>
      </c>
      <c r="B192" s="68" t="str">
        <f>"257"</f>
        <v>257</v>
      </c>
      <c r="C192" s="86" t="str">
        <f>"李湘淇"</f>
        <v>李湘淇</v>
      </c>
      <c r="D192" s="69">
        <v>41862</v>
      </c>
      <c r="E192" s="70" t="s">
        <v>1202</v>
      </c>
      <c r="F192" s="71">
        <v>2000</v>
      </c>
      <c r="G192" s="72">
        <v>25</v>
      </c>
      <c r="H192" s="72">
        <f t="shared" si="17"/>
        <v>50000</v>
      </c>
      <c r="I192" s="67" t="s">
        <v>1203</v>
      </c>
      <c r="J192" s="69">
        <f t="shared" si="16"/>
        <v>41862</v>
      </c>
      <c r="K192" s="72">
        <f t="shared" si="15"/>
        <v>50000</v>
      </c>
      <c r="L192" s="87"/>
    </row>
    <row r="193" spans="1:12" ht="46.5" customHeight="1">
      <c r="A193" s="68" t="s">
        <v>1110</v>
      </c>
      <c r="B193" s="68" t="str">
        <f>"274"</f>
        <v>274</v>
      </c>
      <c r="C193" s="86" t="str">
        <f>"張嘉農"</f>
        <v>張嘉農</v>
      </c>
      <c r="D193" s="69">
        <v>41862</v>
      </c>
      <c r="E193" s="70" t="s">
        <v>1204</v>
      </c>
      <c r="F193" s="71">
        <v>10000</v>
      </c>
      <c r="G193" s="72">
        <v>25</v>
      </c>
      <c r="H193" s="72">
        <f t="shared" si="17"/>
        <v>250000</v>
      </c>
      <c r="I193" s="67" t="s">
        <v>1205</v>
      </c>
      <c r="J193" s="69">
        <f t="shared" si="16"/>
        <v>41862</v>
      </c>
      <c r="K193" s="72">
        <f t="shared" si="15"/>
        <v>250000</v>
      </c>
      <c r="L193" s="87"/>
    </row>
    <row r="194" spans="1:12" ht="46.5" customHeight="1">
      <c r="A194" s="68" t="s">
        <v>1111</v>
      </c>
      <c r="B194" s="68" t="str">
        <f>"348"</f>
        <v>348</v>
      </c>
      <c r="C194" s="86" t="str">
        <f>"鄭明華"</f>
        <v>鄭明華</v>
      </c>
      <c r="D194" s="69">
        <v>41862</v>
      </c>
      <c r="E194" s="70" t="s">
        <v>1206</v>
      </c>
      <c r="F194" s="71">
        <v>7000</v>
      </c>
      <c r="G194" s="72">
        <v>25</v>
      </c>
      <c r="H194" s="72">
        <f t="shared" si="17"/>
        <v>175000</v>
      </c>
      <c r="I194" s="67" t="s">
        <v>1207</v>
      </c>
      <c r="J194" s="69">
        <f t="shared" si="16"/>
        <v>41862</v>
      </c>
      <c r="K194" s="72">
        <f t="shared" si="15"/>
        <v>175000</v>
      </c>
      <c r="L194" s="87"/>
    </row>
    <row r="195" spans="1:12" ht="46.5" customHeight="1">
      <c r="A195" s="68" t="s">
        <v>1112</v>
      </c>
      <c r="B195" s="68" t="str">
        <f>"23"</f>
        <v>23</v>
      </c>
      <c r="C195" s="86" t="str">
        <f>"黃秀芬"</f>
        <v>黃秀芬</v>
      </c>
      <c r="D195" s="69">
        <v>41862</v>
      </c>
      <c r="E195" s="70" t="s">
        <v>1208</v>
      </c>
      <c r="F195" s="71">
        <v>5000</v>
      </c>
      <c r="G195" s="72">
        <v>25</v>
      </c>
      <c r="H195" s="72">
        <f t="shared" si="17"/>
        <v>125000</v>
      </c>
      <c r="I195" s="67" t="s">
        <v>1209</v>
      </c>
      <c r="J195" s="69">
        <f t="shared" si="16"/>
        <v>41862</v>
      </c>
      <c r="K195" s="72">
        <f t="shared" si="15"/>
        <v>125000</v>
      </c>
      <c r="L195" s="87"/>
    </row>
    <row r="196" spans="1:12" ht="46.5" customHeight="1">
      <c r="A196" s="68" t="s">
        <v>1113</v>
      </c>
      <c r="B196" s="68" t="str">
        <f>"49"</f>
        <v>49</v>
      </c>
      <c r="C196" s="86" t="str">
        <f>"紀榮昆"</f>
        <v>紀榮昆</v>
      </c>
      <c r="D196" s="69">
        <v>41862</v>
      </c>
      <c r="E196" s="70" t="s">
        <v>1210</v>
      </c>
      <c r="F196" s="71">
        <v>2000</v>
      </c>
      <c r="G196" s="72">
        <v>25</v>
      </c>
      <c r="H196" s="72">
        <f t="shared" si="17"/>
        <v>50000</v>
      </c>
      <c r="I196" s="67" t="s">
        <v>1211</v>
      </c>
      <c r="J196" s="69">
        <f t="shared" si="16"/>
        <v>41862</v>
      </c>
      <c r="K196" s="72">
        <f t="shared" si="15"/>
        <v>50000</v>
      </c>
      <c r="L196" s="87"/>
    </row>
    <row r="197" spans="1:12" ht="46.5" customHeight="1">
      <c r="A197" s="68" t="s">
        <v>1114</v>
      </c>
      <c r="B197" s="68" t="str">
        <f>"213"</f>
        <v>213</v>
      </c>
      <c r="C197" s="86" t="str">
        <f>"洪榮森"</f>
        <v>洪榮森</v>
      </c>
      <c r="D197" s="69">
        <v>41862</v>
      </c>
      <c r="E197" s="70" t="s">
        <v>1192</v>
      </c>
      <c r="F197" s="71">
        <v>10000</v>
      </c>
      <c r="G197" s="72">
        <v>25</v>
      </c>
      <c r="H197" s="72">
        <f t="shared" si="17"/>
        <v>250000</v>
      </c>
      <c r="I197" s="67" t="s">
        <v>1193</v>
      </c>
      <c r="J197" s="69">
        <f t="shared" si="16"/>
        <v>41862</v>
      </c>
      <c r="K197" s="72">
        <f t="shared" si="15"/>
        <v>250000</v>
      </c>
      <c r="L197" s="87"/>
    </row>
    <row r="198" spans="1:12" ht="46.5" customHeight="1">
      <c r="A198" s="68" t="s">
        <v>1115</v>
      </c>
      <c r="B198" s="68" t="str">
        <f>"278"</f>
        <v>278</v>
      </c>
      <c r="C198" s="86" t="str">
        <f>"翁清龍"</f>
        <v>翁清龍</v>
      </c>
      <c r="D198" s="69">
        <v>41862</v>
      </c>
      <c r="E198" s="70" t="s">
        <v>1194</v>
      </c>
      <c r="F198" s="71">
        <v>1000</v>
      </c>
      <c r="G198" s="72">
        <v>25</v>
      </c>
      <c r="H198" s="72">
        <f t="shared" si="17"/>
        <v>25000</v>
      </c>
      <c r="I198" s="67" t="s">
        <v>1195</v>
      </c>
      <c r="J198" s="69">
        <f t="shared" si="16"/>
        <v>41862</v>
      </c>
      <c r="K198" s="72">
        <f t="shared" si="15"/>
        <v>25000</v>
      </c>
      <c r="L198" s="87"/>
    </row>
    <row r="199" spans="1:12" ht="46.5" customHeight="1">
      <c r="A199" s="68" t="s">
        <v>1116</v>
      </c>
      <c r="B199" s="68" t="str">
        <f>"167"</f>
        <v>167</v>
      </c>
      <c r="C199" s="86" t="str">
        <f>"蔡佩伶"</f>
        <v>蔡佩伶</v>
      </c>
      <c r="D199" s="69">
        <v>41862</v>
      </c>
      <c r="E199" s="70" t="s">
        <v>1196</v>
      </c>
      <c r="F199" s="71">
        <v>1000</v>
      </c>
      <c r="G199" s="72">
        <v>25</v>
      </c>
      <c r="H199" s="72">
        <f t="shared" si="17"/>
        <v>25000</v>
      </c>
      <c r="I199" s="67" t="s">
        <v>1197</v>
      </c>
      <c r="J199" s="69">
        <f t="shared" si="16"/>
        <v>41862</v>
      </c>
      <c r="K199" s="72">
        <f t="shared" si="15"/>
        <v>25000</v>
      </c>
      <c r="L199" s="87"/>
    </row>
    <row r="200" spans="1:12" ht="46.5" customHeight="1">
      <c r="A200" s="68" t="s">
        <v>1117</v>
      </c>
      <c r="B200" s="68" t="str">
        <f>"371"</f>
        <v>371</v>
      </c>
      <c r="C200" s="86" t="str">
        <f>"郭華彥"</f>
        <v>郭華彥</v>
      </c>
      <c r="D200" s="69">
        <v>41862</v>
      </c>
      <c r="E200" s="70" t="s">
        <v>1198</v>
      </c>
      <c r="F200" s="71">
        <v>10000</v>
      </c>
      <c r="G200" s="72">
        <v>25</v>
      </c>
      <c r="H200" s="72">
        <f t="shared" si="17"/>
        <v>250000</v>
      </c>
      <c r="I200" s="67" t="s">
        <v>1199</v>
      </c>
      <c r="J200" s="69">
        <f t="shared" si="16"/>
        <v>41862</v>
      </c>
      <c r="K200" s="72">
        <f t="shared" si="15"/>
        <v>250000</v>
      </c>
      <c r="L200" s="87"/>
    </row>
    <row r="201" spans="1:12" ht="46.5" customHeight="1">
      <c r="A201" s="68" t="s">
        <v>1118</v>
      </c>
      <c r="B201" s="68" t="str">
        <f>"350"</f>
        <v>350</v>
      </c>
      <c r="C201" s="86" t="str">
        <f>"林登川"</f>
        <v>林登川</v>
      </c>
      <c r="D201" s="69">
        <v>41862</v>
      </c>
      <c r="E201" s="70" t="s">
        <v>1200</v>
      </c>
      <c r="F201" s="71">
        <v>4000</v>
      </c>
      <c r="G201" s="72">
        <v>25</v>
      </c>
      <c r="H201" s="72">
        <f t="shared" si="17"/>
        <v>100000</v>
      </c>
      <c r="I201" s="67" t="s">
        <v>1201</v>
      </c>
      <c r="J201" s="69">
        <f t="shared" si="16"/>
        <v>41862</v>
      </c>
      <c r="K201" s="72">
        <f t="shared" si="15"/>
        <v>100000</v>
      </c>
      <c r="L201" s="87"/>
    </row>
    <row r="202" spans="1:12" ht="46.5" customHeight="1">
      <c r="A202" s="68" t="s">
        <v>1119</v>
      </c>
      <c r="B202" s="68" t="str">
        <f>"405"</f>
        <v>405</v>
      </c>
      <c r="C202" s="86" t="str">
        <f>"李俊賢"</f>
        <v>李俊賢</v>
      </c>
      <c r="D202" s="69">
        <v>41862</v>
      </c>
      <c r="E202" s="70" t="s">
        <v>1202</v>
      </c>
      <c r="F202" s="71">
        <v>10000</v>
      </c>
      <c r="G202" s="72">
        <v>25</v>
      </c>
      <c r="H202" s="72">
        <f t="shared" si="17"/>
        <v>250000</v>
      </c>
      <c r="I202" s="67" t="s">
        <v>1203</v>
      </c>
      <c r="J202" s="69">
        <f t="shared" si="16"/>
        <v>41862</v>
      </c>
      <c r="K202" s="72">
        <f t="shared" si="15"/>
        <v>250000</v>
      </c>
      <c r="L202" s="87"/>
    </row>
    <row r="203" spans="1:12" ht="46.5" customHeight="1">
      <c r="A203" s="68" t="s">
        <v>1120</v>
      </c>
      <c r="B203" s="68" t="str">
        <f>"11"</f>
        <v>11</v>
      </c>
      <c r="C203" s="86" t="str">
        <f>"呂理維"</f>
        <v>呂理維</v>
      </c>
      <c r="D203" s="69">
        <v>41862</v>
      </c>
      <c r="E203" s="70" t="s">
        <v>1204</v>
      </c>
      <c r="F203" s="71">
        <v>1000</v>
      </c>
      <c r="G203" s="72">
        <v>25</v>
      </c>
      <c r="H203" s="72">
        <f t="shared" si="17"/>
        <v>25000</v>
      </c>
      <c r="I203" s="67" t="s">
        <v>1205</v>
      </c>
      <c r="J203" s="69">
        <f t="shared" si="16"/>
        <v>41862</v>
      </c>
      <c r="K203" s="72">
        <f t="shared" si="15"/>
        <v>25000</v>
      </c>
      <c r="L203" s="87"/>
    </row>
    <row r="204" spans="1:12" ht="46.5" customHeight="1">
      <c r="A204" s="68" t="s">
        <v>1121</v>
      </c>
      <c r="B204" s="68" t="str">
        <f>"360"</f>
        <v>360</v>
      </c>
      <c r="C204" s="86" t="str">
        <f>"李瓊雲"</f>
        <v>李瓊雲</v>
      </c>
      <c r="D204" s="69">
        <v>41862</v>
      </c>
      <c r="E204" s="70" t="s">
        <v>1206</v>
      </c>
      <c r="F204" s="71">
        <v>2000</v>
      </c>
      <c r="G204" s="72">
        <v>25</v>
      </c>
      <c r="H204" s="72">
        <f t="shared" si="17"/>
        <v>50000</v>
      </c>
      <c r="I204" s="67" t="s">
        <v>1207</v>
      </c>
      <c r="J204" s="69">
        <f t="shared" si="16"/>
        <v>41862</v>
      </c>
      <c r="K204" s="72">
        <f t="shared" si="15"/>
        <v>50000</v>
      </c>
      <c r="L204" s="87"/>
    </row>
    <row r="205" spans="1:12" ht="46.5" customHeight="1">
      <c r="A205" s="68" t="s">
        <v>1122</v>
      </c>
      <c r="B205" s="68" t="str">
        <f>"140"</f>
        <v>140</v>
      </c>
      <c r="C205" s="86" t="str">
        <f>"佘桂芳"</f>
        <v>佘桂芳</v>
      </c>
      <c r="D205" s="69">
        <v>41862</v>
      </c>
      <c r="E205" s="70" t="s">
        <v>1208</v>
      </c>
      <c r="F205" s="71">
        <v>20000</v>
      </c>
      <c r="G205" s="72">
        <v>25</v>
      </c>
      <c r="H205" s="72">
        <f t="shared" si="17"/>
        <v>500000</v>
      </c>
      <c r="I205" s="67" t="s">
        <v>1209</v>
      </c>
      <c r="J205" s="69">
        <f t="shared" si="16"/>
        <v>41862</v>
      </c>
      <c r="K205" s="72">
        <f t="shared" si="15"/>
        <v>500000</v>
      </c>
      <c r="L205" s="87"/>
    </row>
    <row r="206" spans="1:12" ht="46.5" customHeight="1">
      <c r="A206" s="68" t="s">
        <v>1123</v>
      </c>
      <c r="B206" s="68" t="str">
        <f>"181"</f>
        <v>181</v>
      </c>
      <c r="C206" s="86" t="str">
        <f>"呂浚雄"</f>
        <v>呂浚雄</v>
      </c>
      <c r="D206" s="69">
        <v>41862</v>
      </c>
      <c r="E206" s="70" t="s">
        <v>1210</v>
      </c>
      <c r="F206" s="71">
        <v>13000</v>
      </c>
      <c r="G206" s="72">
        <v>25</v>
      </c>
      <c r="H206" s="72">
        <f t="shared" si="17"/>
        <v>325000</v>
      </c>
      <c r="I206" s="67" t="s">
        <v>1211</v>
      </c>
      <c r="J206" s="69">
        <f t="shared" si="16"/>
        <v>41862</v>
      </c>
      <c r="K206" s="72">
        <f t="shared" si="15"/>
        <v>325000</v>
      </c>
      <c r="L206" s="87"/>
    </row>
    <row r="207" spans="1:12" ht="46.5" customHeight="1">
      <c r="A207" s="68" t="s">
        <v>1124</v>
      </c>
      <c r="B207" s="68" t="str">
        <f>"307"</f>
        <v>307</v>
      </c>
      <c r="C207" s="86" t="str">
        <f>"許秋霞"</f>
        <v>許秋霞</v>
      </c>
      <c r="D207" s="69">
        <v>41862</v>
      </c>
      <c r="E207" s="70" t="s">
        <v>1192</v>
      </c>
      <c r="F207" s="71">
        <v>5000</v>
      </c>
      <c r="G207" s="72">
        <v>25</v>
      </c>
      <c r="H207" s="72">
        <f t="shared" si="17"/>
        <v>125000</v>
      </c>
      <c r="I207" s="67" t="s">
        <v>1193</v>
      </c>
      <c r="J207" s="69">
        <f t="shared" si="16"/>
        <v>41862</v>
      </c>
      <c r="K207" s="72">
        <f t="shared" si="15"/>
        <v>125000</v>
      </c>
      <c r="L207" s="87"/>
    </row>
    <row r="208" spans="1:12" ht="46.5" customHeight="1">
      <c r="A208" s="74" t="s">
        <v>1219</v>
      </c>
      <c r="B208" s="74" t="str">
        <f>"399"</f>
        <v>399</v>
      </c>
      <c r="C208" s="89" t="str">
        <f>"李偉齊"</f>
        <v>李偉齊</v>
      </c>
      <c r="D208" s="75">
        <v>41863</v>
      </c>
      <c r="E208" s="76" t="s">
        <v>1192</v>
      </c>
      <c r="F208" s="77">
        <v>1000</v>
      </c>
      <c r="G208" s="78">
        <v>25</v>
      </c>
      <c r="H208" s="72">
        <f t="shared" si="17"/>
        <v>25000</v>
      </c>
      <c r="I208" s="67" t="s">
        <v>1193</v>
      </c>
      <c r="J208" s="75">
        <f>D208</f>
        <v>41863</v>
      </c>
      <c r="K208" s="78">
        <f>H208</f>
        <v>25000</v>
      </c>
      <c r="L208" s="91"/>
    </row>
    <row r="209" spans="1:12" ht="46.5" customHeight="1">
      <c r="A209" s="74" t="s">
        <v>1220</v>
      </c>
      <c r="B209" s="74" t="str">
        <f>"353"</f>
        <v>353</v>
      </c>
      <c r="C209" s="89" t="str">
        <f>"蘇清文"</f>
        <v>蘇清文</v>
      </c>
      <c r="D209" s="75">
        <v>41863</v>
      </c>
      <c r="E209" s="76" t="s">
        <v>1192</v>
      </c>
      <c r="F209" s="77">
        <v>1000</v>
      </c>
      <c r="G209" s="78">
        <v>25</v>
      </c>
      <c r="H209" s="72">
        <f t="shared" si="17"/>
        <v>25000</v>
      </c>
      <c r="I209" s="67" t="s">
        <v>1193</v>
      </c>
      <c r="J209" s="75">
        <f>D209</f>
        <v>41863</v>
      </c>
      <c r="K209" s="78">
        <f>H209</f>
        <v>25000</v>
      </c>
      <c r="L209" s="91"/>
    </row>
    <row r="210" spans="1:12" ht="46.5" customHeight="1">
      <c r="A210" s="68" t="s">
        <v>1221</v>
      </c>
      <c r="B210" s="68" t="str">
        <f>"195"</f>
        <v>195</v>
      </c>
      <c r="C210" s="86" t="str">
        <f>"陳坤龍"</f>
        <v>陳坤龍</v>
      </c>
      <c r="D210" s="69">
        <v>41863</v>
      </c>
      <c r="E210" s="70" t="s">
        <v>1192</v>
      </c>
      <c r="F210" s="71">
        <v>10000</v>
      </c>
      <c r="G210" s="72">
        <v>25</v>
      </c>
      <c r="H210" s="72">
        <f t="shared" si="17"/>
        <v>250000</v>
      </c>
      <c r="I210" s="67" t="s">
        <v>1193</v>
      </c>
      <c r="J210" s="69">
        <f t="shared" si="16"/>
        <v>41863</v>
      </c>
      <c r="K210" s="72">
        <f t="shared" si="15"/>
        <v>250000</v>
      </c>
      <c r="L210" s="87"/>
    </row>
    <row r="211" spans="1:12" ht="46.5" customHeight="1">
      <c r="A211" s="68" t="s">
        <v>1125</v>
      </c>
      <c r="B211" s="68" t="str">
        <f>"144"</f>
        <v>144</v>
      </c>
      <c r="C211" s="86" t="str">
        <f>"戴亦均"</f>
        <v>戴亦均</v>
      </c>
      <c r="D211" s="69">
        <v>41863</v>
      </c>
      <c r="E211" s="70" t="s">
        <v>1200</v>
      </c>
      <c r="F211" s="71">
        <v>2000</v>
      </c>
      <c r="G211" s="72">
        <v>25</v>
      </c>
      <c r="H211" s="72">
        <f t="shared" si="17"/>
        <v>50000</v>
      </c>
      <c r="I211" s="67" t="s">
        <v>1201</v>
      </c>
      <c r="J211" s="69">
        <f t="shared" si="16"/>
        <v>41863</v>
      </c>
      <c r="K211" s="72">
        <f t="shared" si="15"/>
        <v>50000</v>
      </c>
      <c r="L211" s="87"/>
    </row>
    <row r="212" spans="1:12" ht="46.5" customHeight="1">
      <c r="A212" s="68" t="s">
        <v>1126</v>
      </c>
      <c r="B212" s="68" t="str">
        <f>"171"</f>
        <v>171</v>
      </c>
      <c r="C212" s="86" t="str">
        <f>"李純綾"</f>
        <v>李純綾</v>
      </c>
      <c r="D212" s="69">
        <v>41863</v>
      </c>
      <c r="E212" s="70" t="s">
        <v>1202</v>
      </c>
      <c r="F212" s="71">
        <v>4000</v>
      </c>
      <c r="G212" s="72">
        <v>25</v>
      </c>
      <c r="H212" s="72">
        <f t="shared" si="17"/>
        <v>100000</v>
      </c>
      <c r="I212" s="67" t="s">
        <v>1203</v>
      </c>
      <c r="J212" s="69">
        <f t="shared" si="16"/>
        <v>41863</v>
      </c>
      <c r="K212" s="72">
        <f t="shared" si="15"/>
        <v>100000</v>
      </c>
      <c r="L212" s="87"/>
    </row>
    <row r="213" spans="1:12" ht="46.5" customHeight="1">
      <c r="A213" s="68" t="s">
        <v>1127</v>
      </c>
      <c r="B213" s="68" t="str">
        <f>"344"</f>
        <v>344</v>
      </c>
      <c r="C213" s="86" t="str">
        <f>"謝秀菊"</f>
        <v>謝秀菊</v>
      </c>
      <c r="D213" s="69">
        <v>41863</v>
      </c>
      <c r="E213" s="70" t="s">
        <v>1204</v>
      </c>
      <c r="F213" s="71">
        <v>4000</v>
      </c>
      <c r="G213" s="72">
        <v>25</v>
      </c>
      <c r="H213" s="72">
        <f t="shared" si="17"/>
        <v>100000</v>
      </c>
      <c r="I213" s="67" t="s">
        <v>1205</v>
      </c>
      <c r="J213" s="69">
        <f t="shared" si="16"/>
        <v>41863</v>
      </c>
      <c r="K213" s="72">
        <f t="shared" si="15"/>
        <v>100000</v>
      </c>
      <c r="L213" s="87"/>
    </row>
    <row r="214" spans="1:12" ht="46.5" customHeight="1">
      <c r="A214" s="68" t="s">
        <v>1128</v>
      </c>
      <c r="B214" s="68" t="str">
        <f>"202"</f>
        <v>202</v>
      </c>
      <c r="C214" s="86" t="str">
        <f>"陳怡君"</f>
        <v>陳怡君</v>
      </c>
      <c r="D214" s="69">
        <v>41863</v>
      </c>
      <c r="E214" s="70" t="s">
        <v>1206</v>
      </c>
      <c r="F214" s="71">
        <v>2000</v>
      </c>
      <c r="G214" s="72">
        <v>25</v>
      </c>
      <c r="H214" s="72">
        <f t="shared" si="17"/>
        <v>50000</v>
      </c>
      <c r="I214" s="67" t="s">
        <v>1207</v>
      </c>
      <c r="J214" s="69">
        <f t="shared" si="16"/>
        <v>41863</v>
      </c>
      <c r="K214" s="72">
        <f t="shared" si="15"/>
        <v>50000</v>
      </c>
      <c r="L214" s="87"/>
    </row>
    <row r="215" spans="1:12" ht="46.5" customHeight="1">
      <c r="A215" s="68" t="s">
        <v>1129</v>
      </c>
      <c r="B215" s="68" t="str">
        <f>"402"</f>
        <v>402</v>
      </c>
      <c r="C215" s="86" t="str">
        <f>"陳麗卿"</f>
        <v>陳麗卿</v>
      </c>
      <c r="D215" s="69">
        <v>41863</v>
      </c>
      <c r="E215" s="70" t="s">
        <v>1208</v>
      </c>
      <c r="F215" s="71">
        <v>4000</v>
      </c>
      <c r="G215" s="72">
        <v>25</v>
      </c>
      <c r="H215" s="72">
        <f t="shared" si="17"/>
        <v>100000</v>
      </c>
      <c r="I215" s="67" t="s">
        <v>1209</v>
      </c>
      <c r="J215" s="69">
        <f t="shared" si="16"/>
        <v>41863</v>
      </c>
      <c r="K215" s="72">
        <f t="shared" si="15"/>
        <v>100000</v>
      </c>
      <c r="L215" s="87"/>
    </row>
    <row r="216" spans="1:12" ht="46.5" customHeight="1">
      <c r="A216" s="68" t="s">
        <v>1130</v>
      </c>
      <c r="B216" s="68" t="str">
        <f>"293"</f>
        <v>293</v>
      </c>
      <c r="C216" s="86" t="str">
        <f>"張陳麗香"</f>
        <v>張陳麗香</v>
      </c>
      <c r="D216" s="69">
        <v>41863</v>
      </c>
      <c r="E216" s="70" t="s">
        <v>1210</v>
      </c>
      <c r="F216" s="71">
        <v>5000</v>
      </c>
      <c r="G216" s="72">
        <v>25</v>
      </c>
      <c r="H216" s="72">
        <f t="shared" si="17"/>
        <v>125000</v>
      </c>
      <c r="I216" s="67" t="s">
        <v>1211</v>
      </c>
      <c r="J216" s="69">
        <f>D216</f>
        <v>41863</v>
      </c>
      <c r="K216" s="72">
        <f>H216</f>
        <v>125000</v>
      </c>
      <c r="L216" s="87"/>
    </row>
    <row r="217" spans="1:12" ht="46.5" customHeight="1">
      <c r="A217" s="74" t="s">
        <v>1222</v>
      </c>
      <c r="B217" s="74" t="str">
        <f>"374"</f>
        <v>374</v>
      </c>
      <c r="C217" s="89" t="str">
        <f>"陳萍琳"</f>
        <v>陳萍琳</v>
      </c>
      <c r="D217" s="75">
        <v>41863</v>
      </c>
      <c r="E217" s="76" t="s">
        <v>1210</v>
      </c>
      <c r="F217" s="77">
        <v>2000</v>
      </c>
      <c r="G217" s="78">
        <v>25</v>
      </c>
      <c r="H217" s="72">
        <f t="shared" si="17"/>
        <v>50000</v>
      </c>
      <c r="I217" s="67" t="s">
        <v>1211</v>
      </c>
      <c r="J217" s="75">
        <f>D217</f>
        <v>41863</v>
      </c>
      <c r="K217" s="78">
        <f>H217</f>
        <v>50000</v>
      </c>
      <c r="L217" s="91"/>
    </row>
    <row r="218" spans="1:12" ht="46.5" customHeight="1">
      <c r="A218" s="68" t="s">
        <v>1223</v>
      </c>
      <c r="B218" s="68" t="str">
        <f>"254"</f>
        <v>254</v>
      </c>
      <c r="C218" s="86" t="str">
        <f>"劉美玲"</f>
        <v>劉美玲</v>
      </c>
      <c r="D218" s="69">
        <v>41863</v>
      </c>
      <c r="E218" s="70" t="s">
        <v>1210</v>
      </c>
      <c r="F218" s="71">
        <v>1000</v>
      </c>
      <c r="G218" s="72">
        <v>25</v>
      </c>
      <c r="H218" s="72">
        <f t="shared" si="17"/>
        <v>25000</v>
      </c>
      <c r="I218" s="67" t="s">
        <v>1211</v>
      </c>
      <c r="J218" s="69">
        <f t="shared" si="16"/>
        <v>41863</v>
      </c>
      <c r="K218" s="72">
        <f t="shared" si="15"/>
        <v>25000</v>
      </c>
      <c r="L218" s="87"/>
    </row>
    <row r="219" spans="1:12" ht="46.5" customHeight="1">
      <c r="A219" s="68" t="s">
        <v>1131</v>
      </c>
      <c r="B219" s="68" t="str">
        <f>"21"</f>
        <v>21</v>
      </c>
      <c r="C219" s="86" t="str">
        <f>"張書鑑"</f>
        <v>張書鑑</v>
      </c>
      <c r="D219" s="69">
        <v>41863</v>
      </c>
      <c r="E219" s="70" t="s">
        <v>1196</v>
      </c>
      <c r="F219" s="71">
        <v>15000</v>
      </c>
      <c r="G219" s="72">
        <v>25</v>
      </c>
      <c r="H219" s="72">
        <f t="shared" si="17"/>
        <v>375000</v>
      </c>
      <c r="I219" s="67" t="s">
        <v>1197</v>
      </c>
      <c r="J219" s="69">
        <f t="shared" si="16"/>
        <v>41863</v>
      </c>
      <c r="K219" s="72">
        <f t="shared" si="15"/>
        <v>375000</v>
      </c>
      <c r="L219" s="87"/>
    </row>
    <row r="220" spans="1:12" ht="46.5" customHeight="1">
      <c r="A220" s="68" t="s">
        <v>1132</v>
      </c>
      <c r="B220" s="68" t="str">
        <f>"46"</f>
        <v>46</v>
      </c>
      <c r="C220" s="86" t="str">
        <f>"高玉綢"</f>
        <v>高玉綢</v>
      </c>
      <c r="D220" s="69">
        <v>41863</v>
      </c>
      <c r="E220" s="70" t="s">
        <v>1198</v>
      </c>
      <c r="F220" s="71">
        <v>8000</v>
      </c>
      <c r="G220" s="72">
        <v>25</v>
      </c>
      <c r="H220" s="72">
        <f t="shared" si="17"/>
        <v>200000</v>
      </c>
      <c r="I220" s="67" t="s">
        <v>1199</v>
      </c>
      <c r="J220" s="69">
        <f t="shared" si="16"/>
        <v>41863</v>
      </c>
      <c r="K220" s="72">
        <f t="shared" si="15"/>
        <v>200000</v>
      </c>
      <c r="L220" s="87"/>
    </row>
    <row r="221" spans="1:12" ht="46.5" customHeight="1">
      <c r="A221" s="68" t="s">
        <v>1133</v>
      </c>
      <c r="B221" s="68" t="str">
        <f>"175"</f>
        <v>175</v>
      </c>
      <c r="C221" s="86" t="str">
        <f>"米彥彰"</f>
        <v>米彥彰</v>
      </c>
      <c r="D221" s="69">
        <v>41863</v>
      </c>
      <c r="E221" s="70" t="s">
        <v>1200</v>
      </c>
      <c r="F221" s="71">
        <v>3000</v>
      </c>
      <c r="G221" s="72">
        <v>25</v>
      </c>
      <c r="H221" s="72">
        <f t="shared" si="17"/>
        <v>75000</v>
      </c>
      <c r="I221" s="67" t="s">
        <v>1201</v>
      </c>
      <c r="J221" s="69">
        <f t="shared" si="16"/>
        <v>41863</v>
      </c>
      <c r="K221" s="72">
        <f t="shared" si="15"/>
        <v>75000</v>
      </c>
      <c r="L221" s="87"/>
    </row>
    <row r="222" spans="1:12" ht="46.5" customHeight="1">
      <c r="A222" s="68" t="s">
        <v>1134</v>
      </c>
      <c r="B222" s="68" t="str">
        <f>"99"</f>
        <v>99</v>
      </c>
      <c r="C222" s="86" t="str">
        <f>"高光陸"</f>
        <v>高光陸</v>
      </c>
      <c r="D222" s="69">
        <v>41863</v>
      </c>
      <c r="E222" s="70" t="s">
        <v>1202</v>
      </c>
      <c r="F222" s="71">
        <v>4000</v>
      </c>
      <c r="G222" s="72">
        <v>25</v>
      </c>
      <c r="H222" s="72">
        <f t="shared" si="17"/>
        <v>100000</v>
      </c>
      <c r="I222" s="67" t="s">
        <v>1203</v>
      </c>
      <c r="J222" s="69">
        <f t="shared" si="16"/>
        <v>41863</v>
      </c>
      <c r="K222" s="72">
        <f t="shared" si="15"/>
        <v>100000</v>
      </c>
      <c r="L222" s="87"/>
    </row>
    <row r="223" spans="1:12" ht="46.5" customHeight="1">
      <c r="A223" s="68" t="s">
        <v>1135</v>
      </c>
      <c r="B223" s="68" t="str">
        <f>"145"</f>
        <v>145</v>
      </c>
      <c r="C223" s="86" t="str">
        <f>"彭詳和"</f>
        <v>彭詳和</v>
      </c>
      <c r="D223" s="69">
        <v>41863</v>
      </c>
      <c r="E223" s="70" t="s">
        <v>1204</v>
      </c>
      <c r="F223" s="71">
        <v>2000</v>
      </c>
      <c r="G223" s="72">
        <v>25</v>
      </c>
      <c r="H223" s="72">
        <f t="shared" si="17"/>
        <v>50000</v>
      </c>
      <c r="I223" s="67" t="s">
        <v>1205</v>
      </c>
      <c r="J223" s="69">
        <f t="shared" si="16"/>
        <v>41863</v>
      </c>
      <c r="K223" s="72">
        <f t="shared" si="15"/>
        <v>50000</v>
      </c>
      <c r="L223" s="87"/>
    </row>
    <row r="224" spans="1:12" ht="46.5" customHeight="1">
      <c r="A224" s="68" t="s">
        <v>1136</v>
      </c>
      <c r="B224" s="68" t="str">
        <f>"118"</f>
        <v>118</v>
      </c>
      <c r="C224" s="86" t="str">
        <f>"黃俊仁"</f>
        <v>黃俊仁</v>
      </c>
      <c r="D224" s="69">
        <v>41863</v>
      </c>
      <c r="E224" s="70" t="s">
        <v>1206</v>
      </c>
      <c r="F224" s="71">
        <v>2000</v>
      </c>
      <c r="G224" s="72">
        <v>25</v>
      </c>
      <c r="H224" s="72">
        <f t="shared" si="17"/>
        <v>50000</v>
      </c>
      <c r="I224" s="67" t="s">
        <v>1207</v>
      </c>
      <c r="J224" s="69">
        <f t="shared" si="16"/>
        <v>41863</v>
      </c>
      <c r="K224" s="72">
        <f t="shared" si="15"/>
        <v>50000</v>
      </c>
      <c r="L224" s="87"/>
    </row>
    <row r="225" spans="1:12" ht="46.5" customHeight="1">
      <c r="A225" s="68" t="s">
        <v>1137</v>
      </c>
      <c r="B225" s="68" t="str">
        <f>"273"</f>
        <v>273</v>
      </c>
      <c r="C225" s="86" t="str">
        <f>"吳霖"</f>
        <v>吳霖</v>
      </c>
      <c r="D225" s="69">
        <v>41863</v>
      </c>
      <c r="E225" s="70" t="s">
        <v>1208</v>
      </c>
      <c r="F225" s="71">
        <v>2000</v>
      </c>
      <c r="G225" s="72">
        <v>25</v>
      </c>
      <c r="H225" s="72">
        <f t="shared" si="17"/>
        <v>50000</v>
      </c>
      <c r="I225" s="67" t="s">
        <v>1209</v>
      </c>
      <c r="J225" s="69">
        <f t="shared" si="16"/>
        <v>41863</v>
      </c>
      <c r="K225" s="72">
        <f t="shared" si="15"/>
        <v>50000</v>
      </c>
      <c r="L225" s="87"/>
    </row>
    <row r="226" spans="1:12" ht="46.5" customHeight="1">
      <c r="A226" s="68" t="s">
        <v>1138</v>
      </c>
      <c r="B226" s="68" t="str">
        <f>"32"</f>
        <v>32</v>
      </c>
      <c r="C226" s="86" t="str">
        <f>"張煥洲"</f>
        <v>張煥洲</v>
      </c>
      <c r="D226" s="69">
        <v>41863</v>
      </c>
      <c r="E226" s="70" t="s">
        <v>1210</v>
      </c>
      <c r="F226" s="71">
        <v>7000</v>
      </c>
      <c r="G226" s="72">
        <v>25</v>
      </c>
      <c r="H226" s="72">
        <f t="shared" si="17"/>
        <v>175000</v>
      </c>
      <c r="I226" s="67" t="s">
        <v>1211</v>
      </c>
      <c r="J226" s="69">
        <f t="shared" si="16"/>
        <v>41863</v>
      </c>
      <c r="K226" s="72">
        <f t="shared" si="15"/>
        <v>175000</v>
      </c>
      <c r="L226" s="87"/>
    </row>
    <row r="227" spans="1:12" ht="46.5" customHeight="1">
      <c r="A227" s="68" t="s">
        <v>1139</v>
      </c>
      <c r="B227" s="68" t="str">
        <f>"152"</f>
        <v>152</v>
      </c>
      <c r="C227" s="86" t="str">
        <f>"劉建良"</f>
        <v>劉建良</v>
      </c>
      <c r="D227" s="69">
        <v>41863</v>
      </c>
      <c r="E227" s="70" t="s">
        <v>1192</v>
      </c>
      <c r="F227" s="71">
        <v>5000</v>
      </c>
      <c r="G227" s="72">
        <v>25</v>
      </c>
      <c r="H227" s="72">
        <f t="shared" si="17"/>
        <v>125000</v>
      </c>
      <c r="I227" s="67" t="s">
        <v>1193</v>
      </c>
      <c r="J227" s="69">
        <f t="shared" si="16"/>
        <v>41863</v>
      </c>
      <c r="K227" s="72">
        <f t="shared" si="15"/>
        <v>125000</v>
      </c>
      <c r="L227" s="87"/>
    </row>
    <row r="228" spans="1:12" ht="46.5" customHeight="1">
      <c r="A228" s="68" t="s">
        <v>1140</v>
      </c>
      <c r="B228" s="68" t="str">
        <f>"76"</f>
        <v>76</v>
      </c>
      <c r="C228" s="86" t="str">
        <f>"卓維煌"</f>
        <v>卓維煌</v>
      </c>
      <c r="D228" s="69">
        <v>41863</v>
      </c>
      <c r="E228" s="70" t="s">
        <v>1194</v>
      </c>
      <c r="F228" s="71">
        <v>20000</v>
      </c>
      <c r="G228" s="72">
        <v>25</v>
      </c>
      <c r="H228" s="72">
        <f t="shared" si="17"/>
        <v>500000</v>
      </c>
      <c r="I228" s="67" t="s">
        <v>1195</v>
      </c>
      <c r="J228" s="69">
        <f t="shared" si="16"/>
        <v>41863</v>
      </c>
      <c r="K228" s="72">
        <f t="shared" si="15"/>
        <v>500000</v>
      </c>
      <c r="L228" s="87"/>
    </row>
    <row r="229" spans="1:12" ht="46.5" customHeight="1">
      <c r="A229" s="68" t="s">
        <v>1141</v>
      </c>
      <c r="B229" s="68" t="str">
        <f>"364"</f>
        <v>364</v>
      </c>
      <c r="C229" s="86" t="str">
        <f>"南仲明"</f>
        <v>南仲明</v>
      </c>
      <c r="D229" s="69">
        <v>41863</v>
      </c>
      <c r="E229" s="70" t="s">
        <v>1196</v>
      </c>
      <c r="F229" s="71">
        <v>2000</v>
      </c>
      <c r="G229" s="72">
        <v>25</v>
      </c>
      <c r="H229" s="72">
        <f t="shared" si="17"/>
        <v>50000</v>
      </c>
      <c r="I229" s="67" t="s">
        <v>1197</v>
      </c>
      <c r="J229" s="69">
        <f t="shared" si="16"/>
        <v>41863</v>
      </c>
      <c r="K229" s="72">
        <f t="shared" si="15"/>
        <v>50000</v>
      </c>
      <c r="L229" s="87"/>
    </row>
    <row r="230" spans="1:12" ht="46.5" customHeight="1">
      <c r="A230" s="68" t="s">
        <v>1142</v>
      </c>
      <c r="B230" s="68" t="str">
        <f>"277"</f>
        <v>277</v>
      </c>
      <c r="C230" s="86" t="str">
        <f>"盧坤泰"</f>
        <v>盧坤泰</v>
      </c>
      <c r="D230" s="69">
        <v>41863</v>
      </c>
      <c r="E230" s="70" t="s">
        <v>1198</v>
      </c>
      <c r="F230" s="71">
        <v>2000</v>
      </c>
      <c r="G230" s="72">
        <v>25</v>
      </c>
      <c r="H230" s="72">
        <f t="shared" si="17"/>
        <v>50000</v>
      </c>
      <c r="I230" s="67" t="s">
        <v>1199</v>
      </c>
      <c r="J230" s="69">
        <f t="shared" si="16"/>
        <v>41863</v>
      </c>
      <c r="K230" s="72">
        <f t="shared" si="15"/>
        <v>50000</v>
      </c>
      <c r="L230" s="87"/>
    </row>
    <row r="231" spans="1:12" ht="46.5" customHeight="1">
      <c r="A231" s="68" t="s">
        <v>1143</v>
      </c>
      <c r="B231" s="68" t="str">
        <f>"199"</f>
        <v>199</v>
      </c>
      <c r="C231" s="86" t="str">
        <f>"施繼正"</f>
        <v>施繼正</v>
      </c>
      <c r="D231" s="69">
        <v>41863</v>
      </c>
      <c r="E231" s="70" t="s">
        <v>1200</v>
      </c>
      <c r="F231" s="71">
        <v>1000</v>
      </c>
      <c r="G231" s="72">
        <v>25</v>
      </c>
      <c r="H231" s="72">
        <f t="shared" si="17"/>
        <v>25000</v>
      </c>
      <c r="I231" s="67" t="s">
        <v>1201</v>
      </c>
      <c r="J231" s="69">
        <f t="shared" si="16"/>
        <v>41863</v>
      </c>
      <c r="K231" s="72">
        <f t="shared" si="15"/>
        <v>25000</v>
      </c>
      <c r="L231" s="87"/>
    </row>
    <row r="232" spans="1:12" ht="46.5" customHeight="1">
      <c r="A232" s="68" t="s">
        <v>1144</v>
      </c>
      <c r="B232" s="68" t="str">
        <f>"116"</f>
        <v>116</v>
      </c>
      <c r="C232" s="86" t="str">
        <f>"賴脩評"</f>
        <v>賴脩評</v>
      </c>
      <c r="D232" s="69">
        <v>41863</v>
      </c>
      <c r="E232" s="70" t="s">
        <v>1202</v>
      </c>
      <c r="F232" s="71">
        <v>2000</v>
      </c>
      <c r="G232" s="72">
        <v>25</v>
      </c>
      <c r="H232" s="72">
        <f t="shared" si="17"/>
        <v>50000</v>
      </c>
      <c r="I232" s="67" t="s">
        <v>1203</v>
      </c>
      <c r="J232" s="69">
        <f t="shared" si="16"/>
        <v>41863</v>
      </c>
      <c r="K232" s="72">
        <f t="shared" si="15"/>
        <v>50000</v>
      </c>
      <c r="L232" s="87"/>
    </row>
    <row r="233" spans="1:12" ht="46.5" customHeight="1">
      <c r="A233" s="68" t="s">
        <v>1145</v>
      </c>
      <c r="B233" s="68" t="str">
        <f>"265"</f>
        <v>265</v>
      </c>
      <c r="C233" s="86" t="str">
        <f>"邱世宗"</f>
        <v>邱世宗</v>
      </c>
      <c r="D233" s="69">
        <v>41863</v>
      </c>
      <c r="E233" s="70" t="s">
        <v>1204</v>
      </c>
      <c r="F233" s="71">
        <v>20000</v>
      </c>
      <c r="G233" s="72">
        <v>25</v>
      </c>
      <c r="H233" s="72">
        <f t="shared" si="17"/>
        <v>500000</v>
      </c>
      <c r="I233" s="67" t="s">
        <v>1205</v>
      </c>
      <c r="J233" s="69">
        <f t="shared" si="16"/>
        <v>41863</v>
      </c>
      <c r="K233" s="72">
        <f t="shared" si="15"/>
        <v>500000</v>
      </c>
      <c r="L233" s="87"/>
    </row>
    <row r="234" spans="1:12" ht="46.5" customHeight="1">
      <c r="A234" s="68" t="s">
        <v>1146</v>
      </c>
      <c r="B234" s="68" t="str">
        <f>"266"</f>
        <v>266</v>
      </c>
      <c r="C234" s="86" t="str">
        <f>"邱子瑜"</f>
        <v>邱子瑜</v>
      </c>
      <c r="D234" s="69">
        <v>41863</v>
      </c>
      <c r="E234" s="70" t="s">
        <v>1206</v>
      </c>
      <c r="F234" s="71">
        <v>10000</v>
      </c>
      <c r="G234" s="72">
        <v>25</v>
      </c>
      <c r="H234" s="72">
        <f t="shared" si="17"/>
        <v>250000</v>
      </c>
      <c r="I234" s="67" t="s">
        <v>1207</v>
      </c>
      <c r="J234" s="69">
        <f t="shared" si="16"/>
        <v>41863</v>
      </c>
      <c r="K234" s="72">
        <f t="shared" si="15"/>
        <v>250000</v>
      </c>
      <c r="L234" s="87"/>
    </row>
    <row r="235" spans="1:12" ht="46.5" customHeight="1">
      <c r="A235" s="68" t="s">
        <v>1147</v>
      </c>
      <c r="B235" s="68" t="str">
        <f>"62"</f>
        <v>62</v>
      </c>
      <c r="C235" s="86" t="str">
        <f>"詹榮泉"</f>
        <v>詹榮泉</v>
      </c>
      <c r="D235" s="69">
        <v>41863</v>
      </c>
      <c r="E235" s="70" t="s">
        <v>1208</v>
      </c>
      <c r="F235" s="71">
        <v>4000</v>
      </c>
      <c r="G235" s="72">
        <v>25</v>
      </c>
      <c r="H235" s="72">
        <f t="shared" si="17"/>
        <v>100000</v>
      </c>
      <c r="I235" s="67" t="s">
        <v>1209</v>
      </c>
      <c r="J235" s="69">
        <f t="shared" si="16"/>
        <v>41863</v>
      </c>
      <c r="K235" s="72">
        <f t="shared" si="15"/>
        <v>100000</v>
      </c>
      <c r="L235" s="87"/>
    </row>
    <row r="236" spans="1:12" ht="46.5" customHeight="1">
      <c r="A236" s="68" t="s">
        <v>1148</v>
      </c>
      <c r="B236" s="68" t="str">
        <f>"382"</f>
        <v>382</v>
      </c>
      <c r="C236" s="86" t="str">
        <f>"陳素蓁"</f>
        <v>陳素蓁</v>
      </c>
      <c r="D236" s="69">
        <v>41863</v>
      </c>
      <c r="E236" s="70" t="s">
        <v>1210</v>
      </c>
      <c r="F236" s="71">
        <v>5000</v>
      </c>
      <c r="G236" s="72">
        <v>25</v>
      </c>
      <c r="H236" s="72">
        <f t="shared" si="17"/>
        <v>125000</v>
      </c>
      <c r="I236" s="67" t="s">
        <v>1211</v>
      </c>
      <c r="J236" s="69">
        <f t="shared" si="16"/>
        <v>41863</v>
      </c>
      <c r="K236" s="72">
        <f t="shared" si="15"/>
        <v>125000</v>
      </c>
      <c r="L236" s="87"/>
    </row>
    <row r="237" spans="1:12" ht="46.5" customHeight="1">
      <c r="A237" s="68" t="s">
        <v>1149</v>
      </c>
      <c r="B237" s="68" t="str">
        <f>"379"</f>
        <v>379</v>
      </c>
      <c r="C237" s="86" t="str">
        <f>"劉文虎"</f>
        <v>劉文虎</v>
      </c>
      <c r="D237" s="69">
        <v>41863</v>
      </c>
      <c r="E237" s="70" t="s">
        <v>1192</v>
      </c>
      <c r="F237" s="71">
        <v>3000</v>
      </c>
      <c r="G237" s="72">
        <v>25</v>
      </c>
      <c r="H237" s="72">
        <f t="shared" si="17"/>
        <v>75000</v>
      </c>
      <c r="I237" s="67" t="s">
        <v>1193</v>
      </c>
      <c r="J237" s="69">
        <f t="shared" si="16"/>
        <v>41863</v>
      </c>
      <c r="K237" s="72">
        <f t="shared" si="15"/>
        <v>75000</v>
      </c>
      <c r="L237" s="87"/>
    </row>
    <row r="238" spans="1:12" ht="46.5" customHeight="1">
      <c r="A238" s="68" t="s">
        <v>1150</v>
      </c>
      <c r="B238" s="68" t="str">
        <f>"29"</f>
        <v>29</v>
      </c>
      <c r="C238" s="86" t="str">
        <f>"李淑錦"</f>
        <v>李淑錦</v>
      </c>
      <c r="D238" s="69">
        <v>41863</v>
      </c>
      <c r="E238" s="70" t="s">
        <v>1194</v>
      </c>
      <c r="F238" s="71">
        <v>10000</v>
      </c>
      <c r="G238" s="72">
        <v>25</v>
      </c>
      <c r="H238" s="72">
        <f t="shared" si="17"/>
        <v>250000</v>
      </c>
      <c r="I238" s="67" t="s">
        <v>1195</v>
      </c>
      <c r="J238" s="69">
        <f t="shared" si="16"/>
        <v>41863</v>
      </c>
      <c r="K238" s="72">
        <f t="shared" si="15"/>
        <v>250000</v>
      </c>
      <c r="L238" s="87"/>
    </row>
    <row r="239" spans="1:12" ht="46.5" customHeight="1">
      <c r="A239" s="68" t="s">
        <v>1151</v>
      </c>
      <c r="B239" s="68" t="str">
        <f>"51"</f>
        <v>51</v>
      </c>
      <c r="C239" s="86" t="str">
        <f>"葉梅蘭"</f>
        <v>葉梅蘭</v>
      </c>
      <c r="D239" s="69">
        <v>41863</v>
      </c>
      <c r="E239" s="70" t="s">
        <v>1196</v>
      </c>
      <c r="F239" s="71">
        <v>5000</v>
      </c>
      <c r="G239" s="72">
        <v>25</v>
      </c>
      <c r="H239" s="72">
        <f>F239*G239</f>
        <v>125000</v>
      </c>
      <c r="I239" s="67" t="s">
        <v>1197</v>
      </c>
      <c r="J239" s="69">
        <f t="shared" si="16"/>
        <v>41863</v>
      </c>
      <c r="K239" s="72">
        <f t="shared" si="15"/>
        <v>125000</v>
      </c>
      <c r="L239" s="87" t="s">
        <v>1224</v>
      </c>
    </row>
    <row r="240" spans="1:12" ht="46.5" customHeight="1">
      <c r="A240" s="68" t="s">
        <v>1152</v>
      </c>
      <c r="B240" s="68" t="str">
        <f>"349"</f>
        <v>349</v>
      </c>
      <c r="C240" s="86" t="str">
        <f>"楊正傑"</f>
        <v>楊正傑</v>
      </c>
      <c r="D240" s="69">
        <v>41863</v>
      </c>
      <c r="E240" s="70" t="s">
        <v>1198</v>
      </c>
      <c r="F240" s="71">
        <v>4000</v>
      </c>
      <c r="G240" s="72">
        <v>25</v>
      </c>
      <c r="H240" s="72">
        <f t="shared" si="17"/>
        <v>100000</v>
      </c>
      <c r="I240" s="67" t="s">
        <v>1199</v>
      </c>
      <c r="J240" s="69">
        <f t="shared" si="16"/>
        <v>41863</v>
      </c>
      <c r="K240" s="72">
        <f t="shared" si="15"/>
        <v>100000</v>
      </c>
      <c r="L240" s="87" t="s">
        <v>1225</v>
      </c>
    </row>
    <row r="241" spans="1:12" ht="46.5" customHeight="1">
      <c r="A241" s="68" t="s">
        <v>1153</v>
      </c>
      <c r="B241" s="68" t="str">
        <f>"385"</f>
        <v>385</v>
      </c>
      <c r="C241" s="86" t="str">
        <f>"林榮茂"</f>
        <v>林榮茂</v>
      </c>
      <c r="D241" s="69">
        <v>41863</v>
      </c>
      <c r="E241" s="70" t="s">
        <v>1200</v>
      </c>
      <c r="F241" s="71">
        <v>10000</v>
      </c>
      <c r="G241" s="72">
        <v>25</v>
      </c>
      <c r="H241" s="72">
        <f t="shared" si="17"/>
        <v>250000</v>
      </c>
      <c r="I241" s="67" t="s">
        <v>1201</v>
      </c>
      <c r="J241" s="69">
        <f t="shared" si="16"/>
        <v>41863</v>
      </c>
      <c r="K241" s="72">
        <f t="shared" si="15"/>
        <v>250000</v>
      </c>
      <c r="L241" s="87"/>
    </row>
    <row r="242" spans="1:12" ht="46.5" customHeight="1">
      <c r="A242" s="68" t="s">
        <v>1154</v>
      </c>
      <c r="B242" s="68" t="str">
        <f>"166"</f>
        <v>166</v>
      </c>
      <c r="C242" s="86" t="str">
        <f>"郭金峯"</f>
        <v>郭金峯</v>
      </c>
      <c r="D242" s="69">
        <v>41863</v>
      </c>
      <c r="E242" s="70" t="s">
        <v>1202</v>
      </c>
      <c r="F242" s="71">
        <v>7000</v>
      </c>
      <c r="G242" s="72">
        <v>25</v>
      </c>
      <c r="H242" s="72">
        <f t="shared" si="17"/>
        <v>175000</v>
      </c>
      <c r="I242" s="67" t="s">
        <v>1203</v>
      </c>
      <c r="J242" s="69">
        <f t="shared" si="16"/>
        <v>41863</v>
      </c>
      <c r="K242" s="72">
        <f t="shared" ref="K242:K270" si="18">H242</f>
        <v>175000</v>
      </c>
      <c r="L242" s="87"/>
    </row>
    <row r="243" spans="1:12" ht="46.5" customHeight="1">
      <c r="A243" s="68" t="s">
        <v>1155</v>
      </c>
      <c r="B243" s="68" t="str">
        <f>"157"</f>
        <v>157</v>
      </c>
      <c r="C243" s="86" t="str">
        <f>"楊名嶂"</f>
        <v>楊名嶂</v>
      </c>
      <c r="D243" s="69">
        <v>41863</v>
      </c>
      <c r="E243" s="70" t="s">
        <v>1204</v>
      </c>
      <c r="F243" s="71">
        <v>1000</v>
      </c>
      <c r="G243" s="72">
        <v>25</v>
      </c>
      <c r="H243" s="72">
        <f t="shared" si="17"/>
        <v>25000</v>
      </c>
      <c r="I243" s="67" t="s">
        <v>1205</v>
      </c>
      <c r="J243" s="69">
        <f t="shared" si="16"/>
        <v>41863</v>
      </c>
      <c r="K243" s="72">
        <f t="shared" si="18"/>
        <v>25000</v>
      </c>
      <c r="L243" s="87"/>
    </row>
    <row r="244" spans="1:12" ht="46.5" customHeight="1">
      <c r="A244" s="68" t="s">
        <v>1156</v>
      </c>
      <c r="B244" s="68" t="str">
        <f>"330"</f>
        <v>330</v>
      </c>
      <c r="C244" s="86" t="str">
        <f>"蔡魁馗"</f>
        <v>蔡魁馗</v>
      </c>
      <c r="D244" s="69">
        <v>41863</v>
      </c>
      <c r="E244" s="70" t="s">
        <v>1206</v>
      </c>
      <c r="F244" s="71">
        <v>1000</v>
      </c>
      <c r="G244" s="72">
        <v>25</v>
      </c>
      <c r="H244" s="72">
        <f t="shared" si="17"/>
        <v>25000</v>
      </c>
      <c r="I244" s="67" t="s">
        <v>1207</v>
      </c>
      <c r="J244" s="69">
        <f t="shared" si="16"/>
        <v>41863</v>
      </c>
      <c r="K244" s="72">
        <f t="shared" si="18"/>
        <v>25000</v>
      </c>
      <c r="L244" s="87"/>
    </row>
    <row r="245" spans="1:12" ht="46.5" customHeight="1">
      <c r="A245" s="68" t="s">
        <v>1157</v>
      </c>
      <c r="B245" s="68" t="str">
        <f>"39"</f>
        <v>39</v>
      </c>
      <c r="C245" s="86" t="str">
        <f>"賴美珍"</f>
        <v>賴美珍</v>
      </c>
      <c r="D245" s="69">
        <v>41863</v>
      </c>
      <c r="E245" s="70" t="s">
        <v>1208</v>
      </c>
      <c r="F245" s="71">
        <v>2000</v>
      </c>
      <c r="G245" s="72">
        <v>25</v>
      </c>
      <c r="H245" s="72">
        <f t="shared" si="17"/>
        <v>50000</v>
      </c>
      <c r="I245" s="67" t="s">
        <v>1209</v>
      </c>
      <c r="J245" s="69">
        <f t="shared" si="16"/>
        <v>41863</v>
      </c>
      <c r="K245" s="72">
        <f t="shared" si="18"/>
        <v>50000</v>
      </c>
      <c r="L245" s="87"/>
    </row>
    <row r="246" spans="1:12" ht="46.5" customHeight="1">
      <c r="A246" s="68" t="s">
        <v>1158</v>
      </c>
      <c r="B246" s="68" t="str">
        <f>"60"</f>
        <v>60</v>
      </c>
      <c r="C246" s="86" t="str">
        <f>"陳群濠"</f>
        <v>陳群濠</v>
      </c>
      <c r="D246" s="69">
        <v>41863</v>
      </c>
      <c r="E246" s="70" t="s">
        <v>1210</v>
      </c>
      <c r="F246" s="71">
        <v>1000</v>
      </c>
      <c r="G246" s="72">
        <v>25</v>
      </c>
      <c r="H246" s="72">
        <f t="shared" si="17"/>
        <v>25000</v>
      </c>
      <c r="I246" s="67" t="s">
        <v>1211</v>
      </c>
      <c r="J246" s="69">
        <f t="shared" si="16"/>
        <v>41863</v>
      </c>
      <c r="K246" s="72">
        <f t="shared" si="18"/>
        <v>25000</v>
      </c>
      <c r="L246" s="87"/>
    </row>
    <row r="247" spans="1:12" ht="46.5" customHeight="1">
      <c r="A247" s="68" t="s">
        <v>1159</v>
      </c>
      <c r="B247" s="68" t="str">
        <f>"206"</f>
        <v>206</v>
      </c>
      <c r="C247" s="86" t="str">
        <f>"林薰洲"</f>
        <v>林薰洲</v>
      </c>
      <c r="D247" s="69">
        <v>41863</v>
      </c>
      <c r="E247" s="70" t="s">
        <v>1192</v>
      </c>
      <c r="F247" s="71">
        <v>4000</v>
      </c>
      <c r="G247" s="72">
        <v>25</v>
      </c>
      <c r="H247" s="72">
        <f t="shared" si="17"/>
        <v>100000</v>
      </c>
      <c r="I247" s="67" t="s">
        <v>1193</v>
      </c>
      <c r="J247" s="69">
        <f t="shared" ref="J247" si="19">D247</f>
        <v>41863</v>
      </c>
      <c r="K247" s="72">
        <f t="shared" si="18"/>
        <v>100000</v>
      </c>
      <c r="L247" s="87"/>
    </row>
    <row r="248" spans="1:12" ht="46.5" customHeight="1">
      <c r="A248" s="68" t="s">
        <v>1160</v>
      </c>
      <c r="B248" s="68" t="str">
        <f>"339"</f>
        <v>339</v>
      </c>
      <c r="C248" s="86" t="str">
        <f>"洪康倪"</f>
        <v>洪康倪</v>
      </c>
      <c r="D248" s="69">
        <v>41863</v>
      </c>
      <c r="E248" s="70" t="s">
        <v>1194</v>
      </c>
      <c r="F248" s="71">
        <v>5000</v>
      </c>
      <c r="G248" s="72">
        <v>25</v>
      </c>
      <c r="H248" s="72">
        <f t="shared" ref="H248:H255" si="20">F248*G248</f>
        <v>125000</v>
      </c>
      <c r="I248" s="67" t="s">
        <v>1195</v>
      </c>
      <c r="J248" s="69">
        <v>41863</v>
      </c>
      <c r="K248" s="72">
        <f t="shared" si="18"/>
        <v>125000</v>
      </c>
      <c r="L248" s="87" t="s">
        <v>1226</v>
      </c>
    </row>
    <row r="249" spans="1:12" ht="46.5" customHeight="1">
      <c r="A249" s="74" t="s">
        <v>1227</v>
      </c>
      <c r="B249" s="74" t="str">
        <f>"262"</f>
        <v>262</v>
      </c>
      <c r="C249" s="89" t="str">
        <f>"江佳倫"</f>
        <v>江佳倫</v>
      </c>
      <c r="D249" s="75">
        <v>41863</v>
      </c>
      <c r="E249" s="76" t="s">
        <v>1194</v>
      </c>
      <c r="F249" s="77">
        <v>5000</v>
      </c>
      <c r="G249" s="78">
        <v>25</v>
      </c>
      <c r="H249" s="72">
        <f t="shared" si="20"/>
        <v>125000</v>
      </c>
      <c r="I249" s="67" t="s">
        <v>1195</v>
      </c>
      <c r="J249" s="75">
        <f t="shared" ref="J249:J270" si="21">D249</f>
        <v>41863</v>
      </c>
      <c r="K249" s="78">
        <f>H249</f>
        <v>125000</v>
      </c>
      <c r="L249" s="91" t="s">
        <v>1228</v>
      </c>
    </row>
    <row r="250" spans="1:12" ht="46.5" customHeight="1">
      <c r="A250" s="68" t="s">
        <v>1229</v>
      </c>
      <c r="B250" s="68" t="str">
        <f>"176"</f>
        <v>176</v>
      </c>
      <c r="C250" s="86" t="str">
        <f>"林麗雲"</f>
        <v>林麗雲</v>
      </c>
      <c r="D250" s="69">
        <v>41863</v>
      </c>
      <c r="E250" s="70" t="s">
        <v>1194</v>
      </c>
      <c r="F250" s="71">
        <v>2000</v>
      </c>
      <c r="G250" s="72">
        <v>25</v>
      </c>
      <c r="H250" s="72">
        <f t="shared" si="20"/>
        <v>50000</v>
      </c>
      <c r="I250" s="67" t="s">
        <v>1195</v>
      </c>
      <c r="J250" s="69">
        <f t="shared" si="21"/>
        <v>41863</v>
      </c>
      <c r="K250" s="72">
        <f t="shared" si="18"/>
        <v>50000</v>
      </c>
      <c r="L250" s="87"/>
    </row>
    <row r="251" spans="1:12" ht="46.5" customHeight="1">
      <c r="A251" s="68" t="s">
        <v>1161</v>
      </c>
      <c r="B251" s="68" t="str">
        <f>"285"</f>
        <v>285</v>
      </c>
      <c r="C251" s="86" t="str">
        <f>"郭和田"</f>
        <v>郭和田</v>
      </c>
      <c r="D251" s="69">
        <v>41863</v>
      </c>
      <c r="E251" s="70" t="s">
        <v>1196</v>
      </c>
      <c r="F251" s="71">
        <v>2000</v>
      </c>
      <c r="G251" s="72">
        <v>25</v>
      </c>
      <c r="H251" s="72">
        <f t="shared" si="20"/>
        <v>50000</v>
      </c>
      <c r="I251" s="67" t="s">
        <v>1197</v>
      </c>
      <c r="J251" s="69">
        <f t="shared" si="21"/>
        <v>41863</v>
      </c>
      <c r="K251" s="72">
        <f t="shared" si="18"/>
        <v>50000</v>
      </c>
      <c r="L251" s="87"/>
    </row>
    <row r="252" spans="1:12" ht="46.5" customHeight="1">
      <c r="A252" s="68" t="s">
        <v>1162</v>
      </c>
      <c r="B252" s="68" t="str">
        <f>"271"</f>
        <v>271</v>
      </c>
      <c r="C252" s="86" t="str">
        <f>"劉鳳美"</f>
        <v>劉鳳美</v>
      </c>
      <c r="D252" s="69">
        <v>41863</v>
      </c>
      <c r="E252" s="70" t="s">
        <v>1198</v>
      </c>
      <c r="F252" s="71">
        <v>10000</v>
      </c>
      <c r="G252" s="72">
        <v>25</v>
      </c>
      <c r="H252" s="72">
        <f t="shared" si="20"/>
        <v>250000</v>
      </c>
      <c r="I252" s="67" t="s">
        <v>1199</v>
      </c>
      <c r="J252" s="69">
        <f t="shared" si="21"/>
        <v>41863</v>
      </c>
      <c r="K252" s="72">
        <f t="shared" si="18"/>
        <v>250000</v>
      </c>
      <c r="L252" s="87"/>
    </row>
    <row r="253" spans="1:12" ht="46.5" customHeight="1">
      <c r="A253" s="68" t="s">
        <v>1163</v>
      </c>
      <c r="B253" s="68" t="str">
        <f>"336"</f>
        <v>336</v>
      </c>
      <c r="C253" s="86" t="str">
        <f>"龔麗芬"</f>
        <v>龔麗芬</v>
      </c>
      <c r="D253" s="69">
        <v>41863</v>
      </c>
      <c r="E253" s="70" t="s">
        <v>1200</v>
      </c>
      <c r="F253" s="71">
        <v>7000</v>
      </c>
      <c r="G253" s="72">
        <v>25</v>
      </c>
      <c r="H253" s="72">
        <f t="shared" si="20"/>
        <v>175000</v>
      </c>
      <c r="I253" s="67" t="s">
        <v>1201</v>
      </c>
      <c r="J253" s="69">
        <f t="shared" si="21"/>
        <v>41863</v>
      </c>
      <c r="K253" s="72">
        <f t="shared" si="18"/>
        <v>175000</v>
      </c>
      <c r="L253" s="87"/>
    </row>
    <row r="254" spans="1:12" ht="46.5" customHeight="1">
      <c r="A254" s="68" t="s">
        <v>1164</v>
      </c>
      <c r="B254" s="68" t="str">
        <f>"403"</f>
        <v>403</v>
      </c>
      <c r="C254" s="86" t="str">
        <f>"陳美香"</f>
        <v>陳美香</v>
      </c>
      <c r="D254" s="69">
        <v>41863</v>
      </c>
      <c r="E254" s="70" t="s">
        <v>1202</v>
      </c>
      <c r="F254" s="71">
        <v>2000</v>
      </c>
      <c r="G254" s="72">
        <v>25</v>
      </c>
      <c r="H254" s="72">
        <f t="shared" si="20"/>
        <v>50000</v>
      </c>
      <c r="I254" s="67" t="s">
        <v>1203</v>
      </c>
      <c r="J254" s="69">
        <f t="shared" si="21"/>
        <v>41863</v>
      </c>
      <c r="K254" s="72">
        <f t="shared" si="18"/>
        <v>50000</v>
      </c>
      <c r="L254" s="87"/>
    </row>
    <row r="255" spans="1:12" ht="34.5" customHeight="1">
      <c r="A255" s="68" t="s">
        <v>1165</v>
      </c>
      <c r="B255" s="68" t="str">
        <f>"387"</f>
        <v>387</v>
      </c>
      <c r="C255" s="86" t="str">
        <f>"廖良習"</f>
        <v>廖良習</v>
      </c>
      <c r="D255" s="69">
        <v>41863</v>
      </c>
      <c r="E255" s="70" t="s">
        <v>1204</v>
      </c>
      <c r="F255" s="71">
        <v>3000</v>
      </c>
      <c r="G255" s="72">
        <v>25</v>
      </c>
      <c r="H255" s="72">
        <f t="shared" si="20"/>
        <v>75000</v>
      </c>
      <c r="I255" s="67" t="s">
        <v>1205</v>
      </c>
      <c r="J255" s="69">
        <f t="shared" si="21"/>
        <v>41863</v>
      </c>
      <c r="K255" s="72">
        <f t="shared" si="18"/>
        <v>75000</v>
      </c>
      <c r="L255" s="87"/>
    </row>
    <row r="256" spans="1:12" ht="34.5" customHeight="1">
      <c r="A256" s="68" t="s">
        <v>1166</v>
      </c>
      <c r="B256" s="68" t="str">
        <f>"372"</f>
        <v>372</v>
      </c>
      <c r="C256" s="86" t="str">
        <f>"陳已淳"</f>
        <v>陳已淳</v>
      </c>
      <c r="D256" s="69">
        <v>41863</v>
      </c>
      <c r="E256" s="70" t="s">
        <v>1206</v>
      </c>
      <c r="F256" s="71">
        <v>5000</v>
      </c>
      <c r="G256" s="72">
        <v>25</v>
      </c>
      <c r="H256" s="72">
        <f>F256*G256</f>
        <v>125000</v>
      </c>
      <c r="I256" s="67" t="s">
        <v>1207</v>
      </c>
      <c r="J256" s="69">
        <f t="shared" si="21"/>
        <v>41863</v>
      </c>
      <c r="K256" s="72">
        <f t="shared" si="18"/>
        <v>125000</v>
      </c>
      <c r="L256" s="87"/>
    </row>
    <row r="257" spans="1:12" ht="34.5" customHeight="1">
      <c r="A257" s="68" t="s">
        <v>1167</v>
      </c>
      <c r="B257" s="68" t="str">
        <f>"334"</f>
        <v>334</v>
      </c>
      <c r="C257" s="86" t="str">
        <f>"游秀玉"</f>
        <v>游秀玉</v>
      </c>
      <c r="D257" s="69">
        <v>41863</v>
      </c>
      <c r="E257" s="70" t="s">
        <v>1208</v>
      </c>
      <c r="F257" s="71">
        <v>2000</v>
      </c>
      <c r="G257" s="72">
        <v>25</v>
      </c>
      <c r="H257" s="72">
        <f t="shared" ref="H257:H272" si="22">F257*G257</f>
        <v>50000</v>
      </c>
      <c r="I257" s="67" t="s">
        <v>1209</v>
      </c>
      <c r="J257" s="69">
        <f t="shared" si="21"/>
        <v>41863</v>
      </c>
      <c r="K257" s="72">
        <f t="shared" si="18"/>
        <v>50000</v>
      </c>
      <c r="L257" s="87"/>
    </row>
    <row r="258" spans="1:12" ht="34.5" customHeight="1">
      <c r="A258" s="68" t="s">
        <v>1168</v>
      </c>
      <c r="B258" s="68" t="str">
        <f>"332"</f>
        <v>332</v>
      </c>
      <c r="C258" s="86" t="str">
        <f>"沈倫正"</f>
        <v>沈倫正</v>
      </c>
      <c r="D258" s="69">
        <v>41864</v>
      </c>
      <c r="E258" s="70" t="s">
        <v>1210</v>
      </c>
      <c r="F258" s="71">
        <v>5000</v>
      </c>
      <c r="G258" s="72">
        <v>25</v>
      </c>
      <c r="H258" s="72">
        <f t="shared" si="22"/>
        <v>125000</v>
      </c>
      <c r="I258" s="67" t="s">
        <v>1211</v>
      </c>
      <c r="J258" s="69">
        <f t="shared" si="21"/>
        <v>41864</v>
      </c>
      <c r="K258" s="72">
        <f t="shared" si="18"/>
        <v>125000</v>
      </c>
      <c r="L258" s="87"/>
    </row>
    <row r="259" spans="1:12" ht="34.5" customHeight="1">
      <c r="A259" s="68" t="s">
        <v>1169</v>
      </c>
      <c r="B259" s="68" t="str">
        <f>"212"</f>
        <v>212</v>
      </c>
      <c r="C259" s="86" t="str">
        <f>"許美珠"</f>
        <v>許美珠</v>
      </c>
      <c r="D259" s="69">
        <v>41864</v>
      </c>
      <c r="E259" s="70" t="s">
        <v>1192</v>
      </c>
      <c r="F259" s="71">
        <v>5000</v>
      </c>
      <c r="G259" s="72">
        <v>25</v>
      </c>
      <c r="H259" s="72">
        <f t="shared" si="22"/>
        <v>125000</v>
      </c>
      <c r="I259" s="67" t="s">
        <v>1193</v>
      </c>
      <c r="J259" s="69">
        <f t="shared" si="21"/>
        <v>41864</v>
      </c>
      <c r="K259" s="72">
        <f t="shared" si="18"/>
        <v>125000</v>
      </c>
      <c r="L259" s="87"/>
    </row>
    <row r="260" spans="1:12" ht="34.5" customHeight="1">
      <c r="A260" s="74" t="s">
        <v>1230</v>
      </c>
      <c r="B260" s="74" t="str">
        <f>"313"</f>
        <v>313</v>
      </c>
      <c r="C260" s="89" t="str">
        <f>"李月星"</f>
        <v>李月星</v>
      </c>
      <c r="D260" s="75">
        <v>41864</v>
      </c>
      <c r="E260" s="76" t="s">
        <v>1192</v>
      </c>
      <c r="F260" s="77">
        <v>1000</v>
      </c>
      <c r="G260" s="78">
        <v>25</v>
      </c>
      <c r="H260" s="72">
        <f t="shared" si="22"/>
        <v>25000</v>
      </c>
      <c r="I260" s="67" t="s">
        <v>1193</v>
      </c>
      <c r="J260" s="75">
        <f>D260</f>
        <v>41864</v>
      </c>
      <c r="K260" s="78">
        <f>H260</f>
        <v>25000</v>
      </c>
      <c r="L260" s="91" t="s">
        <v>1214</v>
      </c>
    </row>
    <row r="261" spans="1:12" ht="34.5" customHeight="1">
      <c r="A261" s="68" t="s">
        <v>1231</v>
      </c>
      <c r="B261" s="68" t="str">
        <f>"384"</f>
        <v>384</v>
      </c>
      <c r="C261" s="86" t="str">
        <f>"莊登富"</f>
        <v>莊登富</v>
      </c>
      <c r="D261" s="69">
        <v>41864</v>
      </c>
      <c r="E261" s="70" t="s">
        <v>1192</v>
      </c>
      <c r="F261" s="71">
        <v>2000</v>
      </c>
      <c r="G261" s="72">
        <v>25</v>
      </c>
      <c r="H261" s="72">
        <f t="shared" si="22"/>
        <v>50000</v>
      </c>
      <c r="I261" s="67" t="s">
        <v>1193</v>
      </c>
      <c r="J261" s="69">
        <f t="shared" si="21"/>
        <v>41864</v>
      </c>
      <c r="K261" s="72">
        <f t="shared" si="18"/>
        <v>50000</v>
      </c>
      <c r="L261" s="87"/>
    </row>
    <row r="262" spans="1:12" ht="34.5" customHeight="1">
      <c r="A262" s="68" t="s">
        <v>1170</v>
      </c>
      <c r="B262" s="68" t="str">
        <f>"215"</f>
        <v>215</v>
      </c>
      <c r="C262" s="86" t="str">
        <f>"謝宗雄"</f>
        <v>謝宗雄</v>
      </c>
      <c r="D262" s="69">
        <v>41865</v>
      </c>
      <c r="E262" s="70" t="s">
        <v>1198</v>
      </c>
      <c r="F262" s="71">
        <v>10000</v>
      </c>
      <c r="G262" s="72">
        <v>25</v>
      </c>
      <c r="H262" s="72">
        <f t="shared" si="22"/>
        <v>250000</v>
      </c>
      <c r="I262" s="67" t="s">
        <v>1199</v>
      </c>
      <c r="J262" s="69">
        <f t="shared" si="21"/>
        <v>41865</v>
      </c>
      <c r="K262" s="72">
        <f t="shared" si="18"/>
        <v>250000</v>
      </c>
      <c r="L262" s="87"/>
    </row>
    <row r="263" spans="1:12" ht="34.5" customHeight="1">
      <c r="A263" s="68" t="s">
        <v>1171</v>
      </c>
      <c r="B263" s="68" t="str">
        <f>"239"</f>
        <v>239</v>
      </c>
      <c r="C263" s="86" t="str">
        <f>"范登閔"</f>
        <v>范登閔</v>
      </c>
      <c r="D263" s="69">
        <v>41865</v>
      </c>
      <c r="E263" s="70" t="s">
        <v>1200</v>
      </c>
      <c r="F263" s="71">
        <v>2000</v>
      </c>
      <c r="G263" s="72">
        <v>25</v>
      </c>
      <c r="H263" s="72">
        <f t="shared" si="22"/>
        <v>50000</v>
      </c>
      <c r="I263" s="67" t="s">
        <v>1201</v>
      </c>
      <c r="J263" s="69">
        <f t="shared" si="21"/>
        <v>41865</v>
      </c>
      <c r="K263" s="72">
        <f t="shared" si="18"/>
        <v>50000</v>
      </c>
      <c r="L263" s="87"/>
    </row>
    <row r="264" spans="1:12" ht="34.5" customHeight="1">
      <c r="A264" s="68" t="s">
        <v>1172</v>
      </c>
      <c r="B264" s="68" t="str">
        <f>"129"</f>
        <v>129</v>
      </c>
      <c r="C264" s="86" t="str">
        <f>"顏春花"</f>
        <v>顏春花</v>
      </c>
      <c r="D264" s="69">
        <v>41865</v>
      </c>
      <c r="E264" s="70" t="s">
        <v>1202</v>
      </c>
      <c r="F264" s="71">
        <v>5000</v>
      </c>
      <c r="G264" s="72">
        <v>25</v>
      </c>
      <c r="H264" s="72">
        <f t="shared" si="22"/>
        <v>125000</v>
      </c>
      <c r="I264" s="67" t="s">
        <v>1203</v>
      </c>
      <c r="J264" s="69">
        <f t="shared" si="21"/>
        <v>41865</v>
      </c>
      <c r="K264" s="72">
        <f t="shared" si="18"/>
        <v>125000</v>
      </c>
      <c r="L264" s="87"/>
    </row>
    <row r="265" spans="1:12" ht="34.5" customHeight="1">
      <c r="A265" s="68" t="s">
        <v>1173</v>
      </c>
      <c r="B265" s="68" t="str">
        <f>"13"</f>
        <v>13</v>
      </c>
      <c r="C265" s="86" t="str">
        <f>"賴宥材"</f>
        <v>賴宥材</v>
      </c>
      <c r="D265" s="69">
        <v>41865</v>
      </c>
      <c r="E265" s="70" t="s">
        <v>1204</v>
      </c>
      <c r="F265" s="71">
        <v>1000</v>
      </c>
      <c r="G265" s="72">
        <v>25</v>
      </c>
      <c r="H265" s="72">
        <f t="shared" si="22"/>
        <v>25000</v>
      </c>
      <c r="I265" s="67" t="s">
        <v>1205</v>
      </c>
      <c r="J265" s="69">
        <f t="shared" si="21"/>
        <v>41865</v>
      </c>
      <c r="K265" s="72">
        <f>H265</f>
        <v>25000</v>
      </c>
      <c r="L265" s="87"/>
    </row>
    <row r="266" spans="1:12" ht="34.5" customHeight="1">
      <c r="A266" s="68" t="s">
        <v>1174</v>
      </c>
      <c r="B266" s="68" t="str">
        <f>"136"</f>
        <v>136</v>
      </c>
      <c r="C266" s="86" t="str">
        <f>"陳易儀"</f>
        <v>陳易儀</v>
      </c>
      <c r="D266" s="69">
        <v>41866</v>
      </c>
      <c r="E266" s="70" t="s">
        <v>1206</v>
      </c>
      <c r="F266" s="71">
        <v>1000</v>
      </c>
      <c r="G266" s="72">
        <v>25</v>
      </c>
      <c r="H266" s="72">
        <f t="shared" si="22"/>
        <v>25000</v>
      </c>
      <c r="I266" s="67" t="s">
        <v>1207</v>
      </c>
      <c r="J266" s="69">
        <f t="shared" si="21"/>
        <v>41866</v>
      </c>
      <c r="K266" s="72">
        <f t="shared" si="18"/>
        <v>25000</v>
      </c>
      <c r="L266" s="87"/>
    </row>
    <row r="267" spans="1:12" ht="34.5" customHeight="1">
      <c r="A267" s="68" t="s">
        <v>1175</v>
      </c>
      <c r="B267" s="68" t="str">
        <f>"272"</f>
        <v>272</v>
      </c>
      <c r="C267" s="86" t="str">
        <f>"方秀娟"</f>
        <v>方秀娟</v>
      </c>
      <c r="D267" s="69">
        <v>41866</v>
      </c>
      <c r="E267" s="70" t="s">
        <v>1208</v>
      </c>
      <c r="F267" s="71">
        <v>3000</v>
      </c>
      <c r="G267" s="72">
        <v>25</v>
      </c>
      <c r="H267" s="72">
        <f t="shared" si="22"/>
        <v>75000</v>
      </c>
      <c r="I267" s="67" t="s">
        <v>1209</v>
      </c>
      <c r="J267" s="69">
        <f t="shared" si="21"/>
        <v>41866</v>
      </c>
      <c r="K267" s="72">
        <f>H267</f>
        <v>75000</v>
      </c>
      <c r="L267" s="87"/>
    </row>
    <row r="268" spans="1:12" ht="34.5" customHeight="1">
      <c r="A268" s="68" t="s">
        <v>1176</v>
      </c>
      <c r="B268" s="68" t="str">
        <f>"375"</f>
        <v>375</v>
      </c>
      <c r="C268" s="86" t="str">
        <f>"張木生"</f>
        <v>張木生</v>
      </c>
      <c r="D268" s="69">
        <v>41866</v>
      </c>
      <c r="E268" s="70" t="s">
        <v>1210</v>
      </c>
      <c r="F268" s="71">
        <v>5000</v>
      </c>
      <c r="G268" s="72">
        <v>25</v>
      </c>
      <c r="H268" s="72">
        <f t="shared" si="22"/>
        <v>125000</v>
      </c>
      <c r="I268" s="67" t="s">
        <v>1211</v>
      </c>
      <c r="J268" s="69">
        <f t="shared" si="21"/>
        <v>41866</v>
      </c>
      <c r="K268" s="72">
        <f t="shared" si="18"/>
        <v>125000</v>
      </c>
      <c r="L268" s="87"/>
    </row>
    <row r="269" spans="1:12" ht="34.5" customHeight="1">
      <c r="A269" s="68" t="s">
        <v>1177</v>
      </c>
      <c r="B269" s="68" t="str">
        <f>"390"</f>
        <v>390</v>
      </c>
      <c r="C269" s="86" t="str">
        <f>"鄭巧巧"</f>
        <v>鄭巧巧</v>
      </c>
      <c r="D269" s="69">
        <v>41869</v>
      </c>
      <c r="E269" s="70" t="s">
        <v>1192</v>
      </c>
      <c r="F269" s="71">
        <v>2000</v>
      </c>
      <c r="G269" s="72">
        <v>25</v>
      </c>
      <c r="H269" s="72">
        <f t="shared" si="22"/>
        <v>50000</v>
      </c>
      <c r="I269" s="67" t="s">
        <v>1193</v>
      </c>
      <c r="J269" s="69">
        <f t="shared" si="21"/>
        <v>41869</v>
      </c>
      <c r="K269" s="72">
        <f t="shared" si="18"/>
        <v>50000</v>
      </c>
      <c r="L269" s="87"/>
    </row>
    <row r="270" spans="1:12" ht="34.5" customHeight="1">
      <c r="A270" s="68" t="s">
        <v>1178</v>
      </c>
      <c r="B270" s="68" t="str">
        <f>"303"</f>
        <v>303</v>
      </c>
      <c r="C270" s="86" t="str">
        <f>"茹道泰"</f>
        <v>茹道泰</v>
      </c>
      <c r="D270" s="69">
        <v>41869</v>
      </c>
      <c r="E270" s="70" t="s">
        <v>1194</v>
      </c>
      <c r="F270" s="71">
        <v>2000</v>
      </c>
      <c r="G270" s="72">
        <v>25</v>
      </c>
      <c r="H270" s="72">
        <f t="shared" si="22"/>
        <v>50000</v>
      </c>
      <c r="I270" s="67" t="s">
        <v>1195</v>
      </c>
      <c r="J270" s="69">
        <f t="shared" si="21"/>
        <v>41869</v>
      </c>
      <c r="K270" s="72">
        <f t="shared" si="18"/>
        <v>50000</v>
      </c>
      <c r="L270" s="87"/>
    </row>
    <row r="271" spans="1:12" ht="34.5" customHeight="1">
      <c r="A271" s="68" t="s">
        <v>1179</v>
      </c>
      <c r="B271" s="68" t="str">
        <f>"226"</f>
        <v>226</v>
      </c>
      <c r="C271" s="86" t="str">
        <f>"鄭國中"</f>
        <v>鄭國中</v>
      </c>
      <c r="D271" s="69">
        <v>41871</v>
      </c>
      <c r="E271" s="70" t="s">
        <v>1196</v>
      </c>
      <c r="F271" s="71">
        <v>20000</v>
      </c>
      <c r="G271" s="72">
        <v>25</v>
      </c>
      <c r="H271" s="72">
        <f t="shared" si="22"/>
        <v>500000</v>
      </c>
      <c r="I271" s="67" t="s">
        <v>1197</v>
      </c>
      <c r="J271" s="69">
        <f>D271</f>
        <v>41871</v>
      </c>
      <c r="K271" s="72">
        <f>H271</f>
        <v>500000</v>
      </c>
      <c r="L271" s="87"/>
    </row>
    <row r="272" spans="1:12" ht="34.5" customHeight="1">
      <c r="A272" s="68" t="s">
        <v>1180</v>
      </c>
      <c r="B272" s="68" t="str">
        <f>"258"</f>
        <v>258</v>
      </c>
      <c r="C272" s="86" t="str">
        <f>"李如玉"</f>
        <v>李如玉</v>
      </c>
      <c r="D272" s="69">
        <v>41871</v>
      </c>
      <c r="E272" s="70" t="s">
        <v>1198</v>
      </c>
      <c r="F272" s="71">
        <v>20000</v>
      </c>
      <c r="G272" s="72">
        <v>25</v>
      </c>
      <c r="H272" s="72">
        <f t="shared" si="22"/>
        <v>500000</v>
      </c>
      <c r="I272" s="67" t="s">
        <v>1199</v>
      </c>
      <c r="J272" s="69">
        <f>D272</f>
        <v>41871</v>
      </c>
      <c r="K272" s="72">
        <f>H272</f>
        <v>500000</v>
      </c>
      <c r="L272" s="87"/>
    </row>
    <row r="273" spans="1:12" ht="34.5" customHeight="1">
      <c r="A273" s="252" t="s">
        <v>1232</v>
      </c>
      <c r="B273" s="252"/>
      <c r="C273" s="252"/>
      <c r="D273" s="252"/>
      <c r="E273" s="252"/>
      <c r="F273" s="71">
        <f>SUM(F4:F19, F20:F22, F23:F272)</f>
        <v>1337000</v>
      </c>
      <c r="G273" s="79"/>
      <c r="H273" s="78">
        <f>SUM(H4:H272)</f>
        <v>33425000</v>
      </c>
      <c r="I273" s="80"/>
      <c r="J273" s="79"/>
      <c r="K273" s="78">
        <f>SUM(K4:K272)</f>
        <v>33425000</v>
      </c>
      <c r="L273" s="72"/>
    </row>
    <row r="274" spans="1:12" ht="34.5" customHeight="1">
      <c r="A274" s="81" t="s">
        <v>1233</v>
      </c>
    </row>
    <row r="275" spans="1:12" ht="34.5" customHeight="1">
      <c r="F275" s="85"/>
    </row>
  </sheetData>
  <autoFilter ref="A3:L186"/>
  <mergeCells count="42">
    <mergeCell ref="A273:E273"/>
    <mergeCell ref="F181:F182"/>
    <mergeCell ref="G181:G182"/>
    <mergeCell ref="H181:H182"/>
    <mergeCell ref="J181:J182"/>
    <mergeCell ref="K181:K182"/>
    <mergeCell ref="A181:A182"/>
    <mergeCell ref="B181:B182"/>
    <mergeCell ref="C181:C182"/>
    <mergeCell ref="D181:D182"/>
    <mergeCell ref="E181:E182"/>
    <mergeCell ref="F174:F175"/>
    <mergeCell ref="G174:G175"/>
    <mergeCell ref="H174:H175"/>
    <mergeCell ref="J174:J175"/>
    <mergeCell ref="K174:K175"/>
    <mergeCell ref="A174:A175"/>
    <mergeCell ref="B174:B175"/>
    <mergeCell ref="C174:C175"/>
    <mergeCell ref="D174:D175"/>
    <mergeCell ref="E174:E175"/>
    <mergeCell ref="F20:F22"/>
    <mergeCell ref="G20:G22"/>
    <mergeCell ref="H20:H22"/>
    <mergeCell ref="J20:J22"/>
    <mergeCell ref="K20:K22"/>
    <mergeCell ref="A20:A22"/>
    <mergeCell ref="B20:B22"/>
    <mergeCell ref="C20:C22"/>
    <mergeCell ref="D20:D22"/>
    <mergeCell ref="E20:E22"/>
    <mergeCell ref="A1:L1"/>
    <mergeCell ref="A2:A3"/>
    <mergeCell ref="B2:B3"/>
    <mergeCell ref="C2:C3"/>
    <mergeCell ref="D2:D3"/>
    <mergeCell ref="E2:E3"/>
    <mergeCell ref="F2:F3"/>
    <mergeCell ref="G2:G3"/>
    <mergeCell ref="H2:H3"/>
    <mergeCell ref="I2:K2"/>
    <mergeCell ref="L2:L3"/>
  </mergeCells>
  <phoneticPr fontId="1" type="noConversion"/>
  <printOptions horizontalCentered="1"/>
  <pageMargins left="0.35433070866141736" right="0.35433070866141736" top="0.78740157480314965" bottom="0.98425196850393704" header="0.51181102362204722" footer="0.51181102362204722"/>
  <pageSetup paperSize="9" scale="60" fitToHeight="20" orientation="portrait"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dimension ref="A1:G11"/>
  <sheetViews>
    <sheetView zoomScale="80" zoomScaleNormal="80" workbookViewId="0">
      <selection activeCell="F23" sqref="F23"/>
    </sheetView>
  </sheetViews>
  <sheetFormatPr defaultRowHeight="16.2"/>
  <cols>
    <col min="1" max="1" width="8" customWidth="1"/>
    <col min="2" max="2" width="10.33203125" customWidth="1"/>
    <col min="3" max="3" width="10.6640625" customWidth="1"/>
    <col min="4" max="4" width="12.88671875" customWidth="1"/>
    <col min="5" max="5" width="12.44140625" customWidth="1"/>
    <col min="6" max="6" width="11.33203125" customWidth="1"/>
    <col min="7" max="7" width="14.77734375" customWidth="1"/>
  </cols>
  <sheetData>
    <row r="1" spans="1:7" ht="16.8" thickBot="1">
      <c r="A1" t="s">
        <v>1560</v>
      </c>
    </row>
    <row r="2" spans="1:7" ht="16.8" thickBot="1">
      <c r="A2" s="22" t="s">
        <v>16</v>
      </c>
      <c r="B2" s="23" t="s">
        <v>18</v>
      </c>
      <c r="C2" s="23" t="s">
        <v>19</v>
      </c>
      <c r="D2" s="23" t="s">
        <v>20</v>
      </c>
      <c r="E2" s="23" t="s">
        <v>21</v>
      </c>
      <c r="F2" s="23" t="s">
        <v>22</v>
      </c>
      <c r="G2" s="24" t="s">
        <v>23</v>
      </c>
    </row>
    <row r="3" spans="1:7">
      <c r="A3" s="18">
        <v>1</v>
      </c>
      <c r="B3" s="19" t="s">
        <v>8</v>
      </c>
      <c r="C3" s="19" t="s">
        <v>25</v>
      </c>
      <c r="D3" s="11" t="s">
        <v>26</v>
      </c>
      <c r="E3" s="12">
        <v>100000</v>
      </c>
      <c r="F3" s="11">
        <v>10.199999999999999</v>
      </c>
      <c r="G3" s="13">
        <v>1020000</v>
      </c>
    </row>
    <row r="4" spans="1:7">
      <c r="A4" s="20">
        <v>2</v>
      </c>
      <c r="B4" s="21" t="s">
        <v>8</v>
      </c>
      <c r="C4" s="21" t="s">
        <v>27</v>
      </c>
      <c r="D4" s="1" t="s">
        <v>26</v>
      </c>
      <c r="E4" s="2">
        <v>30000</v>
      </c>
      <c r="F4" s="1">
        <v>10.199999999999999</v>
      </c>
      <c r="G4" s="4">
        <v>306000</v>
      </c>
    </row>
    <row r="5" spans="1:7">
      <c r="A5" s="20">
        <v>3</v>
      </c>
      <c r="B5" s="21" t="s">
        <v>8</v>
      </c>
      <c r="C5" s="21" t="s">
        <v>28</v>
      </c>
      <c r="D5" s="1" t="s">
        <v>26</v>
      </c>
      <c r="E5" s="2">
        <v>80000</v>
      </c>
      <c r="F5" s="1">
        <v>10.199999999999999</v>
      </c>
      <c r="G5" s="4">
        <v>816000</v>
      </c>
    </row>
    <row r="6" spans="1:7">
      <c r="A6" s="20">
        <v>4</v>
      </c>
      <c r="B6" s="21" t="s">
        <v>8</v>
      </c>
      <c r="C6" s="21" t="s">
        <v>29</v>
      </c>
      <c r="D6" s="1" t="s">
        <v>26</v>
      </c>
      <c r="E6" s="2">
        <v>80000</v>
      </c>
      <c r="F6" s="1">
        <v>10.199999999999999</v>
      </c>
      <c r="G6" s="4">
        <v>816000</v>
      </c>
    </row>
    <row r="7" spans="1:7">
      <c r="A7" s="20">
        <v>5</v>
      </c>
      <c r="B7" s="21" t="s">
        <v>8</v>
      </c>
      <c r="C7" s="21" t="s">
        <v>30</v>
      </c>
      <c r="D7" s="1" t="s">
        <v>26</v>
      </c>
      <c r="E7" s="2">
        <v>100000</v>
      </c>
      <c r="F7" s="1">
        <v>10.199999999999999</v>
      </c>
      <c r="G7" s="4">
        <v>1020000</v>
      </c>
    </row>
    <row r="8" spans="1:7">
      <c r="A8" s="20">
        <v>6</v>
      </c>
      <c r="B8" s="21" t="s">
        <v>8</v>
      </c>
      <c r="C8" s="21" t="s">
        <v>1900</v>
      </c>
      <c r="D8" s="1" t="s">
        <v>26</v>
      </c>
      <c r="E8" s="2">
        <v>10000</v>
      </c>
      <c r="F8" s="1">
        <v>10.199999999999999</v>
      </c>
      <c r="G8" s="4">
        <v>102000</v>
      </c>
    </row>
    <row r="9" spans="1:7" ht="16.8" thickBot="1">
      <c r="A9" s="5"/>
      <c r="B9" s="7"/>
      <c r="C9" s="7"/>
      <c r="D9" s="7" t="s">
        <v>31</v>
      </c>
      <c r="E9" s="16">
        <f>SUM(E3:E8)</f>
        <v>400000</v>
      </c>
      <c r="F9" s="16"/>
      <c r="G9" s="17">
        <f>SUM(G3:G8)</f>
        <v>4080000</v>
      </c>
    </row>
    <row r="10" spans="1:7">
      <c r="A10" t="s">
        <v>1493</v>
      </c>
    </row>
    <row r="11" spans="1:7" ht="33.6" customHeight="1">
      <c r="A11" s="285" t="s">
        <v>1492</v>
      </c>
      <c r="B11" s="285"/>
      <c r="C11" s="285"/>
      <c r="D11" s="285"/>
      <c r="E11" s="285"/>
      <c r="F11" s="285"/>
      <c r="G11" s="285"/>
    </row>
  </sheetData>
  <mergeCells count="1">
    <mergeCell ref="A11:G11"/>
  </mergeCells>
  <phoneticPr fontId="1" type="noConversion"/>
  <pageMargins left="0.70866141732283472" right="0.70866141732283472" top="0.74803149606299213" bottom="0.74803149606299213" header="0.31496062992125984" footer="0.31496062992125984"/>
  <pageSetup paperSize="9"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dimension ref="A1:G16"/>
  <sheetViews>
    <sheetView zoomScale="80" zoomScaleNormal="80" workbookViewId="0">
      <selection activeCell="H3" sqref="H3"/>
    </sheetView>
  </sheetViews>
  <sheetFormatPr defaultRowHeight="16.2"/>
  <cols>
    <col min="1" max="1" width="7.5546875" customWidth="1"/>
    <col min="2" max="2" width="10" customWidth="1"/>
    <col min="3" max="3" width="11.44140625" customWidth="1"/>
    <col min="4" max="4" width="12.21875" customWidth="1"/>
    <col min="5" max="5" width="12.5546875" customWidth="1"/>
    <col min="6" max="6" width="9.5546875" customWidth="1"/>
    <col min="7" max="7" width="16" customWidth="1"/>
  </cols>
  <sheetData>
    <row r="1" spans="1:7" ht="39.6" customHeight="1" thickBot="1">
      <c r="A1" s="323" t="s">
        <v>1561</v>
      </c>
      <c r="B1" s="323"/>
      <c r="C1" s="323"/>
      <c r="D1" s="323"/>
      <c r="E1" s="323"/>
      <c r="F1" s="323"/>
      <c r="G1" s="323"/>
    </row>
    <row r="2" spans="1:7" ht="16.8" thickBot="1">
      <c r="A2" s="22" t="s">
        <v>16</v>
      </c>
      <c r="B2" s="23" t="s">
        <v>18</v>
      </c>
      <c r="C2" s="23" t="s">
        <v>19</v>
      </c>
      <c r="D2" s="23" t="s">
        <v>20</v>
      </c>
      <c r="E2" s="23" t="s">
        <v>21</v>
      </c>
      <c r="F2" s="23" t="s">
        <v>22</v>
      </c>
      <c r="G2" s="24" t="s">
        <v>23</v>
      </c>
    </row>
    <row r="3" spans="1:7">
      <c r="A3" s="18">
        <v>1</v>
      </c>
      <c r="B3" s="19" t="s">
        <v>8</v>
      </c>
      <c r="C3" s="19" t="s">
        <v>0</v>
      </c>
      <c r="D3" s="11" t="s">
        <v>9</v>
      </c>
      <c r="E3" s="12">
        <v>600000</v>
      </c>
      <c r="F3" s="11">
        <v>15</v>
      </c>
      <c r="G3" s="13">
        <v>9000000</v>
      </c>
    </row>
    <row r="4" spans="1:7">
      <c r="A4" s="20">
        <v>2</v>
      </c>
      <c r="B4" s="21" t="s">
        <v>1</v>
      </c>
      <c r="C4" s="21" t="s">
        <v>0</v>
      </c>
      <c r="D4" s="1" t="s">
        <v>2</v>
      </c>
      <c r="E4" s="2">
        <v>500000</v>
      </c>
      <c r="F4" s="1">
        <v>15</v>
      </c>
      <c r="G4" s="4">
        <v>7500000</v>
      </c>
    </row>
    <row r="5" spans="1:7">
      <c r="A5" s="20">
        <v>3</v>
      </c>
      <c r="B5" s="21" t="s">
        <v>1</v>
      </c>
      <c r="C5" s="21" t="s">
        <v>0</v>
      </c>
      <c r="D5" s="1" t="s">
        <v>3</v>
      </c>
      <c r="E5" s="2">
        <v>500000</v>
      </c>
      <c r="F5" s="1">
        <v>15</v>
      </c>
      <c r="G5" s="4">
        <v>7500000</v>
      </c>
    </row>
    <row r="6" spans="1:7">
      <c r="A6" s="20">
        <v>4</v>
      </c>
      <c r="B6" s="21" t="s">
        <v>1</v>
      </c>
      <c r="C6" s="21" t="s">
        <v>0</v>
      </c>
      <c r="D6" s="1" t="s">
        <v>4</v>
      </c>
      <c r="E6" s="2">
        <v>400000</v>
      </c>
      <c r="F6" s="1">
        <v>15</v>
      </c>
      <c r="G6" s="4">
        <v>6000000</v>
      </c>
    </row>
    <row r="7" spans="1:7">
      <c r="A7" s="20">
        <v>5</v>
      </c>
      <c r="B7" s="21" t="s">
        <v>1</v>
      </c>
      <c r="C7" s="21" t="s">
        <v>0</v>
      </c>
      <c r="D7" s="1" t="s">
        <v>5</v>
      </c>
      <c r="E7" s="2">
        <v>199000</v>
      </c>
      <c r="F7" s="1">
        <v>15</v>
      </c>
      <c r="G7" s="4">
        <v>2985000</v>
      </c>
    </row>
    <row r="8" spans="1:7">
      <c r="A8" s="20">
        <v>6</v>
      </c>
      <c r="B8" s="21" t="s">
        <v>1</v>
      </c>
      <c r="C8" s="21" t="s">
        <v>0</v>
      </c>
      <c r="D8" s="1" t="s">
        <v>6</v>
      </c>
      <c r="E8" s="2">
        <v>1000</v>
      </c>
      <c r="F8" s="1">
        <v>15</v>
      </c>
      <c r="G8" s="4">
        <v>15000</v>
      </c>
    </row>
    <row r="9" spans="1:7">
      <c r="A9" s="20">
        <v>7</v>
      </c>
      <c r="B9" s="21" t="s">
        <v>1</v>
      </c>
      <c r="C9" s="21" t="s">
        <v>0</v>
      </c>
      <c r="D9" s="1" t="s">
        <v>7</v>
      </c>
      <c r="E9" s="2">
        <v>400000</v>
      </c>
      <c r="F9" s="1">
        <v>15</v>
      </c>
      <c r="G9" s="4">
        <v>6000000</v>
      </c>
    </row>
    <row r="10" spans="1:7">
      <c r="A10" s="20">
        <v>8</v>
      </c>
      <c r="B10" s="21" t="s">
        <v>8</v>
      </c>
      <c r="C10" s="21" t="s">
        <v>0</v>
      </c>
      <c r="D10" s="1" t="s">
        <v>10</v>
      </c>
      <c r="E10" s="2">
        <v>500000</v>
      </c>
      <c r="F10" s="1">
        <v>15</v>
      </c>
      <c r="G10" s="4">
        <v>7500000</v>
      </c>
    </row>
    <row r="11" spans="1:7">
      <c r="A11" s="20">
        <v>9</v>
      </c>
      <c r="B11" s="21" t="s">
        <v>8</v>
      </c>
      <c r="C11" s="21" t="s">
        <v>0</v>
      </c>
      <c r="D11" s="1" t="s">
        <v>11</v>
      </c>
      <c r="E11" s="2">
        <v>300000</v>
      </c>
      <c r="F11" s="1">
        <v>15</v>
      </c>
      <c r="G11" s="4">
        <v>4500000</v>
      </c>
    </row>
    <row r="12" spans="1:7">
      <c r="A12" s="20">
        <v>10</v>
      </c>
      <c r="B12" s="21" t="s">
        <v>8</v>
      </c>
      <c r="C12" s="21" t="s">
        <v>0</v>
      </c>
      <c r="D12" s="1" t="s">
        <v>12</v>
      </c>
      <c r="E12" s="2">
        <v>200000</v>
      </c>
      <c r="F12" s="1">
        <v>15</v>
      </c>
      <c r="G12" s="4">
        <v>3000000</v>
      </c>
    </row>
    <row r="13" spans="1:7">
      <c r="A13" s="20">
        <v>11</v>
      </c>
      <c r="B13" s="21" t="s">
        <v>8</v>
      </c>
      <c r="C13" s="21" t="s">
        <v>0</v>
      </c>
      <c r="D13" s="1" t="s">
        <v>13</v>
      </c>
      <c r="E13" s="2">
        <v>200000</v>
      </c>
      <c r="F13" s="1">
        <v>15</v>
      </c>
      <c r="G13" s="4">
        <v>3000000</v>
      </c>
    </row>
    <row r="14" spans="1:7">
      <c r="A14" s="20">
        <v>12</v>
      </c>
      <c r="B14" s="21" t="s">
        <v>8</v>
      </c>
      <c r="C14" s="21" t="s">
        <v>14</v>
      </c>
      <c r="D14" s="1" t="s">
        <v>15</v>
      </c>
      <c r="E14" s="2">
        <v>30000</v>
      </c>
      <c r="F14" s="1">
        <v>15</v>
      </c>
      <c r="G14" s="4">
        <v>450000</v>
      </c>
    </row>
    <row r="15" spans="1:7" ht="16.8" thickBot="1">
      <c r="A15" s="5"/>
      <c r="B15" s="6"/>
      <c r="C15" s="6"/>
      <c r="D15" s="7" t="s">
        <v>24</v>
      </c>
      <c r="E15" s="8">
        <f>SUM(E3:E14)</f>
        <v>3830000</v>
      </c>
      <c r="F15" s="6"/>
      <c r="G15" s="9">
        <f>SUM(G3:G14)</f>
        <v>57450000</v>
      </c>
    </row>
    <row r="16" spans="1:7">
      <c r="A16" t="s">
        <v>17</v>
      </c>
    </row>
  </sheetData>
  <mergeCells count="1">
    <mergeCell ref="A1:G1"/>
  </mergeCells>
  <phoneticPr fontId="1" type="noConversion"/>
  <pageMargins left="0.70866141732283472" right="0.70866141732283472" top="0.74803149606299213" bottom="0.74803149606299213" header="0.31496062992125984" footer="0.31496062992125984"/>
  <pageSetup paperSize="9"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sheetPr>
    <pageSetUpPr fitToPage="1"/>
  </sheetPr>
  <dimension ref="A1:H128"/>
  <sheetViews>
    <sheetView topLeftCell="A100" zoomScale="80" zoomScaleNormal="80" workbookViewId="0">
      <selection activeCell="E110" sqref="E110"/>
    </sheetView>
  </sheetViews>
  <sheetFormatPr defaultRowHeight="16.2"/>
  <cols>
    <col min="1" max="1" width="7.21875" customWidth="1"/>
    <col min="2" max="2" width="9.21875" customWidth="1"/>
    <col min="3" max="3" width="9.6640625" customWidth="1"/>
    <col min="4" max="4" width="11.5546875" customWidth="1"/>
    <col min="5" max="5" width="11.77734375" customWidth="1"/>
    <col min="6" max="6" width="11.109375" customWidth="1"/>
    <col min="7" max="7" width="13" customWidth="1"/>
    <col min="8" max="8" width="14.21875" customWidth="1"/>
  </cols>
  <sheetData>
    <row r="1" spans="1:8" ht="22.8" customHeight="1" thickBot="1">
      <c r="A1" t="s">
        <v>1558</v>
      </c>
    </row>
    <row r="2" spans="1:8" ht="16.8" thickBot="1">
      <c r="A2" s="22" t="s">
        <v>16</v>
      </c>
      <c r="B2" s="23" t="s">
        <v>18</v>
      </c>
      <c r="C2" s="23" t="s">
        <v>19</v>
      </c>
      <c r="D2" s="23" t="s">
        <v>20</v>
      </c>
      <c r="E2" s="23" t="s">
        <v>21</v>
      </c>
      <c r="F2" s="23" t="s">
        <v>22</v>
      </c>
      <c r="G2" s="23" t="s">
        <v>23</v>
      </c>
      <c r="H2" s="40" t="s">
        <v>1182</v>
      </c>
    </row>
    <row r="3" spans="1:8">
      <c r="A3" s="10">
        <v>1</v>
      </c>
      <c r="B3" s="11" t="s">
        <v>0</v>
      </c>
      <c r="C3" s="11" t="s">
        <v>32</v>
      </c>
      <c r="D3" s="11" t="s">
        <v>33</v>
      </c>
      <c r="E3" s="12">
        <v>10000</v>
      </c>
      <c r="F3" s="11">
        <v>23</v>
      </c>
      <c r="G3" s="12">
        <v>230000</v>
      </c>
      <c r="H3" s="41"/>
    </row>
    <row r="4" spans="1:8">
      <c r="A4" s="3">
        <v>2</v>
      </c>
      <c r="B4" s="1" t="s">
        <v>0</v>
      </c>
      <c r="C4" s="1" t="s">
        <v>32</v>
      </c>
      <c r="D4" s="1" t="s">
        <v>34</v>
      </c>
      <c r="E4" s="2">
        <v>10000</v>
      </c>
      <c r="F4" s="1">
        <v>23</v>
      </c>
      <c r="G4" s="2">
        <v>230000</v>
      </c>
      <c r="H4" s="42"/>
    </row>
    <row r="5" spans="1:8">
      <c r="A5" s="3">
        <v>3</v>
      </c>
      <c r="B5" s="1" t="s">
        <v>0</v>
      </c>
      <c r="C5" s="1" t="s">
        <v>32</v>
      </c>
      <c r="D5" s="1" t="s">
        <v>35</v>
      </c>
      <c r="E5" s="2">
        <v>10000</v>
      </c>
      <c r="F5" s="1">
        <v>23</v>
      </c>
      <c r="G5" s="2">
        <v>230000</v>
      </c>
      <c r="H5" s="42"/>
    </row>
    <row r="6" spans="1:8">
      <c r="A6" s="3">
        <v>4</v>
      </c>
      <c r="B6" s="1" t="s">
        <v>0</v>
      </c>
      <c r="C6" s="1" t="s">
        <v>32</v>
      </c>
      <c r="D6" s="1" t="s">
        <v>36</v>
      </c>
      <c r="E6" s="2">
        <v>10000</v>
      </c>
      <c r="F6" s="1">
        <v>23</v>
      </c>
      <c r="G6" s="2">
        <v>230000</v>
      </c>
      <c r="H6" s="42"/>
    </row>
    <row r="7" spans="1:8">
      <c r="A7" s="3">
        <v>5</v>
      </c>
      <c r="B7" s="1" t="s">
        <v>0</v>
      </c>
      <c r="C7" s="1" t="s">
        <v>32</v>
      </c>
      <c r="D7" s="1" t="s">
        <v>37</v>
      </c>
      <c r="E7" s="2">
        <v>20000</v>
      </c>
      <c r="F7" s="1">
        <v>23</v>
      </c>
      <c r="G7" s="2">
        <v>460000</v>
      </c>
      <c r="H7" s="42"/>
    </row>
    <row r="8" spans="1:8">
      <c r="A8" s="3">
        <v>6</v>
      </c>
      <c r="B8" s="1" t="s">
        <v>0</v>
      </c>
      <c r="C8" s="1" t="s">
        <v>32</v>
      </c>
      <c r="D8" s="1" t="s">
        <v>38</v>
      </c>
      <c r="E8" s="2">
        <v>30000</v>
      </c>
      <c r="F8" s="1">
        <v>23</v>
      </c>
      <c r="G8" s="2">
        <v>690000</v>
      </c>
      <c r="H8" s="42"/>
    </row>
    <row r="9" spans="1:8">
      <c r="A9" s="3">
        <v>7</v>
      </c>
      <c r="B9" s="1" t="s">
        <v>0</v>
      </c>
      <c r="C9" s="1" t="s">
        <v>32</v>
      </c>
      <c r="D9" s="1" t="s">
        <v>39</v>
      </c>
      <c r="E9" s="2">
        <v>20000</v>
      </c>
      <c r="F9" s="1">
        <v>23</v>
      </c>
      <c r="G9" s="2">
        <v>460000</v>
      </c>
      <c r="H9" s="42"/>
    </row>
    <row r="10" spans="1:8">
      <c r="A10" s="3">
        <v>8</v>
      </c>
      <c r="B10" s="1" t="s">
        <v>0</v>
      </c>
      <c r="C10" s="1" t="s">
        <v>32</v>
      </c>
      <c r="D10" s="1" t="s">
        <v>40</v>
      </c>
      <c r="E10" s="2">
        <v>10000</v>
      </c>
      <c r="F10" s="1">
        <v>23</v>
      </c>
      <c r="G10" s="2">
        <v>230000</v>
      </c>
      <c r="H10" s="42"/>
    </row>
    <row r="11" spans="1:8">
      <c r="A11" s="3">
        <v>9</v>
      </c>
      <c r="B11" s="1" t="s">
        <v>0</v>
      </c>
      <c r="C11" s="1" t="s">
        <v>32</v>
      </c>
      <c r="D11" s="1" t="s">
        <v>41</v>
      </c>
      <c r="E11" s="2">
        <v>5000</v>
      </c>
      <c r="F11" s="1">
        <v>23</v>
      </c>
      <c r="G11" s="2">
        <v>115000</v>
      </c>
      <c r="H11" s="42"/>
    </row>
    <row r="12" spans="1:8">
      <c r="A12" s="3">
        <v>10</v>
      </c>
      <c r="B12" s="1" t="s">
        <v>0</v>
      </c>
      <c r="C12" s="1" t="s">
        <v>32</v>
      </c>
      <c r="D12" s="1" t="s">
        <v>42</v>
      </c>
      <c r="E12" s="2">
        <v>10000</v>
      </c>
      <c r="F12" s="1">
        <v>23</v>
      </c>
      <c r="G12" s="2">
        <v>230000</v>
      </c>
      <c r="H12" s="42"/>
    </row>
    <row r="13" spans="1:8">
      <c r="A13" s="3">
        <v>11</v>
      </c>
      <c r="B13" s="1" t="s">
        <v>0</v>
      </c>
      <c r="C13" s="1" t="s">
        <v>32</v>
      </c>
      <c r="D13" s="1" t="s">
        <v>43</v>
      </c>
      <c r="E13" s="2">
        <v>25000</v>
      </c>
      <c r="F13" s="1">
        <v>23</v>
      </c>
      <c r="G13" s="2">
        <v>575000</v>
      </c>
      <c r="H13" s="42"/>
    </row>
    <row r="14" spans="1:8">
      <c r="A14" s="3">
        <v>12</v>
      </c>
      <c r="B14" s="1" t="s">
        <v>0</v>
      </c>
      <c r="C14" s="1" t="s">
        <v>32</v>
      </c>
      <c r="D14" s="1" t="s">
        <v>44</v>
      </c>
      <c r="E14" s="2">
        <v>20000</v>
      </c>
      <c r="F14" s="1">
        <v>23</v>
      </c>
      <c r="G14" s="2">
        <v>460000</v>
      </c>
      <c r="H14" s="42"/>
    </row>
    <row r="15" spans="1:8">
      <c r="A15" s="3">
        <v>13</v>
      </c>
      <c r="B15" s="1" t="s">
        <v>0</v>
      </c>
      <c r="C15" s="1" t="s">
        <v>32</v>
      </c>
      <c r="D15" s="1" t="s">
        <v>45</v>
      </c>
      <c r="E15" s="2">
        <v>40000</v>
      </c>
      <c r="F15" s="1">
        <v>23</v>
      </c>
      <c r="G15" s="2">
        <v>920000</v>
      </c>
      <c r="H15" s="42"/>
    </row>
    <row r="16" spans="1:8">
      <c r="A16" s="3">
        <v>14</v>
      </c>
      <c r="B16" s="1" t="s">
        <v>0</v>
      </c>
      <c r="C16" s="1" t="s">
        <v>32</v>
      </c>
      <c r="D16" s="1" t="s">
        <v>46</v>
      </c>
      <c r="E16" s="2">
        <v>75000</v>
      </c>
      <c r="F16" s="1">
        <v>23</v>
      </c>
      <c r="G16" s="2">
        <v>1725000</v>
      </c>
      <c r="H16" s="42"/>
    </row>
    <row r="17" spans="1:8">
      <c r="A17" s="3">
        <v>15</v>
      </c>
      <c r="B17" s="1" t="s">
        <v>0</v>
      </c>
      <c r="C17" s="1" t="s">
        <v>32</v>
      </c>
      <c r="D17" s="1" t="s">
        <v>47</v>
      </c>
      <c r="E17" s="2">
        <v>50000</v>
      </c>
      <c r="F17" s="1">
        <v>23</v>
      </c>
      <c r="G17" s="2">
        <v>1150000</v>
      </c>
      <c r="H17" s="42"/>
    </row>
    <row r="18" spans="1:8">
      <c r="A18" s="3">
        <v>16</v>
      </c>
      <c r="B18" s="1" t="s">
        <v>0</v>
      </c>
      <c r="C18" s="1" t="s">
        <v>32</v>
      </c>
      <c r="D18" s="1" t="s">
        <v>48</v>
      </c>
      <c r="E18" s="2">
        <v>40000</v>
      </c>
      <c r="F18" s="1">
        <v>23</v>
      </c>
      <c r="G18" s="2">
        <v>920000</v>
      </c>
      <c r="H18" s="42"/>
    </row>
    <row r="19" spans="1:8">
      <c r="A19" s="3">
        <v>17</v>
      </c>
      <c r="B19" s="1" t="s">
        <v>0</v>
      </c>
      <c r="C19" s="1" t="s">
        <v>32</v>
      </c>
      <c r="D19" s="1" t="s">
        <v>49</v>
      </c>
      <c r="E19" s="2">
        <v>10000</v>
      </c>
      <c r="F19" s="1">
        <v>23</v>
      </c>
      <c r="G19" s="2">
        <v>230000</v>
      </c>
      <c r="H19" s="42"/>
    </row>
    <row r="20" spans="1:8">
      <c r="A20" s="3">
        <v>18</v>
      </c>
      <c r="B20" s="1" t="s">
        <v>0</v>
      </c>
      <c r="C20" s="1" t="s">
        <v>32</v>
      </c>
      <c r="D20" s="1" t="s">
        <v>50</v>
      </c>
      <c r="E20" s="2">
        <v>20000</v>
      </c>
      <c r="F20" s="1">
        <v>23</v>
      </c>
      <c r="G20" s="2">
        <v>460000</v>
      </c>
      <c r="H20" s="42"/>
    </row>
    <row r="21" spans="1:8">
      <c r="A21" s="3">
        <v>19</v>
      </c>
      <c r="B21" s="1" t="s">
        <v>0</v>
      </c>
      <c r="C21" s="1" t="s">
        <v>32</v>
      </c>
      <c r="D21" s="1" t="s">
        <v>51</v>
      </c>
      <c r="E21" s="2">
        <v>20000</v>
      </c>
      <c r="F21" s="1">
        <v>23</v>
      </c>
      <c r="G21" s="2">
        <v>460000</v>
      </c>
      <c r="H21" s="42"/>
    </row>
    <row r="22" spans="1:8">
      <c r="A22" s="3">
        <v>20</v>
      </c>
      <c r="B22" s="1" t="s">
        <v>0</v>
      </c>
      <c r="C22" s="1" t="s">
        <v>32</v>
      </c>
      <c r="D22" s="1" t="s">
        <v>52</v>
      </c>
      <c r="E22" s="2">
        <v>20000</v>
      </c>
      <c r="F22" s="1">
        <v>23</v>
      </c>
      <c r="G22" s="2">
        <v>460000</v>
      </c>
      <c r="H22" s="42"/>
    </row>
    <row r="23" spans="1:8">
      <c r="A23" s="3">
        <v>21</v>
      </c>
      <c r="B23" s="1" t="s">
        <v>0</v>
      </c>
      <c r="C23" s="1" t="s">
        <v>32</v>
      </c>
      <c r="D23" s="1" t="s">
        <v>53</v>
      </c>
      <c r="E23" s="2">
        <v>20000</v>
      </c>
      <c r="F23" s="1">
        <v>23</v>
      </c>
      <c r="G23" s="2">
        <v>460000</v>
      </c>
      <c r="H23" s="42"/>
    </row>
    <row r="24" spans="1:8">
      <c r="A24" s="3">
        <v>22</v>
      </c>
      <c r="B24" s="1" t="s">
        <v>0</v>
      </c>
      <c r="C24" s="1" t="s">
        <v>32</v>
      </c>
      <c r="D24" s="1" t="s">
        <v>54</v>
      </c>
      <c r="E24" s="2">
        <v>20000</v>
      </c>
      <c r="F24" s="1">
        <v>23</v>
      </c>
      <c r="G24" s="2">
        <v>460000</v>
      </c>
      <c r="H24" s="42"/>
    </row>
    <row r="25" spans="1:8">
      <c r="A25" s="3">
        <v>23</v>
      </c>
      <c r="B25" s="1" t="s">
        <v>0</v>
      </c>
      <c r="C25" s="1" t="s">
        <v>32</v>
      </c>
      <c r="D25" s="1" t="s">
        <v>55</v>
      </c>
      <c r="E25" s="2">
        <v>30000</v>
      </c>
      <c r="F25" s="1">
        <v>23</v>
      </c>
      <c r="G25" s="2">
        <v>690000</v>
      </c>
      <c r="H25" s="42"/>
    </row>
    <row r="26" spans="1:8">
      <c r="A26" s="3">
        <v>24</v>
      </c>
      <c r="B26" s="1" t="s">
        <v>0</v>
      </c>
      <c r="C26" s="1" t="s">
        <v>32</v>
      </c>
      <c r="D26" s="1" t="s">
        <v>56</v>
      </c>
      <c r="E26" s="2">
        <v>20000</v>
      </c>
      <c r="F26" s="1">
        <v>23</v>
      </c>
      <c r="G26" s="2">
        <v>460000</v>
      </c>
      <c r="H26" s="42"/>
    </row>
    <row r="27" spans="1:8">
      <c r="A27" s="3">
        <v>25</v>
      </c>
      <c r="B27" s="1" t="s">
        <v>0</v>
      </c>
      <c r="C27" s="1" t="s">
        <v>32</v>
      </c>
      <c r="D27" s="1" t="s">
        <v>57</v>
      </c>
      <c r="E27" s="2">
        <v>50000</v>
      </c>
      <c r="F27" s="1">
        <v>23</v>
      </c>
      <c r="G27" s="2">
        <v>1150000</v>
      </c>
      <c r="H27" s="42"/>
    </row>
    <row r="28" spans="1:8">
      <c r="A28" s="3">
        <v>26</v>
      </c>
      <c r="B28" s="1" t="s">
        <v>0</v>
      </c>
      <c r="C28" s="1" t="s">
        <v>32</v>
      </c>
      <c r="D28" s="1" t="s">
        <v>58</v>
      </c>
      <c r="E28" s="2">
        <v>20000</v>
      </c>
      <c r="F28" s="1">
        <v>23</v>
      </c>
      <c r="G28" s="2">
        <v>460000</v>
      </c>
      <c r="H28" s="42"/>
    </row>
    <row r="29" spans="1:8">
      <c r="A29" s="3">
        <v>27</v>
      </c>
      <c r="B29" s="1" t="s">
        <v>0</v>
      </c>
      <c r="C29" s="1" t="s">
        <v>32</v>
      </c>
      <c r="D29" s="1" t="s">
        <v>59</v>
      </c>
      <c r="E29" s="2">
        <v>30000</v>
      </c>
      <c r="F29" s="1">
        <v>23</v>
      </c>
      <c r="G29" s="2">
        <v>690000</v>
      </c>
      <c r="H29" s="42"/>
    </row>
    <row r="30" spans="1:8">
      <c r="A30" s="3">
        <v>28</v>
      </c>
      <c r="B30" s="1" t="s">
        <v>0</v>
      </c>
      <c r="C30" s="1" t="s">
        <v>32</v>
      </c>
      <c r="D30" s="1" t="s">
        <v>60</v>
      </c>
      <c r="E30" s="2">
        <v>10000</v>
      </c>
      <c r="F30" s="1">
        <v>23</v>
      </c>
      <c r="G30" s="2">
        <v>230000</v>
      </c>
      <c r="H30" s="42"/>
    </row>
    <row r="31" spans="1:8">
      <c r="A31" s="3">
        <v>29</v>
      </c>
      <c r="B31" s="1" t="s">
        <v>0</v>
      </c>
      <c r="C31" s="1" t="s">
        <v>32</v>
      </c>
      <c r="D31" s="1" t="s">
        <v>61</v>
      </c>
      <c r="E31" s="2">
        <v>29000</v>
      </c>
      <c r="F31" s="1">
        <v>23</v>
      </c>
      <c r="G31" s="2">
        <v>667000</v>
      </c>
      <c r="H31" s="42"/>
    </row>
    <row r="32" spans="1:8">
      <c r="A32" s="3">
        <v>30</v>
      </c>
      <c r="B32" s="1" t="s">
        <v>0</v>
      </c>
      <c r="C32" s="1" t="s">
        <v>32</v>
      </c>
      <c r="D32" s="1" t="s">
        <v>62</v>
      </c>
      <c r="E32" s="2">
        <v>20000</v>
      </c>
      <c r="F32" s="1">
        <v>23</v>
      </c>
      <c r="G32" s="2">
        <v>460000</v>
      </c>
      <c r="H32" s="42"/>
    </row>
    <row r="33" spans="1:8">
      <c r="A33" s="3">
        <v>31</v>
      </c>
      <c r="B33" s="1" t="s">
        <v>0</v>
      </c>
      <c r="C33" s="1" t="s">
        <v>32</v>
      </c>
      <c r="D33" s="1" t="s">
        <v>63</v>
      </c>
      <c r="E33" s="2">
        <v>30000</v>
      </c>
      <c r="F33" s="1">
        <v>23</v>
      </c>
      <c r="G33" s="2">
        <v>690000</v>
      </c>
      <c r="H33" s="42"/>
    </row>
    <row r="34" spans="1:8">
      <c r="A34" s="3">
        <v>32</v>
      </c>
      <c r="B34" s="1" t="s">
        <v>0</v>
      </c>
      <c r="C34" s="1" t="s">
        <v>32</v>
      </c>
      <c r="D34" s="1" t="s">
        <v>64</v>
      </c>
      <c r="E34" s="2">
        <v>20000</v>
      </c>
      <c r="F34" s="1">
        <v>23</v>
      </c>
      <c r="G34" s="2">
        <v>460000</v>
      </c>
      <c r="H34" s="42"/>
    </row>
    <row r="35" spans="1:8">
      <c r="A35" s="3">
        <v>33</v>
      </c>
      <c r="B35" s="1" t="s">
        <v>0</v>
      </c>
      <c r="C35" s="1" t="s">
        <v>32</v>
      </c>
      <c r="D35" s="1" t="s">
        <v>5</v>
      </c>
      <c r="E35" s="2">
        <v>20000</v>
      </c>
      <c r="F35" s="1">
        <v>23</v>
      </c>
      <c r="G35" s="2">
        <v>460000</v>
      </c>
      <c r="H35" s="42"/>
    </row>
    <row r="36" spans="1:8">
      <c r="A36" s="3">
        <v>34</v>
      </c>
      <c r="B36" s="1" t="s">
        <v>0</v>
      </c>
      <c r="C36" s="1" t="s">
        <v>32</v>
      </c>
      <c r="D36" s="1" t="s">
        <v>65</v>
      </c>
      <c r="E36" s="2">
        <v>39000</v>
      </c>
      <c r="F36" s="1">
        <v>23</v>
      </c>
      <c r="G36" s="2">
        <v>897000</v>
      </c>
      <c r="H36" s="42"/>
    </row>
    <row r="37" spans="1:8">
      <c r="A37" s="3">
        <v>35</v>
      </c>
      <c r="B37" s="1" t="s">
        <v>0</v>
      </c>
      <c r="C37" s="1" t="s">
        <v>32</v>
      </c>
      <c r="D37" s="1" t="s">
        <v>66</v>
      </c>
      <c r="E37" s="2">
        <v>70000</v>
      </c>
      <c r="F37" s="1">
        <v>23</v>
      </c>
      <c r="G37" s="2">
        <v>1610000</v>
      </c>
      <c r="H37" s="42"/>
    </row>
    <row r="38" spans="1:8">
      <c r="A38" s="3">
        <v>36</v>
      </c>
      <c r="B38" s="1" t="s">
        <v>0</v>
      </c>
      <c r="C38" s="1" t="s">
        <v>32</v>
      </c>
      <c r="D38" s="1" t="s">
        <v>6</v>
      </c>
      <c r="E38" s="2">
        <v>20000</v>
      </c>
      <c r="F38" s="1">
        <v>23</v>
      </c>
      <c r="G38" s="2">
        <v>460000</v>
      </c>
      <c r="H38" s="42"/>
    </row>
    <row r="39" spans="1:8">
      <c r="A39" s="3">
        <v>37</v>
      </c>
      <c r="B39" s="1" t="s">
        <v>0</v>
      </c>
      <c r="C39" s="1" t="s">
        <v>32</v>
      </c>
      <c r="D39" s="1" t="s">
        <v>67</v>
      </c>
      <c r="E39" s="2">
        <v>17000</v>
      </c>
      <c r="F39" s="1">
        <v>23</v>
      </c>
      <c r="G39" s="2">
        <v>391000</v>
      </c>
      <c r="H39" s="42"/>
    </row>
    <row r="40" spans="1:8">
      <c r="A40" s="3">
        <v>38</v>
      </c>
      <c r="B40" s="1" t="s">
        <v>0</v>
      </c>
      <c r="C40" s="1" t="s">
        <v>32</v>
      </c>
      <c r="D40" s="1" t="s">
        <v>68</v>
      </c>
      <c r="E40" s="2">
        <v>13000</v>
      </c>
      <c r="F40" s="1">
        <v>23</v>
      </c>
      <c r="G40" s="2">
        <v>299000</v>
      </c>
      <c r="H40" s="42"/>
    </row>
    <row r="41" spans="1:8">
      <c r="A41" s="3">
        <v>39</v>
      </c>
      <c r="B41" s="1" t="s">
        <v>0</v>
      </c>
      <c r="C41" s="1" t="s">
        <v>32</v>
      </c>
      <c r="D41" s="1" t="s">
        <v>69</v>
      </c>
      <c r="E41" s="2">
        <v>6000</v>
      </c>
      <c r="F41" s="1">
        <v>23</v>
      </c>
      <c r="G41" s="2">
        <v>138000</v>
      </c>
      <c r="H41" s="42"/>
    </row>
    <row r="42" spans="1:8">
      <c r="A42" s="3">
        <v>40</v>
      </c>
      <c r="B42" s="1" t="s">
        <v>0</v>
      </c>
      <c r="C42" s="1" t="s">
        <v>32</v>
      </c>
      <c r="D42" s="1" t="s">
        <v>7</v>
      </c>
      <c r="E42" s="2">
        <v>200000</v>
      </c>
      <c r="F42" s="1">
        <v>23</v>
      </c>
      <c r="G42" s="2">
        <v>4600000</v>
      </c>
      <c r="H42" s="42"/>
    </row>
    <row r="43" spans="1:8">
      <c r="A43" s="3">
        <v>41</v>
      </c>
      <c r="B43" s="1" t="s">
        <v>0</v>
      </c>
      <c r="C43" s="1" t="s">
        <v>32</v>
      </c>
      <c r="D43" s="1" t="s">
        <v>70</v>
      </c>
      <c r="E43" s="2">
        <v>27000</v>
      </c>
      <c r="F43" s="1">
        <v>23</v>
      </c>
      <c r="G43" s="2">
        <v>621000</v>
      </c>
      <c r="H43" s="42"/>
    </row>
    <row r="44" spans="1:8">
      <c r="A44" s="3">
        <v>42</v>
      </c>
      <c r="B44" s="1" t="s">
        <v>0</v>
      </c>
      <c r="C44" s="1" t="s">
        <v>32</v>
      </c>
      <c r="D44" s="1" t="s">
        <v>71</v>
      </c>
      <c r="E44" s="2">
        <v>30000</v>
      </c>
      <c r="F44" s="1">
        <v>23</v>
      </c>
      <c r="G44" s="2">
        <v>690000</v>
      </c>
      <c r="H44" s="42"/>
    </row>
    <row r="45" spans="1:8">
      <c r="A45" s="3">
        <v>43</v>
      </c>
      <c r="B45" s="1" t="s">
        <v>0</v>
      </c>
      <c r="C45" s="1" t="s">
        <v>32</v>
      </c>
      <c r="D45" s="1" t="s">
        <v>72</v>
      </c>
      <c r="E45" s="2">
        <v>3000</v>
      </c>
      <c r="F45" s="1">
        <v>23</v>
      </c>
      <c r="G45" s="2">
        <v>69000</v>
      </c>
      <c r="H45" s="42"/>
    </row>
    <row r="46" spans="1:8">
      <c r="A46" s="3">
        <v>44</v>
      </c>
      <c r="B46" s="1" t="s">
        <v>0</v>
      </c>
      <c r="C46" s="1" t="s">
        <v>32</v>
      </c>
      <c r="D46" s="1" t="s">
        <v>72</v>
      </c>
      <c r="E46" s="2">
        <v>54000</v>
      </c>
      <c r="F46" s="1">
        <v>23</v>
      </c>
      <c r="G46" s="2">
        <v>1242000</v>
      </c>
      <c r="H46" s="42"/>
    </row>
    <row r="47" spans="1:8">
      <c r="A47" s="3">
        <v>45</v>
      </c>
      <c r="B47" s="1" t="s">
        <v>0</v>
      </c>
      <c r="C47" s="1" t="s">
        <v>32</v>
      </c>
      <c r="D47" s="1" t="s">
        <v>73</v>
      </c>
      <c r="E47" s="2">
        <v>9000</v>
      </c>
      <c r="F47" s="1">
        <v>23</v>
      </c>
      <c r="G47" s="2">
        <v>207000</v>
      </c>
      <c r="H47" s="42"/>
    </row>
    <row r="48" spans="1:8">
      <c r="A48" s="3">
        <v>46</v>
      </c>
      <c r="B48" s="1" t="s">
        <v>0</v>
      </c>
      <c r="C48" s="1" t="s">
        <v>32</v>
      </c>
      <c r="D48" s="1" t="s">
        <v>74</v>
      </c>
      <c r="E48" s="2">
        <v>36000</v>
      </c>
      <c r="F48" s="1">
        <v>23</v>
      </c>
      <c r="G48" s="2">
        <v>828000</v>
      </c>
      <c r="H48" s="42"/>
    </row>
    <row r="49" spans="1:8">
      <c r="A49" s="3">
        <v>47</v>
      </c>
      <c r="B49" s="1" t="s">
        <v>0</v>
      </c>
      <c r="C49" s="1" t="s">
        <v>32</v>
      </c>
      <c r="D49" s="1" t="s">
        <v>10</v>
      </c>
      <c r="E49" s="2">
        <v>160000</v>
      </c>
      <c r="F49" s="1">
        <v>23</v>
      </c>
      <c r="G49" s="2">
        <v>3680000</v>
      </c>
      <c r="H49" s="42"/>
    </row>
    <row r="50" spans="1:8">
      <c r="A50" s="3">
        <v>48</v>
      </c>
      <c r="B50" s="1" t="s">
        <v>0</v>
      </c>
      <c r="C50" s="1" t="s">
        <v>32</v>
      </c>
      <c r="D50" s="1" t="s">
        <v>75</v>
      </c>
      <c r="E50" s="2">
        <v>10000</v>
      </c>
      <c r="F50" s="1">
        <v>23</v>
      </c>
      <c r="G50" s="2">
        <v>230000</v>
      </c>
      <c r="H50" s="42"/>
    </row>
    <row r="51" spans="1:8">
      <c r="A51" s="3">
        <v>49</v>
      </c>
      <c r="B51" s="1" t="s">
        <v>0</v>
      </c>
      <c r="C51" s="1" t="s">
        <v>32</v>
      </c>
      <c r="D51" s="1" t="s">
        <v>76</v>
      </c>
      <c r="E51" s="2">
        <v>31000</v>
      </c>
      <c r="F51" s="1">
        <v>23</v>
      </c>
      <c r="G51" s="2">
        <v>713000</v>
      </c>
      <c r="H51" s="42"/>
    </row>
    <row r="52" spans="1:8">
      <c r="A52" s="3">
        <v>50</v>
      </c>
      <c r="B52" s="1" t="s">
        <v>0</v>
      </c>
      <c r="C52" s="1" t="s">
        <v>32</v>
      </c>
      <c r="D52" s="1" t="s">
        <v>77</v>
      </c>
      <c r="E52" s="2">
        <v>9000</v>
      </c>
      <c r="F52" s="1">
        <v>23</v>
      </c>
      <c r="G52" s="2">
        <v>207000</v>
      </c>
      <c r="H52" s="42"/>
    </row>
    <row r="53" spans="1:8">
      <c r="A53" s="3">
        <v>51</v>
      </c>
      <c r="B53" s="1" t="s">
        <v>0</v>
      </c>
      <c r="C53" s="1" t="s">
        <v>32</v>
      </c>
      <c r="D53" s="1" t="s">
        <v>78</v>
      </c>
      <c r="E53" s="2">
        <v>20000</v>
      </c>
      <c r="F53" s="1">
        <v>23</v>
      </c>
      <c r="G53" s="2">
        <v>460000</v>
      </c>
      <c r="H53" s="42"/>
    </row>
    <row r="54" spans="1:8">
      <c r="A54" s="3">
        <v>52</v>
      </c>
      <c r="B54" s="1" t="s">
        <v>0</v>
      </c>
      <c r="C54" s="1" t="s">
        <v>32</v>
      </c>
      <c r="D54" s="1" t="s">
        <v>78</v>
      </c>
      <c r="E54" s="2">
        <v>100000</v>
      </c>
      <c r="F54" s="1">
        <v>23</v>
      </c>
      <c r="G54" s="2">
        <v>2300000</v>
      </c>
      <c r="H54" s="42"/>
    </row>
    <row r="55" spans="1:8">
      <c r="A55" s="3">
        <v>53</v>
      </c>
      <c r="B55" s="1" t="s">
        <v>0</v>
      </c>
      <c r="C55" s="1" t="s">
        <v>32</v>
      </c>
      <c r="D55" s="1" t="s">
        <v>79</v>
      </c>
      <c r="E55" s="2">
        <v>100000</v>
      </c>
      <c r="F55" s="1">
        <v>23</v>
      </c>
      <c r="G55" s="2">
        <v>2300000</v>
      </c>
      <c r="H55" s="42"/>
    </row>
    <row r="56" spans="1:8">
      <c r="A56" s="3">
        <v>54</v>
      </c>
      <c r="B56" s="1" t="s">
        <v>0</v>
      </c>
      <c r="C56" s="1" t="s">
        <v>32</v>
      </c>
      <c r="D56" s="1" t="s">
        <v>80</v>
      </c>
      <c r="E56" s="2">
        <v>50000</v>
      </c>
      <c r="F56" s="1">
        <v>23</v>
      </c>
      <c r="G56" s="2">
        <v>1150000</v>
      </c>
      <c r="H56" s="42"/>
    </row>
    <row r="57" spans="1:8">
      <c r="A57" s="3">
        <v>55</v>
      </c>
      <c r="B57" s="1" t="s">
        <v>0</v>
      </c>
      <c r="C57" s="1" t="s">
        <v>32</v>
      </c>
      <c r="D57" s="1" t="s">
        <v>81</v>
      </c>
      <c r="E57" s="2">
        <v>80000</v>
      </c>
      <c r="F57" s="1">
        <v>23</v>
      </c>
      <c r="G57" s="2">
        <v>1840000</v>
      </c>
      <c r="H57" s="42"/>
    </row>
    <row r="58" spans="1:8">
      <c r="A58" s="3">
        <v>56</v>
      </c>
      <c r="B58" s="1" t="s">
        <v>0</v>
      </c>
      <c r="C58" s="1" t="s">
        <v>32</v>
      </c>
      <c r="D58" s="1" t="s">
        <v>82</v>
      </c>
      <c r="E58" s="2">
        <v>30000</v>
      </c>
      <c r="F58" s="1">
        <v>23</v>
      </c>
      <c r="G58" s="2">
        <v>690000</v>
      </c>
      <c r="H58" s="42"/>
    </row>
    <row r="59" spans="1:8" ht="16.8" thickBot="1">
      <c r="A59" s="33">
        <v>57</v>
      </c>
      <c r="B59" s="26" t="s">
        <v>0</v>
      </c>
      <c r="C59" s="26" t="s">
        <v>115</v>
      </c>
      <c r="D59" s="26" t="s">
        <v>83</v>
      </c>
      <c r="E59" s="27">
        <v>80000</v>
      </c>
      <c r="F59" s="26">
        <v>23</v>
      </c>
      <c r="G59" s="27">
        <v>1840000</v>
      </c>
      <c r="H59" s="43"/>
    </row>
    <row r="60" spans="1:8" ht="16.8" thickBot="1">
      <c r="A60" s="14"/>
      <c r="B60" s="286" t="s">
        <v>116</v>
      </c>
      <c r="C60" s="287"/>
      <c r="D60" s="288"/>
      <c r="E60" s="29">
        <f>SUM(E3:E59)</f>
        <v>1968000</v>
      </c>
      <c r="F60" s="28"/>
      <c r="G60" s="29">
        <f>SUM(G3:G59)</f>
        <v>45264000</v>
      </c>
      <c r="H60" s="25"/>
    </row>
    <row r="61" spans="1:8">
      <c r="A61" s="3">
        <v>58</v>
      </c>
      <c r="B61" s="1" t="s">
        <v>0</v>
      </c>
      <c r="C61" s="1" t="s">
        <v>84</v>
      </c>
      <c r="D61" s="1" t="s">
        <v>35</v>
      </c>
      <c r="E61" s="2">
        <v>5000</v>
      </c>
      <c r="F61" s="1">
        <v>23</v>
      </c>
      <c r="G61" s="2">
        <v>115000</v>
      </c>
      <c r="H61" s="42"/>
    </row>
    <row r="62" spans="1:8">
      <c r="A62" s="3">
        <v>59</v>
      </c>
      <c r="B62" s="1" t="s">
        <v>0</v>
      </c>
      <c r="C62" s="1" t="s">
        <v>84</v>
      </c>
      <c r="D62" s="1" t="s">
        <v>85</v>
      </c>
      <c r="E62" s="2">
        <v>20000</v>
      </c>
      <c r="F62" s="1">
        <v>23</v>
      </c>
      <c r="G62" s="2">
        <v>460000</v>
      </c>
      <c r="H62" s="42"/>
    </row>
    <row r="63" spans="1:8">
      <c r="A63" s="3">
        <v>60</v>
      </c>
      <c r="B63" s="1" t="s">
        <v>0</v>
      </c>
      <c r="C63" s="1" t="s">
        <v>84</v>
      </c>
      <c r="D63" s="1" t="s">
        <v>86</v>
      </c>
      <c r="E63" s="2">
        <v>2000</v>
      </c>
      <c r="F63" s="1">
        <v>23</v>
      </c>
      <c r="G63" s="2">
        <v>46000</v>
      </c>
      <c r="H63" s="42"/>
    </row>
    <row r="64" spans="1:8">
      <c r="A64" s="3">
        <v>61</v>
      </c>
      <c r="B64" s="1" t="s">
        <v>0</v>
      </c>
      <c r="C64" s="1" t="s">
        <v>84</v>
      </c>
      <c r="D64" s="1" t="s">
        <v>87</v>
      </c>
      <c r="E64" s="2">
        <v>2000</v>
      </c>
      <c r="F64" s="1">
        <v>23</v>
      </c>
      <c r="G64" s="2">
        <v>46000</v>
      </c>
      <c r="H64" s="42"/>
    </row>
    <row r="65" spans="1:8">
      <c r="A65" s="3">
        <v>62</v>
      </c>
      <c r="B65" s="1" t="s">
        <v>0</v>
      </c>
      <c r="C65" s="1" t="s">
        <v>84</v>
      </c>
      <c r="D65" s="1" t="s">
        <v>88</v>
      </c>
      <c r="E65" s="2">
        <v>1000</v>
      </c>
      <c r="F65" s="1">
        <v>23</v>
      </c>
      <c r="G65" s="2">
        <v>23000</v>
      </c>
      <c r="H65" s="42"/>
    </row>
    <row r="66" spans="1:8">
      <c r="A66" s="3">
        <v>63</v>
      </c>
      <c r="B66" s="1" t="s">
        <v>0</v>
      </c>
      <c r="C66" s="1" t="s">
        <v>84</v>
      </c>
      <c r="D66" s="1" t="s">
        <v>89</v>
      </c>
      <c r="E66" s="2">
        <v>2000</v>
      </c>
      <c r="F66" s="1">
        <v>23</v>
      </c>
      <c r="G66" s="2">
        <v>46000</v>
      </c>
      <c r="H66" s="42"/>
    </row>
    <row r="67" spans="1:8" ht="16.8" thickBot="1">
      <c r="A67" s="3">
        <v>64</v>
      </c>
      <c r="B67" s="1" t="s">
        <v>0</v>
      </c>
      <c r="C67" s="1" t="s">
        <v>117</v>
      </c>
      <c r="D67" s="1" t="s">
        <v>46</v>
      </c>
      <c r="E67" s="2">
        <v>5000</v>
      </c>
      <c r="F67" s="1">
        <v>23</v>
      </c>
      <c r="G67" s="2">
        <v>115000</v>
      </c>
      <c r="H67" s="42"/>
    </row>
    <row r="68" spans="1:8" ht="16.8" thickBot="1">
      <c r="A68" s="14"/>
      <c r="B68" s="286" t="s">
        <v>118</v>
      </c>
      <c r="C68" s="287"/>
      <c r="D68" s="288"/>
      <c r="E68" s="29">
        <f>SUM(E61:E67)</f>
        <v>37000</v>
      </c>
      <c r="F68" s="28"/>
      <c r="G68" s="29">
        <f>SUM(G61:G67)</f>
        <v>851000</v>
      </c>
      <c r="H68" s="25"/>
    </row>
    <row r="69" spans="1:8">
      <c r="A69" s="3">
        <v>65</v>
      </c>
      <c r="B69" s="1" t="s">
        <v>0</v>
      </c>
      <c r="C69" s="1" t="s">
        <v>90</v>
      </c>
      <c r="D69" s="1" t="s">
        <v>91</v>
      </c>
      <c r="E69" s="2">
        <v>100000</v>
      </c>
      <c r="F69" s="1">
        <v>23</v>
      </c>
      <c r="G69" s="2">
        <v>2300000</v>
      </c>
      <c r="H69" s="290" t="s">
        <v>1191</v>
      </c>
    </row>
    <row r="70" spans="1:8">
      <c r="A70" s="3">
        <v>66</v>
      </c>
      <c r="B70" s="1" t="s">
        <v>0</v>
      </c>
      <c r="C70" s="1" t="s">
        <v>90</v>
      </c>
      <c r="D70" s="1" t="s">
        <v>92</v>
      </c>
      <c r="E70" s="2">
        <v>100000</v>
      </c>
      <c r="F70" s="1">
        <v>23</v>
      </c>
      <c r="G70" s="2">
        <v>2300000</v>
      </c>
      <c r="H70" s="291"/>
    </row>
    <row r="71" spans="1:8">
      <c r="A71" s="3">
        <v>67</v>
      </c>
      <c r="B71" s="1" t="s">
        <v>0</v>
      </c>
      <c r="C71" s="1" t="s">
        <v>90</v>
      </c>
      <c r="D71" s="1" t="s">
        <v>93</v>
      </c>
      <c r="E71" s="2">
        <v>65000</v>
      </c>
      <c r="F71" s="1">
        <v>23</v>
      </c>
      <c r="G71" s="2">
        <v>1495000</v>
      </c>
      <c r="H71" s="291"/>
    </row>
    <row r="72" spans="1:8">
      <c r="A72" s="3">
        <v>68</v>
      </c>
      <c r="B72" s="1" t="s">
        <v>0</v>
      </c>
      <c r="C72" s="1" t="s">
        <v>90</v>
      </c>
      <c r="D72" s="1" t="s">
        <v>94</v>
      </c>
      <c r="E72" s="2">
        <v>100000</v>
      </c>
      <c r="F72" s="1">
        <v>23</v>
      </c>
      <c r="G72" s="2">
        <v>2300000</v>
      </c>
      <c r="H72" s="291"/>
    </row>
    <row r="73" spans="1:8">
      <c r="A73" s="3">
        <v>69</v>
      </c>
      <c r="B73" s="1" t="s">
        <v>0</v>
      </c>
      <c r="C73" s="1" t="s">
        <v>90</v>
      </c>
      <c r="D73" s="1" t="s">
        <v>34</v>
      </c>
      <c r="E73" s="2">
        <v>90000</v>
      </c>
      <c r="F73" s="1">
        <v>23</v>
      </c>
      <c r="G73" s="2">
        <v>2070000</v>
      </c>
      <c r="H73" s="291"/>
    </row>
    <row r="74" spans="1:8">
      <c r="A74" s="3">
        <v>70</v>
      </c>
      <c r="B74" s="1" t="s">
        <v>0</v>
      </c>
      <c r="C74" s="1" t="s">
        <v>90</v>
      </c>
      <c r="D74" s="1" t="s">
        <v>95</v>
      </c>
      <c r="E74" s="2">
        <v>90000</v>
      </c>
      <c r="F74" s="1">
        <v>23</v>
      </c>
      <c r="G74" s="2">
        <v>2070000</v>
      </c>
      <c r="H74" s="291"/>
    </row>
    <row r="75" spans="1:8">
      <c r="A75" s="3">
        <v>71</v>
      </c>
      <c r="B75" s="1" t="s">
        <v>0</v>
      </c>
      <c r="C75" s="1" t="s">
        <v>90</v>
      </c>
      <c r="D75" s="1" t="s">
        <v>35</v>
      </c>
      <c r="E75" s="2">
        <v>35000</v>
      </c>
      <c r="F75" s="1">
        <v>23</v>
      </c>
      <c r="G75" s="2">
        <v>805000</v>
      </c>
      <c r="H75" s="291"/>
    </row>
    <row r="76" spans="1:8">
      <c r="A76" s="3">
        <v>72</v>
      </c>
      <c r="B76" s="1" t="s">
        <v>0</v>
      </c>
      <c r="C76" s="1" t="s">
        <v>90</v>
      </c>
      <c r="D76" s="1" t="s">
        <v>37</v>
      </c>
      <c r="E76" s="2">
        <v>50000</v>
      </c>
      <c r="F76" s="1">
        <v>23</v>
      </c>
      <c r="G76" s="2">
        <v>1150000</v>
      </c>
      <c r="H76" s="291"/>
    </row>
    <row r="77" spans="1:8">
      <c r="A77" s="3">
        <v>73</v>
      </c>
      <c r="B77" s="1" t="s">
        <v>0</v>
      </c>
      <c r="C77" s="1" t="s">
        <v>90</v>
      </c>
      <c r="D77" s="1" t="s">
        <v>96</v>
      </c>
      <c r="E77" s="2">
        <v>50000</v>
      </c>
      <c r="F77" s="1">
        <v>23</v>
      </c>
      <c r="G77" s="2">
        <v>1150000</v>
      </c>
      <c r="H77" s="291"/>
    </row>
    <row r="78" spans="1:8">
      <c r="A78" s="3">
        <v>74</v>
      </c>
      <c r="B78" s="1" t="s">
        <v>0</v>
      </c>
      <c r="C78" s="1" t="s">
        <v>90</v>
      </c>
      <c r="D78" s="1" t="s">
        <v>97</v>
      </c>
      <c r="E78" s="2">
        <v>48000</v>
      </c>
      <c r="F78" s="1">
        <v>23</v>
      </c>
      <c r="G78" s="2">
        <v>1104000</v>
      </c>
      <c r="H78" s="291"/>
    </row>
    <row r="79" spans="1:8">
      <c r="A79" s="3">
        <v>75</v>
      </c>
      <c r="B79" s="1" t="s">
        <v>0</v>
      </c>
      <c r="C79" s="1" t="s">
        <v>90</v>
      </c>
      <c r="D79" s="1" t="s">
        <v>98</v>
      </c>
      <c r="E79" s="2">
        <v>50000</v>
      </c>
      <c r="F79" s="1">
        <v>23</v>
      </c>
      <c r="G79" s="2">
        <v>1150000</v>
      </c>
      <c r="H79" s="291"/>
    </row>
    <row r="80" spans="1:8">
      <c r="A80" s="3">
        <v>76</v>
      </c>
      <c r="B80" s="1" t="s">
        <v>0</v>
      </c>
      <c r="C80" s="1" t="s">
        <v>90</v>
      </c>
      <c r="D80" s="1" t="s">
        <v>99</v>
      </c>
      <c r="E80" s="2">
        <v>18000</v>
      </c>
      <c r="F80" s="1">
        <v>23</v>
      </c>
      <c r="G80" s="2">
        <v>414000</v>
      </c>
      <c r="H80" s="291"/>
    </row>
    <row r="81" spans="1:8">
      <c r="A81" s="3">
        <v>77</v>
      </c>
      <c r="B81" s="1" t="s">
        <v>0</v>
      </c>
      <c r="C81" s="1" t="s">
        <v>90</v>
      </c>
      <c r="D81" s="1" t="s">
        <v>100</v>
      </c>
      <c r="E81" s="2">
        <v>30000</v>
      </c>
      <c r="F81" s="1">
        <v>23</v>
      </c>
      <c r="G81" s="2">
        <v>690000</v>
      </c>
      <c r="H81" s="291"/>
    </row>
    <row r="82" spans="1:8">
      <c r="A82" s="3">
        <v>78</v>
      </c>
      <c r="B82" s="1" t="s">
        <v>0</v>
      </c>
      <c r="C82" s="1" t="s">
        <v>90</v>
      </c>
      <c r="D82" s="1" t="s">
        <v>39</v>
      </c>
      <c r="E82" s="2">
        <v>20000</v>
      </c>
      <c r="F82" s="1">
        <v>23</v>
      </c>
      <c r="G82" s="2">
        <v>460000</v>
      </c>
      <c r="H82" s="291"/>
    </row>
    <row r="83" spans="1:8" ht="16.8" thickBot="1">
      <c r="A83" s="3">
        <v>79</v>
      </c>
      <c r="B83" s="1" t="s">
        <v>0</v>
      </c>
      <c r="C83" s="1" t="s">
        <v>119</v>
      </c>
      <c r="D83" s="1" t="s">
        <v>88</v>
      </c>
      <c r="E83" s="2">
        <v>49000</v>
      </c>
      <c r="F83" s="1">
        <v>23</v>
      </c>
      <c r="G83" s="2">
        <v>1127000</v>
      </c>
      <c r="H83" s="292"/>
    </row>
    <row r="84" spans="1:8" ht="16.8" thickBot="1">
      <c r="A84" s="14"/>
      <c r="B84" s="286" t="s">
        <v>120</v>
      </c>
      <c r="C84" s="287"/>
      <c r="D84" s="288"/>
      <c r="E84" s="29">
        <f>SUM(E69:E83)</f>
        <v>895000</v>
      </c>
      <c r="F84" s="28"/>
      <c r="G84" s="29">
        <f>SUM(G69:G83)</f>
        <v>20585000</v>
      </c>
      <c r="H84" s="25"/>
    </row>
    <row r="85" spans="1:8">
      <c r="A85" s="3">
        <v>80</v>
      </c>
      <c r="B85" s="1" t="s">
        <v>0</v>
      </c>
      <c r="C85" s="1" t="s">
        <v>101</v>
      </c>
      <c r="D85" s="1" t="s">
        <v>102</v>
      </c>
      <c r="E85" s="2">
        <v>15000</v>
      </c>
      <c r="F85" s="1">
        <v>23</v>
      </c>
      <c r="G85" s="2">
        <v>345000</v>
      </c>
      <c r="H85" s="42"/>
    </row>
    <row r="86" spans="1:8">
      <c r="A86" s="3">
        <v>81</v>
      </c>
      <c r="B86" s="1" t="s">
        <v>0</v>
      </c>
      <c r="C86" s="1" t="s">
        <v>101</v>
      </c>
      <c r="D86" s="1" t="s">
        <v>95</v>
      </c>
      <c r="E86" s="2">
        <v>10000</v>
      </c>
      <c r="F86" s="1">
        <v>23</v>
      </c>
      <c r="G86" s="2">
        <v>230000</v>
      </c>
      <c r="H86" s="42"/>
    </row>
    <row r="87" spans="1:8">
      <c r="A87" s="3">
        <v>82</v>
      </c>
      <c r="B87" s="1" t="s">
        <v>0</v>
      </c>
      <c r="C87" s="1" t="s">
        <v>101</v>
      </c>
      <c r="D87" s="1" t="s">
        <v>35</v>
      </c>
      <c r="E87" s="2">
        <v>10000</v>
      </c>
      <c r="F87" s="1">
        <v>23</v>
      </c>
      <c r="G87" s="2">
        <v>230000</v>
      </c>
      <c r="H87" s="42"/>
    </row>
    <row r="88" spans="1:8">
      <c r="A88" s="3">
        <v>83</v>
      </c>
      <c r="B88" s="1" t="s">
        <v>0</v>
      </c>
      <c r="C88" s="1" t="s">
        <v>101</v>
      </c>
      <c r="D88" s="1" t="s">
        <v>103</v>
      </c>
      <c r="E88" s="2">
        <v>10000</v>
      </c>
      <c r="F88" s="1">
        <v>23</v>
      </c>
      <c r="G88" s="2">
        <v>230000</v>
      </c>
      <c r="H88" s="42"/>
    </row>
    <row r="89" spans="1:8">
      <c r="A89" s="3">
        <v>84</v>
      </c>
      <c r="B89" s="1" t="s">
        <v>0</v>
      </c>
      <c r="C89" s="1" t="s">
        <v>101</v>
      </c>
      <c r="D89" s="1" t="s">
        <v>43</v>
      </c>
      <c r="E89" s="2">
        <v>15000</v>
      </c>
      <c r="F89" s="1">
        <v>23</v>
      </c>
      <c r="G89" s="2">
        <v>345000</v>
      </c>
      <c r="H89" s="42"/>
    </row>
    <row r="90" spans="1:8">
      <c r="A90" s="3">
        <v>85</v>
      </c>
      <c r="B90" s="1" t="s">
        <v>0</v>
      </c>
      <c r="C90" s="1" t="s">
        <v>101</v>
      </c>
      <c r="D90" s="1" t="s">
        <v>104</v>
      </c>
      <c r="E90" s="2">
        <v>10000</v>
      </c>
      <c r="F90" s="1">
        <v>23</v>
      </c>
      <c r="G90" s="2">
        <v>230000</v>
      </c>
      <c r="H90" s="42"/>
    </row>
    <row r="91" spans="1:8">
      <c r="A91" s="3">
        <v>86</v>
      </c>
      <c r="B91" s="1" t="s">
        <v>0</v>
      </c>
      <c r="C91" s="1" t="s">
        <v>101</v>
      </c>
      <c r="D91" s="1" t="s">
        <v>45</v>
      </c>
      <c r="E91" s="2">
        <v>20000</v>
      </c>
      <c r="F91" s="1">
        <v>23</v>
      </c>
      <c r="G91" s="2">
        <v>460000</v>
      </c>
      <c r="H91" s="42"/>
    </row>
    <row r="92" spans="1:8">
      <c r="A92" s="3">
        <v>87</v>
      </c>
      <c r="B92" s="1" t="s">
        <v>0</v>
      </c>
      <c r="C92" s="1" t="s">
        <v>101</v>
      </c>
      <c r="D92" s="1" t="s">
        <v>105</v>
      </c>
      <c r="E92" s="2">
        <v>20000</v>
      </c>
      <c r="F92" s="1">
        <v>23</v>
      </c>
      <c r="G92" s="2">
        <v>460000</v>
      </c>
      <c r="H92" s="42"/>
    </row>
    <row r="93" spans="1:8">
      <c r="A93" s="3">
        <v>88</v>
      </c>
      <c r="B93" s="1" t="s">
        <v>0</v>
      </c>
      <c r="C93" s="1" t="s">
        <v>101</v>
      </c>
      <c r="D93" s="1" t="s">
        <v>47</v>
      </c>
      <c r="E93" s="2">
        <v>10000</v>
      </c>
      <c r="F93" s="1">
        <v>23</v>
      </c>
      <c r="G93" s="2">
        <v>230000</v>
      </c>
      <c r="H93" s="42"/>
    </row>
    <row r="94" spans="1:8">
      <c r="A94" s="3">
        <v>89</v>
      </c>
      <c r="B94" s="1" t="s">
        <v>0</v>
      </c>
      <c r="C94" s="1" t="s">
        <v>101</v>
      </c>
      <c r="D94" s="1" t="s">
        <v>59</v>
      </c>
      <c r="E94" s="2">
        <v>10000</v>
      </c>
      <c r="F94" s="1">
        <v>23</v>
      </c>
      <c r="G94" s="2">
        <v>230000</v>
      </c>
      <c r="H94" s="42"/>
    </row>
    <row r="95" spans="1:8">
      <c r="A95" s="3">
        <v>90</v>
      </c>
      <c r="B95" s="1" t="s">
        <v>0</v>
      </c>
      <c r="C95" s="1" t="s">
        <v>101</v>
      </c>
      <c r="D95" s="1" t="s">
        <v>65</v>
      </c>
      <c r="E95" s="2">
        <v>1000</v>
      </c>
      <c r="F95" s="1">
        <v>23</v>
      </c>
      <c r="G95" s="2">
        <v>23000</v>
      </c>
      <c r="H95" s="42"/>
    </row>
    <row r="96" spans="1:8">
      <c r="A96" s="3">
        <v>91</v>
      </c>
      <c r="B96" s="1" t="s">
        <v>0</v>
      </c>
      <c r="C96" s="1" t="s">
        <v>101</v>
      </c>
      <c r="D96" s="1" t="s">
        <v>6</v>
      </c>
      <c r="E96" s="2">
        <v>10000</v>
      </c>
      <c r="F96" s="1">
        <v>23</v>
      </c>
      <c r="G96" s="2">
        <v>230000</v>
      </c>
      <c r="H96" s="42"/>
    </row>
    <row r="97" spans="1:8" ht="16.8" thickBot="1">
      <c r="A97" s="3">
        <v>92</v>
      </c>
      <c r="B97" s="1" t="s">
        <v>0</v>
      </c>
      <c r="C97" s="1" t="s">
        <v>121</v>
      </c>
      <c r="D97" s="1" t="s">
        <v>26</v>
      </c>
      <c r="E97" s="2">
        <v>13000</v>
      </c>
      <c r="F97" s="1">
        <v>23</v>
      </c>
      <c r="G97" s="2">
        <v>299000</v>
      </c>
      <c r="H97" s="42"/>
    </row>
    <row r="98" spans="1:8" ht="16.8" thickBot="1">
      <c r="A98" s="14"/>
      <c r="B98" s="286" t="s">
        <v>122</v>
      </c>
      <c r="C98" s="287"/>
      <c r="D98" s="288"/>
      <c r="E98" s="29">
        <f>SUM(E85:E97)</f>
        <v>154000</v>
      </c>
      <c r="F98" s="28"/>
      <c r="G98" s="29">
        <f>SUM(G85:G97)</f>
        <v>3542000</v>
      </c>
      <c r="H98" s="25"/>
    </row>
    <row r="99" spans="1:8">
      <c r="A99" s="3">
        <v>93</v>
      </c>
      <c r="B99" s="1" t="s">
        <v>0</v>
      </c>
      <c r="C99" s="1" t="s">
        <v>106</v>
      </c>
      <c r="D99" s="1" t="s">
        <v>107</v>
      </c>
      <c r="E99" s="2">
        <v>10000</v>
      </c>
      <c r="F99" s="1">
        <v>23</v>
      </c>
      <c r="G99" s="2">
        <v>230000</v>
      </c>
      <c r="H99" s="42"/>
    </row>
    <row r="100" spans="1:8">
      <c r="A100" s="3">
        <v>94</v>
      </c>
      <c r="B100" s="1" t="s">
        <v>0</v>
      </c>
      <c r="C100" s="1" t="s">
        <v>106</v>
      </c>
      <c r="D100" s="1" t="s">
        <v>67</v>
      </c>
      <c r="E100" s="2">
        <v>5000</v>
      </c>
      <c r="F100" s="1">
        <v>23</v>
      </c>
      <c r="G100" s="2">
        <v>115000</v>
      </c>
      <c r="H100" s="42"/>
    </row>
    <row r="101" spans="1:8">
      <c r="A101" s="3">
        <v>95</v>
      </c>
      <c r="B101" s="1" t="s">
        <v>0</v>
      </c>
      <c r="C101" s="1" t="s">
        <v>106</v>
      </c>
      <c r="D101" s="1" t="s">
        <v>108</v>
      </c>
      <c r="E101" s="2">
        <v>6000</v>
      </c>
      <c r="F101" s="1">
        <v>23</v>
      </c>
      <c r="G101" s="2">
        <v>138000</v>
      </c>
      <c r="H101" s="42"/>
    </row>
    <row r="102" spans="1:8">
      <c r="A102" s="3">
        <v>96</v>
      </c>
      <c r="B102" s="1" t="s">
        <v>0</v>
      </c>
      <c r="C102" s="1" t="s">
        <v>106</v>
      </c>
      <c r="D102" s="1" t="s">
        <v>109</v>
      </c>
      <c r="E102" s="2">
        <v>3000</v>
      </c>
      <c r="F102" s="1">
        <v>23</v>
      </c>
      <c r="G102" s="2">
        <v>69000</v>
      </c>
      <c r="H102" s="42"/>
    </row>
    <row r="103" spans="1:8">
      <c r="A103" s="3">
        <v>97</v>
      </c>
      <c r="B103" s="1" t="s">
        <v>0</v>
      </c>
      <c r="C103" s="1" t="s">
        <v>106</v>
      </c>
      <c r="D103" s="1" t="s">
        <v>70</v>
      </c>
      <c r="E103" s="2">
        <v>37000</v>
      </c>
      <c r="F103" s="1">
        <v>23</v>
      </c>
      <c r="G103" s="2">
        <v>851000</v>
      </c>
      <c r="H103" s="42"/>
    </row>
    <row r="104" spans="1:8">
      <c r="A104" s="3">
        <v>98</v>
      </c>
      <c r="B104" s="1" t="s">
        <v>0</v>
      </c>
      <c r="C104" s="1" t="s">
        <v>106</v>
      </c>
      <c r="D104" s="1" t="s">
        <v>71</v>
      </c>
      <c r="E104" s="2">
        <v>1000</v>
      </c>
      <c r="F104" s="1">
        <v>23</v>
      </c>
      <c r="G104" s="2">
        <v>23000</v>
      </c>
      <c r="H104" s="42"/>
    </row>
    <row r="105" spans="1:8">
      <c r="A105" s="3">
        <v>99</v>
      </c>
      <c r="B105" s="1" t="s">
        <v>0</v>
      </c>
      <c r="C105" s="1" t="s">
        <v>106</v>
      </c>
      <c r="D105" s="1" t="s">
        <v>10</v>
      </c>
      <c r="E105" s="2">
        <v>40000</v>
      </c>
      <c r="F105" s="1">
        <v>23</v>
      </c>
      <c r="G105" s="2">
        <v>920000</v>
      </c>
      <c r="H105" s="42"/>
    </row>
    <row r="106" spans="1:8">
      <c r="A106" s="3">
        <v>100</v>
      </c>
      <c r="B106" s="1" t="s">
        <v>0</v>
      </c>
      <c r="C106" s="1" t="s">
        <v>106</v>
      </c>
      <c r="D106" s="1" t="s">
        <v>77</v>
      </c>
      <c r="E106" s="2">
        <v>10000</v>
      </c>
      <c r="F106" s="1">
        <v>23</v>
      </c>
      <c r="G106" s="2">
        <v>230000</v>
      </c>
      <c r="H106" s="42"/>
    </row>
    <row r="107" spans="1:8">
      <c r="A107" s="3">
        <v>101</v>
      </c>
      <c r="B107" s="1" t="s">
        <v>0</v>
      </c>
      <c r="C107" s="1" t="s">
        <v>106</v>
      </c>
      <c r="D107" s="1" t="s">
        <v>110</v>
      </c>
      <c r="E107" s="2">
        <v>20000</v>
      </c>
      <c r="F107" s="1">
        <v>23</v>
      </c>
      <c r="G107" s="2">
        <v>460000</v>
      </c>
      <c r="H107" s="42"/>
    </row>
    <row r="108" spans="1:8">
      <c r="A108" s="3">
        <v>102</v>
      </c>
      <c r="B108" s="1" t="s">
        <v>0</v>
      </c>
      <c r="C108" s="1" t="s">
        <v>106</v>
      </c>
      <c r="D108" s="1" t="s">
        <v>78</v>
      </c>
      <c r="E108" s="2">
        <v>100000</v>
      </c>
      <c r="F108" s="1">
        <v>23</v>
      </c>
      <c r="G108" s="2">
        <v>2300000</v>
      </c>
      <c r="H108" s="42"/>
    </row>
    <row r="109" spans="1:8">
      <c r="A109" s="3">
        <v>103</v>
      </c>
      <c r="B109" s="1" t="s">
        <v>0</v>
      </c>
      <c r="C109" s="1" t="s">
        <v>106</v>
      </c>
      <c r="D109" s="1" t="s">
        <v>111</v>
      </c>
      <c r="E109" s="2">
        <v>100000</v>
      </c>
      <c r="F109" s="1">
        <v>23</v>
      </c>
      <c r="G109" s="2">
        <v>2300000</v>
      </c>
      <c r="H109" s="42"/>
    </row>
    <row r="110" spans="1:8">
      <c r="A110" s="3">
        <v>104</v>
      </c>
      <c r="B110" s="1" t="s">
        <v>0</v>
      </c>
      <c r="C110" s="1" t="s">
        <v>106</v>
      </c>
      <c r="D110" s="1" t="s">
        <v>80</v>
      </c>
      <c r="E110" s="2">
        <v>50000</v>
      </c>
      <c r="F110" s="1">
        <v>23</v>
      </c>
      <c r="G110" s="2">
        <v>1150000</v>
      </c>
      <c r="H110" s="42"/>
    </row>
    <row r="111" spans="1:8">
      <c r="A111" s="3">
        <v>105</v>
      </c>
      <c r="B111" s="1" t="s">
        <v>0</v>
      </c>
      <c r="C111" s="1" t="s">
        <v>106</v>
      </c>
      <c r="D111" s="1" t="s">
        <v>81</v>
      </c>
      <c r="E111" s="2">
        <v>50000</v>
      </c>
      <c r="F111" s="1">
        <v>23</v>
      </c>
      <c r="G111" s="2">
        <v>1150000</v>
      </c>
      <c r="H111" s="42"/>
    </row>
    <row r="112" spans="1:8">
      <c r="A112" s="3">
        <v>106</v>
      </c>
      <c r="B112" s="1" t="s">
        <v>0</v>
      </c>
      <c r="C112" s="1" t="s">
        <v>106</v>
      </c>
      <c r="D112" s="1" t="s">
        <v>82</v>
      </c>
      <c r="E112" s="2">
        <v>40000</v>
      </c>
      <c r="F112" s="1">
        <v>23</v>
      </c>
      <c r="G112" s="2">
        <v>920000</v>
      </c>
      <c r="H112" s="42"/>
    </row>
    <row r="113" spans="1:8" ht="16.8" thickBot="1">
      <c r="A113" s="3">
        <v>107</v>
      </c>
      <c r="B113" s="1" t="s">
        <v>0</v>
      </c>
      <c r="C113" s="1" t="s">
        <v>123</v>
      </c>
      <c r="D113" s="1" t="s">
        <v>83</v>
      </c>
      <c r="E113" s="2">
        <v>120000</v>
      </c>
      <c r="F113" s="1">
        <v>23</v>
      </c>
      <c r="G113" s="2">
        <v>2760000</v>
      </c>
      <c r="H113" s="42"/>
    </row>
    <row r="114" spans="1:8" ht="16.8" thickBot="1">
      <c r="A114" s="14"/>
      <c r="B114" s="286" t="s">
        <v>124</v>
      </c>
      <c r="C114" s="287"/>
      <c r="D114" s="288"/>
      <c r="E114" s="29">
        <f>SUM(E99:E113)</f>
        <v>592000</v>
      </c>
      <c r="F114" s="28"/>
      <c r="G114" s="29">
        <f>SUM(G99:G113)</f>
        <v>13616000</v>
      </c>
      <c r="H114" s="25"/>
    </row>
    <row r="115" spans="1:8">
      <c r="A115" s="3">
        <v>108</v>
      </c>
      <c r="B115" s="1" t="s">
        <v>0</v>
      </c>
      <c r="C115" s="1" t="s">
        <v>112</v>
      </c>
      <c r="D115" s="1" t="s">
        <v>33</v>
      </c>
      <c r="E115" s="2">
        <v>10000</v>
      </c>
      <c r="F115" s="1">
        <v>23</v>
      </c>
      <c r="G115" s="2">
        <v>230000</v>
      </c>
      <c r="H115" s="42"/>
    </row>
    <row r="116" spans="1:8">
      <c r="A116" s="3">
        <v>109</v>
      </c>
      <c r="B116" s="1" t="s">
        <v>0</v>
      </c>
      <c r="C116" s="1" t="s">
        <v>112</v>
      </c>
      <c r="D116" s="1" t="s">
        <v>35</v>
      </c>
      <c r="E116" s="2">
        <v>10000</v>
      </c>
      <c r="F116" s="1">
        <v>23</v>
      </c>
      <c r="G116" s="2">
        <v>230000</v>
      </c>
      <c r="H116" s="42"/>
    </row>
    <row r="117" spans="1:8">
      <c r="A117" s="3">
        <v>110</v>
      </c>
      <c r="B117" s="1" t="s">
        <v>0</v>
      </c>
      <c r="C117" s="1" t="s">
        <v>112</v>
      </c>
      <c r="D117" s="1" t="s">
        <v>113</v>
      </c>
      <c r="E117" s="2">
        <v>10000</v>
      </c>
      <c r="F117" s="1">
        <v>23</v>
      </c>
      <c r="G117" s="2">
        <v>230000</v>
      </c>
      <c r="H117" s="42"/>
    </row>
    <row r="118" spans="1:8">
      <c r="A118" s="3">
        <v>111</v>
      </c>
      <c r="B118" s="1" t="s">
        <v>0</v>
      </c>
      <c r="C118" s="1" t="s">
        <v>112</v>
      </c>
      <c r="D118" s="1" t="s">
        <v>43</v>
      </c>
      <c r="E118" s="2">
        <v>10000</v>
      </c>
      <c r="F118" s="1">
        <v>23</v>
      </c>
      <c r="G118" s="2">
        <v>230000</v>
      </c>
      <c r="H118" s="42"/>
    </row>
    <row r="119" spans="1:8" ht="16.8" thickBot="1">
      <c r="A119" s="3">
        <v>112</v>
      </c>
      <c r="B119" s="1" t="s">
        <v>0</v>
      </c>
      <c r="C119" s="1" t="s">
        <v>125</v>
      </c>
      <c r="D119" s="1" t="s">
        <v>61</v>
      </c>
      <c r="E119" s="2">
        <v>1000</v>
      </c>
      <c r="F119" s="1">
        <v>23</v>
      </c>
      <c r="G119" s="2">
        <v>23000</v>
      </c>
      <c r="H119" s="42"/>
    </row>
    <row r="120" spans="1:8" ht="16.8" thickBot="1">
      <c r="A120" s="14"/>
      <c r="B120" s="286" t="s">
        <v>126</v>
      </c>
      <c r="C120" s="287"/>
      <c r="D120" s="288"/>
      <c r="E120" s="29">
        <f>SUM(E115:E119)</f>
        <v>41000</v>
      </c>
      <c r="F120" s="28"/>
      <c r="G120" s="29">
        <f>SUM(G115:G119)</f>
        <v>943000</v>
      </c>
      <c r="H120" s="25"/>
    </row>
    <row r="121" spans="1:8" ht="26.4" customHeight="1">
      <c r="A121" s="10">
        <v>113</v>
      </c>
      <c r="B121" s="11" t="s">
        <v>0</v>
      </c>
      <c r="C121" s="11" t="s">
        <v>114</v>
      </c>
      <c r="D121" s="11" t="s">
        <v>113</v>
      </c>
      <c r="E121" s="12">
        <v>50000</v>
      </c>
      <c r="F121" s="11">
        <v>23</v>
      </c>
      <c r="G121" s="12">
        <v>1150000</v>
      </c>
      <c r="H121" s="293" t="s">
        <v>1191</v>
      </c>
    </row>
    <row r="122" spans="1:8" ht="26.4" customHeight="1">
      <c r="A122" s="3">
        <v>114</v>
      </c>
      <c r="B122" s="1" t="s">
        <v>0</v>
      </c>
      <c r="C122" s="1" t="s">
        <v>114</v>
      </c>
      <c r="D122" s="1" t="s">
        <v>41</v>
      </c>
      <c r="E122" s="2">
        <v>15000</v>
      </c>
      <c r="F122" s="1">
        <v>23</v>
      </c>
      <c r="G122" s="2">
        <v>345000</v>
      </c>
      <c r="H122" s="294"/>
    </row>
    <row r="123" spans="1:8" ht="26.4" customHeight="1">
      <c r="A123" s="3">
        <v>115</v>
      </c>
      <c r="B123" s="1" t="s">
        <v>0</v>
      </c>
      <c r="C123" s="1" t="s">
        <v>114</v>
      </c>
      <c r="D123" s="1" t="s">
        <v>89</v>
      </c>
      <c r="E123" s="2">
        <v>8000</v>
      </c>
      <c r="F123" s="1">
        <v>23</v>
      </c>
      <c r="G123" s="2">
        <v>184000</v>
      </c>
      <c r="H123" s="294"/>
    </row>
    <row r="124" spans="1:8" ht="26.4" customHeight="1" thickBot="1">
      <c r="A124" s="3">
        <v>116</v>
      </c>
      <c r="B124" s="1" t="s">
        <v>0</v>
      </c>
      <c r="C124" s="1" t="s">
        <v>127</v>
      </c>
      <c r="D124" s="1" t="s">
        <v>42</v>
      </c>
      <c r="E124" s="2">
        <v>40000</v>
      </c>
      <c r="F124" s="1">
        <v>23</v>
      </c>
      <c r="G124" s="2">
        <v>920000</v>
      </c>
      <c r="H124" s="295"/>
    </row>
    <row r="125" spans="1:8" ht="16.8" thickBot="1">
      <c r="A125" s="14"/>
      <c r="B125" s="286" t="s">
        <v>128</v>
      </c>
      <c r="C125" s="287"/>
      <c r="D125" s="288"/>
      <c r="E125" s="29">
        <f>SUM(E121:E124)</f>
        <v>113000</v>
      </c>
      <c r="F125" s="28"/>
      <c r="G125" s="29">
        <f>SUM(G121:G124)</f>
        <v>2599000</v>
      </c>
      <c r="H125" s="25"/>
    </row>
    <row r="126" spans="1:8" ht="16.8" thickBot="1">
      <c r="A126" s="5"/>
      <c r="B126" s="286" t="s">
        <v>1497</v>
      </c>
      <c r="C126" s="287"/>
      <c r="D126" s="288"/>
      <c r="E126" s="16">
        <f>E60+E68+E84+E98+E114+E120+E125</f>
        <v>3800000</v>
      </c>
      <c r="F126" s="7"/>
      <c r="G126" s="16">
        <f>G60+G68+G84+G98+G114+G120+G125</f>
        <v>87400000</v>
      </c>
      <c r="H126" s="54"/>
    </row>
    <row r="127" spans="1:8">
      <c r="A127" s="57" t="s">
        <v>1495</v>
      </c>
      <c r="B127" s="222" t="s">
        <v>1496</v>
      </c>
    </row>
    <row r="128" spans="1:8" ht="70.8" customHeight="1">
      <c r="A128" s="60" t="s">
        <v>1494</v>
      </c>
      <c r="B128" s="289" t="s">
        <v>1562</v>
      </c>
      <c r="C128" s="289"/>
      <c r="D128" s="289"/>
      <c r="E128" s="289"/>
      <c r="F128" s="289"/>
      <c r="G128" s="289"/>
      <c r="H128" s="289"/>
    </row>
  </sheetData>
  <sortState ref="A3:G119">
    <sortCondition ref="C3:C119"/>
    <sortCondition ref="D3:D119"/>
  </sortState>
  <mergeCells count="11">
    <mergeCell ref="B128:H128"/>
    <mergeCell ref="H69:H83"/>
    <mergeCell ref="H121:H124"/>
    <mergeCell ref="B125:D125"/>
    <mergeCell ref="B126:D126"/>
    <mergeCell ref="B120:D120"/>
    <mergeCell ref="B60:D60"/>
    <mergeCell ref="B68:D68"/>
    <mergeCell ref="B84:D84"/>
    <mergeCell ref="B98:D98"/>
    <mergeCell ref="B114:D114"/>
  </mergeCells>
  <phoneticPr fontId="1" type="noConversion"/>
  <pageMargins left="0.70866141732283472" right="0.70866141732283472" top="0.74803149606299213" bottom="0.74803149606299213" header="0.31496062992125984" footer="0.31496062992125984"/>
  <pageSetup paperSize="9" scale="99" fitToHeight="1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sheetPr>
    <pageSetUpPr fitToPage="1"/>
  </sheetPr>
  <dimension ref="A1:J675"/>
  <sheetViews>
    <sheetView zoomScale="80" zoomScaleNormal="80" workbookViewId="0"/>
  </sheetViews>
  <sheetFormatPr defaultRowHeight="16.2"/>
  <cols>
    <col min="2" max="3" width="11.21875" style="37" customWidth="1"/>
    <col min="4" max="4" width="15.5546875" style="61" customWidth="1"/>
    <col min="5" max="5" width="12.77734375" customWidth="1"/>
    <col min="6" max="6" width="11.5546875" customWidth="1"/>
    <col min="7" max="7" width="13" customWidth="1"/>
    <col min="8" max="8" width="15.6640625" customWidth="1"/>
    <col min="9" max="9" width="20.77734375" style="61" customWidth="1"/>
  </cols>
  <sheetData>
    <row r="1" spans="1:10" ht="24.6" customHeight="1" thickBot="1">
      <c r="A1" t="s">
        <v>1901</v>
      </c>
    </row>
    <row r="2" spans="1:10" ht="16.8" thickBot="1">
      <c r="A2" s="22" t="s">
        <v>16</v>
      </c>
      <c r="B2" s="23" t="s">
        <v>18</v>
      </c>
      <c r="C2" s="23" t="s">
        <v>19</v>
      </c>
      <c r="D2" s="23" t="s">
        <v>1234</v>
      </c>
      <c r="E2" s="23" t="s">
        <v>20</v>
      </c>
      <c r="F2" s="23" t="s">
        <v>21</v>
      </c>
      <c r="G2" s="23" t="s">
        <v>22</v>
      </c>
      <c r="H2" s="23" t="s">
        <v>23</v>
      </c>
      <c r="I2" s="40" t="s">
        <v>1188</v>
      </c>
      <c r="J2" s="94"/>
    </row>
    <row r="3" spans="1:10">
      <c r="A3" s="131">
        <v>1</v>
      </c>
      <c r="B3" s="19" t="s">
        <v>32</v>
      </c>
      <c r="C3" s="19" t="s">
        <v>300</v>
      </c>
      <c r="D3" s="95"/>
      <c r="E3" s="11" t="s">
        <v>301</v>
      </c>
      <c r="F3" s="12">
        <v>1000</v>
      </c>
      <c r="G3" s="11">
        <v>25</v>
      </c>
      <c r="H3" s="12">
        <v>25000</v>
      </c>
      <c r="I3" s="135"/>
    </row>
    <row r="4" spans="1:10">
      <c r="A4" s="108">
        <v>2</v>
      </c>
      <c r="B4" s="109" t="s">
        <v>32</v>
      </c>
      <c r="C4" s="109" t="s">
        <v>218</v>
      </c>
      <c r="D4" s="113"/>
      <c r="E4" s="111" t="s">
        <v>57</v>
      </c>
      <c r="F4" s="112">
        <v>1000</v>
      </c>
      <c r="G4" s="111">
        <v>25</v>
      </c>
      <c r="H4" s="112">
        <v>25000</v>
      </c>
      <c r="I4" s="136" t="s">
        <v>1291</v>
      </c>
    </row>
    <row r="5" spans="1:10">
      <c r="A5" s="130">
        <v>3</v>
      </c>
      <c r="B5" s="109" t="s">
        <v>32</v>
      </c>
      <c r="C5" s="109" t="s">
        <v>225</v>
      </c>
      <c r="D5" s="113"/>
      <c r="E5" s="111" t="s">
        <v>226</v>
      </c>
      <c r="F5" s="112">
        <v>1000</v>
      </c>
      <c r="G5" s="111">
        <v>25</v>
      </c>
      <c r="H5" s="112">
        <v>25000</v>
      </c>
      <c r="I5" s="136" t="s">
        <v>1291</v>
      </c>
    </row>
    <row r="6" spans="1:10">
      <c r="A6" s="108">
        <v>4</v>
      </c>
      <c r="B6" s="109" t="s">
        <v>32</v>
      </c>
      <c r="C6" s="109" t="s">
        <v>294</v>
      </c>
      <c r="D6" s="113"/>
      <c r="E6" s="111" t="s">
        <v>226</v>
      </c>
      <c r="F6" s="112">
        <v>1000</v>
      </c>
      <c r="G6" s="111">
        <v>25</v>
      </c>
      <c r="H6" s="112">
        <v>25000</v>
      </c>
      <c r="I6" s="136" t="s">
        <v>1291</v>
      </c>
    </row>
    <row r="7" spans="1:10">
      <c r="A7" s="130">
        <v>5</v>
      </c>
      <c r="B7" s="109" t="s">
        <v>32</v>
      </c>
      <c r="C7" s="109" t="s">
        <v>294</v>
      </c>
      <c r="D7" s="113"/>
      <c r="E7" s="111" t="s">
        <v>58</v>
      </c>
      <c r="F7" s="112">
        <v>1000</v>
      </c>
      <c r="G7" s="111">
        <v>25</v>
      </c>
      <c r="H7" s="112">
        <v>25000</v>
      </c>
      <c r="I7" s="136" t="s">
        <v>1291</v>
      </c>
    </row>
    <row r="8" spans="1:10">
      <c r="A8" s="108">
        <v>6</v>
      </c>
      <c r="B8" s="109" t="s">
        <v>32</v>
      </c>
      <c r="C8" s="109" t="s">
        <v>138</v>
      </c>
      <c r="D8" s="113"/>
      <c r="E8" s="111" t="s">
        <v>59</v>
      </c>
      <c r="F8" s="112">
        <v>5000</v>
      </c>
      <c r="G8" s="111">
        <v>25</v>
      </c>
      <c r="H8" s="112">
        <v>125000</v>
      </c>
      <c r="I8" s="136" t="s">
        <v>1291</v>
      </c>
    </row>
    <row r="9" spans="1:10">
      <c r="A9" s="130">
        <v>7</v>
      </c>
      <c r="B9" s="109" t="s">
        <v>32</v>
      </c>
      <c r="C9" s="109" t="s">
        <v>282</v>
      </c>
      <c r="D9" s="113"/>
      <c r="E9" s="111" t="s">
        <v>59</v>
      </c>
      <c r="F9" s="112">
        <v>1000</v>
      </c>
      <c r="G9" s="111">
        <v>25</v>
      </c>
      <c r="H9" s="112">
        <v>25000</v>
      </c>
      <c r="I9" s="136" t="s">
        <v>1291</v>
      </c>
    </row>
    <row r="10" spans="1:10">
      <c r="A10" s="132">
        <v>8</v>
      </c>
      <c r="B10" s="21" t="s">
        <v>32</v>
      </c>
      <c r="C10" s="21" t="s">
        <v>327</v>
      </c>
      <c r="D10" s="96"/>
      <c r="E10" s="1" t="s">
        <v>59</v>
      </c>
      <c r="F10" s="2">
        <v>2000</v>
      </c>
      <c r="G10" s="1">
        <v>25</v>
      </c>
      <c r="H10" s="2">
        <v>50000</v>
      </c>
      <c r="I10" s="137"/>
    </row>
    <row r="11" spans="1:10">
      <c r="A11" s="131">
        <v>9</v>
      </c>
      <c r="B11" s="21" t="s">
        <v>32</v>
      </c>
      <c r="C11" s="21" t="s">
        <v>167</v>
      </c>
      <c r="D11" s="96"/>
      <c r="E11" s="1" t="s">
        <v>60</v>
      </c>
      <c r="F11" s="2">
        <v>2000</v>
      </c>
      <c r="G11" s="1">
        <v>25</v>
      </c>
      <c r="H11" s="2">
        <v>50000</v>
      </c>
      <c r="I11" s="137"/>
    </row>
    <row r="12" spans="1:10">
      <c r="A12" s="132">
        <v>10</v>
      </c>
      <c r="B12" s="21" t="s">
        <v>112</v>
      </c>
      <c r="C12" s="21" t="s">
        <v>142</v>
      </c>
      <c r="D12" s="96"/>
      <c r="E12" s="1" t="s">
        <v>61</v>
      </c>
      <c r="F12" s="2">
        <v>1000</v>
      </c>
      <c r="G12" s="1">
        <v>25</v>
      </c>
      <c r="H12" s="2">
        <v>25000</v>
      </c>
      <c r="I12" s="137"/>
    </row>
    <row r="13" spans="1:10">
      <c r="A13" s="130">
        <v>11</v>
      </c>
      <c r="B13" s="109" t="s">
        <v>32</v>
      </c>
      <c r="C13" s="109" t="s">
        <v>195</v>
      </c>
      <c r="D13" s="113"/>
      <c r="E13" s="111" t="s">
        <v>196</v>
      </c>
      <c r="F13" s="112">
        <v>1000</v>
      </c>
      <c r="G13" s="111">
        <v>25</v>
      </c>
      <c r="H13" s="112">
        <v>25000</v>
      </c>
      <c r="I13" s="136" t="s">
        <v>1291</v>
      </c>
    </row>
    <row r="14" spans="1:10" ht="32.4">
      <c r="A14" s="46">
        <v>12</v>
      </c>
      <c r="B14" s="47" t="s">
        <v>32</v>
      </c>
      <c r="C14" s="47" t="s">
        <v>1278</v>
      </c>
      <c r="D14" s="98" t="s">
        <v>1279</v>
      </c>
      <c r="E14" s="48" t="s">
        <v>196</v>
      </c>
      <c r="F14" s="49">
        <v>5000</v>
      </c>
      <c r="G14" s="48">
        <v>25</v>
      </c>
      <c r="H14" s="49">
        <v>125000</v>
      </c>
      <c r="I14" s="138" t="s">
        <v>1309</v>
      </c>
    </row>
    <row r="15" spans="1:10">
      <c r="A15" s="130">
        <v>13</v>
      </c>
      <c r="B15" s="109" t="s">
        <v>32</v>
      </c>
      <c r="C15" s="109" t="s">
        <v>195</v>
      </c>
      <c r="D15" s="113"/>
      <c r="E15" s="111" t="s">
        <v>197</v>
      </c>
      <c r="F15" s="112">
        <v>1000</v>
      </c>
      <c r="G15" s="111">
        <v>25</v>
      </c>
      <c r="H15" s="112">
        <v>25000</v>
      </c>
      <c r="I15" s="136" t="s">
        <v>1291</v>
      </c>
    </row>
    <row r="16" spans="1:10">
      <c r="A16" s="132">
        <v>14</v>
      </c>
      <c r="B16" s="21" t="s">
        <v>32</v>
      </c>
      <c r="C16" s="21" t="s">
        <v>186</v>
      </c>
      <c r="D16" s="96"/>
      <c r="E16" s="1" t="s">
        <v>63</v>
      </c>
      <c r="F16" s="2">
        <v>1000</v>
      </c>
      <c r="G16" s="1">
        <v>25</v>
      </c>
      <c r="H16" s="2">
        <v>25000</v>
      </c>
      <c r="I16" s="137"/>
    </row>
    <row r="17" spans="1:9">
      <c r="A17" s="131">
        <v>15</v>
      </c>
      <c r="B17" s="21" t="s">
        <v>32</v>
      </c>
      <c r="C17" s="21" t="s">
        <v>187</v>
      </c>
      <c r="D17" s="96"/>
      <c r="E17" s="1" t="s">
        <v>63</v>
      </c>
      <c r="F17" s="2">
        <v>1000</v>
      </c>
      <c r="G17" s="1">
        <v>25</v>
      </c>
      <c r="H17" s="2">
        <v>25000</v>
      </c>
      <c r="I17" s="137"/>
    </row>
    <row r="18" spans="1:9">
      <c r="A18" s="132">
        <v>16</v>
      </c>
      <c r="B18" s="21" t="s">
        <v>32</v>
      </c>
      <c r="C18" s="21" t="s">
        <v>230</v>
      </c>
      <c r="D18" s="96"/>
      <c r="E18" s="1" t="s">
        <v>63</v>
      </c>
      <c r="F18" s="2">
        <v>3000</v>
      </c>
      <c r="G18" s="1">
        <v>25</v>
      </c>
      <c r="H18" s="2">
        <v>75000</v>
      </c>
      <c r="I18" s="137"/>
    </row>
    <row r="19" spans="1:9">
      <c r="A19" s="130">
        <v>17</v>
      </c>
      <c r="B19" s="109" t="s">
        <v>32</v>
      </c>
      <c r="C19" s="109" t="s">
        <v>166</v>
      </c>
      <c r="D19" s="113"/>
      <c r="E19" s="111" t="s">
        <v>64</v>
      </c>
      <c r="F19" s="112">
        <v>10000</v>
      </c>
      <c r="G19" s="111">
        <v>25</v>
      </c>
      <c r="H19" s="112">
        <v>250000</v>
      </c>
      <c r="I19" s="136" t="s">
        <v>1291</v>
      </c>
    </row>
    <row r="20" spans="1:9">
      <c r="A20" s="132">
        <v>18</v>
      </c>
      <c r="B20" s="21" t="s">
        <v>32</v>
      </c>
      <c r="C20" s="21" t="s">
        <v>206</v>
      </c>
      <c r="D20" s="96"/>
      <c r="E20" s="1" t="s">
        <v>64</v>
      </c>
      <c r="F20" s="2">
        <v>2000</v>
      </c>
      <c r="G20" s="1">
        <v>25</v>
      </c>
      <c r="H20" s="2">
        <v>50000</v>
      </c>
      <c r="I20" s="137"/>
    </row>
    <row r="21" spans="1:9">
      <c r="A21" s="130">
        <v>19</v>
      </c>
      <c r="B21" s="109" t="s">
        <v>32</v>
      </c>
      <c r="C21" s="109" t="s">
        <v>330</v>
      </c>
      <c r="D21" s="113"/>
      <c r="E21" s="111" t="s">
        <v>64</v>
      </c>
      <c r="F21" s="112">
        <v>1000</v>
      </c>
      <c r="G21" s="111">
        <v>25</v>
      </c>
      <c r="H21" s="112">
        <v>25000</v>
      </c>
      <c r="I21" s="136" t="s">
        <v>1291</v>
      </c>
    </row>
    <row r="22" spans="1:9">
      <c r="A22" s="108">
        <v>20</v>
      </c>
      <c r="B22" s="109" t="s">
        <v>32</v>
      </c>
      <c r="C22" s="109" t="s">
        <v>277</v>
      </c>
      <c r="D22" s="113"/>
      <c r="E22" s="111" t="s">
        <v>5</v>
      </c>
      <c r="F22" s="112">
        <v>2000</v>
      </c>
      <c r="G22" s="111">
        <v>25</v>
      </c>
      <c r="H22" s="112">
        <v>50000</v>
      </c>
      <c r="I22" s="136" t="s">
        <v>1291</v>
      </c>
    </row>
    <row r="23" spans="1:9">
      <c r="A23" s="130">
        <v>21</v>
      </c>
      <c r="B23" s="109" t="s">
        <v>32</v>
      </c>
      <c r="C23" s="109" t="s">
        <v>163</v>
      </c>
      <c r="D23" s="113"/>
      <c r="E23" s="111" t="s">
        <v>65</v>
      </c>
      <c r="F23" s="112">
        <v>1000</v>
      </c>
      <c r="G23" s="111">
        <v>25</v>
      </c>
      <c r="H23" s="112">
        <v>25000</v>
      </c>
      <c r="I23" s="136" t="s">
        <v>1291</v>
      </c>
    </row>
    <row r="24" spans="1:9">
      <c r="A24" s="132">
        <v>22</v>
      </c>
      <c r="B24" s="21" t="s">
        <v>32</v>
      </c>
      <c r="C24" s="21" t="s">
        <v>219</v>
      </c>
      <c r="D24" s="96"/>
      <c r="E24" s="1" t="s">
        <v>65</v>
      </c>
      <c r="F24" s="2">
        <v>1000</v>
      </c>
      <c r="G24" s="1">
        <v>25</v>
      </c>
      <c r="H24" s="2">
        <v>25000</v>
      </c>
      <c r="I24" s="137"/>
    </row>
    <row r="25" spans="1:9">
      <c r="A25" s="131">
        <v>23</v>
      </c>
      <c r="B25" s="21" t="s">
        <v>32</v>
      </c>
      <c r="C25" s="21" t="s">
        <v>230</v>
      </c>
      <c r="D25" s="96"/>
      <c r="E25" s="1" t="s">
        <v>65</v>
      </c>
      <c r="F25" s="2">
        <v>2000</v>
      </c>
      <c r="G25" s="1">
        <v>25</v>
      </c>
      <c r="H25" s="2">
        <v>50000</v>
      </c>
      <c r="I25" s="137"/>
    </row>
    <row r="26" spans="1:9">
      <c r="A26" s="108">
        <v>24</v>
      </c>
      <c r="B26" s="109" t="s">
        <v>32</v>
      </c>
      <c r="C26" s="109" t="s">
        <v>250</v>
      </c>
      <c r="D26" s="113"/>
      <c r="E26" s="111" t="s">
        <v>65</v>
      </c>
      <c r="F26" s="112">
        <v>5000</v>
      </c>
      <c r="G26" s="111">
        <v>25</v>
      </c>
      <c r="H26" s="112">
        <v>125000</v>
      </c>
      <c r="I26" s="136" t="s">
        <v>1291</v>
      </c>
    </row>
    <row r="27" spans="1:9">
      <c r="A27" s="131">
        <v>25</v>
      </c>
      <c r="B27" s="21" t="s">
        <v>32</v>
      </c>
      <c r="C27" s="21" t="s">
        <v>260</v>
      </c>
      <c r="D27" s="96"/>
      <c r="E27" s="1" t="s">
        <v>65</v>
      </c>
      <c r="F27" s="2">
        <v>5000</v>
      </c>
      <c r="G27" s="1">
        <v>25</v>
      </c>
      <c r="H27" s="2">
        <v>125000</v>
      </c>
      <c r="I27" s="137"/>
    </row>
    <row r="28" spans="1:9">
      <c r="A28" s="108">
        <v>26</v>
      </c>
      <c r="B28" s="109" t="s">
        <v>32</v>
      </c>
      <c r="C28" s="109" t="s">
        <v>335</v>
      </c>
      <c r="D28" s="113"/>
      <c r="E28" s="111" t="s">
        <v>65</v>
      </c>
      <c r="F28" s="112">
        <v>2000</v>
      </c>
      <c r="G28" s="111">
        <v>25</v>
      </c>
      <c r="H28" s="112">
        <v>50000</v>
      </c>
      <c r="I28" s="136" t="s">
        <v>1291</v>
      </c>
    </row>
    <row r="29" spans="1:9">
      <c r="A29" s="131">
        <v>27</v>
      </c>
      <c r="B29" s="21" t="s">
        <v>32</v>
      </c>
      <c r="C29" s="21" t="s">
        <v>340</v>
      </c>
      <c r="D29" s="96"/>
      <c r="E29" s="1" t="s">
        <v>66</v>
      </c>
      <c r="F29" s="2">
        <v>4000</v>
      </c>
      <c r="G29" s="1">
        <v>25</v>
      </c>
      <c r="H29" s="2">
        <v>100000</v>
      </c>
      <c r="I29" s="137"/>
    </row>
    <row r="30" spans="1:9">
      <c r="A30" s="108">
        <v>28</v>
      </c>
      <c r="B30" s="109" t="s">
        <v>32</v>
      </c>
      <c r="C30" s="109" t="s">
        <v>223</v>
      </c>
      <c r="D30" s="113"/>
      <c r="E30" s="111" t="s">
        <v>107</v>
      </c>
      <c r="F30" s="112">
        <v>5000</v>
      </c>
      <c r="G30" s="111">
        <v>25</v>
      </c>
      <c r="H30" s="112">
        <v>125000</v>
      </c>
      <c r="I30" s="136" t="s">
        <v>1291</v>
      </c>
    </row>
    <row r="31" spans="1:9">
      <c r="A31" s="130">
        <v>29</v>
      </c>
      <c r="B31" s="109" t="s">
        <v>32</v>
      </c>
      <c r="C31" s="109" t="s">
        <v>231</v>
      </c>
      <c r="D31" s="113"/>
      <c r="E31" s="111" t="s">
        <v>107</v>
      </c>
      <c r="F31" s="112">
        <v>1000</v>
      </c>
      <c r="G31" s="111">
        <v>25</v>
      </c>
      <c r="H31" s="112">
        <v>25000</v>
      </c>
      <c r="I31" s="136" t="s">
        <v>1291</v>
      </c>
    </row>
    <row r="32" spans="1:9">
      <c r="A32" s="108">
        <v>30</v>
      </c>
      <c r="B32" s="109" t="s">
        <v>32</v>
      </c>
      <c r="C32" s="109" t="s">
        <v>284</v>
      </c>
      <c r="D32" s="113"/>
      <c r="E32" s="111" t="s">
        <v>107</v>
      </c>
      <c r="F32" s="112">
        <v>2000</v>
      </c>
      <c r="G32" s="111">
        <v>25</v>
      </c>
      <c r="H32" s="112">
        <v>50000</v>
      </c>
      <c r="I32" s="136" t="s">
        <v>1291</v>
      </c>
    </row>
    <row r="33" spans="1:9">
      <c r="A33" s="131">
        <v>31</v>
      </c>
      <c r="B33" s="21" t="s">
        <v>32</v>
      </c>
      <c r="C33" s="21" t="s">
        <v>327</v>
      </c>
      <c r="D33" s="96"/>
      <c r="E33" s="1" t="s">
        <v>107</v>
      </c>
      <c r="F33" s="2">
        <v>2000</v>
      </c>
      <c r="G33" s="1">
        <v>25</v>
      </c>
      <c r="H33" s="2">
        <v>50000</v>
      </c>
      <c r="I33" s="137"/>
    </row>
    <row r="34" spans="1:9">
      <c r="A34" s="108">
        <v>32</v>
      </c>
      <c r="B34" s="109" t="s">
        <v>32</v>
      </c>
      <c r="C34" s="109" t="s">
        <v>333</v>
      </c>
      <c r="D34" s="113"/>
      <c r="E34" s="111" t="s">
        <v>107</v>
      </c>
      <c r="F34" s="112">
        <v>3000</v>
      </c>
      <c r="G34" s="111">
        <v>25</v>
      </c>
      <c r="H34" s="112">
        <v>75000</v>
      </c>
      <c r="I34" s="136" t="s">
        <v>1291</v>
      </c>
    </row>
    <row r="35" spans="1:9">
      <c r="A35" s="129">
        <v>33</v>
      </c>
      <c r="B35" s="47" t="s">
        <v>32</v>
      </c>
      <c r="C35" s="47" t="s">
        <v>324</v>
      </c>
      <c r="D35" s="98"/>
      <c r="E35" s="48" t="s">
        <v>67</v>
      </c>
      <c r="F35" s="49">
        <v>3000</v>
      </c>
      <c r="G35" s="48">
        <v>25</v>
      </c>
      <c r="H35" s="49">
        <v>75000</v>
      </c>
      <c r="I35" s="139" t="s">
        <v>1190</v>
      </c>
    </row>
    <row r="36" spans="1:9" ht="32.4">
      <c r="A36" s="46">
        <v>34</v>
      </c>
      <c r="B36" s="47" t="s">
        <v>32</v>
      </c>
      <c r="C36" s="47" t="s">
        <v>1278</v>
      </c>
      <c r="D36" s="98" t="s">
        <v>1277</v>
      </c>
      <c r="E36" s="48" t="s">
        <v>108</v>
      </c>
      <c r="F36" s="49">
        <v>5000</v>
      </c>
      <c r="G36" s="48">
        <v>25</v>
      </c>
      <c r="H36" s="49">
        <v>125000</v>
      </c>
      <c r="I36" s="138" t="s">
        <v>1309</v>
      </c>
    </row>
    <row r="37" spans="1:9">
      <c r="A37" s="130">
        <v>35</v>
      </c>
      <c r="B37" s="109" t="s">
        <v>32</v>
      </c>
      <c r="C37" s="109" t="s">
        <v>146</v>
      </c>
      <c r="D37" s="113"/>
      <c r="E37" s="111" t="s">
        <v>68</v>
      </c>
      <c r="F37" s="112">
        <v>3000</v>
      </c>
      <c r="G37" s="111">
        <v>25</v>
      </c>
      <c r="H37" s="112">
        <v>75000</v>
      </c>
      <c r="I37" s="136" t="s">
        <v>1291</v>
      </c>
    </row>
    <row r="38" spans="1:9">
      <c r="A38" s="132">
        <v>36</v>
      </c>
      <c r="B38" s="21" t="s">
        <v>32</v>
      </c>
      <c r="C38" s="21" t="s">
        <v>147</v>
      </c>
      <c r="D38" s="96"/>
      <c r="E38" s="1" t="s">
        <v>68</v>
      </c>
      <c r="F38" s="2">
        <v>2000</v>
      </c>
      <c r="G38" s="1">
        <v>25</v>
      </c>
      <c r="H38" s="2">
        <v>50000</v>
      </c>
      <c r="I38" s="137"/>
    </row>
    <row r="39" spans="1:9">
      <c r="A39" s="129">
        <v>37</v>
      </c>
      <c r="B39" s="47" t="s">
        <v>32</v>
      </c>
      <c r="C39" s="47" t="s">
        <v>303</v>
      </c>
      <c r="D39" s="98"/>
      <c r="E39" s="48" t="s">
        <v>68</v>
      </c>
      <c r="F39" s="49">
        <v>1000</v>
      </c>
      <c r="G39" s="48">
        <v>25</v>
      </c>
      <c r="H39" s="49">
        <v>25000</v>
      </c>
      <c r="I39" s="139" t="s">
        <v>1190</v>
      </c>
    </row>
    <row r="40" spans="1:9">
      <c r="A40" s="108">
        <v>38</v>
      </c>
      <c r="B40" s="109" t="s">
        <v>32</v>
      </c>
      <c r="C40" s="109" t="s">
        <v>337</v>
      </c>
      <c r="D40" s="113"/>
      <c r="E40" s="111" t="s">
        <v>68</v>
      </c>
      <c r="F40" s="112">
        <v>1000</v>
      </c>
      <c r="G40" s="111">
        <v>25</v>
      </c>
      <c r="H40" s="112">
        <v>25000</v>
      </c>
      <c r="I40" s="136" t="s">
        <v>1291</v>
      </c>
    </row>
    <row r="41" spans="1:9" ht="64.8">
      <c r="A41" s="130">
        <v>39</v>
      </c>
      <c r="B41" s="109" t="s">
        <v>32</v>
      </c>
      <c r="C41" s="109" t="s">
        <v>179</v>
      </c>
      <c r="D41" s="113"/>
      <c r="E41" s="111" t="s">
        <v>69</v>
      </c>
      <c r="F41" s="112">
        <v>2000</v>
      </c>
      <c r="G41" s="111">
        <v>25</v>
      </c>
      <c r="H41" s="112">
        <v>50000</v>
      </c>
      <c r="I41" s="119" t="s">
        <v>1304</v>
      </c>
    </row>
    <row r="42" spans="1:9">
      <c r="A42" s="108">
        <v>40</v>
      </c>
      <c r="B42" s="109" t="s">
        <v>32</v>
      </c>
      <c r="C42" s="109" t="s">
        <v>246</v>
      </c>
      <c r="D42" s="113"/>
      <c r="E42" s="111" t="s">
        <v>247</v>
      </c>
      <c r="F42" s="112">
        <v>1000</v>
      </c>
      <c r="G42" s="111">
        <v>25</v>
      </c>
      <c r="H42" s="112">
        <v>25000</v>
      </c>
      <c r="I42" s="136" t="s">
        <v>1291</v>
      </c>
    </row>
    <row r="43" spans="1:9">
      <c r="A43" s="131">
        <v>41</v>
      </c>
      <c r="B43" s="21" t="s">
        <v>32</v>
      </c>
      <c r="C43" s="21" t="s">
        <v>321</v>
      </c>
      <c r="D43" s="96"/>
      <c r="E43" s="1" t="s">
        <v>7</v>
      </c>
      <c r="F43" s="2">
        <v>1000</v>
      </c>
      <c r="G43" s="1">
        <v>25</v>
      </c>
      <c r="H43" s="2">
        <v>25000</v>
      </c>
      <c r="I43" s="137"/>
    </row>
    <row r="44" spans="1:9">
      <c r="A44" s="108">
        <v>42</v>
      </c>
      <c r="B44" s="109" t="s">
        <v>32</v>
      </c>
      <c r="C44" s="109" t="s">
        <v>148</v>
      </c>
      <c r="D44" s="113"/>
      <c r="E44" s="111" t="s">
        <v>149</v>
      </c>
      <c r="F44" s="112">
        <v>3000</v>
      </c>
      <c r="G44" s="111">
        <v>25</v>
      </c>
      <c r="H44" s="112">
        <v>75000</v>
      </c>
      <c r="I44" s="136" t="s">
        <v>1291</v>
      </c>
    </row>
    <row r="45" spans="1:9">
      <c r="A45" s="130">
        <v>43</v>
      </c>
      <c r="B45" s="109" t="s">
        <v>32</v>
      </c>
      <c r="C45" s="109" t="s">
        <v>152</v>
      </c>
      <c r="D45" s="113"/>
      <c r="E45" s="111" t="s">
        <v>149</v>
      </c>
      <c r="F45" s="112">
        <v>2000</v>
      </c>
      <c r="G45" s="111">
        <v>25</v>
      </c>
      <c r="H45" s="112">
        <v>50000</v>
      </c>
      <c r="I45" s="136" t="s">
        <v>1291</v>
      </c>
    </row>
    <row r="46" spans="1:9">
      <c r="A46" s="132">
        <v>44</v>
      </c>
      <c r="B46" s="21" t="s">
        <v>32</v>
      </c>
      <c r="C46" s="21" t="s">
        <v>181</v>
      </c>
      <c r="D46" s="96"/>
      <c r="E46" s="1" t="s">
        <v>149</v>
      </c>
      <c r="F46" s="2">
        <v>1000</v>
      </c>
      <c r="G46" s="1">
        <v>25</v>
      </c>
      <c r="H46" s="2">
        <v>25000</v>
      </c>
      <c r="I46" s="137"/>
    </row>
    <row r="47" spans="1:9">
      <c r="A47" s="130">
        <v>45</v>
      </c>
      <c r="B47" s="109" t="s">
        <v>32</v>
      </c>
      <c r="C47" s="109" t="s">
        <v>198</v>
      </c>
      <c r="D47" s="113"/>
      <c r="E47" s="111" t="s">
        <v>149</v>
      </c>
      <c r="F47" s="112">
        <v>23000</v>
      </c>
      <c r="G47" s="111">
        <v>25</v>
      </c>
      <c r="H47" s="112">
        <v>575000</v>
      </c>
      <c r="I47" s="136" t="s">
        <v>1239</v>
      </c>
    </row>
    <row r="48" spans="1:9" ht="32.4">
      <c r="A48" s="108">
        <v>46</v>
      </c>
      <c r="B48" s="109" t="s">
        <v>32</v>
      </c>
      <c r="C48" s="109" t="s">
        <v>202</v>
      </c>
      <c r="D48" s="110" t="s">
        <v>1310</v>
      </c>
      <c r="E48" s="111" t="s">
        <v>149</v>
      </c>
      <c r="F48" s="112">
        <v>2000</v>
      </c>
      <c r="G48" s="111">
        <v>25</v>
      </c>
      <c r="H48" s="112">
        <v>50000</v>
      </c>
      <c r="I48" s="136" t="s">
        <v>1311</v>
      </c>
    </row>
    <row r="49" spans="1:9">
      <c r="A49" s="130">
        <v>47</v>
      </c>
      <c r="B49" s="109" t="s">
        <v>32</v>
      </c>
      <c r="C49" s="109" t="s">
        <v>1256</v>
      </c>
      <c r="D49" s="113"/>
      <c r="E49" s="111" t="s">
        <v>149</v>
      </c>
      <c r="F49" s="112">
        <v>2000</v>
      </c>
      <c r="G49" s="111">
        <v>25</v>
      </c>
      <c r="H49" s="112">
        <v>50000</v>
      </c>
      <c r="I49" s="136" t="s">
        <v>1299</v>
      </c>
    </row>
    <row r="50" spans="1:9">
      <c r="A50" s="108">
        <v>48</v>
      </c>
      <c r="B50" s="109" t="s">
        <v>32</v>
      </c>
      <c r="C50" s="109" t="s">
        <v>234</v>
      </c>
      <c r="D50" s="113"/>
      <c r="E50" s="111" t="s">
        <v>149</v>
      </c>
      <c r="F50" s="112">
        <v>3000</v>
      </c>
      <c r="G50" s="111">
        <v>25</v>
      </c>
      <c r="H50" s="112">
        <v>75000</v>
      </c>
      <c r="I50" s="136" t="s">
        <v>1299</v>
      </c>
    </row>
    <row r="51" spans="1:9">
      <c r="A51" s="130">
        <v>49</v>
      </c>
      <c r="B51" s="109" t="s">
        <v>32</v>
      </c>
      <c r="C51" s="109" t="s">
        <v>237</v>
      </c>
      <c r="D51" s="113"/>
      <c r="E51" s="111" t="s">
        <v>149</v>
      </c>
      <c r="F51" s="112">
        <v>3000</v>
      </c>
      <c r="G51" s="111">
        <v>25</v>
      </c>
      <c r="H51" s="112">
        <v>75000</v>
      </c>
      <c r="I51" s="136" t="s">
        <v>1291</v>
      </c>
    </row>
    <row r="52" spans="1:9">
      <c r="A52" s="108">
        <v>50</v>
      </c>
      <c r="B52" s="109" t="s">
        <v>32</v>
      </c>
      <c r="C52" s="109" t="s">
        <v>241</v>
      </c>
      <c r="D52" s="113"/>
      <c r="E52" s="111" t="s">
        <v>149</v>
      </c>
      <c r="F52" s="112">
        <v>8000</v>
      </c>
      <c r="G52" s="111">
        <v>25</v>
      </c>
      <c r="H52" s="112">
        <v>200000</v>
      </c>
      <c r="I52" s="136" t="s">
        <v>1291</v>
      </c>
    </row>
    <row r="53" spans="1:9">
      <c r="A53" s="130">
        <v>51</v>
      </c>
      <c r="B53" s="109" t="s">
        <v>32</v>
      </c>
      <c r="C53" s="109" t="s">
        <v>242</v>
      </c>
      <c r="D53" s="113"/>
      <c r="E53" s="111" t="s">
        <v>149</v>
      </c>
      <c r="F53" s="112">
        <v>16000</v>
      </c>
      <c r="G53" s="111">
        <v>25</v>
      </c>
      <c r="H53" s="112">
        <v>400000</v>
      </c>
      <c r="I53" s="136" t="s">
        <v>1289</v>
      </c>
    </row>
    <row r="54" spans="1:9">
      <c r="A54" s="108">
        <v>52</v>
      </c>
      <c r="B54" s="109" t="s">
        <v>32</v>
      </c>
      <c r="C54" s="109" t="s">
        <v>244</v>
      </c>
      <c r="D54" s="113"/>
      <c r="E54" s="111" t="s">
        <v>149</v>
      </c>
      <c r="F54" s="112">
        <v>15000</v>
      </c>
      <c r="G54" s="111">
        <v>25</v>
      </c>
      <c r="H54" s="112">
        <v>375000</v>
      </c>
      <c r="I54" s="136" t="s">
        <v>1291</v>
      </c>
    </row>
    <row r="55" spans="1:9">
      <c r="A55" s="130">
        <v>53</v>
      </c>
      <c r="B55" s="109" t="s">
        <v>32</v>
      </c>
      <c r="C55" s="109" t="s">
        <v>245</v>
      </c>
      <c r="D55" s="113"/>
      <c r="E55" s="111" t="s">
        <v>149</v>
      </c>
      <c r="F55" s="112">
        <v>1000</v>
      </c>
      <c r="G55" s="111">
        <v>25</v>
      </c>
      <c r="H55" s="112">
        <v>25000</v>
      </c>
      <c r="I55" s="136" t="s">
        <v>1291</v>
      </c>
    </row>
    <row r="56" spans="1:9">
      <c r="A56" s="132">
        <v>54</v>
      </c>
      <c r="B56" s="21" t="s">
        <v>32</v>
      </c>
      <c r="C56" s="21" t="s">
        <v>259</v>
      </c>
      <c r="D56" s="96"/>
      <c r="E56" s="1" t="s">
        <v>149</v>
      </c>
      <c r="F56" s="2">
        <v>1000</v>
      </c>
      <c r="G56" s="1">
        <v>25</v>
      </c>
      <c r="H56" s="2">
        <v>25000</v>
      </c>
      <c r="I56" s="137"/>
    </row>
    <row r="57" spans="1:9">
      <c r="A57" s="130">
        <v>55</v>
      </c>
      <c r="B57" s="109" t="s">
        <v>32</v>
      </c>
      <c r="C57" s="109" t="s">
        <v>272</v>
      </c>
      <c r="D57" s="113"/>
      <c r="E57" s="111" t="s">
        <v>149</v>
      </c>
      <c r="F57" s="112">
        <v>5000</v>
      </c>
      <c r="G57" s="111">
        <v>25</v>
      </c>
      <c r="H57" s="112">
        <v>125000</v>
      </c>
      <c r="I57" s="136" t="s">
        <v>1291</v>
      </c>
    </row>
    <row r="58" spans="1:9">
      <c r="A58" s="46">
        <v>56</v>
      </c>
      <c r="B58" s="47" t="s">
        <v>32</v>
      </c>
      <c r="C58" s="47" t="s">
        <v>312</v>
      </c>
      <c r="D58" s="98"/>
      <c r="E58" s="48" t="s">
        <v>149</v>
      </c>
      <c r="F58" s="49">
        <v>2000</v>
      </c>
      <c r="G58" s="48">
        <v>25</v>
      </c>
      <c r="H58" s="49">
        <v>50000</v>
      </c>
      <c r="I58" s="139" t="s">
        <v>1190</v>
      </c>
    </row>
    <row r="59" spans="1:9">
      <c r="A59" s="129">
        <v>57</v>
      </c>
      <c r="B59" s="47" t="s">
        <v>32</v>
      </c>
      <c r="C59" s="47" t="s">
        <v>1184</v>
      </c>
      <c r="D59" s="98"/>
      <c r="E59" s="48" t="s">
        <v>109</v>
      </c>
      <c r="F59" s="49">
        <v>1000</v>
      </c>
      <c r="G59" s="48">
        <v>25</v>
      </c>
      <c r="H59" s="49">
        <v>25000</v>
      </c>
      <c r="I59" s="139" t="s">
        <v>1190</v>
      </c>
    </row>
    <row r="60" spans="1:9">
      <c r="A60" s="108">
        <v>58</v>
      </c>
      <c r="B60" s="109" t="s">
        <v>32</v>
      </c>
      <c r="C60" s="109" t="s">
        <v>165</v>
      </c>
      <c r="D60" s="113"/>
      <c r="E60" s="111" t="s">
        <v>109</v>
      </c>
      <c r="F60" s="112">
        <v>1000</v>
      </c>
      <c r="G60" s="111">
        <v>25</v>
      </c>
      <c r="H60" s="112">
        <v>25000</v>
      </c>
      <c r="I60" s="136" t="s">
        <v>1291</v>
      </c>
    </row>
    <row r="61" spans="1:9">
      <c r="A61" s="131">
        <v>59</v>
      </c>
      <c r="B61" s="21" t="s">
        <v>32</v>
      </c>
      <c r="C61" s="21" t="s">
        <v>171</v>
      </c>
      <c r="D61" s="96"/>
      <c r="E61" s="1" t="s">
        <v>109</v>
      </c>
      <c r="F61" s="2">
        <v>2000</v>
      </c>
      <c r="G61" s="1">
        <v>25</v>
      </c>
      <c r="H61" s="2">
        <v>50000</v>
      </c>
      <c r="I61" s="137"/>
    </row>
    <row r="62" spans="1:9">
      <c r="A62" s="108">
        <v>60</v>
      </c>
      <c r="B62" s="109" t="s">
        <v>32</v>
      </c>
      <c r="C62" s="109" t="s">
        <v>173</v>
      </c>
      <c r="D62" s="113"/>
      <c r="E62" s="111" t="s">
        <v>109</v>
      </c>
      <c r="F62" s="112">
        <v>10000</v>
      </c>
      <c r="G62" s="111">
        <v>25</v>
      </c>
      <c r="H62" s="112">
        <v>250000</v>
      </c>
      <c r="I62" s="136" t="s">
        <v>1291</v>
      </c>
    </row>
    <row r="63" spans="1:9">
      <c r="A63" s="130">
        <v>61</v>
      </c>
      <c r="B63" s="109" t="s">
        <v>32</v>
      </c>
      <c r="C63" s="109" t="s">
        <v>175</v>
      </c>
      <c r="D63" s="113"/>
      <c r="E63" s="111" t="s">
        <v>109</v>
      </c>
      <c r="F63" s="112">
        <v>2000</v>
      </c>
      <c r="G63" s="111">
        <v>25</v>
      </c>
      <c r="H63" s="112">
        <v>50000</v>
      </c>
      <c r="I63" s="136" t="s">
        <v>1291</v>
      </c>
    </row>
    <row r="64" spans="1:9">
      <c r="A64" s="108">
        <v>62</v>
      </c>
      <c r="B64" s="109" t="s">
        <v>32</v>
      </c>
      <c r="C64" s="109" t="s">
        <v>293</v>
      </c>
      <c r="D64" s="113"/>
      <c r="E64" s="111" t="s">
        <v>109</v>
      </c>
      <c r="F64" s="112">
        <v>1000</v>
      </c>
      <c r="G64" s="111">
        <v>25</v>
      </c>
      <c r="H64" s="112">
        <v>25000</v>
      </c>
      <c r="I64" s="136" t="s">
        <v>1291</v>
      </c>
    </row>
    <row r="65" spans="1:9">
      <c r="A65" s="130">
        <v>63</v>
      </c>
      <c r="B65" s="109" t="s">
        <v>32</v>
      </c>
      <c r="C65" s="109" t="s">
        <v>306</v>
      </c>
      <c r="D65" s="113"/>
      <c r="E65" s="111" t="s">
        <v>109</v>
      </c>
      <c r="F65" s="112">
        <v>2000</v>
      </c>
      <c r="G65" s="111">
        <v>25</v>
      </c>
      <c r="H65" s="112">
        <v>50000</v>
      </c>
      <c r="I65" s="136" t="s">
        <v>1291</v>
      </c>
    </row>
    <row r="66" spans="1:9">
      <c r="A66" s="108">
        <v>64</v>
      </c>
      <c r="B66" s="109" t="s">
        <v>32</v>
      </c>
      <c r="C66" s="109" t="s">
        <v>308</v>
      </c>
      <c r="D66" s="113"/>
      <c r="E66" s="111" t="s">
        <v>109</v>
      </c>
      <c r="F66" s="112">
        <v>3000</v>
      </c>
      <c r="G66" s="111">
        <v>25</v>
      </c>
      <c r="H66" s="112">
        <v>75000</v>
      </c>
      <c r="I66" s="136" t="s">
        <v>1291</v>
      </c>
    </row>
    <row r="67" spans="1:9">
      <c r="A67" s="130">
        <v>65</v>
      </c>
      <c r="B67" s="109" t="s">
        <v>32</v>
      </c>
      <c r="C67" s="109" t="s">
        <v>310</v>
      </c>
      <c r="D67" s="113"/>
      <c r="E67" s="111" t="s">
        <v>109</v>
      </c>
      <c r="F67" s="112">
        <v>5000</v>
      </c>
      <c r="G67" s="111">
        <v>25</v>
      </c>
      <c r="H67" s="112">
        <v>125000</v>
      </c>
      <c r="I67" s="136" t="s">
        <v>1291</v>
      </c>
    </row>
    <row r="68" spans="1:9">
      <c r="A68" s="108">
        <v>66</v>
      </c>
      <c r="B68" s="109" t="s">
        <v>32</v>
      </c>
      <c r="C68" s="109" t="s">
        <v>313</v>
      </c>
      <c r="D68" s="113"/>
      <c r="E68" s="111" t="s">
        <v>109</v>
      </c>
      <c r="F68" s="112">
        <v>1000</v>
      </c>
      <c r="G68" s="111">
        <v>25</v>
      </c>
      <c r="H68" s="112">
        <v>25000</v>
      </c>
      <c r="I68" s="136" t="s">
        <v>1291</v>
      </c>
    </row>
    <row r="69" spans="1:9">
      <c r="A69" s="130">
        <v>67</v>
      </c>
      <c r="B69" s="109" t="s">
        <v>32</v>
      </c>
      <c r="C69" s="109" t="s">
        <v>314</v>
      </c>
      <c r="D69" s="113"/>
      <c r="E69" s="111" t="s">
        <v>109</v>
      </c>
      <c r="F69" s="112">
        <v>2000</v>
      </c>
      <c r="G69" s="111">
        <v>25</v>
      </c>
      <c r="H69" s="112">
        <v>50000</v>
      </c>
      <c r="I69" s="136" t="s">
        <v>1291</v>
      </c>
    </row>
    <row r="70" spans="1:9">
      <c r="A70" s="132">
        <v>68</v>
      </c>
      <c r="B70" s="21" t="s">
        <v>32</v>
      </c>
      <c r="C70" s="21" t="s">
        <v>316</v>
      </c>
      <c r="D70" s="96"/>
      <c r="E70" s="1" t="s">
        <v>109</v>
      </c>
      <c r="F70" s="2">
        <v>1000</v>
      </c>
      <c r="G70" s="1">
        <v>25</v>
      </c>
      <c r="H70" s="2">
        <v>25000</v>
      </c>
      <c r="I70" s="137"/>
    </row>
    <row r="71" spans="1:9">
      <c r="A71" s="130">
        <v>69</v>
      </c>
      <c r="B71" s="109" t="s">
        <v>32</v>
      </c>
      <c r="C71" s="109" t="s">
        <v>318</v>
      </c>
      <c r="D71" s="113"/>
      <c r="E71" s="111" t="s">
        <v>109</v>
      </c>
      <c r="F71" s="112">
        <v>1000</v>
      </c>
      <c r="G71" s="111">
        <v>25</v>
      </c>
      <c r="H71" s="112">
        <v>25000</v>
      </c>
      <c r="I71" s="136" t="s">
        <v>1291</v>
      </c>
    </row>
    <row r="72" spans="1:9">
      <c r="A72" s="132">
        <v>70</v>
      </c>
      <c r="B72" s="21" t="s">
        <v>32</v>
      </c>
      <c r="C72" s="21" t="s">
        <v>136</v>
      </c>
      <c r="D72" s="96"/>
      <c r="E72" s="1" t="s">
        <v>70</v>
      </c>
      <c r="F72" s="2">
        <v>1000</v>
      </c>
      <c r="G72" s="1">
        <v>25</v>
      </c>
      <c r="H72" s="2">
        <v>25000</v>
      </c>
      <c r="I72" s="137"/>
    </row>
    <row r="73" spans="1:9">
      <c r="A73" s="129">
        <v>71</v>
      </c>
      <c r="B73" s="47" t="s">
        <v>32</v>
      </c>
      <c r="C73" s="47" t="s">
        <v>162</v>
      </c>
      <c r="D73" s="98" t="s">
        <v>1243</v>
      </c>
      <c r="E73" s="48" t="s">
        <v>70</v>
      </c>
      <c r="F73" s="49">
        <v>2000</v>
      </c>
      <c r="G73" s="48">
        <v>25</v>
      </c>
      <c r="H73" s="49">
        <v>50000</v>
      </c>
      <c r="I73" s="139" t="s">
        <v>822</v>
      </c>
    </row>
    <row r="74" spans="1:9">
      <c r="A74" s="108">
        <v>72</v>
      </c>
      <c r="B74" s="109" t="s">
        <v>32</v>
      </c>
      <c r="C74" s="109" t="s">
        <v>184</v>
      </c>
      <c r="D74" s="113"/>
      <c r="E74" s="111" t="s">
        <v>70</v>
      </c>
      <c r="F74" s="112">
        <v>1000</v>
      </c>
      <c r="G74" s="111">
        <v>25</v>
      </c>
      <c r="H74" s="112">
        <v>25000</v>
      </c>
      <c r="I74" s="136" t="s">
        <v>1289</v>
      </c>
    </row>
    <row r="75" spans="1:9">
      <c r="A75" s="129">
        <v>73</v>
      </c>
      <c r="B75" s="47" t="s">
        <v>32</v>
      </c>
      <c r="C75" s="47" t="s">
        <v>190</v>
      </c>
      <c r="D75" s="98"/>
      <c r="E75" s="48" t="s">
        <v>70</v>
      </c>
      <c r="F75" s="49">
        <v>3000</v>
      </c>
      <c r="G75" s="48">
        <v>25</v>
      </c>
      <c r="H75" s="49">
        <v>75000</v>
      </c>
      <c r="I75" s="139" t="s">
        <v>1190</v>
      </c>
    </row>
    <row r="76" spans="1:9">
      <c r="A76" s="108">
        <v>74</v>
      </c>
      <c r="B76" s="109" t="s">
        <v>32</v>
      </c>
      <c r="C76" s="109" t="s">
        <v>211</v>
      </c>
      <c r="D76" s="113"/>
      <c r="E76" s="111" t="s">
        <v>70</v>
      </c>
      <c r="F76" s="112">
        <v>2000</v>
      </c>
      <c r="G76" s="111">
        <v>25</v>
      </c>
      <c r="H76" s="112">
        <v>50000</v>
      </c>
      <c r="I76" s="136" t="s">
        <v>1289</v>
      </c>
    </row>
    <row r="77" spans="1:9">
      <c r="A77" s="129">
        <v>75</v>
      </c>
      <c r="B77" s="47" t="s">
        <v>32</v>
      </c>
      <c r="C77" s="47" t="s">
        <v>212</v>
      </c>
      <c r="D77" s="98" t="s">
        <v>1243</v>
      </c>
      <c r="E77" s="48" t="s">
        <v>70</v>
      </c>
      <c r="F77" s="49">
        <v>3000</v>
      </c>
      <c r="G77" s="48">
        <v>25</v>
      </c>
      <c r="H77" s="49">
        <v>75000</v>
      </c>
      <c r="I77" s="139" t="s">
        <v>1190</v>
      </c>
    </row>
    <row r="78" spans="1:9">
      <c r="A78" s="46">
        <v>76</v>
      </c>
      <c r="B78" s="47" t="s">
        <v>32</v>
      </c>
      <c r="C78" s="47" t="s">
        <v>220</v>
      </c>
      <c r="D78" s="98"/>
      <c r="E78" s="48" t="s">
        <v>70</v>
      </c>
      <c r="F78" s="49">
        <v>2000</v>
      </c>
      <c r="G78" s="48">
        <v>25</v>
      </c>
      <c r="H78" s="49">
        <v>50000</v>
      </c>
      <c r="I78" s="139" t="s">
        <v>1190</v>
      </c>
    </row>
    <row r="79" spans="1:9">
      <c r="A79" s="129">
        <v>77</v>
      </c>
      <c r="B79" s="47" t="s">
        <v>32</v>
      </c>
      <c r="C79" s="47" t="s">
        <v>243</v>
      </c>
      <c r="D79" s="98"/>
      <c r="E79" s="48" t="s">
        <v>70</v>
      </c>
      <c r="F79" s="49">
        <v>1000</v>
      </c>
      <c r="G79" s="48">
        <v>25</v>
      </c>
      <c r="H79" s="49">
        <v>25000</v>
      </c>
      <c r="I79" s="139" t="s">
        <v>1190</v>
      </c>
    </row>
    <row r="80" spans="1:9">
      <c r="A80" s="46">
        <v>78</v>
      </c>
      <c r="B80" s="47" t="s">
        <v>32</v>
      </c>
      <c r="C80" s="47" t="s">
        <v>249</v>
      </c>
      <c r="D80" s="98" t="s">
        <v>1243</v>
      </c>
      <c r="E80" s="48" t="s">
        <v>70</v>
      </c>
      <c r="F80" s="49">
        <v>2000</v>
      </c>
      <c r="G80" s="48">
        <v>25</v>
      </c>
      <c r="H80" s="49">
        <v>50000</v>
      </c>
      <c r="I80" s="139" t="s">
        <v>1190</v>
      </c>
    </row>
    <row r="81" spans="1:9" ht="32.4">
      <c r="A81" s="129">
        <v>79</v>
      </c>
      <c r="B81" s="47" t="s">
        <v>32</v>
      </c>
      <c r="C81" s="47" t="s">
        <v>252</v>
      </c>
      <c r="D81" s="101" t="s">
        <v>1286</v>
      </c>
      <c r="E81" s="48" t="s">
        <v>70</v>
      </c>
      <c r="F81" s="49">
        <v>3000</v>
      </c>
      <c r="G81" s="48">
        <v>25</v>
      </c>
      <c r="H81" s="49">
        <v>75000</v>
      </c>
      <c r="I81" s="138" t="s">
        <v>822</v>
      </c>
    </row>
    <row r="82" spans="1:9">
      <c r="A82" s="46">
        <v>80</v>
      </c>
      <c r="B82" s="47" t="s">
        <v>32</v>
      </c>
      <c r="C82" s="47" t="s">
        <v>253</v>
      </c>
      <c r="D82" s="98"/>
      <c r="E82" s="48" t="s">
        <v>70</v>
      </c>
      <c r="F82" s="49">
        <v>2000</v>
      </c>
      <c r="G82" s="48">
        <v>25</v>
      </c>
      <c r="H82" s="49">
        <v>50000</v>
      </c>
      <c r="I82" s="139" t="s">
        <v>1190</v>
      </c>
    </row>
    <row r="83" spans="1:9">
      <c r="A83" s="129">
        <v>81</v>
      </c>
      <c r="B83" s="47" t="s">
        <v>32</v>
      </c>
      <c r="C83" s="47" t="s">
        <v>263</v>
      </c>
      <c r="D83" s="98"/>
      <c r="E83" s="48" t="s">
        <v>70</v>
      </c>
      <c r="F83" s="49">
        <v>1000</v>
      </c>
      <c r="G83" s="48">
        <v>25</v>
      </c>
      <c r="H83" s="49">
        <v>25000</v>
      </c>
      <c r="I83" s="139" t="s">
        <v>1190</v>
      </c>
    </row>
    <row r="84" spans="1:9">
      <c r="A84" s="108">
        <v>82</v>
      </c>
      <c r="B84" s="109" t="s">
        <v>32</v>
      </c>
      <c r="C84" s="109" t="s">
        <v>274</v>
      </c>
      <c r="D84" s="113"/>
      <c r="E84" s="111" t="s">
        <v>70</v>
      </c>
      <c r="F84" s="112">
        <v>2000</v>
      </c>
      <c r="G84" s="111">
        <v>25</v>
      </c>
      <c r="H84" s="112">
        <v>50000</v>
      </c>
      <c r="I84" s="136" t="s">
        <v>1291</v>
      </c>
    </row>
    <row r="85" spans="1:9" ht="64.8">
      <c r="A85" s="129">
        <v>83</v>
      </c>
      <c r="B85" s="47" t="s">
        <v>32</v>
      </c>
      <c r="C85" s="47" t="s">
        <v>298</v>
      </c>
      <c r="D85" s="98"/>
      <c r="E85" s="48" t="s">
        <v>70</v>
      </c>
      <c r="F85" s="49">
        <v>3000</v>
      </c>
      <c r="G85" s="48">
        <v>25</v>
      </c>
      <c r="H85" s="49">
        <v>75000</v>
      </c>
      <c r="I85" s="138" t="s">
        <v>1287</v>
      </c>
    </row>
    <row r="86" spans="1:9">
      <c r="A86" s="132">
        <v>84</v>
      </c>
      <c r="B86" s="21" t="s">
        <v>32</v>
      </c>
      <c r="C86" s="21" t="s">
        <v>302</v>
      </c>
      <c r="D86" s="96"/>
      <c r="E86" s="1" t="s">
        <v>70</v>
      </c>
      <c r="F86" s="2">
        <v>1000</v>
      </c>
      <c r="G86" s="1">
        <v>25</v>
      </c>
      <c r="H86" s="2">
        <v>25000</v>
      </c>
      <c r="I86" s="137"/>
    </row>
    <row r="87" spans="1:9">
      <c r="A87" s="131">
        <v>85</v>
      </c>
      <c r="B87" s="21" t="s">
        <v>32</v>
      </c>
      <c r="C87" s="21" t="s">
        <v>320</v>
      </c>
      <c r="D87" s="96"/>
      <c r="E87" s="1" t="s">
        <v>70</v>
      </c>
      <c r="F87" s="2">
        <v>5000</v>
      </c>
      <c r="G87" s="1">
        <v>25</v>
      </c>
      <c r="H87" s="2">
        <v>125000</v>
      </c>
      <c r="I87" s="137"/>
    </row>
    <row r="88" spans="1:9">
      <c r="A88" s="108">
        <v>86</v>
      </c>
      <c r="B88" s="109" t="s">
        <v>32</v>
      </c>
      <c r="C88" s="109" t="s">
        <v>328</v>
      </c>
      <c r="D88" s="113"/>
      <c r="E88" s="111" t="s">
        <v>70</v>
      </c>
      <c r="F88" s="112">
        <v>1000</v>
      </c>
      <c r="G88" s="111">
        <v>25</v>
      </c>
      <c r="H88" s="112">
        <v>25000</v>
      </c>
      <c r="I88" s="136" t="s">
        <v>1291</v>
      </c>
    </row>
    <row r="89" spans="1:9">
      <c r="A89" s="129">
        <v>87</v>
      </c>
      <c r="B89" s="47" t="s">
        <v>32</v>
      </c>
      <c r="C89" s="47" t="s">
        <v>332</v>
      </c>
      <c r="D89" s="98"/>
      <c r="E89" s="48" t="s">
        <v>70</v>
      </c>
      <c r="F89" s="49">
        <v>10000</v>
      </c>
      <c r="G89" s="48">
        <v>25</v>
      </c>
      <c r="H89" s="49">
        <v>250000</v>
      </c>
      <c r="I89" s="139" t="s">
        <v>1190</v>
      </c>
    </row>
    <row r="90" spans="1:9">
      <c r="A90" s="132">
        <v>88</v>
      </c>
      <c r="B90" s="21" t="s">
        <v>32</v>
      </c>
      <c r="C90" s="21" t="s">
        <v>339</v>
      </c>
      <c r="D90" s="96"/>
      <c r="E90" s="1" t="s">
        <v>70</v>
      </c>
      <c r="F90" s="2">
        <v>1000</v>
      </c>
      <c r="G90" s="1">
        <v>25</v>
      </c>
      <c r="H90" s="2">
        <v>25000</v>
      </c>
      <c r="I90" s="137"/>
    </row>
    <row r="91" spans="1:9">
      <c r="A91" s="129">
        <v>89</v>
      </c>
      <c r="B91" s="47" t="s">
        <v>32</v>
      </c>
      <c r="C91" s="47" t="s">
        <v>344</v>
      </c>
      <c r="D91" s="98"/>
      <c r="E91" s="48" t="s">
        <v>70</v>
      </c>
      <c r="F91" s="49">
        <v>1000</v>
      </c>
      <c r="G91" s="48">
        <v>25</v>
      </c>
      <c r="H91" s="49">
        <v>25000</v>
      </c>
      <c r="I91" s="139" t="s">
        <v>1190</v>
      </c>
    </row>
    <row r="92" spans="1:9">
      <c r="A92" s="108">
        <v>90</v>
      </c>
      <c r="B92" s="109" t="s">
        <v>32</v>
      </c>
      <c r="C92" s="109" t="s">
        <v>146</v>
      </c>
      <c r="D92" s="113"/>
      <c r="E92" s="111" t="s">
        <v>71</v>
      </c>
      <c r="F92" s="112">
        <v>2000</v>
      </c>
      <c r="G92" s="111">
        <v>25</v>
      </c>
      <c r="H92" s="112">
        <v>50000</v>
      </c>
      <c r="I92" s="136" t="s">
        <v>1289</v>
      </c>
    </row>
    <row r="93" spans="1:9">
      <c r="A93" s="130">
        <v>91</v>
      </c>
      <c r="B93" s="109" t="s">
        <v>32</v>
      </c>
      <c r="C93" s="109" t="s">
        <v>211</v>
      </c>
      <c r="D93" s="113"/>
      <c r="E93" s="111" t="s">
        <v>71</v>
      </c>
      <c r="F93" s="112">
        <v>1000</v>
      </c>
      <c r="G93" s="111">
        <v>25</v>
      </c>
      <c r="H93" s="112">
        <v>25000</v>
      </c>
      <c r="I93" s="136" t="s">
        <v>1289</v>
      </c>
    </row>
    <row r="94" spans="1:9">
      <c r="A94" s="46">
        <v>92</v>
      </c>
      <c r="B94" s="47" t="s">
        <v>32</v>
      </c>
      <c r="C94" s="47" t="s">
        <v>270</v>
      </c>
      <c r="D94" s="98" t="s">
        <v>1243</v>
      </c>
      <c r="E94" s="48" t="s">
        <v>71</v>
      </c>
      <c r="F94" s="49">
        <v>2000</v>
      </c>
      <c r="G94" s="48">
        <v>25</v>
      </c>
      <c r="H94" s="49">
        <v>50000</v>
      </c>
      <c r="I94" s="139" t="s">
        <v>1190</v>
      </c>
    </row>
    <row r="95" spans="1:9">
      <c r="A95" s="131">
        <v>93</v>
      </c>
      <c r="B95" s="21" t="s">
        <v>32</v>
      </c>
      <c r="C95" s="21" t="s">
        <v>280</v>
      </c>
      <c r="D95" s="96"/>
      <c r="E95" s="1" t="s">
        <v>71</v>
      </c>
      <c r="F95" s="2">
        <v>1000</v>
      </c>
      <c r="G95" s="1">
        <v>25</v>
      </c>
      <c r="H95" s="2">
        <v>25000</v>
      </c>
      <c r="I95" s="137"/>
    </row>
    <row r="96" spans="1:9">
      <c r="A96" s="46">
        <v>94</v>
      </c>
      <c r="B96" s="47" t="s">
        <v>32</v>
      </c>
      <c r="C96" s="47" t="s">
        <v>283</v>
      </c>
      <c r="D96" s="98"/>
      <c r="E96" s="48" t="s">
        <v>71</v>
      </c>
      <c r="F96" s="49">
        <v>1000</v>
      </c>
      <c r="G96" s="48">
        <v>25</v>
      </c>
      <c r="H96" s="49">
        <v>25000</v>
      </c>
      <c r="I96" s="139" t="s">
        <v>1190</v>
      </c>
    </row>
    <row r="97" spans="1:9">
      <c r="A97" s="129">
        <v>95</v>
      </c>
      <c r="B97" s="47" t="s">
        <v>32</v>
      </c>
      <c r="C97" s="47" t="s">
        <v>1267</v>
      </c>
      <c r="D97" s="98"/>
      <c r="E97" s="48" t="s">
        <v>72</v>
      </c>
      <c r="F97" s="49">
        <v>2000</v>
      </c>
      <c r="G97" s="48">
        <v>25</v>
      </c>
      <c r="H97" s="49">
        <v>50000</v>
      </c>
      <c r="I97" s="139" t="s">
        <v>1190</v>
      </c>
    </row>
    <row r="98" spans="1:9">
      <c r="A98" s="108">
        <v>96</v>
      </c>
      <c r="B98" s="109" t="s">
        <v>32</v>
      </c>
      <c r="C98" s="109" t="s">
        <v>158</v>
      </c>
      <c r="D98" s="113"/>
      <c r="E98" s="111" t="s">
        <v>72</v>
      </c>
      <c r="F98" s="112">
        <v>5000</v>
      </c>
      <c r="G98" s="111">
        <v>25</v>
      </c>
      <c r="H98" s="112">
        <v>125000</v>
      </c>
      <c r="I98" s="136" t="s">
        <v>1291</v>
      </c>
    </row>
    <row r="99" spans="1:9">
      <c r="A99" s="131">
        <v>97</v>
      </c>
      <c r="B99" s="21" t="s">
        <v>32</v>
      </c>
      <c r="C99" s="21" t="s">
        <v>164</v>
      </c>
      <c r="D99" s="96"/>
      <c r="E99" s="1" t="s">
        <v>72</v>
      </c>
      <c r="F99" s="2">
        <v>1000</v>
      </c>
      <c r="G99" s="1">
        <v>25</v>
      </c>
      <c r="H99" s="2">
        <v>25000</v>
      </c>
      <c r="I99" s="137"/>
    </row>
    <row r="100" spans="1:9">
      <c r="A100" s="132">
        <v>98</v>
      </c>
      <c r="B100" s="21" t="s">
        <v>32</v>
      </c>
      <c r="C100" s="21" t="s">
        <v>174</v>
      </c>
      <c r="D100" s="96"/>
      <c r="E100" s="1" t="s">
        <v>72</v>
      </c>
      <c r="F100" s="2">
        <v>1000</v>
      </c>
      <c r="G100" s="1">
        <v>25</v>
      </c>
      <c r="H100" s="2">
        <v>25000</v>
      </c>
      <c r="I100" s="137"/>
    </row>
    <row r="101" spans="1:9">
      <c r="A101" s="131">
        <v>99</v>
      </c>
      <c r="B101" s="21" t="s">
        <v>32</v>
      </c>
      <c r="C101" s="21" t="s">
        <v>185</v>
      </c>
      <c r="D101" s="96"/>
      <c r="E101" s="1" t="s">
        <v>72</v>
      </c>
      <c r="F101" s="2">
        <v>5000</v>
      </c>
      <c r="G101" s="1">
        <v>25</v>
      </c>
      <c r="H101" s="2">
        <v>125000</v>
      </c>
      <c r="I101" s="137"/>
    </row>
    <row r="102" spans="1:9">
      <c r="A102" s="108">
        <v>100</v>
      </c>
      <c r="B102" s="109" t="s">
        <v>32</v>
      </c>
      <c r="C102" s="109" t="s">
        <v>188</v>
      </c>
      <c r="D102" s="113"/>
      <c r="E102" s="111" t="s">
        <v>72</v>
      </c>
      <c r="F102" s="112">
        <v>1000</v>
      </c>
      <c r="G102" s="111">
        <v>25</v>
      </c>
      <c r="H102" s="112">
        <v>25000</v>
      </c>
      <c r="I102" s="136" t="s">
        <v>1291</v>
      </c>
    </row>
    <row r="103" spans="1:9">
      <c r="A103" s="129">
        <v>101</v>
      </c>
      <c r="B103" s="47" t="s">
        <v>32</v>
      </c>
      <c r="C103" s="47" t="s">
        <v>194</v>
      </c>
      <c r="D103" s="98"/>
      <c r="E103" s="48" t="s">
        <v>72</v>
      </c>
      <c r="F103" s="49">
        <v>1000</v>
      </c>
      <c r="G103" s="48">
        <v>25</v>
      </c>
      <c r="H103" s="49">
        <v>25000</v>
      </c>
      <c r="I103" s="139" t="s">
        <v>1190</v>
      </c>
    </row>
    <row r="104" spans="1:9">
      <c r="A104" s="108">
        <v>102</v>
      </c>
      <c r="B104" s="109" t="s">
        <v>32</v>
      </c>
      <c r="C104" s="109" t="s">
        <v>203</v>
      </c>
      <c r="D104" s="113"/>
      <c r="E104" s="111" t="s">
        <v>72</v>
      </c>
      <c r="F104" s="112">
        <v>2000</v>
      </c>
      <c r="G104" s="111">
        <v>25</v>
      </c>
      <c r="H104" s="112">
        <v>50000</v>
      </c>
      <c r="I104" s="136" t="s">
        <v>1291</v>
      </c>
    </row>
    <row r="105" spans="1:9">
      <c r="A105" s="131">
        <v>103</v>
      </c>
      <c r="B105" s="21" t="s">
        <v>32</v>
      </c>
      <c r="C105" s="21" t="s">
        <v>258</v>
      </c>
      <c r="D105" s="96"/>
      <c r="E105" s="1" t="s">
        <v>72</v>
      </c>
      <c r="F105" s="2">
        <v>1000</v>
      </c>
      <c r="G105" s="1">
        <v>25</v>
      </c>
      <c r="H105" s="2">
        <v>25000</v>
      </c>
      <c r="I105" s="137"/>
    </row>
    <row r="106" spans="1:9">
      <c r="A106" s="108">
        <v>104</v>
      </c>
      <c r="B106" s="109" t="s">
        <v>32</v>
      </c>
      <c r="C106" s="109" t="s">
        <v>297</v>
      </c>
      <c r="D106" s="113"/>
      <c r="E106" s="111" t="s">
        <v>72</v>
      </c>
      <c r="F106" s="112">
        <v>5000</v>
      </c>
      <c r="G106" s="111">
        <v>25</v>
      </c>
      <c r="H106" s="112">
        <v>125000</v>
      </c>
      <c r="I106" s="136" t="s">
        <v>1291</v>
      </c>
    </row>
    <row r="107" spans="1:9">
      <c r="A107" s="129">
        <v>105</v>
      </c>
      <c r="B107" s="47" t="s">
        <v>32</v>
      </c>
      <c r="C107" s="47" t="s">
        <v>305</v>
      </c>
      <c r="D107" s="98"/>
      <c r="E107" s="48" t="s">
        <v>72</v>
      </c>
      <c r="F107" s="49">
        <v>1000</v>
      </c>
      <c r="G107" s="48">
        <v>25</v>
      </c>
      <c r="H107" s="49">
        <v>25000</v>
      </c>
      <c r="I107" s="139" t="s">
        <v>1190</v>
      </c>
    </row>
    <row r="108" spans="1:9">
      <c r="A108" s="132">
        <v>106</v>
      </c>
      <c r="B108" s="21" t="s">
        <v>32</v>
      </c>
      <c r="C108" s="21" t="s">
        <v>307</v>
      </c>
      <c r="D108" s="96"/>
      <c r="E108" s="1" t="s">
        <v>72</v>
      </c>
      <c r="F108" s="2">
        <v>7000</v>
      </c>
      <c r="G108" s="1">
        <v>25</v>
      </c>
      <c r="H108" s="2">
        <v>175000</v>
      </c>
      <c r="I108" s="137"/>
    </row>
    <row r="109" spans="1:9">
      <c r="A109" s="130">
        <v>107</v>
      </c>
      <c r="B109" s="109" t="s">
        <v>32</v>
      </c>
      <c r="C109" s="109" t="s">
        <v>228</v>
      </c>
      <c r="D109" s="113"/>
      <c r="E109" s="111" t="s">
        <v>73</v>
      </c>
      <c r="F109" s="112">
        <v>7000</v>
      </c>
      <c r="G109" s="111">
        <v>25</v>
      </c>
      <c r="H109" s="112">
        <v>175000</v>
      </c>
      <c r="I109" s="136" t="s">
        <v>1291</v>
      </c>
    </row>
    <row r="110" spans="1:9">
      <c r="A110" s="132">
        <v>108</v>
      </c>
      <c r="B110" s="21" t="s">
        <v>32</v>
      </c>
      <c r="C110" s="21" t="s">
        <v>161</v>
      </c>
      <c r="D110" s="96"/>
      <c r="E110" s="1" t="s">
        <v>74</v>
      </c>
      <c r="F110" s="2">
        <v>1000</v>
      </c>
      <c r="G110" s="1">
        <v>25</v>
      </c>
      <c r="H110" s="2">
        <v>25000</v>
      </c>
      <c r="I110" s="137"/>
    </row>
    <row r="111" spans="1:9">
      <c r="A111" s="130">
        <v>109</v>
      </c>
      <c r="B111" s="109" t="s">
        <v>32</v>
      </c>
      <c r="C111" s="109" t="s">
        <v>176</v>
      </c>
      <c r="D111" s="113"/>
      <c r="E111" s="111" t="s">
        <v>74</v>
      </c>
      <c r="F111" s="112">
        <v>1000</v>
      </c>
      <c r="G111" s="111">
        <v>25</v>
      </c>
      <c r="H111" s="112">
        <v>25000</v>
      </c>
      <c r="I111" s="136" t="s">
        <v>1291</v>
      </c>
    </row>
    <row r="112" spans="1:9">
      <c r="A112" s="108">
        <v>110</v>
      </c>
      <c r="B112" s="109" t="s">
        <v>32</v>
      </c>
      <c r="C112" s="109" t="s">
        <v>182</v>
      </c>
      <c r="D112" s="113"/>
      <c r="E112" s="111" t="s">
        <v>74</v>
      </c>
      <c r="F112" s="112">
        <v>1000</v>
      </c>
      <c r="G112" s="111">
        <v>25</v>
      </c>
      <c r="H112" s="112">
        <v>25000</v>
      </c>
      <c r="I112" s="136" t="s">
        <v>1291</v>
      </c>
    </row>
    <row r="113" spans="1:9">
      <c r="A113" s="131">
        <v>111</v>
      </c>
      <c r="B113" s="21" t="s">
        <v>32</v>
      </c>
      <c r="C113" s="21" t="s">
        <v>201</v>
      </c>
      <c r="D113" s="96"/>
      <c r="E113" s="1" t="s">
        <v>74</v>
      </c>
      <c r="F113" s="2">
        <v>1000</v>
      </c>
      <c r="G113" s="1">
        <v>25</v>
      </c>
      <c r="H113" s="2">
        <v>25000</v>
      </c>
      <c r="I113" s="137"/>
    </row>
    <row r="114" spans="1:9">
      <c r="A114" s="108">
        <v>112</v>
      </c>
      <c r="B114" s="109" t="s">
        <v>32</v>
      </c>
      <c r="C114" s="109" t="s">
        <v>334</v>
      </c>
      <c r="D114" s="113"/>
      <c r="E114" s="111" t="s">
        <v>74</v>
      </c>
      <c r="F114" s="112">
        <v>5000</v>
      </c>
      <c r="G114" s="111">
        <v>25</v>
      </c>
      <c r="H114" s="112">
        <v>125000</v>
      </c>
      <c r="I114" s="136" t="s">
        <v>1289</v>
      </c>
    </row>
    <row r="115" spans="1:9">
      <c r="A115" s="130">
        <v>113</v>
      </c>
      <c r="B115" s="109" t="s">
        <v>32</v>
      </c>
      <c r="C115" s="109" t="s">
        <v>335</v>
      </c>
      <c r="D115" s="113"/>
      <c r="E115" s="111" t="s">
        <v>74</v>
      </c>
      <c r="F115" s="112">
        <v>3000</v>
      </c>
      <c r="G115" s="111">
        <v>25</v>
      </c>
      <c r="H115" s="112">
        <v>75000</v>
      </c>
      <c r="I115" s="136" t="s">
        <v>1291</v>
      </c>
    </row>
    <row r="116" spans="1:9">
      <c r="A116" s="132">
        <v>114</v>
      </c>
      <c r="B116" s="21" t="s">
        <v>32</v>
      </c>
      <c r="C116" s="21" t="s">
        <v>338</v>
      </c>
      <c r="D116" s="96"/>
      <c r="E116" s="1" t="s">
        <v>74</v>
      </c>
      <c r="F116" s="2">
        <v>1000</v>
      </c>
      <c r="G116" s="1">
        <v>25</v>
      </c>
      <c r="H116" s="2">
        <v>25000</v>
      </c>
      <c r="I116" s="137"/>
    </row>
    <row r="117" spans="1:9">
      <c r="A117" s="130">
        <v>115</v>
      </c>
      <c r="B117" s="109" t="s">
        <v>32</v>
      </c>
      <c r="C117" s="109" t="s">
        <v>150</v>
      </c>
      <c r="D117" s="113"/>
      <c r="E117" s="111" t="s">
        <v>151</v>
      </c>
      <c r="F117" s="112">
        <v>3000</v>
      </c>
      <c r="G117" s="111">
        <v>25</v>
      </c>
      <c r="H117" s="112">
        <v>75000</v>
      </c>
      <c r="I117" s="136" t="s">
        <v>1291</v>
      </c>
    </row>
    <row r="118" spans="1:9">
      <c r="A118" s="108">
        <v>116</v>
      </c>
      <c r="B118" s="109" t="s">
        <v>32</v>
      </c>
      <c r="C118" s="109" t="s">
        <v>152</v>
      </c>
      <c r="D118" s="113"/>
      <c r="E118" s="111" t="s">
        <v>151</v>
      </c>
      <c r="F118" s="112">
        <v>3000</v>
      </c>
      <c r="G118" s="111">
        <v>25</v>
      </c>
      <c r="H118" s="112">
        <v>75000</v>
      </c>
      <c r="I118" s="136" t="s">
        <v>1291</v>
      </c>
    </row>
    <row r="119" spans="1:9">
      <c r="A119" s="131">
        <v>117</v>
      </c>
      <c r="B119" s="21" t="s">
        <v>32</v>
      </c>
      <c r="C119" s="21" t="s">
        <v>153</v>
      </c>
      <c r="D119" s="96"/>
      <c r="E119" s="1" t="s">
        <v>151</v>
      </c>
      <c r="F119" s="2">
        <v>3000</v>
      </c>
      <c r="G119" s="1">
        <v>25</v>
      </c>
      <c r="H119" s="2">
        <v>75000</v>
      </c>
      <c r="I119" s="137"/>
    </row>
    <row r="120" spans="1:9">
      <c r="A120" s="132">
        <v>118</v>
      </c>
      <c r="B120" s="21" t="s">
        <v>32</v>
      </c>
      <c r="C120" s="21" t="s">
        <v>187</v>
      </c>
      <c r="D120" s="96"/>
      <c r="E120" s="1" t="s">
        <v>151</v>
      </c>
      <c r="F120" s="2">
        <v>1000</v>
      </c>
      <c r="G120" s="1">
        <v>25</v>
      </c>
      <c r="H120" s="2">
        <v>25000</v>
      </c>
      <c r="I120" s="137"/>
    </row>
    <row r="121" spans="1:9">
      <c r="A121" s="130">
        <v>119</v>
      </c>
      <c r="B121" s="109" t="s">
        <v>32</v>
      </c>
      <c r="C121" s="109" t="s">
        <v>189</v>
      </c>
      <c r="D121" s="113"/>
      <c r="E121" s="111" t="s">
        <v>151</v>
      </c>
      <c r="F121" s="112">
        <v>4000</v>
      </c>
      <c r="G121" s="111">
        <v>25</v>
      </c>
      <c r="H121" s="112">
        <v>100000</v>
      </c>
      <c r="I121" s="136" t="s">
        <v>1291</v>
      </c>
    </row>
    <row r="122" spans="1:9">
      <c r="A122" s="108">
        <v>120</v>
      </c>
      <c r="B122" s="109" t="s">
        <v>32</v>
      </c>
      <c r="C122" s="109" t="s">
        <v>191</v>
      </c>
      <c r="D122" s="113"/>
      <c r="E122" s="111" t="s">
        <v>151</v>
      </c>
      <c r="F122" s="112">
        <v>3000</v>
      </c>
      <c r="G122" s="111">
        <v>25</v>
      </c>
      <c r="H122" s="112">
        <v>75000</v>
      </c>
      <c r="I122" s="136" t="s">
        <v>1291</v>
      </c>
    </row>
    <row r="123" spans="1:9">
      <c r="A123" s="130">
        <v>121</v>
      </c>
      <c r="B123" s="109" t="s">
        <v>32</v>
      </c>
      <c r="C123" s="109" t="s">
        <v>198</v>
      </c>
      <c r="D123" s="113"/>
      <c r="E123" s="111" t="s">
        <v>151</v>
      </c>
      <c r="F123" s="112">
        <v>2000</v>
      </c>
      <c r="G123" s="111">
        <v>25</v>
      </c>
      <c r="H123" s="112">
        <v>50000</v>
      </c>
      <c r="I123" s="136" t="s">
        <v>1291</v>
      </c>
    </row>
    <row r="124" spans="1:9">
      <c r="A124" s="108">
        <v>122</v>
      </c>
      <c r="B124" s="109" t="s">
        <v>32</v>
      </c>
      <c r="C124" s="109" t="s">
        <v>207</v>
      </c>
      <c r="D124" s="113"/>
      <c r="E124" s="111" t="s">
        <v>151</v>
      </c>
      <c r="F124" s="112">
        <v>3000</v>
      </c>
      <c r="G124" s="111">
        <v>25</v>
      </c>
      <c r="H124" s="112">
        <v>75000</v>
      </c>
      <c r="I124" s="136" t="s">
        <v>1299</v>
      </c>
    </row>
    <row r="125" spans="1:9">
      <c r="A125" s="130">
        <v>123</v>
      </c>
      <c r="B125" s="109" t="s">
        <v>32</v>
      </c>
      <c r="C125" s="109" t="s">
        <v>208</v>
      </c>
      <c r="D125" s="113"/>
      <c r="E125" s="111" t="s">
        <v>151</v>
      </c>
      <c r="F125" s="112">
        <v>1000</v>
      </c>
      <c r="G125" s="111">
        <v>25</v>
      </c>
      <c r="H125" s="112">
        <v>25000</v>
      </c>
      <c r="I125" s="136" t="s">
        <v>1299</v>
      </c>
    </row>
    <row r="126" spans="1:9">
      <c r="A126" s="108">
        <v>124</v>
      </c>
      <c r="B126" s="109" t="s">
        <v>32</v>
      </c>
      <c r="C126" s="109" t="s">
        <v>242</v>
      </c>
      <c r="D126" s="113"/>
      <c r="E126" s="111" t="s">
        <v>151</v>
      </c>
      <c r="F126" s="112">
        <v>5000</v>
      </c>
      <c r="G126" s="111">
        <v>25</v>
      </c>
      <c r="H126" s="112">
        <v>125000</v>
      </c>
      <c r="I126" s="136" t="s">
        <v>1289</v>
      </c>
    </row>
    <row r="127" spans="1:9">
      <c r="A127" s="130">
        <v>125</v>
      </c>
      <c r="B127" s="109" t="s">
        <v>32</v>
      </c>
      <c r="C127" s="109" t="s">
        <v>250</v>
      </c>
      <c r="D127" s="113"/>
      <c r="E127" s="111" t="s">
        <v>151</v>
      </c>
      <c r="F127" s="112">
        <v>5000</v>
      </c>
      <c r="G127" s="111">
        <v>25</v>
      </c>
      <c r="H127" s="112">
        <v>125000</v>
      </c>
      <c r="I127" s="136" t="s">
        <v>1291</v>
      </c>
    </row>
    <row r="128" spans="1:9">
      <c r="A128" s="108">
        <v>126</v>
      </c>
      <c r="B128" s="109" t="s">
        <v>32</v>
      </c>
      <c r="C128" s="109" t="s">
        <v>262</v>
      </c>
      <c r="D128" s="113"/>
      <c r="E128" s="111" t="s">
        <v>151</v>
      </c>
      <c r="F128" s="112">
        <v>2000</v>
      </c>
      <c r="G128" s="111">
        <v>25</v>
      </c>
      <c r="H128" s="112">
        <v>50000</v>
      </c>
      <c r="I128" s="136" t="s">
        <v>1291</v>
      </c>
    </row>
    <row r="129" spans="1:9">
      <c r="A129" s="130">
        <v>127</v>
      </c>
      <c r="B129" s="109" t="s">
        <v>32</v>
      </c>
      <c r="C129" s="109" t="s">
        <v>271</v>
      </c>
      <c r="D129" s="113"/>
      <c r="E129" s="111" t="s">
        <v>151</v>
      </c>
      <c r="F129" s="112">
        <v>1000</v>
      </c>
      <c r="G129" s="111">
        <v>25</v>
      </c>
      <c r="H129" s="112">
        <v>25000</v>
      </c>
      <c r="I129" s="119" t="s">
        <v>1291</v>
      </c>
    </row>
    <row r="130" spans="1:9">
      <c r="A130" s="108">
        <v>128</v>
      </c>
      <c r="B130" s="109" t="s">
        <v>32</v>
      </c>
      <c r="C130" s="109" t="s">
        <v>291</v>
      </c>
      <c r="D130" s="113"/>
      <c r="E130" s="111" t="s">
        <v>151</v>
      </c>
      <c r="F130" s="112">
        <v>3000</v>
      </c>
      <c r="G130" s="111">
        <v>25</v>
      </c>
      <c r="H130" s="112">
        <v>75000</v>
      </c>
      <c r="I130" s="119" t="s">
        <v>1291</v>
      </c>
    </row>
    <row r="131" spans="1:9" ht="32.4">
      <c r="A131" s="130">
        <v>129</v>
      </c>
      <c r="B131" s="109" t="s">
        <v>32</v>
      </c>
      <c r="C131" s="109" t="s">
        <v>295</v>
      </c>
      <c r="D131" s="110" t="s">
        <v>1290</v>
      </c>
      <c r="E131" s="111" t="s">
        <v>151</v>
      </c>
      <c r="F131" s="112">
        <v>1000</v>
      </c>
      <c r="G131" s="111">
        <v>25</v>
      </c>
      <c r="H131" s="112">
        <v>25000</v>
      </c>
      <c r="I131" s="119" t="s">
        <v>1291</v>
      </c>
    </row>
    <row r="132" spans="1:9">
      <c r="A132" s="132">
        <v>130</v>
      </c>
      <c r="B132" s="21" t="s">
        <v>32</v>
      </c>
      <c r="C132" s="21" t="s">
        <v>309</v>
      </c>
      <c r="D132" s="96"/>
      <c r="E132" s="1" t="s">
        <v>151</v>
      </c>
      <c r="F132" s="2">
        <v>3000</v>
      </c>
      <c r="G132" s="1">
        <v>25</v>
      </c>
      <c r="H132" s="2">
        <v>75000</v>
      </c>
      <c r="I132" s="137"/>
    </row>
    <row r="133" spans="1:9">
      <c r="A133" s="130">
        <v>131</v>
      </c>
      <c r="B133" s="109" t="s">
        <v>32</v>
      </c>
      <c r="C133" s="109" t="s">
        <v>315</v>
      </c>
      <c r="D133" s="113"/>
      <c r="E133" s="111" t="s">
        <v>151</v>
      </c>
      <c r="F133" s="112">
        <v>1000</v>
      </c>
      <c r="G133" s="111">
        <v>25</v>
      </c>
      <c r="H133" s="112">
        <v>25000</v>
      </c>
      <c r="I133" s="119" t="s">
        <v>1291</v>
      </c>
    </row>
    <row r="134" spans="1:9">
      <c r="A134" s="108">
        <v>132</v>
      </c>
      <c r="B134" s="109" t="s">
        <v>32</v>
      </c>
      <c r="C134" s="109" t="s">
        <v>322</v>
      </c>
      <c r="D134" s="113"/>
      <c r="E134" s="111" t="s">
        <v>151</v>
      </c>
      <c r="F134" s="112">
        <v>5000</v>
      </c>
      <c r="G134" s="111">
        <v>25</v>
      </c>
      <c r="H134" s="112">
        <v>125000</v>
      </c>
      <c r="I134" s="136" t="s">
        <v>1291</v>
      </c>
    </row>
    <row r="135" spans="1:9">
      <c r="A135" s="131">
        <v>133</v>
      </c>
      <c r="B135" s="21" t="s">
        <v>32</v>
      </c>
      <c r="C135" s="21" t="s">
        <v>323</v>
      </c>
      <c r="D135" s="96"/>
      <c r="E135" s="1" t="s">
        <v>151</v>
      </c>
      <c r="F135" s="2">
        <v>10000</v>
      </c>
      <c r="G135" s="1">
        <v>25</v>
      </c>
      <c r="H135" s="2">
        <v>250000</v>
      </c>
      <c r="I135" s="137"/>
    </row>
    <row r="136" spans="1:9">
      <c r="A136" s="132">
        <v>134</v>
      </c>
      <c r="B136" s="21" t="s">
        <v>32</v>
      </c>
      <c r="C136" s="21" t="s">
        <v>327</v>
      </c>
      <c r="D136" s="96"/>
      <c r="E136" s="1" t="s">
        <v>151</v>
      </c>
      <c r="F136" s="2">
        <v>1000</v>
      </c>
      <c r="G136" s="1">
        <v>25</v>
      </c>
      <c r="H136" s="2">
        <v>25000</v>
      </c>
      <c r="I136" s="137"/>
    </row>
    <row r="137" spans="1:9">
      <c r="A137" s="129">
        <v>135</v>
      </c>
      <c r="B137" s="47" t="s">
        <v>32</v>
      </c>
      <c r="C137" s="47" t="s">
        <v>216</v>
      </c>
      <c r="D137" s="98" t="s">
        <v>1277</v>
      </c>
      <c r="E137" s="48" t="s">
        <v>217</v>
      </c>
      <c r="F137" s="49">
        <v>1000</v>
      </c>
      <c r="G137" s="48">
        <v>25</v>
      </c>
      <c r="H137" s="49">
        <v>25000</v>
      </c>
      <c r="I137" s="139" t="s">
        <v>1190</v>
      </c>
    </row>
    <row r="138" spans="1:9">
      <c r="A138" s="46">
        <v>136</v>
      </c>
      <c r="B138" s="47" t="s">
        <v>32</v>
      </c>
      <c r="C138" s="47" t="s">
        <v>286</v>
      </c>
      <c r="D138" s="98"/>
      <c r="E138" s="48" t="s">
        <v>217</v>
      </c>
      <c r="F138" s="49">
        <v>1000</v>
      </c>
      <c r="G138" s="48">
        <v>25</v>
      </c>
      <c r="H138" s="49">
        <v>25000</v>
      </c>
      <c r="I138" s="139" t="s">
        <v>1190</v>
      </c>
    </row>
    <row r="139" spans="1:9">
      <c r="A139" s="131">
        <v>137</v>
      </c>
      <c r="B139" s="21" t="s">
        <v>32</v>
      </c>
      <c r="C139" s="21" t="s">
        <v>264</v>
      </c>
      <c r="D139" s="96"/>
      <c r="E139" s="1" t="s">
        <v>265</v>
      </c>
      <c r="F139" s="2">
        <v>1000</v>
      </c>
      <c r="G139" s="1">
        <v>25</v>
      </c>
      <c r="H139" s="2">
        <v>25000</v>
      </c>
      <c r="I139" s="137"/>
    </row>
    <row r="140" spans="1:9">
      <c r="A140" s="108">
        <v>138</v>
      </c>
      <c r="B140" s="109" t="s">
        <v>32</v>
      </c>
      <c r="C140" s="109" t="s">
        <v>317</v>
      </c>
      <c r="D140" s="113"/>
      <c r="E140" s="111" t="s">
        <v>75</v>
      </c>
      <c r="F140" s="112">
        <v>3000</v>
      </c>
      <c r="G140" s="111">
        <v>25</v>
      </c>
      <c r="H140" s="112">
        <v>75000</v>
      </c>
      <c r="I140" s="136" t="s">
        <v>1291</v>
      </c>
    </row>
    <row r="141" spans="1:9">
      <c r="A141" s="130">
        <v>139</v>
      </c>
      <c r="B141" s="109" t="s">
        <v>32</v>
      </c>
      <c r="C141" s="109" t="s">
        <v>319</v>
      </c>
      <c r="D141" s="113"/>
      <c r="E141" s="111" t="s">
        <v>75</v>
      </c>
      <c r="F141" s="112">
        <v>4000</v>
      </c>
      <c r="G141" s="111">
        <v>25</v>
      </c>
      <c r="H141" s="112">
        <v>100000</v>
      </c>
      <c r="I141" s="136" t="s">
        <v>1291</v>
      </c>
    </row>
    <row r="142" spans="1:9">
      <c r="A142" s="132">
        <v>140</v>
      </c>
      <c r="B142" s="21" t="s">
        <v>32</v>
      </c>
      <c r="C142" s="21" t="s">
        <v>342</v>
      </c>
      <c r="D142" s="96"/>
      <c r="E142" s="1" t="s">
        <v>343</v>
      </c>
      <c r="F142" s="2">
        <v>1000</v>
      </c>
      <c r="G142" s="1">
        <v>25</v>
      </c>
      <c r="H142" s="2">
        <v>25000</v>
      </c>
      <c r="I142" s="137"/>
    </row>
    <row r="143" spans="1:9">
      <c r="A143" s="131">
        <v>141</v>
      </c>
      <c r="B143" s="21" t="s">
        <v>32</v>
      </c>
      <c r="C143" s="21" t="s">
        <v>345</v>
      </c>
      <c r="D143" s="96"/>
      <c r="E143" s="1" t="s">
        <v>343</v>
      </c>
      <c r="F143" s="2">
        <v>1000</v>
      </c>
      <c r="G143" s="1">
        <v>25</v>
      </c>
      <c r="H143" s="2">
        <v>25000</v>
      </c>
      <c r="I143" s="137"/>
    </row>
    <row r="144" spans="1:9">
      <c r="A144" s="46">
        <v>142</v>
      </c>
      <c r="B144" s="47" t="s">
        <v>32</v>
      </c>
      <c r="C144" s="47" t="s">
        <v>145</v>
      </c>
      <c r="D144" s="98" t="s">
        <v>1277</v>
      </c>
      <c r="E144" s="48" t="s">
        <v>76</v>
      </c>
      <c r="F144" s="49">
        <v>1000</v>
      </c>
      <c r="G144" s="48">
        <v>25</v>
      </c>
      <c r="H144" s="49">
        <v>25000</v>
      </c>
      <c r="I144" s="139" t="s">
        <v>1190</v>
      </c>
    </row>
    <row r="145" spans="1:9">
      <c r="A145" s="131">
        <v>143</v>
      </c>
      <c r="B145" s="21" t="s">
        <v>32</v>
      </c>
      <c r="C145" s="21" t="s">
        <v>224</v>
      </c>
      <c r="D145" s="96"/>
      <c r="E145" s="1" t="s">
        <v>76</v>
      </c>
      <c r="F145" s="2">
        <v>2000</v>
      </c>
      <c r="G145" s="1">
        <v>25</v>
      </c>
      <c r="H145" s="2">
        <v>50000</v>
      </c>
      <c r="I145" s="137"/>
    </row>
    <row r="146" spans="1:9">
      <c r="A146" s="132">
        <v>144</v>
      </c>
      <c r="B146" s="21" t="s">
        <v>32</v>
      </c>
      <c r="C146" s="21" t="s">
        <v>261</v>
      </c>
      <c r="D146" s="96"/>
      <c r="E146" s="1" t="s">
        <v>77</v>
      </c>
      <c r="F146" s="2">
        <v>1000</v>
      </c>
      <c r="G146" s="1">
        <v>25</v>
      </c>
      <c r="H146" s="2">
        <v>25000</v>
      </c>
      <c r="I146" s="137"/>
    </row>
    <row r="147" spans="1:9">
      <c r="A147" s="131">
        <v>145</v>
      </c>
      <c r="B147" s="21" t="s">
        <v>32</v>
      </c>
      <c r="C147" s="21" t="s">
        <v>192</v>
      </c>
      <c r="D147" s="96"/>
      <c r="E147" s="1" t="s">
        <v>110</v>
      </c>
      <c r="F147" s="2">
        <v>1000</v>
      </c>
      <c r="G147" s="1">
        <v>25</v>
      </c>
      <c r="H147" s="2">
        <v>25000</v>
      </c>
      <c r="I147" s="137"/>
    </row>
    <row r="148" spans="1:9">
      <c r="A148" s="132">
        <v>146</v>
      </c>
      <c r="B148" s="21" t="s">
        <v>32</v>
      </c>
      <c r="C148" s="21" t="s">
        <v>192</v>
      </c>
      <c r="D148" s="96"/>
      <c r="E148" s="1" t="s">
        <v>110</v>
      </c>
      <c r="F148" s="2">
        <v>1000</v>
      </c>
      <c r="G148" s="1">
        <v>25</v>
      </c>
      <c r="H148" s="2">
        <v>25000</v>
      </c>
      <c r="I148" s="137"/>
    </row>
    <row r="149" spans="1:9">
      <c r="A149" s="131">
        <v>147</v>
      </c>
      <c r="B149" s="21" t="s">
        <v>32</v>
      </c>
      <c r="C149" s="21" t="s">
        <v>257</v>
      </c>
      <c r="D149" s="96"/>
      <c r="E149" s="1" t="s">
        <v>110</v>
      </c>
      <c r="F149" s="2">
        <v>3000</v>
      </c>
      <c r="G149" s="1">
        <v>25</v>
      </c>
      <c r="H149" s="2">
        <v>75000</v>
      </c>
      <c r="I149" s="137"/>
    </row>
    <row r="150" spans="1:9">
      <c r="A150" s="132">
        <v>148</v>
      </c>
      <c r="B150" s="21" t="s">
        <v>32</v>
      </c>
      <c r="C150" s="21" t="s">
        <v>134</v>
      </c>
      <c r="D150" s="96"/>
      <c r="E150" s="1" t="s">
        <v>135</v>
      </c>
      <c r="F150" s="2">
        <v>1000</v>
      </c>
      <c r="G150" s="1">
        <v>25</v>
      </c>
      <c r="H150" s="2">
        <v>25000</v>
      </c>
      <c r="I150" s="137"/>
    </row>
    <row r="151" spans="1:9">
      <c r="A151" s="131">
        <v>149</v>
      </c>
      <c r="B151" s="21" t="s">
        <v>32</v>
      </c>
      <c r="C151" s="21" t="s">
        <v>170</v>
      </c>
      <c r="D151" s="96"/>
      <c r="E151" s="1" t="s">
        <v>78</v>
      </c>
      <c r="F151" s="2">
        <v>1000</v>
      </c>
      <c r="G151" s="1">
        <v>25</v>
      </c>
      <c r="H151" s="2">
        <v>25000</v>
      </c>
      <c r="I151" s="137"/>
    </row>
    <row r="152" spans="1:9">
      <c r="A152" s="132">
        <v>150</v>
      </c>
      <c r="B152" s="21" t="s">
        <v>32</v>
      </c>
      <c r="C152" s="21" t="s">
        <v>325</v>
      </c>
      <c r="D152" s="96"/>
      <c r="E152" s="1" t="s">
        <v>78</v>
      </c>
      <c r="F152" s="2">
        <v>3000</v>
      </c>
      <c r="G152" s="1">
        <v>25</v>
      </c>
      <c r="H152" s="2">
        <v>75000</v>
      </c>
      <c r="I152" s="137"/>
    </row>
    <row r="153" spans="1:9">
      <c r="A153" s="131">
        <v>151</v>
      </c>
      <c r="B153" s="21" t="s">
        <v>32</v>
      </c>
      <c r="C153" s="21" t="s">
        <v>229</v>
      </c>
      <c r="D153" s="96"/>
      <c r="E153" s="1" t="s">
        <v>11</v>
      </c>
      <c r="F153" s="2">
        <v>1000</v>
      </c>
      <c r="G153" s="1">
        <v>25</v>
      </c>
      <c r="H153" s="2">
        <v>25000</v>
      </c>
      <c r="I153" s="137"/>
    </row>
    <row r="154" spans="1:9">
      <c r="A154" s="132">
        <v>152</v>
      </c>
      <c r="B154" s="21" t="s">
        <v>32</v>
      </c>
      <c r="C154" s="21" t="s">
        <v>266</v>
      </c>
      <c r="D154" s="96"/>
      <c r="E154" s="1" t="s">
        <v>267</v>
      </c>
      <c r="F154" s="2">
        <v>1000</v>
      </c>
      <c r="G154" s="1">
        <v>25</v>
      </c>
      <c r="H154" s="2">
        <v>25000</v>
      </c>
      <c r="I154" s="137"/>
    </row>
    <row r="155" spans="1:9">
      <c r="A155" s="130">
        <v>153</v>
      </c>
      <c r="B155" s="109" t="s">
        <v>32</v>
      </c>
      <c r="C155" s="109" t="s">
        <v>1262</v>
      </c>
      <c r="D155" s="113"/>
      <c r="E155" s="111" t="s">
        <v>267</v>
      </c>
      <c r="F155" s="112">
        <v>2000</v>
      </c>
      <c r="G155" s="111">
        <v>25</v>
      </c>
      <c r="H155" s="112">
        <v>50000</v>
      </c>
      <c r="I155" s="136" t="s">
        <v>1299</v>
      </c>
    </row>
    <row r="156" spans="1:9">
      <c r="A156" s="132">
        <v>154</v>
      </c>
      <c r="B156" s="21" t="s">
        <v>32</v>
      </c>
      <c r="C156" s="21" t="s">
        <v>268</v>
      </c>
      <c r="D156" s="96"/>
      <c r="E156" s="1" t="s">
        <v>269</v>
      </c>
      <c r="F156" s="2">
        <v>3000</v>
      </c>
      <c r="G156" s="1">
        <v>25</v>
      </c>
      <c r="H156" s="2">
        <v>75000</v>
      </c>
      <c r="I156" s="137"/>
    </row>
    <row r="157" spans="1:9">
      <c r="A157" s="131">
        <v>155</v>
      </c>
      <c r="B157" s="21" t="s">
        <v>32</v>
      </c>
      <c r="C157" s="21" t="s">
        <v>213</v>
      </c>
      <c r="D157" s="96"/>
      <c r="E157" s="1" t="s">
        <v>214</v>
      </c>
      <c r="F157" s="2">
        <v>1000</v>
      </c>
      <c r="G157" s="1">
        <v>25</v>
      </c>
      <c r="H157" s="2">
        <v>25000</v>
      </c>
      <c r="I157" s="137"/>
    </row>
    <row r="158" spans="1:9">
      <c r="A158" s="132">
        <v>156</v>
      </c>
      <c r="B158" s="21" t="s">
        <v>32</v>
      </c>
      <c r="C158" s="21" t="s">
        <v>248</v>
      </c>
      <c r="D158" s="96"/>
      <c r="E158" s="1" t="s">
        <v>214</v>
      </c>
      <c r="F158" s="2">
        <v>4000</v>
      </c>
      <c r="G158" s="1">
        <v>25</v>
      </c>
      <c r="H158" s="2">
        <v>100000</v>
      </c>
      <c r="I158" s="137"/>
    </row>
    <row r="159" spans="1:9">
      <c r="A159" s="131">
        <v>157</v>
      </c>
      <c r="B159" s="21" t="s">
        <v>32</v>
      </c>
      <c r="C159" s="21" t="s">
        <v>292</v>
      </c>
      <c r="D159" s="96"/>
      <c r="E159" s="1" t="s">
        <v>214</v>
      </c>
      <c r="F159" s="2">
        <v>1000</v>
      </c>
      <c r="G159" s="1">
        <v>25</v>
      </c>
      <c r="H159" s="2">
        <v>25000</v>
      </c>
      <c r="I159" s="137"/>
    </row>
    <row r="160" spans="1:9">
      <c r="A160" s="108">
        <v>158</v>
      </c>
      <c r="B160" s="109" t="s">
        <v>32</v>
      </c>
      <c r="C160" s="109" t="s">
        <v>331</v>
      </c>
      <c r="D160" s="113"/>
      <c r="E160" s="111" t="s">
        <v>79</v>
      </c>
      <c r="F160" s="112">
        <v>2000</v>
      </c>
      <c r="G160" s="111">
        <v>25</v>
      </c>
      <c r="H160" s="112">
        <v>50000</v>
      </c>
      <c r="I160" s="136" t="s">
        <v>1299</v>
      </c>
    </row>
    <row r="161" spans="1:9">
      <c r="A161" s="130">
        <v>159</v>
      </c>
      <c r="B161" s="109" t="s">
        <v>32</v>
      </c>
      <c r="C161" s="109" t="s">
        <v>289</v>
      </c>
      <c r="D161" s="113"/>
      <c r="E161" s="111" t="s">
        <v>290</v>
      </c>
      <c r="F161" s="112">
        <v>2000</v>
      </c>
      <c r="G161" s="111">
        <v>25</v>
      </c>
      <c r="H161" s="112">
        <v>50000</v>
      </c>
      <c r="I161" s="136" t="s">
        <v>1299</v>
      </c>
    </row>
    <row r="162" spans="1:9">
      <c r="A162" s="108">
        <v>160</v>
      </c>
      <c r="B162" s="109" t="s">
        <v>32</v>
      </c>
      <c r="C162" s="109" t="s">
        <v>143</v>
      </c>
      <c r="D162" s="113"/>
      <c r="E162" s="111" t="s">
        <v>144</v>
      </c>
      <c r="F162" s="112">
        <v>1000</v>
      </c>
      <c r="G162" s="111">
        <v>25</v>
      </c>
      <c r="H162" s="112">
        <v>25000</v>
      </c>
      <c r="I162" s="136" t="s">
        <v>1299</v>
      </c>
    </row>
    <row r="163" spans="1:9">
      <c r="A163" s="130">
        <v>161</v>
      </c>
      <c r="B163" s="109" t="s">
        <v>32</v>
      </c>
      <c r="C163" s="109" t="s">
        <v>238</v>
      </c>
      <c r="D163" s="113"/>
      <c r="E163" s="111" t="s">
        <v>239</v>
      </c>
      <c r="F163" s="112">
        <v>5000</v>
      </c>
      <c r="G163" s="111">
        <v>25</v>
      </c>
      <c r="H163" s="112">
        <v>125000</v>
      </c>
      <c r="I163" s="136" t="s">
        <v>1299</v>
      </c>
    </row>
    <row r="164" spans="1:9">
      <c r="A164" s="132">
        <v>162</v>
      </c>
      <c r="B164" s="21" t="s">
        <v>32</v>
      </c>
      <c r="C164" s="21" t="s">
        <v>154</v>
      </c>
      <c r="D164" s="96"/>
      <c r="E164" s="1" t="s">
        <v>155</v>
      </c>
      <c r="F164" s="2">
        <v>1000</v>
      </c>
      <c r="G164" s="1">
        <v>25</v>
      </c>
      <c r="H164" s="2">
        <v>25000</v>
      </c>
      <c r="I164" s="137"/>
    </row>
    <row r="165" spans="1:9">
      <c r="A165" s="131">
        <v>163</v>
      </c>
      <c r="B165" s="21" t="s">
        <v>32</v>
      </c>
      <c r="C165" s="21" t="s">
        <v>281</v>
      </c>
      <c r="D165" s="96"/>
      <c r="E165" s="1" t="s">
        <v>155</v>
      </c>
      <c r="F165" s="2">
        <v>1000</v>
      </c>
      <c r="G165" s="1">
        <v>25</v>
      </c>
      <c r="H165" s="2">
        <v>25000</v>
      </c>
      <c r="I165" s="137"/>
    </row>
    <row r="166" spans="1:9">
      <c r="A166" s="132">
        <v>164</v>
      </c>
      <c r="B166" s="21" t="s">
        <v>32</v>
      </c>
      <c r="C166" s="21" t="s">
        <v>281</v>
      </c>
      <c r="D166" s="96"/>
      <c r="E166" s="1" t="s">
        <v>155</v>
      </c>
      <c r="F166" s="2">
        <v>2000</v>
      </c>
      <c r="G166" s="1">
        <v>25</v>
      </c>
      <c r="H166" s="2">
        <v>50000</v>
      </c>
      <c r="I166" s="137"/>
    </row>
    <row r="167" spans="1:9">
      <c r="A167" s="131">
        <v>165</v>
      </c>
      <c r="B167" s="21" t="s">
        <v>32</v>
      </c>
      <c r="C167" s="21" t="s">
        <v>304</v>
      </c>
      <c r="D167" s="96"/>
      <c r="E167" s="1" t="s">
        <v>155</v>
      </c>
      <c r="F167" s="2">
        <v>1000</v>
      </c>
      <c r="G167" s="1">
        <v>25</v>
      </c>
      <c r="H167" s="2">
        <v>25000</v>
      </c>
      <c r="I167" s="137"/>
    </row>
    <row r="168" spans="1:9">
      <c r="A168" s="132">
        <v>166</v>
      </c>
      <c r="B168" s="21" t="s">
        <v>32</v>
      </c>
      <c r="C168" s="21" t="s">
        <v>232</v>
      </c>
      <c r="D168" s="96"/>
      <c r="E168" s="1" t="s">
        <v>233</v>
      </c>
      <c r="F168" s="2">
        <v>4000</v>
      </c>
      <c r="G168" s="1">
        <v>25</v>
      </c>
      <c r="H168" s="2">
        <v>100000</v>
      </c>
      <c r="I168" s="137"/>
    </row>
    <row r="169" spans="1:9">
      <c r="A169" s="131">
        <v>167</v>
      </c>
      <c r="B169" s="21" t="s">
        <v>32</v>
      </c>
      <c r="C169" s="21" t="s">
        <v>139</v>
      </c>
      <c r="D169" s="96"/>
      <c r="E169" s="1" t="s">
        <v>140</v>
      </c>
      <c r="F169" s="2">
        <v>2000</v>
      </c>
      <c r="G169" s="1">
        <v>25</v>
      </c>
      <c r="H169" s="2">
        <v>50000</v>
      </c>
      <c r="I169" s="137"/>
    </row>
    <row r="170" spans="1:9">
      <c r="A170" s="132">
        <v>168</v>
      </c>
      <c r="B170" s="21" t="s">
        <v>32</v>
      </c>
      <c r="C170" s="21" t="s">
        <v>222</v>
      </c>
      <c r="D170" s="96"/>
      <c r="E170" s="1" t="s">
        <v>140</v>
      </c>
      <c r="F170" s="2">
        <v>2000</v>
      </c>
      <c r="G170" s="1">
        <v>25</v>
      </c>
      <c r="H170" s="2">
        <v>50000</v>
      </c>
      <c r="I170" s="137"/>
    </row>
    <row r="171" spans="1:9">
      <c r="A171" s="131">
        <v>169</v>
      </c>
      <c r="B171" s="21" t="s">
        <v>32</v>
      </c>
      <c r="C171" s="21" t="s">
        <v>278</v>
      </c>
      <c r="D171" s="96"/>
      <c r="E171" s="1" t="s">
        <v>140</v>
      </c>
      <c r="F171" s="2">
        <v>1000</v>
      </c>
      <c r="G171" s="1">
        <v>25</v>
      </c>
      <c r="H171" s="2">
        <v>25000</v>
      </c>
      <c r="I171" s="137"/>
    </row>
    <row r="172" spans="1:9">
      <c r="A172" s="46">
        <v>170</v>
      </c>
      <c r="B172" s="47" t="s">
        <v>32</v>
      </c>
      <c r="C172" s="47" t="s">
        <v>159</v>
      </c>
      <c r="D172" s="98" t="s">
        <v>1246</v>
      </c>
      <c r="E172" s="48" t="s">
        <v>160</v>
      </c>
      <c r="F172" s="49">
        <v>1000</v>
      </c>
      <c r="G172" s="48">
        <v>25</v>
      </c>
      <c r="H172" s="49">
        <v>25000</v>
      </c>
      <c r="I172" s="139" t="s">
        <v>1190</v>
      </c>
    </row>
    <row r="173" spans="1:9">
      <c r="A173" s="131">
        <v>171</v>
      </c>
      <c r="B173" s="21" t="s">
        <v>32</v>
      </c>
      <c r="C173" s="21" t="s">
        <v>209</v>
      </c>
      <c r="D173" s="96"/>
      <c r="E173" s="1" t="s">
        <v>210</v>
      </c>
      <c r="F173" s="2">
        <v>5000</v>
      </c>
      <c r="G173" s="1">
        <v>25</v>
      </c>
      <c r="H173" s="2">
        <v>125000</v>
      </c>
      <c r="I173" s="137"/>
    </row>
    <row r="174" spans="1:9">
      <c r="A174" s="132">
        <v>172</v>
      </c>
      <c r="B174" s="21" t="s">
        <v>32</v>
      </c>
      <c r="C174" s="21" t="s">
        <v>177</v>
      </c>
      <c r="D174" s="96"/>
      <c r="E174" s="1" t="s">
        <v>178</v>
      </c>
      <c r="F174" s="2">
        <v>1000</v>
      </c>
      <c r="G174" s="1">
        <v>25</v>
      </c>
      <c r="H174" s="2">
        <v>25000</v>
      </c>
      <c r="I174" s="137"/>
    </row>
    <row r="175" spans="1:9">
      <c r="A175" s="131">
        <v>173</v>
      </c>
      <c r="B175" s="21" t="s">
        <v>32</v>
      </c>
      <c r="C175" s="21" t="s">
        <v>164</v>
      </c>
      <c r="D175" s="96"/>
      <c r="E175" s="1" t="s">
        <v>80</v>
      </c>
      <c r="F175" s="2">
        <v>1000</v>
      </c>
      <c r="G175" s="1">
        <v>25</v>
      </c>
      <c r="H175" s="2">
        <v>25000</v>
      </c>
      <c r="I175" s="137"/>
    </row>
    <row r="176" spans="1:9">
      <c r="A176" s="132">
        <v>174</v>
      </c>
      <c r="B176" s="21" t="s">
        <v>32</v>
      </c>
      <c r="C176" s="21" t="s">
        <v>168</v>
      </c>
      <c r="D176" s="96"/>
      <c r="E176" s="1" t="s">
        <v>80</v>
      </c>
      <c r="F176" s="2">
        <v>1000</v>
      </c>
      <c r="G176" s="1">
        <v>25</v>
      </c>
      <c r="H176" s="2">
        <v>25000</v>
      </c>
      <c r="I176" s="137"/>
    </row>
    <row r="177" spans="1:9">
      <c r="A177" s="130">
        <v>175</v>
      </c>
      <c r="B177" s="109" t="s">
        <v>32</v>
      </c>
      <c r="C177" s="109" t="s">
        <v>227</v>
      </c>
      <c r="D177" s="113"/>
      <c r="E177" s="111" t="s">
        <v>80</v>
      </c>
      <c r="F177" s="112">
        <v>6000</v>
      </c>
      <c r="G177" s="111">
        <v>25</v>
      </c>
      <c r="H177" s="112">
        <v>150000</v>
      </c>
      <c r="I177" s="136" t="s">
        <v>1291</v>
      </c>
    </row>
    <row r="178" spans="1:9">
      <c r="A178" s="108">
        <v>176</v>
      </c>
      <c r="B178" s="109" t="s">
        <v>32</v>
      </c>
      <c r="C178" s="109" t="s">
        <v>240</v>
      </c>
      <c r="D178" s="113"/>
      <c r="E178" s="111" t="s">
        <v>80</v>
      </c>
      <c r="F178" s="112">
        <v>6000</v>
      </c>
      <c r="G178" s="111">
        <v>25</v>
      </c>
      <c r="H178" s="112">
        <v>150000</v>
      </c>
      <c r="I178" s="136" t="s">
        <v>1299</v>
      </c>
    </row>
    <row r="179" spans="1:9" ht="48.6">
      <c r="A179" s="130">
        <v>177</v>
      </c>
      <c r="B179" s="109" t="s">
        <v>32</v>
      </c>
      <c r="C179" s="109" t="s">
        <v>326</v>
      </c>
      <c r="D179" s="110" t="s">
        <v>1292</v>
      </c>
      <c r="E179" s="111" t="s">
        <v>80</v>
      </c>
      <c r="F179" s="112">
        <v>1000</v>
      </c>
      <c r="G179" s="111">
        <v>25</v>
      </c>
      <c r="H179" s="112">
        <v>25000</v>
      </c>
      <c r="I179" s="136" t="s">
        <v>1239</v>
      </c>
    </row>
    <row r="180" spans="1:9">
      <c r="A180" s="132">
        <v>178</v>
      </c>
      <c r="B180" s="21" t="s">
        <v>32</v>
      </c>
      <c r="C180" s="21" t="s">
        <v>168</v>
      </c>
      <c r="D180" s="96"/>
      <c r="E180" s="1" t="s">
        <v>169</v>
      </c>
      <c r="F180" s="2">
        <v>1000</v>
      </c>
      <c r="G180" s="1">
        <v>25</v>
      </c>
      <c r="H180" s="2">
        <v>25000</v>
      </c>
      <c r="I180" s="137"/>
    </row>
    <row r="181" spans="1:9">
      <c r="A181" s="131">
        <v>179</v>
      </c>
      <c r="B181" s="21" t="s">
        <v>32</v>
      </c>
      <c r="C181" s="21" t="s">
        <v>180</v>
      </c>
      <c r="D181" s="96"/>
      <c r="E181" s="1" t="s">
        <v>169</v>
      </c>
      <c r="F181" s="2">
        <v>1000</v>
      </c>
      <c r="G181" s="1">
        <v>25</v>
      </c>
      <c r="H181" s="2">
        <v>25000</v>
      </c>
      <c r="I181" s="137"/>
    </row>
    <row r="182" spans="1:9">
      <c r="A182" s="132">
        <v>180</v>
      </c>
      <c r="B182" s="21" t="s">
        <v>32</v>
      </c>
      <c r="C182" s="21" t="s">
        <v>336</v>
      </c>
      <c r="D182" s="96"/>
      <c r="E182" s="1" t="s">
        <v>169</v>
      </c>
      <c r="F182" s="2">
        <v>1000</v>
      </c>
      <c r="G182" s="1">
        <v>25</v>
      </c>
      <c r="H182" s="2">
        <v>25000</v>
      </c>
      <c r="I182" s="137"/>
    </row>
    <row r="183" spans="1:9">
      <c r="A183" s="131">
        <v>181</v>
      </c>
      <c r="B183" s="21" t="s">
        <v>32</v>
      </c>
      <c r="C183" s="21" t="s">
        <v>347</v>
      </c>
      <c r="D183" s="96"/>
      <c r="E183" s="1" t="s">
        <v>169</v>
      </c>
      <c r="F183" s="2">
        <v>2000</v>
      </c>
      <c r="G183" s="1">
        <v>25</v>
      </c>
      <c r="H183" s="2">
        <v>50000</v>
      </c>
      <c r="I183" s="137"/>
    </row>
    <row r="184" spans="1:9">
      <c r="A184" s="108">
        <v>182</v>
      </c>
      <c r="B184" s="109" t="s">
        <v>32</v>
      </c>
      <c r="C184" s="109" t="s">
        <v>199</v>
      </c>
      <c r="D184" s="113"/>
      <c r="E184" s="111" t="s">
        <v>200</v>
      </c>
      <c r="F184" s="112">
        <v>1000</v>
      </c>
      <c r="G184" s="111">
        <v>25</v>
      </c>
      <c r="H184" s="112">
        <v>25000</v>
      </c>
      <c r="I184" s="140" t="s">
        <v>1288</v>
      </c>
    </row>
    <row r="185" spans="1:9">
      <c r="A185" s="131">
        <v>183</v>
      </c>
      <c r="B185" s="21" t="s">
        <v>32</v>
      </c>
      <c r="C185" s="21" t="s">
        <v>221</v>
      </c>
      <c r="D185" s="96"/>
      <c r="E185" s="1" t="s">
        <v>200</v>
      </c>
      <c r="F185" s="2">
        <v>1000</v>
      </c>
      <c r="G185" s="1">
        <v>25</v>
      </c>
      <c r="H185" s="2">
        <v>25000</v>
      </c>
      <c r="I185" s="137"/>
    </row>
    <row r="186" spans="1:9">
      <c r="A186" s="132">
        <v>184</v>
      </c>
      <c r="B186" s="21" t="s">
        <v>32</v>
      </c>
      <c r="C186" s="21" t="s">
        <v>329</v>
      </c>
      <c r="D186" s="96"/>
      <c r="E186" s="1" t="s">
        <v>200</v>
      </c>
      <c r="F186" s="2">
        <v>1000</v>
      </c>
      <c r="G186" s="1">
        <v>25</v>
      </c>
      <c r="H186" s="2">
        <v>25000</v>
      </c>
      <c r="I186" s="137"/>
    </row>
    <row r="187" spans="1:9">
      <c r="A187" s="131">
        <v>185</v>
      </c>
      <c r="B187" s="21" t="s">
        <v>32</v>
      </c>
      <c r="C187" s="21" t="s">
        <v>235</v>
      </c>
      <c r="D187" s="96"/>
      <c r="E187" s="1" t="s">
        <v>236</v>
      </c>
      <c r="F187" s="2">
        <v>1000</v>
      </c>
      <c r="G187" s="1">
        <v>25</v>
      </c>
      <c r="H187" s="2">
        <v>25000</v>
      </c>
      <c r="I187" s="137"/>
    </row>
    <row r="188" spans="1:9">
      <c r="A188" s="132">
        <v>186</v>
      </c>
      <c r="B188" s="21" t="s">
        <v>32</v>
      </c>
      <c r="C188" s="21" t="s">
        <v>251</v>
      </c>
      <c r="D188" s="96"/>
      <c r="E188" s="1" t="s">
        <v>236</v>
      </c>
      <c r="F188" s="2">
        <v>1000</v>
      </c>
      <c r="G188" s="1">
        <v>25</v>
      </c>
      <c r="H188" s="2">
        <v>25000</v>
      </c>
      <c r="I188" s="137"/>
    </row>
    <row r="189" spans="1:9">
      <c r="A189" s="131">
        <v>187</v>
      </c>
      <c r="B189" s="21" t="s">
        <v>32</v>
      </c>
      <c r="C189" s="21" t="s">
        <v>273</v>
      </c>
      <c r="D189" s="96"/>
      <c r="E189" s="1" t="s">
        <v>236</v>
      </c>
      <c r="F189" s="2">
        <v>2000</v>
      </c>
      <c r="G189" s="1">
        <v>25</v>
      </c>
      <c r="H189" s="2">
        <v>50000</v>
      </c>
      <c r="I189" s="137"/>
    </row>
    <row r="190" spans="1:9">
      <c r="A190" s="132">
        <v>188</v>
      </c>
      <c r="B190" s="21" t="s">
        <v>32</v>
      </c>
      <c r="C190" s="21" t="s">
        <v>311</v>
      </c>
      <c r="D190" s="96"/>
      <c r="E190" s="1" t="s">
        <v>236</v>
      </c>
      <c r="F190" s="2">
        <v>1000</v>
      </c>
      <c r="G190" s="1">
        <v>25</v>
      </c>
      <c r="H190" s="2">
        <v>25000</v>
      </c>
      <c r="I190" s="137"/>
    </row>
    <row r="191" spans="1:9">
      <c r="A191" s="130">
        <v>189</v>
      </c>
      <c r="B191" s="109" t="s">
        <v>32</v>
      </c>
      <c r="C191" s="109" t="s">
        <v>204</v>
      </c>
      <c r="D191" s="113"/>
      <c r="E191" s="111" t="s">
        <v>205</v>
      </c>
      <c r="F191" s="112">
        <v>2000</v>
      </c>
      <c r="G191" s="111">
        <v>25</v>
      </c>
      <c r="H191" s="112">
        <v>50000</v>
      </c>
      <c r="I191" s="140" t="s">
        <v>1288</v>
      </c>
    </row>
    <row r="192" spans="1:9">
      <c r="A192" s="108">
        <v>190</v>
      </c>
      <c r="B192" s="109" t="s">
        <v>32</v>
      </c>
      <c r="C192" s="109" t="s">
        <v>255</v>
      </c>
      <c r="D192" s="113"/>
      <c r="E192" s="111" t="s">
        <v>205</v>
      </c>
      <c r="F192" s="112">
        <v>2000</v>
      </c>
      <c r="G192" s="111">
        <v>25</v>
      </c>
      <c r="H192" s="112">
        <v>50000</v>
      </c>
      <c r="I192" s="141" t="s">
        <v>1288</v>
      </c>
    </row>
    <row r="193" spans="1:9">
      <c r="A193" s="130">
        <v>191</v>
      </c>
      <c r="B193" s="109" t="s">
        <v>32</v>
      </c>
      <c r="C193" s="109" t="s">
        <v>256</v>
      </c>
      <c r="D193" s="113"/>
      <c r="E193" s="111" t="s">
        <v>205</v>
      </c>
      <c r="F193" s="112">
        <v>2000</v>
      </c>
      <c r="G193" s="111">
        <v>25</v>
      </c>
      <c r="H193" s="112">
        <v>50000</v>
      </c>
      <c r="I193" s="141" t="s">
        <v>1288</v>
      </c>
    </row>
    <row r="194" spans="1:9">
      <c r="A194" s="108">
        <v>192</v>
      </c>
      <c r="B194" s="109" t="s">
        <v>32</v>
      </c>
      <c r="C194" s="109" t="s">
        <v>279</v>
      </c>
      <c r="D194" s="113"/>
      <c r="E194" s="111" t="s">
        <v>205</v>
      </c>
      <c r="F194" s="112">
        <v>1000</v>
      </c>
      <c r="G194" s="111">
        <v>25</v>
      </c>
      <c r="H194" s="112">
        <v>25000</v>
      </c>
      <c r="I194" s="142" t="s">
        <v>1288</v>
      </c>
    </row>
    <row r="195" spans="1:9">
      <c r="A195" s="131">
        <v>193</v>
      </c>
      <c r="B195" s="21" t="s">
        <v>32</v>
      </c>
      <c r="C195" s="21" t="s">
        <v>285</v>
      </c>
      <c r="D195" s="96"/>
      <c r="E195" s="1" t="s">
        <v>205</v>
      </c>
      <c r="F195" s="2">
        <v>2000</v>
      </c>
      <c r="G195" s="1">
        <v>25</v>
      </c>
      <c r="H195" s="2">
        <v>50000</v>
      </c>
      <c r="I195" s="137"/>
    </row>
    <row r="196" spans="1:9">
      <c r="A196" s="108">
        <v>194</v>
      </c>
      <c r="B196" s="109" t="s">
        <v>32</v>
      </c>
      <c r="C196" s="109" t="s">
        <v>156</v>
      </c>
      <c r="D196" s="113"/>
      <c r="E196" s="111" t="s">
        <v>157</v>
      </c>
      <c r="F196" s="112">
        <v>1000</v>
      </c>
      <c r="G196" s="111">
        <v>25</v>
      </c>
      <c r="H196" s="112">
        <v>25000</v>
      </c>
      <c r="I196" s="142" t="s">
        <v>1288</v>
      </c>
    </row>
    <row r="197" spans="1:9">
      <c r="A197" s="130">
        <v>195</v>
      </c>
      <c r="B197" s="109" t="s">
        <v>32</v>
      </c>
      <c r="C197" s="109" t="s">
        <v>183</v>
      </c>
      <c r="D197" s="113"/>
      <c r="E197" s="111" t="s">
        <v>157</v>
      </c>
      <c r="F197" s="112">
        <v>1000</v>
      </c>
      <c r="G197" s="111">
        <v>25</v>
      </c>
      <c r="H197" s="112">
        <v>25000</v>
      </c>
      <c r="I197" s="142" t="s">
        <v>1288</v>
      </c>
    </row>
    <row r="198" spans="1:9">
      <c r="A198" s="108">
        <v>196</v>
      </c>
      <c r="B198" s="109" t="s">
        <v>32</v>
      </c>
      <c r="C198" s="109" t="s">
        <v>215</v>
      </c>
      <c r="D198" s="113"/>
      <c r="E198" s="111" t="s">
        <v>157</v>
      </c>
      <c r="F198" s="112">
        <v>1000</v>
      </c>
      <c r="G198" s="111">
        <v>25</v>
      </c>
      <c r="H198" s="112">
        <v>25000</v>
      </c>
      <c r="I198" s="140" t="s">
        <v>1288</v>
      </c>
    </row>
    <row r="199" spans="1:9">
      <c r="A199" s="131">
        <v>197</v>
      </c>
      <c r="B199" s="21" t="s">
        <v>32</v>
      </c>
      <c r="C199" s="21" t="s">
        <v>287</v>
      </c>
      <c r="D199" s="96"/>
      <c r="E199" s="1" t="s">
        <v>82</v>
      </c>
      <c r="F199" s="2">
        <v>3000</v>
      </c>
      <c r="G199" s="1">
        <v>25</v>
      </c>
      <c r="H199" s="2">
        <v>75000</v>
      </c>
      <c r="I199" s="137"/>
    </row>
    <row r="200" spans="1:9">
      <c r="A200" s="132">
        <v>198</v>
      </c>
      <c r="B200" s="21" t="s">
        <v>32</v>
      </c>
      <c r="C200" s="21" t="s">
        <v>341</v>
      </c>
      <c r="D200" s="96"/>
      <c r="E200" s="1" t="s">
        <v>82</v>
      </c>
      <c r="F200" s="2">
        <v>2000</v>
      </c>
      <c r="G200" s="1">
        <v>25</v>
      </c>
      <c r="H200" s="2">
        <v>50000</v>
      </c>
      <c r="I200" s="137"/>
    </row>
    <row r="201" spans="1:9">
      <c r="A201" s="131">
        <v>199</v>
      </c>
      <c r="B201" s="21" t="s">
        <v>32</v>
      </c>
      <c r="C201" s="21" t="s">
        <v>141</v>
      </c>
      <c r="D201" s="96"/>
      <c r="E201" s="1" t="s">
        <v>13</v>
      </c>
      <c r="F201" s="2">
        <v>2000</v>
      </c>
      <c r="G201" s="1">
        <v>25</v>
      </c>
      <c r="H201" s="2">
        <v>50000</v>
      </c>
      <c r="I201" s="137"/>
    </row>
    <row r="202" spans="1:9">
      <c r="A202" s="132">
        <v>200</v>
      </c>
      <c r="B202" s="21" t="s">
        <v>32</v>
      </c>
      <c r="C202" s="21" t="s">
        <v>254</v>
      </c>
      <c r="D202" s="96"/>
      <c r="E202" s="1" t="s">
        <v>13</v>
      </c>
      <c r="F202" s="2">
        <v>1000</v>
      </c>
      <c r="G202" s="1">
        <v>25</v>
      </c>
      <c r="H202" s="2">
        <v>25000</v>
      </c>
      <c r="I202" s="137"/>
    </row>
    <row r="203" spans="1:9">
      <c r="A203" s="130">
        <v>201</v>
      </c>
      <c r="B203" s="109" t="s">
        <v>32</v>
      </c>
      <c r="C203" s="109" t="s">
        <v>172</v>
      </c>
      <c r="D203" s="113"/>
      <c r="E203" s="111" t="s">
        <v>83</v>
      </c>
      <c r="F203" s="112">
        <v>2000</v>
      </c>
      <c r="G203" s="111">
        <v>25</v>
      </c>
      <c r="H203" s="112">
        <v>50000</v>
      </c>
      <c r="I203" s="136" t="s">
        <v>1291</v>
      </c>
    </row>
    <row r="204" spans="1:9">
      <c r="A204" s="132">
        <v>202</v>
      </c>
      <c r="B204" s="21" t="s">
        <v>32</v>
      </c>
      <c r="C204" s="21" t="s">
        <v>193</v>
      </c>
      <c r="D204" s="96"/>
      <c r="E204" s="1" t="s">
        <v>83</v>
      </c>
      <c r="F204" s="2">
        <v>5000</v>
      </c>
      <c r="G204" s="1">
        <v>25</v>
      </c>
      <c r="H204" s="2">
        <v>125000</v>
      </c>
      <c r="I204" s="137"/>
    </row>
    <row r="205" spans="1:9">
      <c r="A205" s="131">
        <v>203</v>
      </c>
      <c r="B205" s="21" t="s">
        <v>32</v>
      </c>
      <c r="C205" s="21" t="s">
        <v>296</v>
      </c>
      <c r="D205" s="96"/>
      <c r="E205" s="1" t="s">
        <v>83</v>
      </c>
      <c r="F205" s="2">
        <v>1000</v>
      </c>
      <c r="G205" s="1">
        <v>25</v>
      </c>
      <c r="H205" s="2">
        <v>25000</v>
      </c>
      <c r="I205" s="137"/>
    </row>
    <row r="206" spans="1:9">
      <c r="A206" s="132">
        <v>204</v>
      </c>
      <c r="B206" s="21" t="s">
        <v>32</v>
      </c>
      <c r="C206" s="21" t="s">
        <v>287</v>
      </c>
      <c r="D206" s="96"/>
      <c r="E206" s="1" t="s">
        <v>288</v>
      </c>
      <c r="F206" s="2">
        <v>3000</v>
      </c>
      <c r="G206" s="1">
        <v>25</v>
      </c>
      <c r="H206" s="2">
        <v>75000</v>
      </c>
      <c r="I206" s="137"/>
    </row>
    <row r="207" spans="1:9">
      <c r="A207" s="131">
        <v>205</v>
      </c>
      <c r="B207" s="21" t="s">
        <v>32</v>
      </c>
      <c r="C207" s="21" t="s">
        <v>299</v>
      </c>
      <c r="D207" s="96"/>
      <c r="E207" s="1" t="s">
        <v>288</v>
      </c>
      <c r="F207" s="2">
        <v>1000</v>
      </c>
      <c r="G207" s="1">
        <v>25</v>
      </c>
      <c r="H207" s="2">
        <v>25000</v>
      </c>
      <c r="I207" s="137"/>
    </row>
    <row r="208" spans="1:9">
      <c r="A208" s="132">
        <v>206</v>
      </c>
      <c r="B208" s="21" t="s">
        <v>32</v>
      </c>
      <c r="C208" s="21" t="s">
        <v>345</v>
      </c>
      <c r="D208" s="96"/>
      <c r="E208" s="1" t="s">
        <v>346</v>
      </c>
      <c r="F208" s="2">
        <v>1000</v>
      </c>
      <c r="G208" s="1">
        <v>25</v>
      </c>
      <c r="H208" s="2">
        <v>25000</v>
      </c>
      <c r="I208" s="137"/>
    </row>
    <row r="209" spans="1:9">
      <c r="A209" s="130">
        <v>207</v>
      </c>
      <c r="B209" s="109" t="s">
        <v>32</v>
      </c>
      <c r="C209" s="109" t="s">
        <v>275</v>
      </c>
      <c r="D209" s="113"/>
      <c r="E209" s="111" t="s">
        <v>276</v>
      </c>
      <c r="F209" s="112">
        <v>10000</v>
      </c>
      <c r="G209" s="111">
        <v>25</v>
      </c>
      <c r="H209" s="112">
        <v>250000</v>
      </c>
      <c r="I209" s="140" t="s">
        <v>1311</v>
      </c>
    </row>
    <row r="210" spans="1:9">
      <c r="A210" s="132">
        <v>208</v>
      </c>
      <c r="B210" s="21" t="s">
        <v>32</v>
      </c>
      <c r="C210" s="21" t="s">
        <v>350</v>
      </c>
      <c r="D210" s="96"/>
      <c r="E210" s="1" t="s">
        <v>351</v>
      </c>
      <c r="F210" s="2">
        <v>1000</v>
      </c>
      <c r="G210" s="1">
        <v>25</v>
      </c>
      <c r="H210" s="2">
        <v>25000</v>
      </c>
      <c r="I210" s="137"/>
    </row>
    <row r="211" spans="1:9">
      <c r="A211" s="132">
        <v>209</v>
      </c>
      <c r="B211" s="21" t="s">
        <v>32</v>
      </c>
      <c r="C211" s="21" t="s">
        <v>348</v>
      </c>
      <c r="D211" s="96"/>
      <c r="E211" s="1" t="s">
        <v>349</v>
      </c>
      <c r="F211" s="2">
        <v>5000</v>
      </c>
      <c r="G211" s="1">
        <v>25</v>
      </c>
      <c r="H211" s="2">
        <v>125000</v>
      </c>
      <c r="I211" s="137"/>
    </row>
    <row r="212" spans="1:9" ht="49.2" thickBot="1">
      <c r="A212" s="114">
        <v>210</v>
      </c>
      <c r="B212" s="115" t="s">
        <v>1349</v>
      </c>
      <c r="C212" s="115" t="s">
        <v>1350</v>
      </c>
      <c r="D212" s="116"/>
      <c r="E212" s="111" t="s">
        <v>351</v>
      </c>
      <c r="F212" s="118">
        <v>2000</v>
      </c>
      <c r="G212" s="117">
        <v>25</v>
      </c>
      <c r="H212" s="118">
        <v>50000</v>
      </c>
      <c r="I212" s="145" t="s">
        <v>1351</v>
      </c>
    </row>
    <row r="213" spans="1:9" ht="16.8" thickBot="1">
      <c r="A213" s="133"/>
      <c r="B213" s="32"/>
      <c r="C213" s="32"/>
      <c r="D213" s="97"/>
      <c r="E213" s="28"/>
      <c r="F213" s="29">
        <f>SUBTOTAL(9,F3:F212)</f>
        <v>529000</v>
      </c>
      <c r="G213" s="35" t="s">
        <v>352</v>
      </c>
      <c r="H213" s="29">
        <f>SUBTOTAL(9,H3:H212)</f>
        <v>13225000</v>
      </c>
      <c r="I213" s="143"/>
    </row>
    <row r="214" spans="1:9" ht="16.8" thickBot="1">
      <c r="A214" s="134">
        <v>211</v>
      </c>
      <c r="B214" s="39" t="s">
        <v>32</v>
      </c>
      <c r="C214" s="39" t="s">
        <v>353</v>
      </c>
      <c r="D214" s="99"/>
      <c r="E214" s="30" t="s">
        <v>267</v>
      </c>
      <c r="F214" s="31">
        <v>1000</v>
      </c>
      <c r="G214" s="30">
        <v>35</v>
      </c>
      <c r="H214" s="31">
        <v>35000</v>
      </c>
      <c r="I214" s="144"/>
    </row>
    <row r="215" spans="1:9" ht="16.8" thickBot="1">
      <c r="A215" s="133"/>
      <c r="B215" s="32"/>
      <c r="C215" s="32"/>
      <c r="D215" s="97"/>
      <c r="E215" s="28"/>
      <c r="F215" s="29">
        <f>SUBTOTAL(9,F214)</f>
        <v>1000</v>
      </c>
      <c r="G215" s="35" t="s">
        <v>354</v>
      </c>
      <c r="H215" s="29">
        <f>SUBTOTAL(9,H214)</f>
        <v>35000</v>
      </c>
      <c r="I215" s="143"/>
    </row>
    <row r="216" spans="1:9" ht="16.8" thickBot="1">
      <c r="A216" s="114">
        <v>212</v>
      </c>
      <c r="B216" s="115" t="s">
        <v>32</v>
      </c>
      <c r="C216" s="115" t="s">
        <v>355</v>
      </c>
      <c r="D216" s="116"/>
      <c r="E216" s="117" t="s">
        <v>108</v>
      </c>
      <c r="F216" s="118">
        <v>10000</v>
      </c>
      <c r="G216" s="117">
        <v>36</v>
      </c>
      <c r="H216" s="118">
        <v>360000</v>
      </c>
      <c r="I216" s="140" t="s">
        <v>1288</v>
      </c>
    </row>
    <row r="217" spans="1:9" ht="16.8" thickBot="1">
      <c r="A217" s="133"/>
      <c r="B217" s="32"/>
      <c r="C217" s="32"/>
      <c r="D217" s="97"/>
      <c r="E217" s="28"/>
      <c r="F217" s="29">
        <f>SUBTOTAL(9,F216)</f>
        <v>10000</v>
      </c>
      <c r="G217" s="35" t="s">
        <v>356</v>
      </c>
      <c r="H217" s="29">
        <f>SUBTOTAL(9,H216)</f>
        <v>360000</v>
      </c>
      <c r="I217" s="143"/>
    </row>
    <row r="218" spans="1:9" ht="16.8" thickBot="1">
      <c r="A218" s="114">
        <v>213</v>
      </c>
      <c r="B218" s="115" t="s">
        <v>112</v>
      </c>
      <c r="C218" s="115" t="s">
        <v>357</v>
      </c>
      <c r="D218" s="116"/>
      <c r="E218" s="117" t="s">
        <v>2</v>
      </c>
      <c r="F218" s="118">
        <v>1000</v>
      </c>
      <c r="G218" s="117">
        <v>38</v>
      </c>
      <c r="H218" s="118">
        <v>38000</v>
      </c>
      <c r="I218" s="140" t="s">
        <v>1288</v>
      </c>
    </row>
    <row r="219" spans="1:9" ht="16.8" thickBot="1">
      <c r="A219" s="133"/>
      <c r="B219" s="32"/>
      <c r="C219" s="32"/>
      <c r="D219" s="97"/>
      <c r="E219" s="28"/>
      <c r="F219" s="29">
        <f>SUBTOTAL(9,F218)</f>
        <v>1000</v>
      </c>
      <c r="G219" s="35" t="s">
        <v>358</v>
      </c>
      <c r="H219" s="29">
        <f>SUBTOTAL(9,H218)</f>
        <v>38000</v>
      </c>
      <c r="I219" s="143"/>
    </row>
    <row r="220" spans="1:9">
      <c r="A220" s="131">
        <v>214</v>
      </c>
      <c r="B220" s="19" t="s">
        <v>32</v>
      </c>
      <c r="C220" s="19" t="s">
        <v>302</v>
      </c>
      <c r="D220" s="95"/>
      <c r="E220" s="11" t="s">
        <v>359</v>
      </c>
      <c r="F220" s="12">
        <v>1000</v>
      </c>
      <c r="G220" s="11">
        <v>43</v>
      </c>
      <c r="H220" s="12">
        <v>43000</v>
      </c>
      <c r="I220" s="135"/>
    </row>
    <row r="221" spans="1:9">
      <c r="A221" s="108">
        <v>215</v>
      </c>
      <c r="B221" s="109" t="s">
        <v>32</v>
      </c>
      <c r="C221" s="109" t="s">
        <v>173</v>
      </c>
      <c r="D221" s="113"/>
      <c r="E221" s="111" t="s">
        <v>59</v>
      </c>
      <c r="F221" s="112">
        <v>10000</v>
      </c>
      <c r="G221" s="111">
        <v>43</v>
      </c>
      <c r="H221" s="112">
        <v>430000</v>
      </c>
      <c r="I221" s="140" t="s">
        <v>1288</v>
      </c>
    </row>
    <row r="222" spans="1:9">
      <c r="A222" s="131">
        <v>216</v>
      </c>
      <c r="B222" s="21" t="s">
        <v>32</v>
      </c>
      <c r="C222" s="21" t="s">
        <v>302</v>
      </c>
      <c r="D222" s="96"/>
      <c r="E222" s="1" t="s">
        <v>6</v>
      </c>
      <c r="F222" s="2">
        <v>1000</v>
      </c>
      <c r="G222" s="1">
        <v>43</v>
      </c>
      <c r="H222" s="2">
        <v>43000</v>
      </c>
      <c r="I222" s="137"/>
    </row>
    <row r="223" spans="1:9">
      <c r="A223" s="108">
        <v>217</v>
      </c>
      <c r="B223" s="109" t="s">
        <v>32</v>
      </c>
      <c r="C223" s="109" t="s">
        <v>188</v>
      </c>
      <c r="D223" s="113"/>
      <c r="E223" s="111" t="s">
        <v>72</v>
      </c>
      <c r="F223" s="112">
        <v>1000</v>
      </c>
      <c r="G223" s="111">
        <v>43</v>
      </c>
      <c r="H223" s="112">
        <v>43000</v>
      </c>
      <c r="I223" s="140" t="s">
        <v>1288</v>
      </c>
    </row>
    <row r="224" spans="1:9">
      <c r="A224" s="129">
        <v>218</v>
      </c>
      <c r="B224" s="47" t="s">
        <v>32</v>
      </c>
      <c r="C224" s="47" t="s">
        <v>286</v>
      </c>
      <c r="D224" s="98"/>
      <c r="E224" s="48" t="s">
        <v>217</v>
      </c>
      <c r="F224" s="49">
        <v>1000</v>
      </c>
      <c r="G224" s="48">
        <v>43</v>
      </c>
      <c r="H224" s="49">
        <v>43000</v>
      </c>
      <c r="I224" s="139" t="s">
        <v>1190</v>
      </c>
    </row>
    <row r="225" spans="1:9" ht="16.8" thickBot="1">
      <c r="A225" s="46">
        <v>219</v>
      </c>
      <c r="B225" s="51" t="s">
        <v>32</v>
      </c>
      <c r="C225" s="51" t="s">
        <v>1183</v>
      </c>
      <c r="D225" s="98" t="s">
        <v>1277</v>
      </c>
      <c r="E225" s="52" t="s">
        <v>76</v>
      </c>
      <c r="F225" s="53">
        <v>1000</v>
      </c>
      <c r="G225" s="52">
        <v>43</v>
      </c>
      <c r="H225" s="53">
        <v>43000</v>
      </c>
      <c r="I225" s="139" t="s">
        <v>1190</v>
      </c>
    </row>
    <row r="226" spans="1:9" ht="16.8" thickBot="1">
      <c r="A226" s="133"/>
      <c r="B226" s="32"/>
      <c r="C226" s="32"/>
      <c r="D226" s="97"/>
      <c r="E226" s="28"/>
      <c r="F226" s="29">
        <f>SUBTOTAL(9,F220:F225)</f>
        <v>15000</v>
      </c>
      <c r="G226" s="35" t="s">
        <v>360</v>
      </c>
      <c r="H226" s="29">
        <f>SUBTOTAL(9,H220:H225)</f>
        <v>645000</v>
      </c>
      <c r="I226" s="143"/>
    </row>
    <row r="227" spans="1:9" ht="16.8" thickBot="1">
      <c r="A227" s="134">
        <v>220</v>
      </c>
      <c r="B227" s="39" t="s">
        <v>32</v>
      </c>
      <c r="C227" s="39" t="s">
        <v>361</v>
      </c>
      <c r="D227" s="99"/>
      <c r="E227" s="30" t="s">
        <v>82</v>
      </c>
      <c r="F227" s="31">
        <v>6000</v>
      </c>
      <c r="G227" s="30">
        <v>60</v>
      </c>
      <c r="H227" s="31">
        <v>360000</v>
      </c>
      <c r="I227" s="144"/>
    </row>
    <row r="228" spans="1:9" ht="16.8" thickBot="1">
      <c r="A228" s="133"/>
      <c r="B228" s="32"/>
      <c r="C228" s="32"/>
      <c r="D228" s="97"/>
      <c r="E228" s="28"/>
      <c r="F228" s="29">
        <f>SUBTOTAL(9,F227)</f>
        <v>6000</v>
      </c>
      <c r="G228" s="35" t="s">
        <v>362</v>
      </c>
      <c r="H228" s="29">
        <f>SUBTOTAL(9,H227)</f>
        <v>360000</v>
      </c>
      <c r="I228" s="143"/>
    </row>
    <row r="229" spans="1:9">
      <c r="A229" s="131">
        <v>221</v>
      </c>
      <c r="B229" s="19" t="s">
        <v>32</v>
      </c>
      <c r="C229" s="19" t="s">
        <v>564</v>
      </c>
      <c r="D229" s="95"/>
      <c r="E229" s="11" t="s">
        <v>565</v>
      </c>
      <c r="F229" s="12">
        <v>4000</v>
      </c>
      <c r="G229" s="11">
        <v>67</v>
      </c>
      <c r="H229" s="12">
        <v>268000</v>
      </c>
      <c r="I229" s="135"/>
    </row>
    <row r="230" spans="1:9">
      <c r="A230" s="132">
        <v>222</v>
      </c>
      <c r="B230" s="21" t="s">
        <v>32</v>
      </c>
      <c r="C230" s="21" t="s">
        <v>439</v>
      </c>
      <c r="D230" s="96"/>
      <c r="E230" s="1" t="s">
        <v>440</v>
      </c>
      <c r="F230" s="2">
        <v>1000</v>
      </c>
      <c r="G230" s="1">
        <v>67</v>
      </c>
      <c r="H230" s="2">
        <v>67000</v>
      </c>
      <c r="I230" s="137"/>
    </row>
    <row r="231" spans="1:9">
      <c r="A231" s="130">
        <v>223</v>
      </c>
      <c r="B231" s="109" t="s">
        <v>32</v>
      </c>
      <c r="C231" s="109" t="s">
        <v>537</v>
      </c>
      <c r="D231" s="113"/>
      <c r="E231" s="111" t="s">
        <v>538</v>
      </c>
      <c r="F231" s="112">
        <v>2000</v>
      </c>
      <c r="G231" s="111">
        <v>67</v>
      </c>
      <c r="H231" s="112">
        <v>134000</v>
      </c>
      <c r="I231" s="140" t="s">
        <v>1288</v>
      </c>
    </row>
    <row r="232" spans="1:9">
      <c r="A232" s="132">
        <v>224</v>
      </c>
      <c r="B232" s="21" t="s">
        <v>32</v>
      </c>
      <c r="C232" s="21" t="s">
        <v>483</v>
      </c>
      <c r="D232" s="96"/>
      <c r="E232" s="1" t="s">
        <v>34</v>
      </c>
      <c r="F232" s="2">
        <v>1000</v>
      </c>
      <c r="G232" s="1">
        <v>67</v>
      </c>
      <c r="H232" s="2">
        <v>67000</v>
      </c>
      <c r="I232" s="137"/>
    </row>
    <row r="233" spans="1:9">
      <c r="A233" s="130">
        <v>225</v>
      </c>
      <c r="B233" s="109" t="s">
        <v>32</v>
      </c>
      <c r="C233" s="109" t="s">
        <v>487</v>
      </c>
      <c r="D233" s="113"/>
      <c r="E233" s="111" t="s">
        <v>34</v>
      </c>
      <c r="F233" s="112">
        <v>3000</v>
      </c>
      <c r="G233" s="111">
        <v>67</v>
      </c>
      <c r="H233" s="112">
        <v>201000</v>
      </c>
      <c r="I233" s="140" t="s">
        <v>1288</v>
      </c>
    </row>
    <row r="234" spans="1:9">
      <c r="A234" s="132">
        <v>226</v>
      </c>
      <c r="B234" s="21" t="s">
        <v>32</v>
      </c>
      <c r="C234" s="21" t="s">
        <v>503</v>
      </c>
      <c r="D234" s="96"/>
      <c r="E234" s="1" t="s">
        <v>34</v>
      </c>
      <c r="F234" s="2">
        <v>3000</v>
      </c>
      <c r="G234" s="1">
        <v>67</v>
      </c>
      <c r="H234" s="2">
        <v>201000</v>
      </c>
      <c r="I234" s="137"/>
    </row>
    <row r="235" spans="1:9">
      <c r="A235" s="131">
        <v>227</v>
      </c>
      <c r="B235" s="21" t="s">
        <v>112</v>
      </c>
      <c r="C235" s="21" t="s">
        <v>393</v>
      </c>
      <c r="D235" s="96"/>
      <c r="E235" s="1" t="s">
        <v>133</v>
      </c>
      <c r="F235" s="2">
        <v>2000</v>
      </c>
      <c r="G235" s="1">
        <v>67</v>
      </c>
      <c r="H235" s="2">
        <v>134000</v>
      </c>
      <c r="I235" s="137"/>
    </row>
    <row r="236" spans="1:9">
      <c r="A236" s="108">
        <v>228</v>
      </c>
      <c r="B236" s="109" t="s">
        <v>32</v>
      </c>
      <c r="C236" s="109" t="s">
        <v>487</v>
      </c>
      <c r="D236" s="113"/>
      <c r="E236" s="111" t="s">
        <v>95</v>
      </c>
      <c r="F236" s="112">
        <v>3000</v>
      </c>
      <c r="G236" s="111">
        <v>67</v>
      </c>
      <c r="H236" s="112">
        <v>201000</v>
      </c>
      <c r="I236" s="140" t="s">
        <v>1288</v>
      </c>
    </row>
    <row r="237" spans="1:9">
      <c r="A237" s="131">
        <v>229</v>
      </c>
      <c r="B237" s="21" t="s">
        <v>112</v>
      </c>
      <c r="C237" s="21" t="s">
        <v>441</v>
      </c>
      <c r="D237" s="96"/>
      <c r="E237" s="1" t="s">
        <v>2</v>
      </c>
      <c r="F237" s="2">
        <v>1000</v>
      </c>
      <c r="G237" s="1">
        <v>67</v>
      </c>
      <c r="H237" s="2">
        <v>67000</v>
      </c>
      <c r="I237" s="137"/>
    </row>
    <row r="238" spans="1:9">
      <c r="A238" s="108">
        <v>230</v>
      </c>
      <c r="B238" s="109" t="s">
        <v>112</v>
      </c>
      <c r="C238" s="109" t="s">
        <v>357</v>
      </c>
      <c r="D238" s="113"/>
      <c r="E238" s="111" t="s">
        <v>2</v>
      </c>
      <c r="F238" s="112">
        <v>3000</v>
      </c>
      <c r="G238" s="111">
        <v>67</v>
      </c>
      <c r="H238" s="112">
        <v>201000</v>
      </c>
      <c r="I238" s="140" t="s">
        <v>1288</v>
      </c>
    </row>
    <row r="239" spans="1:9">
      <c r="A239" s="131">
        <v>231</v>
      </c>
      <c r="B239" s="21" t="s">
        <v>32</v>
      </c>
      <c r="C239" s="21" t="s">
        <v>443</v>
      </c>
      <c r="D239" s="96"/>
      <c r="E239" s="1" t="s">
        <v>35</v>
      </c>
      <c r="F239" s="2">
        <v>5000</v>
      </c>
      <c r="G239" s="1">
        <v>67</v>
      </c>
      <c r="H239" s="2">
        <v>335000</v>
      </c>
      <c r="I239" s="137"/>
    </row>
    <row r="240" spans="1:9">
      <c r="A240" s="108">
        <v>232</v>
      </c>
      <c r="B240" s="109" t="s">
        <v>112</v>
      </c>
      <c r="C240" s="109" t="s">
        <v>380</v>
      </c>
      <c r="D240" s="113"/>
      <c r="E240" s="111" t="s">
        <v>381</v>
      </c>
      <c r="F240" s="112">
        <v>2000</v>
      </c>
      <c r="G240" s="111">
        <v>67</v>
      </c>
      <c r="H240" s="112">
        <v>134000</v>
      </c>
      <c r="I240" s="140" t="s">
        <v>1291</v>
      </c>
    </row>
    <row r="241" spans="1:9">
      <c r="A241" s="131">
        <v>233</v>
      </c>
      <c r="B241" s="21" t="s">
        <v>32</v>
      </c>
      <c r="C241" s="21" t="s">
        <v>398</v>
      </c>
      <c r="D241" s="96"/>
      <c r="E241" s="1" t="s">
        <v>381</v>
      </c>
      <c r="F241" s="2">
        <v>3000</v>
      </c>
      <c r="G241" s="1">
        <v>67</v>
      </c>
      <c r="H241" s="2">
        <v>201000</v>
      </c>
      <c r="I241" s="137"/>
    </row>
    <row r="242" spans="1:9">
      <c r="A242" s="132">
        <v>234</v>
      </c>
      <c r="B242" s="21" t="s">
        <v>32</v>
      </c>
      <c r="C242" s="21" t="s">
        <v>493</v>
      </c>
      <c r="D242" s="96"/>
      <c r="E242" s="1" t="s">
        <v>381</v>
      </c>
      <c r="F242" s="2">
        <v>4000</v>
      </c>
      <c r="G242" s="1">
        <v>67</v>
      </c>
      <c r="H242" s="2">
        <v>268000</v>
      </c>
      <c r="I242" s="137"/>
    </row>
    <row r="243" spans="1:9">
      <c r="A243" s="131">
        <v>235</v>
      </c>
      <c r="B243" s="21" t="s">
        <v>32</v>
      </c>
      <c r="C243" s="21" t="s">
        <v>528</v>
      </c>
      <c r="D243" s="96"/>
      <c r="E243" s="1" t="s">
        <v>529</v>
      </c>
      <c r="F243" s="2">
        <v>4000</v>
      </c>
      <c r="G243" s="1">
        <v>67</v>
      </c>
      <c r="H243" s="2">
        <v>268000</v>
      </c>
      <c r="I243" s="137"/>
    </row>
    <row r="244" spans="1:9">
      <c r="A244" s="132">
        <v>236</v>
      </c>
      <c r="B244" s="21" t="s">
        <v>32</v>
      </c>
      <c r="C244" s="21" t="s">
        <v>418</v>
      </c>
      <c r="D244" s="96"/>
      <c r="E244" s="1" t="s">
        <v>37</v>
      </c>
      <c r="F244" s="2">
        <v>5000</v>
      </c>
      <c r="G244" s="1">
        <v>67</v>
      </c>
      <c r="H244" s="2">
        <v>335000</v>
      </c>
      <c r="I244" s="137"/>
    </row>
    <row r="245" spans="1:9">
      <c r="A245" s="131">
        <v>237</v>
      </c>
      <c r="B245" s="21" t="s">
        <v>32</v>
      </c>
      <c r="C245" s="21" t="s">
        <v>528</v>
      </c>
      <c r="D245" s="96"/>
      <c r="E245" s="1" t="s">
        <v>530</v>
      </c>
      <c r="F245" s="2">
        <v>9000</v>
      </c>
      <c r="G245" s="1">
        <v>67</v>
      </c>
      <c r="H245" s="2">
        <v>603000</v>
      </c>
      <c r="I245" s="137"/>
    </row>
    <row r="246" spans="1:9">
      <c r="A246" s="132">
        <v>238</v>
      </c>
      <c r="B246" s="21" t="s">
        <v>32</v>
      </c>
      <c r="C246" s="21" t="s">
        <v>476</v>
      </c>
      <c r="D246" s="96"/>
      <c r="E246" s="1" t="s">
        <v>85</v>
      </c>
      <c r="F246" s="2">
        <v>4000</v>
      </c>
      <c r="G246" s="1">
        <v>67</v>
      </c>
      <c r="H246" s="2">
        <v>268000</v>
      </c>
      <c r="I246" s="137"/>
    </row>
    <row r="247" spans="1:9">
      <c r="A247" s="131">
        <v>239</v>
      </c>
      <c r="B247" s="21" t="s">
        <v>32</v>
      </c>
      <c r="C247" s="21" t="s">
        <v>446</v>
      </c>
      <c r="D247" s="96"/>
      <c r="E247" s="1" t="s">
        <v>447</v>
      </c>
      <c r="F247" s="2">
        <v>1000</v>
      </c>
      <c r="G247" s="1">
        <v>67</v>
      </c>
      <c r="H247" s="2">
        <v>67000</v>
      </c>
      <c r="I247" s="137"/>
    </row>
    <row r="248" spans="1:9">
      <c r="A248" s="132">
        <v>240</v>
      </c>
      <c r="B248" s="21" t="s">
        <v>32</v>
      </c>
      <c r="C248" s="21" t="s">
        <v>482</v>
      </c>
      <c r="D248" s="96"/>
      <c r="E248" s="1" t="s">
        <v>38</v>
      </c>
      <c r="F248" s="2">
        <v>6000</v>
      </c>
      <c r="G248" s="1">
        <v>67</v>
      </c>
      <c r="H248" s="2">
        <v>402000</v>
      </c>
      <c r="I248" s="137"/>
    </row>
    <row r="249" spans="1:9">
      <c r="A249" s="131">
        <v>241</v>
      </c>
      <c r="B249" s="21" t="s">
        <v>112</v>
      </c>
      <c r="C249" s="21" t="s">
        <v>411</v>
      </c>
      <c r="D249" s="96"/>
      <c r="E249" s="1" t="s">
        <v>86</v>
      </c>
      <c r="F249" s="2">
        <v>1000</v>
      </c>
      <c r="G249" s="1">
        <v>67</v>
      </c>
      <c r="H249" s="2">
        <v>67000</v>
      </c>
      <c r="I249" s="137"/>
    </row>
    <row r="250" spans="1:9">
      <c r="A250" s="132">
        <v>242</v>
      </c>
      <c r="B250" s="21" t="s">
        <v>32</v>
      </c>
      <c r="C250" s="21" t="s">
        <v>503</v>
      </c>
      <c r="D250" s="96"/>
      <c r="E250" s="1" t="s">
        <v>504</v>
      </c>
      <c r="F250" s="2">
        <v>2000</v>
      </c>
      <c r="G250" s="1">
        <v>67</v>
      </c>
      <c r="H250" s="2">
        <v>134000</v>
      </c>
      <c r="I250" s="137"/>
    </row>
    <row r="251" spans="1:9">
      <c r="A251" s="131">
        <v>243</v>
      </c>
      <c r="B251" s="21" t="s">
        <v>32</v>
      </c>
      <c r="C251" s="21" t="s">
        <v>408</v>
      </c>
      <c r="D251" s="96"/>
      <c r="E251" s="1" t="s">
        <v>100</v>
      </c>
      <c r="F251" s="2">
        <v>2000</v>
      </c>
      <c r="G251" s="1">
        <v>67</v>
      </c>
      <c r="H251" s="2">
        <v>134000</v>
      </c>
      <c r="I251" s="137"/>
    </row>
    <row r="252" spans="1:9" ht="81">
      <c r="A252" s="108">
        <v>244</v>
      </c>
      <c r="B252" s="109" t="s">
        <v>32</v>
      </c>
      <c r="C252" s="109" t="s">
        <v>507</v>
      </c>
      <c r="D252" s="113"/>
      <c r="E252" s="111" t="s">
        <v>508</v>
      </c>
      <c r="F252" s="112">
        <v>5000</v>
      </c>
      <c r="G252" s="111">
        <v>67</v>
      </c>
      <c r="H252" s="112">
        <v>335000</v>
      </c>
      <c r="I252" s="119" t="s">
        <v>1307</v>
      </c>
    </row>
    <row r="253" spans="1:9">
      <c r="A253" s="131">
        <v>245</v>
      </c>
      <c r="B253" s="21" t="s">
        <v>112</v>
      </c>
      <c r="C253" s="21" t="s">
        <v>363</v>
      </c>
      <c r="D253" s="96"/>
      <c r="E253" s="1" t="s">
        <v>39</v>
      </c>
      <c r="F253" s="2">
        <v>2000</v>
      </c>
      <c r="G253" s="1">
        <v>67</v>
      </c>
      <c r="H253" s="2">
        <v>134000</v>
      </c>
      <c r="I253" s="137"/>
    </row>
    <row r="254" spans="1:9">
      <c r="A254" s="132">
        <v>246</v>
      </c>
      <c r="B254" s="21" t="s">
        <v>32</v>
      </c>
      <c r="C254" s="21" t="s">
        <v>390</v>
      </c>
      <c r="D254" s="96"/>
      <c r="E254" s="1" t="s">
        <v>39</v>
      </c>
      <c r="F254" s="2">
        <v>10000</v>
      </c>
      <c r="G254" s="1">
        <v>67</v>
      </c>
      <c r="H254" s="2">
        <v>670000</v>
      </c>
      <c r="I254" s="137"/>
    </row>
    <row r="255" spans="1:9">
      <c r="A255" s="131">
        <v>247</v>
      </c>
      <c r="B255" s="21" t="s">
        <v>32</v>
      </c>
      <c r="C255" s="21" t="s">
        <v>532</v>
      </c>
      <c r="D255" s="96"/>
      <c r="E255" s="1" t="s">
        <v>39</v>
      </c>
      <c r="F255" s="2">
        <v>10000</v>
      </c>
      <c r="G255" s="1">
        <v>67</v>
      </c>
      <c r="H255" s="2">
        <v>670000</v>
      </c>
      <c r="I255" s="137"/>
    </row>
    <row r="256" spans="1:9">
      <c r="A256" s="132">
        <v>248</v>
      </c>
      <c r="B256" s="21" t="s">
        <v>32</v>
      </c>
      <c r="C256" s="21" t="s">
        <v>512</v>
      </c>
      <c r="D256" s="96"/>
      <c r="E256" s="1" t="s">
        <v>88</v>
      </c>
      <c r="F256" s="2">
        <v>10000</v>
      </c>
      <c r="G256" s="1">
        <v>67</v>
      </c>
      <c r="H256" s="2">
        <v>670000</v>
      </c>
      <c r="I256" s="137"/>
    </row>
    <row r="257" spans="1:9">
      <c r="A257" s="131">
        <v>249</v>
      </c>
      <c r="B257" s="21" t="s">
        <v>112</v>
      </c>
      <c r="C257" s="21" t="s">
        <v>416</v>
      </c>
      <c r="D257" s="96"/>
      <c r="E257" s="1" t="s">
        <v>417</v>
      </c>
      <c r="F257" s="2">
        <v>3000</v>
      </c>
      <c r="G257" s="1">
        <v>67</v>
      </c>
      <c r="H257" s="2">
        <v>201000</v>
      </c>
      <c r="I257" s="137"/>
    </row>
    <row r="258" spans="1:9">
      <c r="A258" s="132">
        <v>250</v>
      </c>
      <c r="B258" s="21" t="s">
        <v>112</v>
      </c>
      <c r="C258" s="21" t="s">
        <v>543</v>
      </c>
      <c r="D258" s="96"/>
      <c r="E258" s="1" t="s">
        <v>417</v>
      </c>
      <c r="F258" s="2">
        <v>2000</v>
      </c>
      <c r="G258" s="1">
        <v>67</v>
      </c>
      <c r="H258" s="2">
        <v>134000</v>
      </c>
      <c r="I258" s="137"/>
    </row>
    <row r="259" spans="1:9">
      <c r="A259" s="131">
        <v>251</v>
      </c>
      <c r="B259" s="21" t="s">
        <v>32</v>
      </c>
      <c r="C259" s="21" t="s">
        <v>449</v>
      </c>
      <c r="D259" s="96" t="s">
        <v>1242</v>
      </c>
      <c r="E259" s="1" t="s">
        <v>113</v>
      </c>
      <c r="F259" s="2">
        <v>5000</v>
      </c>
      <c r="G259" s="1">
        <v>67</v>
      </c>
      <c r="H259" s="2">
        <v>335000</v>
      </c>
      <c r="I259" s="137"/>
    </row>
    <row r="260" spans="1:9">
      <c r="A260" s="132">
        <v>252</v>
      </c>
      <c r="B260" s="21" t="s">
        <v>112</v>
      </c>
      <c r="C260" s="21" t="s">
        <v>548</v>
      </c>
      <c r="D260" s="96"/>
      <c r="E260" s="1" t="s">
        <v>113</v>
      </c>
      <c r="F260" s="2">
        <v>2000</v>
      </c>
      <c r="G260" s="1">
        <v>67</v>
      </c>
      <c r="H260" s="2">
        <v>134000</v>
      </c>
      <c r="I260" s="137"/>
    </row>
    <row r="261" spans="1:9">
      <c r="A261" s="131">
        <v>253</v>
      </c>
      <c r="B261" s="21" t="s">
        <v>32</v>
      </c>
      <c r="C261" s="21" t="s">
        <v>553</v>
      </c>
      <c r="D261" s="96"/>
      <c r="E261" s="1" t="s">
        <v>41</v>
      </c>
      <c r="F261" s="2">
        <v>5000</v>
      </c>
      <c r="G261" s="1">
        <v>67</v>
      </c>
      <c r="H261" s="2">
        <v>335000</v>
      </c>
      <c r="I261" s="137"/>
    </row>
    <row r="262" spans="1:9">
      <c r="A262" s="132">
        <v>254</v>
      </c>
      <c r="B262" s="21" t="s">
        <v>32</v>
      </c>
      <c r="C262" s="21" t="s">
        <v>512</v>
      </c>
      <c r="D262" s="96"/>
      <c r="E262" s="1" t="s">
        <v>89</v>
      </c>
      <c r="F262" s="2">
        <v>10000</v>
      </c>
      <c r="G262" s="1">
        <v>67</v>
      </c>
      <c r="H262" s="2">
        <v>670000</v>
      </c>
      <c r="I262" s="137"/>
    </row>
    <row r="263" spans="1:9">
      <c r="A263" s="131">
        <v>255</v>
      </c>
      <c r="B263" s="21" t="s">
        <v>32</v>
      </c>
      <c r="C263" s="21" t="s">
        <v>532</v>
      </c>
      <c r="D263" s="96"/>
      <c r="E263" s="1" t="s">
        <v>42</v>
      </c>
      <c r="F263" s="2">
        <v>10000</v>
      </c>
      <c r="G263" s="1">
        <v>67</v>
      </c>
      <c r="H263" s="2">
        <v>670000</v>
      </c>
      <c r="I263" s="137"/>
    </row>
    <row r="264" spans="1:9">
      <c r="A264" s="132">
        <v>256</v>
      </c>
      <c r="B264" s="21" t="s">
        <v>112</v>
      </c>
      <c r="C264" s="21" t="s">
        <v>373</v>
      </c>
      <c r="D264" s="96"/>
      <c r="E264" s="1" t="s">
        <v>374</v>
      </c>
      <c r="F264" s="2">
        <v>8000</v>
      </c>
      <c r="G264" s="1">
        <v>67</v>
      </c>
      <c r="H264" s="2">
        <v>536000</v>
      </c>
      <c r="I264" s="137"/>
    </row>
    <row r="265" spans="1:9">
      <c r="A265" s="130">
        <v>257</v>
      </c>
      <c r="B265" s="109" t="s">
        <v>32</v>
      </c>
      <c r="C265" s="109" t="s">
        <v>378</v>
      </c>
      <c r="D265" s="113"/>
      <c r="E265" s="111" t="s">
        <v>43</v>
      </c>
      <c r="F265" s="112">
        <v>2000</v>
      </c>
      <c r="G265" s="111">
        <v>67</v>
      </c>
      <c r="H265" s="112">
        <v>134000</v>
      </c>
      <c r="I265" s="142" t="s">
        <v>1288</v>
      </c>
    </row>
    <row r="266" spans="1:9">
      <c r="A266" s="108">
        <v>258</v>
      </c>
      <c r="B266" s="109" t="s">
        <v>32</v>
      </c>
      <c r="C266" s="109" t="s">
        <v>391</v>
      </c>
      <c r="D266" s="113"/>
      <c r="E266" s="111" t="s">
        <v>43</v>
      </c>
      <c r="F266" s="112">
        <v>2000</v>
      </c>
      <c r="G266" s="111">
        <v>67</v>
      </c>
      <c r="H266" s="112">
        <v>134000</v>
      </c>
      <c r="I266" s="140" t="s">
        <v>1288</v>
      </c>
    </row>
    <row r="267" spans="1:9">
      <c r="A267" s="131">
        <v>259</v>
      </c>
      <c r="B267" s="21" t="s">
        <v>32</v>
      </c>
      <c r="C267" s="21" t="s">
        <v>230</v>
      </c>
      <c r="D267" s="96"/>
      <c r="E267" s="1" t="s">
        <v>43</v>
      </c>
      <c r="F267" s="2">
        <v>10000</v>
      </c>
      <c r="G267" s="1">
        <v>67</v>
      </c>
      <c r="H267" s="2">
        <v>670000</v>
      </c>
      <c r="I267" s="137"/>
    </row>
    <row r="268" spans="1:9" ht="32.4">
      <c r="A268" s="46">
        <v>260</v>
      </c>
      <c r="B268" s="47" t="s">
        <v>32</v>
      </c>
      <c r="C268" s="47" t="s">
        <v>472</v>
      </c>
      <c r="D268" s="101" t="s">
        <v>1236</v>
      </c>
      <c r="E268" s="48" t="s">
        <v>43</v>
      </c>
      <c r="F268" s="49">
        <v>7000</v>
      </c>
      <c r="G268" s="48">
        <v>67</v>
      </c>
      <c r="H268" s="49">
        <v>469000</v>
      </c>
      <c r="I268" s="139" t="s">
        <v>1190</v>
      </c>
    </row>
    <row r="269" spans="1:9">
      <c r="A269" s="131">
        <v>261</v>
      </c>
      <c r="B269" s="21" t="s">
        <v>112</v>
      </c>
      <c r="C269" s="21" t="s">
        <v>517</v>
      </c>
      <c r="D269" s="96"/>
      <c r="E269" s="1" t="s">
        <v>43</v>
      </c>
      <c r="F269" s="2">
        <v>1000</v>
      </c>
      <c r="G269" s="1">
        <v>67</v>
      </c>
      <c r="H269" s="2">
        <v>67000</v>
      </c>
      <c r="I269" s="137"/>
    </row>
    <row r="270" spans="1:9">
      <c r="A270" s="132">
        <v>262</v>
      </c>
      <c r="B270" s="21" t="s">
        <v>32</v>
      </c>
      <c r="C270" s="21" t="s">
        <v>404</v>
      </c>
      <c r="D270" s="96"/>
      <c r="E270" s="1" t="s">
        <v>44</v>
      </c>
      <c r="F270" s="2">
        <v>5000</v>
      </c>
      <c r="G270" s="1">
        <v>67</v>
      </c>
      <c r="H270" s="2">
        <v>335000</v>
      </c>
      <c r="I270" s="137"/>
    </row>
    <row r="271" spans="1:9">
      <c r="A271" s="130">
        <v>263</v>
      </c>
      <c r="B271" s="109" t="s">
        <v>32</v>
      </c>
      <c r="C271" s="109" t="s">
        <v>355</v>
      </c>
      <c r="D271" s="113"/>
      <c r="E271" s="111" t="s">
        <v>44</v>
      </c>
      <c r="F271" s="112">
        <v>12000</v>
      </c>
      <c r="G271" s="111">
        <v>67</v>
      </c>
      <c r="H271" s="112">
        <v>804000</v>
      </c>
      <c r="I271" s="140" t="s">
        <v>1288</v>
      </c>
    </row>
    <row r="272" spans="1:9">
      <c r="A272" s="132">
        <v>264</v>
      </c>
      <c r="B272" s="21" t="s">
        <v>32</v>
      </c>
      <c r="C272" s="21" t="s">
        <v>392</v>
      </c>
      <c r="D272" s="96"/>
      <c r="E272" s="1" t="s">
        <v>104</v>
      </c>
      <c r="F272" s="2">
        <v>2000</v>
      </c>
      <c r="G272" s="1">
        <v>67</v>
      </c>
      <c r="H272" s="2">
        <v>134000</v>
      </c>
      <c r="I272" s="137"/>
    </row>
    <row r="273" spans="1:9">
      <c r="A273" s="130">
        <v>265</v>
      </c>
      <c r="B273" s="109" t="s">
        <v>32</v>
      </c>
      <c r="C273" s="109" t="s">
        <v>370</v>
      </c>
      <c r="D273" s="113"/>
      <c r="E273" s="111" t="s">
        <v>45</v>
      </c>
      <c r="F273" s="112">
        <v>5000</v>
      </c>
      <c r="G273" s="111">
        <v>67</v>
      </c>
      <c r="H273" s="112">
        <v>335000</v>
      </c>
      <c r="I273" s="142" t="s">
        <v>1288</v>
      </c>
    </row>
    <row r="274" spans="1:9">
      <c r="A274" s="108">
        <v>266</v>
      </c>
      <c r="B274" s="109" t="s">
        <v>32</v>
      </c>
      <c r="C274" s="109" t="s">
        <v>419</v>
      </c>
      <c r="D274" s="113"/>
      <c r="E274" s="111" t="s">
        <v>45</v>
      </c>
      <c r="F274" s="112">
        <v>5000</v>
      </c>
      <c r="G274" s="111">
        <v>67</v>
      </c>
      <c r="H274" s="112">
        <v>335000</v>
      </c>
      <c r="I274" s="140" t="s">
        <v>1288</v>
      </c>
    </row>
    <row r="275" spans="1:9">
      <c r="A275" s="130">
        <v>267</v>
      </c>
      <c r="B275" s="109" t="s">
        <v>32</v>
      </c>
      <c r="C275" s="109" t="s">
        <v>438</v>
      </c>
      <c r="D275" s="113"/>
      <c r="E275" s="111" t="s">
        <v>45</v>
      </c>
      <c r="F275" s="112">
        <v>7000</v>
      </c>
      <c r="G275" s="111">
        <v>67</v>
      </c>
      <c r="H275" s="112">
        <v>469000</v>
      </c>
      <c r="I275" s="136" t="s">
        <v>1291</v>
      </c>
    </row>
    <row r="276" spans="1:9">
      <c r="A276" s="108">
        <v>268</v>
      </c>
      <c r="B276" s="109" t="s">
        <v>32</v>
      </c>
      <c r="C276" s="109" t="s">
        <v>488</v>
      </c>
      <c r="D276" s="113"/>
      <c r="E276" s="111" t="s">
        <v>45</v>
      </c>
      <c r="F276" s="112">
        <v>2000</v>
      </c>
      <c r="G276" s="111">
        <v>67</v>
      </c>
      <c r="H276" s="112">
        <v>134000</v>
      </c>
      <c r="I276" s="142" t="s">
        <v>1288</v>
      </c>
    </row>
    <row r="277" spans="1:9">
      <c r="A277" s="130">
        <v>269</v>
      </c>
      <c r="B277" s="109" t="s">
        <v>32</v>
      </c>
      <c r="C277" s="109" t="s">
        <v>282</v>
      </c>
      <c r="D277" s="113"/>
      <c r="E277" s="111" t="s">
        <v>45</v>
      </c>
      <c r="F277" s="112">
        <v>3000</v>
      </c>
      <c r="G277" s="111">
        <v>67</v>
      </c>
      <c r="H277" s="112">
        <v>201000</v>
      </c>
      <c r="I277" s="142" t="s">
        <v>1288</v>
      </c>
    </row>
    <row r="278" spans="1:9">
      <c r="A278" s="108">
        <v>270</v>
      </c>
      <c r="B278" s="109" t="s">
        <v>32</v>
      </c>
      <c r="C278" s="109" t="s">
        <v>526</v>
      </c>
      <c r="D278" s="113"/>
      <c r="E278" s="111" t="s">
        <v>45</v>
      </c>
      <c r="F278" s="112">
        <v>3000</v>
      </c>
      <c r="G278" s="111">
        <v>67</v>
      </c>
      <c r="H278" s="112">
        <v>201000</v>
      </c>
      <c r="I278" s="140" t="s">
        <v>1288</v>
      </c>
    </row>
    <row r="279" spans="1:9" ht="48.6">
      <c r="A279" s="130">
        <v>271</v>
      </c>
      <c r="B279" s="109" t="s">
        <v>32</v>
      </c>
      <c r="C279" s="109" t="s">
        <v>570</v>
      </c>
      <c r="D279" s="110" t="s">
        <v>1293</v>
      </c>
      <c r="E279" s="111" t="s">
        <v>45</v>
      </c>
      <c r="F279" s="112">
        <v>5000</v>
      </c>
      <c r="G279" s="111">
        <v>67</v>
      </c>
      <c r="H279" s="112">
        <v>335000</v>
      </c>
      <c r="I279" s="136" t="s">
        <v>1239</v>
      </c>
    </row>
    <row r="280" spans="1:9">
      <c r="A280" s="108">
        <v>272</v>
      </c>
      <c r="B280" s="109" t="s">
        <v>32</v>
      </c>
      <c r="C280" s="109" t="s">
        <v>1247</v>
      </c>
      <c r="D280" s="113"/>
      <c r="E280" s="111" t="s">
        <v>105</v>
      </c>
      <c r="F280" s="112">
        <v>10000</v>
      </c>
      <c r="G280" s="111">
        <v>67</v>
      </c>
      <c r="H280" s="112">
        <v>670000</v>
      </c>
      <c r="I280" s="140" t="s">
        <v>1288</v>
      </c>
    </row>
    <row r="281" spans="1:9">
      <c r="A281" s="131">
        <v>273</v>
      </c>
      <c r="B281" s="21" t="s">
        <v>112</v>
      </c>
      <c r="C281" s="21" t="s">
        <v>395</v>
      </c>
      <c r="D281" s="96"/>
      <c r="E281" s="1" t="s">
        <v>396</v>
      </c>
      <c r="F281" s="2">
        <v>4000</v>
      </c>
      <c r="G281" s="1">
        <v>67</v>
      </c>
      <c r="H281" s="2">
        <v>268000</v>
      </c>
      <c r="I281" s="137"/>
    </row>
    <row r="282" spans="1:9">
      <c r="A282" s="108">
        <v>274</v>
      </c>
      <c r="B282" s="109" t="s">
        <v>112</v>
      </c>
      <c r="C282" s="109" t="s">
        <v>499</v>
      </c>
      <c r="D282" s="113"/>
      <c r="E282" s="111" t="s">
        <v>396</v>
      </c>
      <c r="F282" s="112">
        <v>4000</v>
      </c>
      <c r="G282" s="111">
        <v>67</v>
      </c>
      <c r="H282" s="112">
        <v>268000</v>
      </c>
      <c r="I282" s="136" t="s">
        <v>1291</v>
      </c>
    </row>
    <row r="283" spans="1:9">
      <c r="A283" s="129">
        <v>275</v>
      </c>
      <c r="B283" s="47" t="s">
        <v>32</v>
      </c>
      <c r="C283" s="47" t="s">
        <v>388</v>
      </c>
      <c r="D283" s="98"/>
      <c r="E283" s="48" t="s">
        <v>46</v>
      </c>
      <c r="F283" s="49">
        <v>10000</v>
      </c>
      <c r="G283" s="48">
        <v>67</v>
      </c>
      <c r="H283" s="49">
        <v>670000</v>
      </c>
      <c r="I283" s="139" t="s">
        <v>1190</v>
      </c>
    </row>
    <row r="284" spans="1:9">
      <c r="A284" s="132">
        <v>276</v>
      </c>
      <c r="B284" s="21" t="s">
        <v>32</v>
      </c>
      <c r="C284" s="21" t="s">
        <v>410</v>
      </c>
      <c r="D284" s="96"/>
      <c r="E284" s="1" t="s">
        <v>46</v>
      </c>
      <c r="F284" s="2">
        <v>10000</v>
      </c>
      <c r="G284" s="1">
        <v>67</v>
      </c>
      <c r="H284" s="2">
        <v>670000</v>
      </c>
      <c r="I284" s="137"/>
    </row>
    <row r="285" spans="1:9">
      <c r="A285" s="131">
        <v>277</v>
      </c>
      <c r="B285" s="21" t="s">
        <v>32</v>
      </c>
      <c r="C285" s="21" t="s">
        <v>432</v>
      </c>
      <c r="D285" s="96"/>
      <c r="E285" s="1" t="s">
        <v>46</v>
      </c>
      <c r="F285" s="2">
        <v>2000</v>
      </c>
      <c r="G285" s="1">
        <v>67</v>
      </c>
      <c r="H285" s="2">
        <v>134000</v>
      </c>
      <c r="I285" s="137"/>
    </row>
    <row r="286" spans="1:9">
      <c r="A286" s="108">
        <v>278</v>
      </c>
      <c r="B286" s="109" t="s">
        <v>32</v>
      </c>
      <c r="C286" s="109" t="s">
        <v>450</v>
      </c>
      <c r="D286" s="113"/>
      <c r="E286" s="111" t="s">
        <v>46</v>
      </c>
      <c r="F286" s="112">
        <v>12000</v>
      </c>
      <c r="G286" s="111">
        <v>67</v>
      </c>
      <c r="H286" s="112">
        <v>804000</v>
      </c>
      <c r="I286" s="136" t="s">
        <v>1288</v>
      </c>
    </row>
    <row r="287" spans="1:9">
      <c r="A287" s="129">
        <v>279</v>
      </c>
      <c r="B287" s="47" t="s">
        <v>32</v>
      </c>
      <c r="C287" s="47" t="s">
        <v>1259</v>
      </c>
      <c r="D287" s="98"/>
      <c r="E287" s="48" t="s">
        <v>46</v>
      </c>
      <c r="F287" s="49">
        <v>10000</v>
      </c>
      <c r="G287" s="48">
        <v>67</v>
      </c>
      <c r="H287" s="49">
        <v>670000</v>
      </c>
      <c r="I287" s="139" t="s">
        <v>1190</v>
      </c>
    </row>
    <row r="288" spans="1:9">
      <c r="A288" s="108">
        <v>280</v>
      </c>
      <c r="B288" s="109" t="s">
        <v>32</v>
      </c>
      <c r="C288" s="109" t="s">
        <v>451</v>
      </c>
      <c r="D288" s="113"/>
      <c r="E288" s="111" t="s">
        <v>452</v>
      </c>
      <c r="F288" s="112">
        <v>2000</v>
      </c>
      <c r="G288" s="111">
        <v>67</v>
      </c>
      <c r="H288" s="112">
        <v>134000</v>
      </c>
      <c r="I288" s="136" t="s">
        <v>1291</v>
      </c>
    </row>
    <row r="289" spans="1:9">
      <c r="A289" s="129">
        <v>281</v>
      </c>
      <c r="B289" s="47" t="s">
        <v>32</v>
      </c>
      <c r="C289" s="47" t="s">
        <v>481</v>
      </c>
      <c r="D289" s="98"/>
      <c r="E289" s="48" t="s">
        <v>452</v>
      </c>
      <c r="F289" s="49">
        <v>2000</v>
      </c>
      <c r="G289" s="48">
        <v>67</v>
      </c>
      <c r="H289" s="49">
        <v>134000</v>
      </c>
      <c r="I289" s="139" t="s">
        <v>1190</v>
      </c>
    </row>
    <row r="290" spans="1:9">
      <c r="A290" s="132">
        <v>282</v>
      </c>
      <c r="B290" s="21" t="s">
        <v>112</v>
      </c>
      <c r="C290" s="21" t="s">
        <v>534</v>
      </c>
      <c r="D290" s="96"/>
      <c r="E290" s="1" t="s">
        <v>452</v>
      </c>
      <c r="F290" s="2">
        <v>1000</v>
      </c>
      <c r="G290" s="1">
        <v>67</v>
      </c>
      <c r="H290" s="2">
        <v>67000</v>
      </c>
      <c r="I290" s="137"/>
    </row>
    <row r="291" spans="1:9">
      <c r="A291" s="129">
        <v>283</v>
      </c>
      <c r="B291" s="47" t="s">
        <v>32</v>
      </c>
      <c r="C291" s="47" t="s">
        <v>560</v>
      </c>
      <c r="D291" s="98"/>
      <c r="E291" s="48" t="s">
        <v>452</v>
      </c>
      <c r="F291" s="49">
        <v>2000</v>
      </c>
      <c r="G291" s="48">
        <v>67</v>
      </c>
      <c r="H291" s="49">
        <v>134000</v>
      </c>
      <c r="I291" s="139" t="s">
        <v>1190</v>
      </c>
    </row>
    <row r="292" spans="1:9">
      <c r="A292" s="108">
        <v>284</v>
      </c>
      <c r="B292" s="109" t="s">
        <v>32</v>
      </c>
      <c r="C292" s="109" t="s">
        <v>399</v>
      </c>
      <c r="D292" s="113"/>
      <c r="E292" s="111" t="s">
        <v>47</v>
      </c>
      <c r="F292" s="112">
        <v>4000</v>
      </c>
      <c r="G292" s="111">
        <v>67</v>
      </c>
      <c r="H292" s="112">
        <v>268000</v>
      </c>
      <c r="I292" s="136" t="s">
        <v>1291</v>
      </c>
    </row>
    <row r="293" spans="1:9">
      <c r="A293" s="129">
        <v>285</v>
      </c>
      <c r="B293" s="47" t="s">
        <v>32</v>
      </c>
      <c r="C293" s="47" t="s">
        <v>414</v>
      </c>
      <c r="D293" s="98" t="s">
        <v>1277</v>
      </c>
      <c r="E293" s="48" t="s">
        <v>47</v>
      </c>
      <c r="F293" s="49">
        <v>10000</v>
      </c>
      <c r="G293" s="48">
        <v>67</v>
      </c>
      <c r="H293" s="49">
        <v>670000</v>
      </c>
      <c r="I293" s="139" t="s">
        <v>1190</v>
      </c>
    </row>
    <row r="294" spans="1:9">
      <c r="A294" s="46">
        <v>286</v>
      </c>
      <c r="B294" s="47" t="s">
        <v>32</v>
      </c>
      <c r="C294" s="47" t="s">
        <v>448</v>
      </c>
      <c r="D294" s="98"/>
      <c r="E294" s="48" t="s">
        <v>47</v>
      </c>
      <c r="F294" s="49">
        <v>2000</v>
      </c>
      <c r="G294" s="48">
        <v>67</v>
      </c>
      <c r="H294" s="49">
        <v>134000</v>
      </c>
      <c r="I294" s="139" t="s">
        <v>1190</v>
      </c>
    </row>
    <row r="295" spans="1:9">
      <c r="A295" s="130">
        <v>287</v>
      </c>
      <c r="B295" s="109" t="s">
        <v>32</v>
      </c>
      <c r="C295" s="109" t="s">
        <v>471</v>
      </c>
      <c r="D295" s="113"/>
      <c r="E295" s="111" t="s">
        <v>47</v>
      </c>
      <c r="F295" s="112">
        <v>5000</v>
      </c>
      <c r="G295" s="111">
        <v>67</v>
      </c>
      <c r="H295" s="112">
        <v>335000</v>
      </c>
      <c r="I295" s="136" t="s">
        <v>1291</v>
      </c>
    </row>
    <row r="296" spans="1:9">
      <c r="A296" s="46">
        <v>288</v>
      </c>
      <c r="B296" s="47" t="s">
        <v>32</v>
      </c>
      <c r="C296" s="47" t="s">
        <v>475</v>
      </c>
      <c r="D296" s="98" t="s">
        <v>1277</v>
      </c>
      <c r="E296" s="48" t="s">
        <v>47</v>
      </c>
      <c r="F296" s="49">
        <v>2000</v>
      </c>
      <c r="G296" s="48">
        <v>67</v>
      </c>
      <c r="H296" s="49">
        <v>134000</v>
      </c>
      <c r="I296" s="139" t="s">
        <v>1190</v>
      </c>
    </row>
    <row r="297" spans="1:9">
      <c r="A297" s="131">
        <v>289</v>
      </c>
      <c r="B297" s="21" t="s">
        <v>32</v>
      </c>
      <c r="C297" s="21" t="s">
        <v>514</v>
      </c>
      <c r="D297" s="96"/>
      <c r="E297" s="1" t="s">
        <v>47</v>
      </c>
      <c r="F297" s="2">
        <v>11000</v>
      </c>
      <c r="G297" s="1">
        <v>67</v>
      </c>
      <c r="H297" s="2">
        <v>737000</v>
      </c>
      <c r="I297" s="137"/>
    </row>
    <row r="298" spans="1:9">
      <c r="A298" s="108">
        <v>290</v>
      </c>
      <c r="B298" s="109" t="s">
        <v>32</v>
      </c>
      <c r="C298" s="109" t="s">
        <v>531</v>
      </c>
      <c r="D298" s="113"/>
      <c r="E298" s="111" t="s">
        <v>47</v>
      </c>
      <c r="F298" s="112">
        <v>10000</v>
      </c>
      <c r="G298" s="111">
        <v>67</v>
      </c>
      <c r="H298" s="112">
        <v>670000</v>
      </c>
      <c r="I298" s="136" t="s">
        <v>1291</v>
      </c>
    </row>
    <row r="299" spans="1:9">
      <c r="A299" s="130">
        <v>291</v>
      </c>
      <c r="B299" s="109" t="s">
        <v>32</v>
      </c>
      <c r="C299" s="109" t="s">
        <v>1260</v>
      </c>
      <c r="D299" s="113"/>
      <c r="E299" s="111" t="s">
        <v>47</v>
      </c>
      <c r="F299" s="112">
        <v>5000</v>
      </c>
      <c r="G299" s="111">
        <v>67</v>
      </c>
      <c r="H299" s="112">
        <v>335000</v>
      </c>
      <c r="I299" s="136" t="s">
        <v>1291</v>
      </c>
    </row>
    <row r="300" spans="1:9">
      <c r="A300" s="46">
        <v>292</v>
      </c>
      <c r="B300" s="47" t="s">
        <v>32</v>
      </c>
      <c r="C300" s="47" t="s">
        <v>377</v>
      </c>
      <c r="D300" s="98"/>
      <c r="E300" s="48" t="s">
        <v>48</v>
      </c>
      <c r="F300" s="49">
        <v>2000</v>
      </c>
      <c r="G300" s="48">
        <v>67</v>
      </c>
      <c r="H300" s="49">
        <v>134000</v>
      </c>
      <c r="I300" s="139" t="s">
        <v>1190</v>
      </c>
    </row>
    <row r="301" spans="1:9">
      <c r="A301" s="129">
        <v>293</v>
      </c>
      <c r="B301" s="47" t="s">
        <v>32</v>
      </c>
      <c r="C301" s="47" t="s">
        <v>1186</v>
      </c>
      <c r="D301" s="98"/>
      <c r="E301" s="48" t="s">
        <v>48</v>
      </c>
      <c r="F301" s="49">
        <v>5000</v>
      </c>
      <c r="G301" s="48">
        <v>67</v>
      </c>
      <c r="H301" s="49">
        <v>335000</v>
      </c>
      <c r="I301" s="139" t="s">
        <v>1190</v>
      </c>
    </row>
    <row r="302" spans="1:9">
      <c r="A302" s="46">
        <v>294</v>
      </c>
      <c r="B302" s="47" t="s">
        <v>32</v>
      </c>
      <c r="C302" s="47" t="s">
        <v>462</v>
      </c>
      <c r="D302" s="98"/>
      <c r="E302" s="48" t="s">
        <v>48</v>
      </c>
      <c r="F302" s="49">
        <v>2000</v>
      </c>
      <c r="G302" s="48">
        <v>67</v>
      </c>
      <c r="H302" s="49">
        <v>134000</v>
      </c>
      <c r="I302" s="139" t="s">
        <v>1190</v>
      </c>
    </row>
    <row r="303" spans="1:9">
      <c r="A303" s="129">
        <v>295</v>
      </c>
      <c r="B303" s="47" t="s">
        <v>32</v>
      </c>
      <c r="C303" s="47" t="s">
        <v>466</v>
      </c>
      <c r="D303" s="98"/>
      <c r="E303" s="48" t="s">
        <v>48</v>
      </c>
      <c r="F303" s="49">
        <v>6000</v>
      </c>
      <c r="G303" s="48">
        <v>67</v>
      </c>
      <c r="H303" s="49">
        <v>402000</v>
      </c>
      <c r="I303" s="139" t="s">
        <v>1190</v>
      </c>
    </row>
    <row r="304" spans="1:9">
      <c r="A304" s="46">
        <v>296</v>
      </c>
      <c r="B304" s="47" t="s">
        <v>32</v>
      </c>
      <c r="C304" s="47" t="s">
        <v>515</v>
      </c>
      <c r="D304" s="98" t="s">
        <v>1277</v>
      </c>
      <c r="E304" s="48" t="s">
        <v>48</v>
      </c>
      <c r="F304" s="49">
        <v>1000</v>
      </c>
      <c r="G304" s="48">
        <v>67</v>
      </c>
      <c r="H304" s="49">
        <v>67000</v>
      </c>
      <c r="I304" s="139" t="s">
        <v>1190</v>
      </c>
    </row>
    <row r="305" spans="1:9">
      <c r="A305" s="129">
        <v>297</v>
      </c>
      <c r="B305" s="47" t="s">
        <v>32</v>
      </c>
      <c r="C305" s="47" t="s">
        <v>535</v>
      </c>
      <c r="D305" s="98"/>
      <c r="E305" s="48" t="s">
        <v>48</v>
      </c>
      <c r="F305" s="49">
        <v>4000</v>
      </c>
      <c r="G305" s="48">
        <v>67</v>
      </c>
      <c r="H305" s="49">
        <v>268000</v>
      </c>
      <c r="I305" s="139" t="s">
        <v>1190</v>
      </c>
    </row>
    <row r="306" spans="1:9">
      <c r="A306" s="108">
        <v>298</v>
      </c>
      <c r="B306" s="109" t="s">
        <v>32</v>
      </c>
      <c r="C306" s="109" t="s">
        <v>400</v>
      </c>
      <c r="D306" s="113"/>
      <c r="E306" s="111" t="s">
        <v>49</v>
      </c>
      <c r="F306" s="112">
        <v>5000</v>
      </c>
      <c r="G306" s="111">
        <v>67</v>
      </c>
      <c r="H306" s="112">
        <v>335000</v>
      </c>
      <c r="I306" s="140" t="s">
        <v>1288</v>
      </c>
    </row>
    <row r="307" spans="1:9">
      <c r="A307" s="130">
        <v>299</v>
      </c>
      <c r="B307" s="109" t="s">
        <v>32</v>
      </c>
      <c r="C307" s="109" t="s">
        <v>436</v>
      </c>
      <c r="D307" s="113"/>
      <c r="E307" s="111" t="s">
        <v>49</v>
      </c>
      <c r="F307" s="112">
        <v>10000</v>
      </c>
      <c r="G307" s="111">
        <v>67</v>
      </c>
      <c r="H307" s="112">
        <v>670000</v>
      </c>
      <c r="I307" s="140" t="s">
        <v>1288</v>
      </c>
    </row>
    <row r="308" spans="1:9">
      <c r="A308" s="132">
        <v>300</v>
      </c>
      <c r="B308" s="21" t="s">
        <v>32</v>
      </c>
      <c r="C308" s="21" t="s">
        <v>468</v>
      </c>
      <c r="D308" s="96"/>
      <c r="E308" s="1" t="s">
        <v>49</v>
      </c>
      <c r="F308" s="2">
        <v>1000</v>
      </c>
      <c r="G308" s="1">
        <v>67</v>
      </c>
      <c r="H308" s="2">
        <v>67000</v>
      </c>
      <c r="I308" s="137"/>
    </row>
    <row r="309" spans="1:9">
      <c r="A309" s="131">
        <v>301</v>
      </c>
      <c r="B309" s="21" t="s">
        <v>32</v>
      </c>
      <c r="C309" s="21" t="s">
        <v>506</v>
      </c>
      <c r="D309" s="96"/>
      <c r="E309" s="1" t="s">
        <v>49</v>
      </c>
      <c r="F309" s="2">
        <v>2000</v>
      </c>
      <c r="G309" s="1">
        <v>67</v>
      </c>
      <c r="H309" s="2">
        <v>134000</v>
      </c>
      <c r="I309" s="137"/>
    </row>
    <row r="310" spans="1:9">
      <c r="A310" s="132">
        <v>302</v>
      </c>
      <c r="B310" s="21" t="s">
        <v>32</v>
      </c>
      <c r="C310" s="21" t="s">
        <v>510</v>
      </c>
      <c r="D310" s="96"/>
      <c r="E310" s="1" t="s">
        <v>49</v>
      </c>
      <c r="F310" s="2">
        <v>2000</v>
      </c>
      <c r="G310" s="1">
        <v>67</v>
      </c>
      <c r="H310" s="2">
        <v>134000</v>
      </c>
      <c r="I310" s="137"/>
    </row>
    <row r="311" spans="1:9">
      <c r="A311" s="131">
        <v>303</v>
      </c>
      <c r="B311" s="21" t="s">
        <v>32</v>
      </c>
      <c r="C311" s="21" t="s">
        <v>525</v>
      </c>
      <c r="D311" s="96"/>
      <c r="E311" s="1" t="s">
        <v>49</v>
      </c>
      <c r="F311" s="2">
        <v>1000</v>
      </c>
      <c r="G311" s="1">
        <v>67</v>
      </c>
      <c r="H311" s="2">
        <v>67000</v>
      </c>
      <c r="I311" s="137"/>
    </row>
    <row r="312" spans="1:9">
      <c r="A312" s="132">
        <v>304</v>
      </c>
      <c r="B312" s="21" t="s">
        <v>32</v>
      </c>
      <c r="C312" s="21" t="s">
        <v>389</v>
      </c>
      <c r="D312" s="96"/>
      <c r="E312" s="1" t="s">
        <v>50</v>
      </c>
      <c r="F312" s="2">
        <v>8000</v>
      </c>
      <c r="G312" s="1">
        <v>67</v>
      </c>
      <c r="H312" s="2">
        <v>536000</v>
      </c>
      <c r="I312" s="137"/>
    </row>
    <row r="313" spans="1:9">
      <c r="A313" s="131">
        <v>305</v>
      </c>
      <c r="B313" s="21" t="s">
        <v>32</v>
      </c>
      <c r="C313" s="21" t="s">
        <v>434</v>
      </c>
      <c r="D313" s="96"/>
      <c r="E313" s="1" t="s">
        <v>50</v>
      </c>
      <c r="F313" s="2">
        <v>2000</v>
      </c>
      <c r="G313" s="1">
        <v>67</v>
      </c>
      <c r="H313" s="2">
        <v>134000</v>
      </c>
      <c r="I313" s="137"/>
    </row>
    <row r="314" spans="1:9">
      <c r="A314" s="46">
        <v>306</v>
      </c>
      <c r="B314" s="47" t="s">
        <v>32</v>
      </c>
      <c r="C314" s="47" t="s">
        <v>253</v>
      </c>
      <c r="D314" s="98"/>
      <c r="E314" s="48" t="s">
        <v>50</v>
      </c>
      <c r="F314" s="49">
        <v>3000</v>
      </c>
      <c r="G314" s="48">
        <v>67</v>
      </c>
      <c r="H314" s="49">
        <v>201000</v>
      </c>
      <c r="I314" s="139" t="s">
        <v>1190</v>
      </c>
    </row>
    <row r="315" spans="1:9">
      <c r="A315" s="130">
        <v>307</v>
      </c>
      <c r="B315" s="109" t="s">
        <v>32</v>
      </c>
      <c r="C315" s="109" t="s">
        <v>536</v>
      </c>
      <c r="D315" s="113"/>
      <c r="E315" s="111" t="s">
        <v>50</v>
      </c>
      <c r="F315" s="112">
        <v>2000</v>
      </c>
      <c r="G315" s="111">
        <v>67</v>
      </c>
      <c r="H315" s="112">
        <v>134000</v>
      </c>
      <c r="I315" s="136" t="s">
        <v>1291</v>
      </c>
    </row>
    <row r="316" spans="1:9">
      <c r="A316" s="108">
        <v>308</v>
      </c>
      <c r="B316" s="109" t="s">
        <v>32</v>
      </c>
      <c r="C316" s="109" t="s">
        <v>355</v>
      </c>
      <c r="D316" s="113"/>
      <c r="E316" s="111" t="s">
        <v>51</v>
      </c>
      <c r="F316" s="112">
        <v>20000</v>
      </c>
      <c r="G316" s="111">
        <v>67</v>
      </c>
      <c r="H316" s="112">
        <v>1340000</v>
      </c>
      <c r="I316" s="140" t="s">
        <v>1288</v>
      </c>
    </row>
    <row r="317" spans="1:9">
      <c r="A317" s="131">
        <v>309</v>
      </c>
      <c r="B317" s="21" t="s">
        <v>32</v>
      </c>
      <c r="C317" s="21" t="s">
        <v>500</v>
      </c>
      <c r="D317" s="96"/>
      <c r="E317" s="1" t="s">
        <v>501</v>
      </c>
      <c r="F317" s="2">
        <v>2000</v>
      </c>
      <c r="G317" s="1">
        <v>67</v>
      </c>
      <c r="H317" s="2">
        <v>134000</v>
      </c>
      <c r="I317" s="137"/>
    </row>
    <row r="318" spans="1:9">
      <c r="A318" s="132">
        <v>310</v>
      </c>
      <c r="B318" s="21" t="s">
        <v>32</v>
      </c>
      <c r="C318" s="21" t="s">
        <v>479</v>
      </c>
      <c r="D318" s="96"/>
      <c r="E318" s="1" t="s">
        <v>52</v>
      </c>
      <c r="F318" s="2">
        <v>5000</v>
      </c>
      <c r="G318" s="1">
        <v>67</v>
      </c>
      <c r="H318" s="2">
        <v>335000</v>
      </c>
      <c r="I318" s="137"/>
    </row>
    <row r="319" spans="1:9">
      <c r="A319" s="131">
        <v>311</v>
      </c>
      <c r="B319" s="21" t="s">
        <v>32</v>
      </c>
      <c r="C319" s="21" t="s">
        <v>525</v>
      </c>
      <c r="D319" s="96"/>
      <c r="E319" s="1" t="s">
        <v>52</v>
      </c>
      <c r="F319" s="2">
        <v>1000</v>
      </c>
      <c r="G319" s="1">
        <v>67</v>
      </c>
      <c r="H319" s="2">
        <v>67000</v>
      </c>
      <c r="I319" s="137"/>
    </row>
    <row r="320" spans="1:9">
      <c r="A320" s="108">
        <v>312</v>
      </c>
      <c r="B320" s="109" t="s">
        <v>32</v>
      </c>
      <c r="C320" s="109" t="s">
        <v>545</v>
      </c>
      <c r="D320" s="113"/>
      <c r="E320" s="111" t="s">
        <v>52</v>
      </c>
      <c r="F320" s="112">
        <v>3000</v>
      </c>
      <c r="G320" s="111">
        <v>67</v>
      </c>
      <c r="H320" s="112">
        <v>201000</v>
      </c>
      <c r="I320" s="142" t="s">
        <v>1288</v>
      </c>
    </row>
    <row r="321" spans="1:9">
      <c r="A321" s="130">
        <v>313</v>
      </c>
      <c r="B321" s="109" t="s">
        <v>32</v>
      </c>
      <c r="C321" s="109" t="s">
        <v>546</v>
      </c>
      <c r="D321" s="113"/>
      <c r="E321" s="111" t="s">
        <v>52</v>
      </c>
      <c r="F321" s="112">
        <v>2000</v>
      </c>
      <c r="G321" s="111">
        <v>67</v>
      </c>
      <c r="H321" s="112">
        <v>134000</v>
      </c>
      <c r="I321" s="140" t="s">
        <v>1288</v>
      </c>
    </row>
    <row r="322" spans="1:9">
      <c r="A322" s="46">
        <v>314</v>
      </c>
      <c r="B322" s="47" t="s">
        <v>32</v>
      </c>
      <c r="C322" s="47" t="s">
        <v>484</v>
      </c>
      <c r="D322" s="98" t="s">
        <v>1277</v>
      </c>
      <c r="E322" s="48" t="s">
        <v>485</v>
      </c>
      <c r="F322" s="49">
        <v>2000</v>
      </c>
      <c r="G322" s="48">
        <v>67</v>
      </c>
      <c r="H322" s="49">
        <v>134000</v>
      </c>
      <c r="I322" s="139" t="s">
        <v>1190</v>
      </c>
    </row>
    <row r="323" spans="1:9">
      <c r="A323" s="131">
        <v>315</v>
      </c>
      <c r="B323" s="21" t="s">
        <v>32</v>
      </c>
      <c r="C323" s="21" t="s">
        <v>561</v>
      </c>
      <c r="D323" s="96"/>
      <c r="E323" s="1" t="s">
        <v>562</v>
      </c>
      <c r="F323" s="2">
        <v>2000</v>
      </c>
      <c r="G323" s="1">
        <v>67</v>
      </c>
      <c r="H323" s="2">
        <v>134000</v>
      </c>
      <c r="I323" s="137"/>
    </row>
    <row r="324" spans="1:9">
      <c r="A324" s="132">
        <v>316</v>
      </c>
      <c r="B324" s="21" t="s">
        <v>32</v>
      </c>
      <c r="C324" s="21" t="s">
        <v>568</v>
      </c>
      <c r="D324" s="96"/>
      <c r="E324" s="1" t="s">
        <v>53</v>
      </c>
      <c r="F324" s="2">
        <v>5000</v>
      </c>
      <c r="G324" s="1">
        <v>67</v>
      </c>
      <c r="H324" s="2">
        <v>335000</v>
      </c>
      <c r="I324" s="137"/>
    </row>
    <row r="325" spans="1:9">
      <c r="A325" s="131">
        <v>317</v>
      </c>
      <c r="B325" s="21" t="s">
        <v>32</v>
      </c>
      <c r="C325" s="21" t="s">
        <v>375</v>
      </c>
      <c r="D325" s="96"/>
      <c r="E325" s="1" t="s">
        <v>376</v>
      </c>
      <c r="F325" s="2">
        <v>1000</v>
      </c>
      <c r="G325" s="1">
        <v>67</v>
      </c>
      <c r="H325" s="2">
        <v>67000</v>
      </c>
      <c r="I325" s="137"/>
    </row>
    <row r="326" spans="1:9">
      <c r="A326" s="132">
        <v>318</v>
      </c>
      <c r="B326" s="21" t="s">
        <v>32</v>
      </c>
      <c r="C326" s="21" t="s">
        <v>469</v>
      </c>
      <c r="D326" s="96"/>
      <c r="E326" s="1" t="s">
        <v>376</v>
      </c>
      <c r="F326" s="2">
        <v>5000</v>
      </c>
      <c r="G326" s="1">
        <v>67</v>
      </c>
      <c r="H326" s="2">
        <v>335000</v>
      </c>
      <c r="I326" s="137"/>
    </row>
    <row r="327" spans="1:9">
      <c r="A327" s="129">
        <v>319</v>
      </c>
      <c r="B327" s="47" t="s">
        <v>32</v>
      </c>
      <c r="C327" s="47" t="s">
        <v>498</v>
      </c>
      <c r="D327" s="98"/>
      <c r="E327" s="48" t="s">
        <v>376</v>
      </c>
      <c r="F327" s="49">
        <v>4000</v>
      </c>
      <c r="G327" s="48">
        <v>67</v>
      </c>
      <c r="H327" s="49">
        <v>268000</v>
      </c>
      <c r="I327" s="139" t="s">
        <v>1190</v>
      </c>
    </row>
    <row r="328" spans="1:9">
      <c r="A328" s="108">
        <v>320</v>
      </c>
      <c r="B328" s="109" t="s">
        <v>32</v>
      </c>
      <c r="C328" s="109" t="s">
        <v>294</v>
      </c>
      <c r="D328" s="113"/>
      <c r="E328" s="111" t="s">
        <v>376</v>
      </c>
      <c r="F328" s="112">
        <v>2000</v>
      </c>
      <c r="G328" s="111">
        <v>67</v>
      </c>
      <c r="H328" s="112">
        <v>134000</v>
      </c>
      <c r="I328" s="136" t="s">
        <v>1291</v>
      </c>
    </row>
    <row r="329" spans="1:9">
      <c r="A329" s="131">
        <v>321</v>
      </c>
      <c r="B329" s="21" t="s">
        <v>32</v>
      </c>
      <c r="C329" s="21" t="s">
        <v>453</v>
      </c>
      <c r="D329" s="96"/>
      <c r="E329" s="1" t="s">
        <v>454</v>
      </c>
      <c r="F329" s="2">
        <v>1000</v>
      </c>
      <c r="G329" s="1">
        <v>67</v>
      </c>
      <c r="H329" s="2">
        <v>67000</v>
      </c>
      <c r="I329" s="137"/>
    </row>
    <row r="330" spans="1:9">
      <c r="A330" s="108">
        <v>322</v>
      </c>
      <c r="B330" s="109" t="s">
        <v>32</v>
      </c>
      <c r="C330" s="109" t="s">
        <v>1264</v>
      </c>
      <c r="D330" s="113"/>
      <c r="E330" s="111" t="s">
        <v>454</v>
      </c>
      <c r="F330" s="112">
        <v>2000</v>
      </c>
      <c r="G330" s="111">
        <v>67</v>
      </c>
      <c r="H330" s="112">
        <v>134000</v>
      </c>
      <c r="I330" s="136" t="s">
        <v>1291</v>
      </c>
    </row>
    <row r="331" spans="1:9">
      <c r="A331" s="131">
        <v>323</v>
      </c>
      <c r="B331" s="21" t="s">
        <v>32</v>
      </c>
      <c r="C331" s="21" t="s">
        <v>549</v>
      </c>
      <c r="D331" s="96"/>
      <c r="E331" s="1" t="s">
        <v>454</v>
      </c>
      <c r="F331" s="2">
        <v>10000</v>
      </c>
      <c r="G331" s="1">
        <v>67</v>
      </c>
      <c r="H331" s="2">
        <v>670000</v>
      </c>
      <c r="I331" s="137"/>
    </row>
    <row r="332" spans="1:9">
      <c r="A332" s="132">
        <v>324</v>
      </c>
      <c r="B332" s="21" t="s">
        <v>32</v>
      </c>
      <c r="C332" s="21" t="s">
        <v>371</v>
      </c>
      <c r="D332" s="96"/>
      <c r="E332" s="1" t="s">
        <v>55</v>
      </c>
      <c r="F332" s="2">
        <v>1000</v>
      </c>
      <c r="G332" s="1">
        <v>67</v>
      </c>
      <c r="H332" s="2">
        <v>67000</v>
      </c>
      <c r="I332" s="137"/>
    </row>
    <row r="333" spans="1:9">
      <c r="A333" s="131">
        <v>325</v>
      </c>
      <c r="B333" s="21" t="s">
        <v>32</v>
      </c>
      <c r="C333" s="21" t="s">
        <v>494</v>
      </c>
      <c r="D333" s="96"/>
      <c r="E333" s="1" t="s">
        <v>55</v>
      </c>
      <c r="F333" s="2">
        <v>3000</v>
      </c>
      <c r="G333" s="1">
        <v>67</v>
      </c>
      <c r="H333" s="2">
        <v>201000</v>
      </c>
      <c r="I333" s="137"/>
    </row>
    <row r="334" spans="1:9">
      <c r="A334" s="108">
        <v>326</v>
      </c>
      <c r="B334" s="109" t="s">
        <v>32</v>
      </c>
      <c r="C334" s="109" t="s">
        <v>533</v>
      </c>
      <c r="D334" s="113"/>
      <c r="E334" s="111" t="s">
        <v>55</v>
      </c>
      <c r="F334" s="112">
        <v>10000</v>
      </c>
      <c r="G334" s="111">
        <v>67</v>
      </c>
      <c r="H334" s="112">
        <v>670000</v>
      </c>
      <c r="I334" s="136" t="s">
        <v>1291</v>
      </c>
    </row>
    <row r="335" spans="1:9">
      <c r="A335" s="130">
        <v>327</v>
      </c>
      <c r="B335" s="109" t="s">
        <v>32</v>
      </c>
      <c r="C335" s="109" t="s">
        <v>250</v>
      </c>
      <c r="D335" s="113"/>
      <c r="E335" s="111" t="s">
        <v>459</v>
      </c>
      <c r="F335" s="112">
        <v>5000</v>
      </c>
      <c r="G335" s="111">
        <v>67</v>
      </c>
      <c r="H335" s="112">
        <v>335000</v>
      </c>
      <c r="I335" s="136" t="s">
        <v>1291</v>
      </c>
    </row>
    <row r="336" spans="1:9">
      <c r="A336" s="132">
        <v>328</v>
      </c>
      <c r="B336" s="21" t="s">
        <v>32</v>
      </c>
      <c r="C336" s="21" t="s">
        <v>460</v>
      </c>
      <c r="D336" s="96"/>
      <c r="E336" s="1" t="s">
        <v>459</v>
      </c>
      <c r="F336" s="2">
        <v>5000</v>
      </c>
      <c r="G336" s="1">
        <v>67</v>
      </c>
      <c r="H336" s="2">
        <v>335000</v>
      </c>
      <c r="I336" s="137"/>
    </row>
    <row r="337" spans="1:9">
      <c r="A337" s="131">
        <v>329</v>
      </c>
      <c r="B337" s="21" t="s">
        <v>32</v>
      </c>
      <c r="C337" s="21" t="s">
        <v>307</v>
      </c>
      <c r="D337" s="96"/>
      <c r="E337" s="1" t="s">
        <v>459</v>
      </c>
      <c r="F337" s="2">
        <v>1000</v>
      </c>
      <c r="G337" s="1">
        <v>67</v>
      </c>
      <c r="H337" s="2">
        <v>67000</v>
      </c>
      <c r="I337" s="137"/>
    </row>
    <row r="338" spans="1:9">
      <c r="A338" s="132">
        <v>330</v>
      </c>
      <c r="B338" s="21" t="s">
        <v>32</v>
      </c>
      <c r="C338" s="21" t="s">
        <v>371</v>
      </c>
      <c r="D338" s="96"/>
      <c r="E338" s="1" t="s">
        <v>372</v>
      </c>
      <c r="F338" s="2">
        <v>1000</v>
      </c>
      <c r="G338" s="1">
        <v>67</v>
      </c>
      <c r="H338" s="2">
        <v>67000</v>
      </c>
      <c r="I338" s="137"/>
    </row>
    <row r="339" spans="1:9">
      <c r="A339" s="130">
        <v>331</v>
      </c>
      <c r="B339" s="109" t="s">
        <v>32</v>
      </c>
      <c r="C339" s="109" t="s">
        <v>163</v>
      </c>
      <c r="D339" s="113"/>
      <c r="E339" s="111" t="s">
        <v>56</v>
      </c>
      <c r="F339" s="112">
        <v>1000</v>
      </c>
      <c r="G339" s="111">
        <v>67</v>
      </c>
      <c r="H339" s="112">
        <v>67000</v>
      </c>
      <c r="I339" s="136" t="s">
        <v>1291</v>
      </c>
    </row>
    <row r="340" spans="1:9">
      <c r="A340" s="108">
        <v>332</v>
      </c>
      <c r="B340" s="109" t="s">
        <v>32</v>
      </c>
      <c r="C340" s="109" t="s">
        <v>231</v>
      </c>
      <c r="D340" s="113"/>
      <c r="E340" s="111" t="s">
        <v>56</v>
      </c>
      <c r="F340" s="112">
        <v>1000</v>
      </c>
      <c r="G340" s="111">
        <v>67</v>
      </c>
      <c r="H340" s="112">
        <v>67000</v>
      </c>
      <c r="I340" s="140" t="s">
        <v>1288</v>
      </c>
    </row>
    <row r="341" spans="1:9">
      <c r="A341" s="130">
        <v>333</v>
      </c>
      <c r="B341" s="109" t="s">
        <v>32</v>
      </c>
      <c r="C341" s="109" t="s">
        <v>334</v>
      </c>
      <c r="D341" s="113"/>
      <c r="E341" s="111" t="s">
        <v>56</v>
      </c>
      <c r="F341" s="112">
        <v>1000</v>
      </c>
      <c r="G341" s="111">
        <v>67</v>
      </c>
      <c r="H341" s="112">
        <v>67000</v>
      </c>
      <c r="I341" s="136" t="s">
        <v>1289</v>
      </c>
    </row>
    <row r="342" spans="1:9">
      <c r="A342" s="108">
        <v>334</v>
      </c>
      <c r="B342" s="109" t="s">
        <v>32</v>
      </c>
      <c r="C342" s="109" t="s">
        <v>274</v>
      </c>
      <c r="D342" s="113"/>
      <c r="E342" s="111" t="s">
        <v>491</v>
      </c>
      <c r="F342" s="112">
        <v>2000</v>
      </c>
      <c r="G342" s="111">
        <v>67</v>
      </c>
      <c r="H342" s="112">
        <v>134000</v>
      </c>
      <c r="I342" s="140" t="s">
        <v>1288</v>
      </c>
    </row>
    <row r="343" spans="1:9">
      <c r="A343" s="129">
        <v>335</v>
      </c>
      <c r="B343" s="47" t="s">
        <v>32</v>
      </c>
      <c r="C343" s="47" t="s">
        <v>332</v>
      </c>
      <c r="D343" s="98"/>
      <c r="E343" s="48" t="s">
        <v>57</v>
      </c>
      <c r="F343" s="49">
        <v>10000</v>
      </c>
      <c r="G343" s="48">
        <v>67</v>
      </c>
      <c r="H343" s="49">
        <v>670000</v>
      </c>
      <c r="I343" s="139" t="s">
        <v>1190</v>
      </c>
    </row>
    <row r="344" spans="1:9" ht="129.6">
      <c r="A344" s="108">
        <v>336</v>
      </c>
      <c r="B344" s="109" t="s">
        <v>32</v>
      </c>
      <c r="C344" s="109" t="s">
        <v>173</v>
      </c>
      <c r="D344" s="113"/>
      <c r="E344" s="111" t="s">
        <v>226</v>
      </c>
      <c r="F344" s="112">
        <v>10000</v>
      </c>
      <c r="G344" s="111">
        <v>67</v>
      </c>
      <c r="H344" s="112">
        <v>670000</v>
      </c>
      <c r="I344" s="119" t="s">
        <v>1301</v>
      </c>
    </row>
    <row r="345" spans="1:9">
      <c r="A345" s="130">
        <v>337</v>
      </c>
      <c r="B345" s="109" t="s">
        <v>32</v>
      </c>
      <c r="C345" s="109" t="s">
        <v>175</v>
      </c>
      <c r="D345" s="113"/>
      <c r="E345" s="111" t="s">
        <v>226</v>
      </c>
      <c r="F345" s="112">
        <v>2000</v>
      </c>
      <c r="G345" s="111">
        <v>67</v>
      </c>
      <c r="H345" s="112">
        <v>134000</v>
      </c>
      <c r="I345" s="140" t="s">
        <v>1291</v>
      </c>
    </row>
    <row r="346" spans="1:9">
      <c r="A346" s="46">
        <v>338</v>
      </c>
      <c r="B346" s="47" t="s">
        <v>32</v>
      </c>
      <c r="C346" s="47" t="s">
        <v>253</v>
      </c>
      <c r="D346" s="98"/>
      <c r="E346" s="48" t="s">
        <v>226</v>
      </c>
      <c r="F346" s="49">
        <v>2000</v>
      </c>
      <c r="G346" s="48">
        <v>67</v>
      </c>
      <c r="H346" s="49">
        <v>134000</v>
      </c>
      <c r="I346" s="139" t="s">
        <v>1190</v>
      </c>
    </row>
    <row r="347" spans="1:9">
      <c r="A347" s="130">
        <v>339</v>
      </c>
      <c r="B347" s="109" t="s">
        <v>32</v>
      </c>
      <c r="C347" s="109" t="s">
        <v>294</v>
      </c>
      <c r="D347" s="113"/>
      <c r="E347" s="111" t="s">
        <v>226</v>
      </c>
      <c r="F347" s="112">
        <v>1000</v>
      </c>
      <c r="G347" s="111">
        <v>67</v>
      </c>
      <c r="H347" s="112">
        <v>67000</v>
      </c>
      <c r="I347" s="136" t="s">
        <v>1291</v>
      </c>
    </row>
    <row r="348" spans="1:9">
      <c r="A348" s="108">
        <v>340</v>
      </c>
      <c r="B348" s="109" t="s">
        <v>32</v>
      </c>
      <c r="C348" s="109" t="s">
        <v>310</v>
      </c>
      <c r="D348" s="113"/>
      <c r="E348" s="111" t="s">
        <v>226</v>
      </c>
      <c r="F348" s="112">
        <v>5000</v>
      </c>
      <c r="G348" s="111">
        <v>67</v>
      </c>
      <c r="H348" s="112">
        <v>335000</v>
      </c>
      <c r="I348" s="136" t="s">
        <v>1291</v>
      </c>
    </row>
    <row r="349" spans="1:9">
      <c r="A349" s="130">
        <v>341</v>
      </c>
      <c r="B349" s="109" t="s">
        <v>32</v>
      </c>
      <c r="C349" s="109" t="s">
        <v>314</v>
      </c>
      <c r="D349" s="113"/>
      <c r="E349" s="111" t="s">
        <v>226</v>
      </c>
      <c r="F349" s="112">
        <v>2000</v>
      </c>
      <c r="G349" s="111">
        <v>67</v>
      </c>
      <c r="H349" s="112">
        <v>134000</v>
      </c>
      <c r="I349" s="140" t="s">
        <v>1288</v>
      </c>
    </row>
    <row r="350" spans="1:9">
      <c r="A350" s="108">
        <v>342</v>
      </c>
      <c r="B350" s="109" t="s">
        <v>32</v>
      </c>
      <c r="C350" s="109" t="s">
        <v>317</v>
      </c>
      <c r="D350" s="113"/>
      <c r="E350" s="111" t="s">
        <v>226</v>
      </c>
      <c r="F350" s="112">
        <v>2000</v>
      </c>
      <c r="G350" s="111">
        <v>67</v>
      </c>
      <c r="H350" s="112">
        <v>134000</v>
      </c>
      <c r="I350" s="140" t="s">
        <v>1288</v>
      </c>
    </row>
    <row r="351" spans="1:9">
      <c r="A351" s="130">
        <v>343</v>
      </c>
      <c r="B351" s="109" t="s">
        <v>32</v>
      </c>
      <c r="C351" s="109" t="s">
        <v>318</v>
      </c>
      <c r="D351" s="113"/>
      <c r="E351" s="111" t="s">
        <v>226</v>
      </c>
      <c r="F351" s="112">
        <v>1000</v>
      </c>
      <c r="G351" s="111">
        <v>67</v>
      </c>
      <c r="H351" s="112">
        <v>67000</v>
      </c>
      <c r="I351" s="140" t="s">
        <v>1288</v>
      </c>
    </row>
    <row r="352" spans="1:9">
      <c r="A352" s="132">
        <v>344</v>
      </c>
      <c r="B352" s="21" t="s">
        <v>32</v>
      </c>
      <c r="C352" s="21" t="s">
        <v>492</v>
      </c>
      <c r="D352" s="96"/>
      <c r="E352" s="1" t="s">
        <v>58</v>
      </c>
      <c r="F352" s="2">
        <v>1000</v>
      </c>
      <c r="G352" s="1">
        <v>67</v>
      </c>
      <c r="H352" s="2">
        <v>67000</v>
      </c>
      <c r="I352" s="137"/>
    </row>
    <row r="353" spans="1:9">
      <c r="A353" s="131">
        <v>345</v>
      </c>
      <c r="B353" s="21" t="s">
        <v>32</v>
      </c>
      <c r="C353" s="21" t="s">
        <v>307</v>
      </c>
      <c r="D353" s="96"/>
      <c r="E353" s="1" t="s">
        <v>58</v>
      </c>
      <c r="F353" s="2">
        <v>3000</v>
      </c>
      <c r="G353" s="1">
        <v>67</v>
      </c>
      <c r="H353" s="2">
        <v>201000</v>
      </c>
      <c r="I353" s="137"/>
    </row>
    <row r="354" spans="1:9">
      <c r="A354" s="108">
        <v>346</v>
      </c>
      <c r="B354" s="109" t="s">
        <v>32</v>
      </c>
      <c r="C354" s="109" t="s">
        <v>294</v>
      </c>
      <c r="D354" s="113"/>
      <c r="E354" s="111" t="s">
        <v>516</v>
      </c>
      <c r="F354" s="112">
        <v>1000</v>
      </c>
      <c r="G354" s="111">
        <v>67</v>
      </c>
      <c r="H354" s="112">
        <v>67000</v>
      </c>
      <c r="I354" s="136" t="s">
        <v>1291</v>
      </c>
    </row>
    <row r="355" spans="1:9">
      <c r="A355" s="131">
        <v>347</v>
      </c>
      <c r="B355" s="21" t="s">
        <v>32</v>
      </c>
      <c r="C355" s="21" t="s">
        <v>219</v>
      </c>
      <c r="D355" s="96"/>
      <c r="E355" s="1" t="s">
        <v>59</v>
      </c>
      <c r="F355" s="2">
        <v>1000</v>
      </c>
      <c r="G355" s="1">
        <v>67</v>
      </c>
      <c r="H355" s="2">
        <v>67000</v>
      </c>
      <c r="I355" s="137"/>
    </row>
    <row r="356" spans="1:9">
      <c r="A356" s="132">
        <v>348</v>
      </c>
      <c r="B356" s="21" t="s">
        <v>32</v>
      </c>
      <c r="C356" s="21" t="s">
        <v>282</v>
      </c>
      <c r="D356" s="96"/>
      <c r="E356" s="1" t="s">
        <v>59</v>
      </c>
      <c r="F356" s="2">
        <v>1000</v>
      </c>
      <c r="G356" s="1">
        <v>67</v>
      </c>
      <c r="H356" s="2">
        <v>67000</v>
      </c>
      <c r="I356" s="137"/>
    </row>
    <row r="357" spans="1:9">
      <c r="A357" s="131">
        <v>349</v>
      </c>
      <c r="B357" s="21" t="s">
        <v>32</v>
      </c>
      <c r="C357" s="21" t="s">
        <v>327</v>
      </c>
      <c r="D357" s="96"/>
      <c r="E357" s="1" t="s">
        <v>59</v>
      </c>
      <c r="F357" s="2">
        <v>2000</v>
      </c>
      <c r="G357" s="1">
        <v>67</v>
      </c>
      <c r="H357" s="2">
        <v>134000</v>
      </c>
      <c r="I357" s="137"/>
    </row>
    <row r="358" spans="1:9">
      <c r="A358" s="132">
        <v>350</v>
      </c>
      <c r="B358" s="21" t="s">
        <v>32</v>
      </c>
      <c r="C358" s="21" t="s">
        <v>554</v>
      </c>
      <c r="D358" s="96"/>
      <c r="E358" s="1" t="s">
        <v>59</v>
      </c>
      <c r="F358" s="2">
        <v>1000</v>
      </c>
      <c r="G358" s="1">
        <v>67</v>
      </c>
      <c r="H358" s="2">
        <v>67000</v>
      </c>
      <c r="I358" s="137"/>
    </row>
    <row r="359" spans="1:9" ht="64.8">
      <c r="A359" s="130">
        <v>351</v>
      </c>
      <c r="B359" s="109" t="s">
        <v>32</v>
      </c>
      <c r="C359" s="109" t="s">
        <v>1345</v>
      </c>
      <c r="D359" s="113"/>
      <c r="E359" s="111" t="s">
        <v>394</v>
      </c>
      <c r="F359" s="112">
        <v>3000</v>
      </c>
      <c r="G359" s="111">
        <v>67</v>
      </c>
      <c r="H359" s="112">
        <v>201000</v>
      </c>
      <c r="I359" s="119" t="s">
        <v>1347</v>
      </c>
    </row>
    <row r="360" spans="1:9">
      <c r="A360" s="108">
        <v>352</v>
      </c>
      <c r="B360" s="109" t="s">
        <v>32</v>
      </c>
      <c r="C360" s="109" t="s">
        <v>165</v>
      </c>
      <c r="D360" s="113"/>
      <c r="E360" s="111" t="s">
        <v>394</v>
      </c>
      <c r="F360" s="112">
        <v>1000</v>
      </c>
      <c r="G360" s="111">
        <v>67</v>
      </c>
      <c r="H360" s="112">
        <v>67000</v>
      </c>
      <c r="I360" s="136" t="s">
        <v>1291</v>
      </c>
    </row>
    <row r="361" spans="1:9">
      <c r="A361" s="131">
        <v>353</v>
      </c>
      <c r="B361" s="21" t="s">
        <v>32</v>
      </c>
      <c r="C361" s="21" t="s">
        <v>406</v>
      </c>
      <c r="D361" s="96"/>
      <c r="E361" s="1" t="s">
        <v>394</v>
      </c>
      <c r="F361" s="2">
        <v>1000</v>
      </c>
      <c r="G361" s="1">
        <v>67</v>
      </c>
      <c r="H361" s="2">
        <v>67000</v>
      </c>
      <c r="I361" s="137"/>
    </row>
    <row r="362" spans="1:9">
      <c r="A362" s="108">
        <v>354</v>
      </c>
      <c r="B362" s="109" t="s">
        <v>32</v>
      </c>
      <c r="C362" s="109" t="s">
        <v>306</v>
      </c>
      <c r="D362" s="113"/>
      <c r="E362" s="111" t="s">
        <v>394</v>
      </c>
      <c r="F362" s="112">
        <v>2000</v>
      </c>
      <c r="G362" s="111">
        <v>67</v>
      </c>
      <c r="H362" s="112">
        <v>134000</v>
      </c>
      <c r="I362" s="136" t="s">
        <v>1291</v>
      </c>
    </row>
    <row r="363" spans="1:9">
      <c r="A363" s="130">
        <v>355</v>
      </c>
      <c r="B363" s="109" t="s">
        <v>32</v>
      </c>
      <c r="C363" s="109" t="s">
        <v>313</v>
      </c>
      <c r="D363" s="113"/>
      <c r="E363" s="111" t="s">
        <v>394</v>
      </c>
      <c r="F363" s="112">
        <v>1000</v>
      </c>
      <c r="G363" s="111">
        <v>67</v>
      </c>
      <c r="H363" s="112">
        <v>67000</v>
      </c>
      <c r="I363" s="136" t="s">
        <v>1291</v>
      </c>
    </row>
    <row r="364" spans="1:9">
      <c r="A364" s="132">
        <v>356</v>
      </c>
      <c r="B364" s="21" t="s">
        <v>32</v>
      </c>
      <c r="C364" s="21" t="s">
        <v>316</v>
      </c>
      <c r="D364" s="96"/>
      <c r="E364" s="1" t="s">
        <v>394</v>
      </c>
      <c r="F364" s="2">
        <v>1000</v>
      </c>
      <c r="G364" s="1">
        <v>67</v>
      </c>
      <c r="H364" s="2">
        <v>67000</v>
      </c>
      <c r="I364" s="137"/>
    </row>
    <row r="365" spans="1:9">
      <c r="A365" s="131">
        <v>357</v>
      </c>
      <c r="B365" s="21" t="s">
        <v>32</v>
      </c>
      <c r="C365" s="21" t="s">
        <v>171</v>
      </c>
      <c r="D365" s="96"/>
      <c r="E365" s="1" t="s">
        <v>405</v>
      </c>
      <c r="F365" s="2">
        <v>2000</v>
      </c>
      <c r="G365" s="1">
        <v>67</v>
      </c>
      <c r="H365" s="2">
        <v>134000</v>
      </c>
      <c r="I365" s="137"/>
    </row>
    <row r="366" spans="1:9">
      <c r="A366" s="108">
        <v>358</v>
      </c>
      <c r="B366" s="109" t="s">
        <v>32</v>
      </c>
      <c r="C366" s="109" t="s">
        <v>308</v>
      </c>
      <c r="D366" s="113"/>
      <c r="E366" s="111" t="s">
        <v>405</v>
      </c>
      <c r="F366" s="112">
        <v>3000</v>
      </c>
      <c r="G366" s="111">
        <v>67</v>
      </c>
      <c r="H366" s="112">
        <v>201000</v>
      </c>
      <c r="I366" s="136" t="s">
        <v>1291</v>
      </c>
    </row>
    <row r="367" spans="1:9">
      <c r="A367" s="131">
        <v>359</v>
      </c>
      <c r="B367" s="21" t="s">
        <v>32</v>
      </c>
      <c r="C367" s="21" t="s">
        <v>364</v>
      </c>
      <c r="D367" s="96"/>
      <c r="E367" s="1" t="s">
        <v>365</v>
      </c>
      <c r="F367" s="2">
        <v>1000</v>
      </c>
      <c r="G367" s="1">
        <v>67</v>
      </c>
      <c r="H367" s="2">
        <v>67000</v>
      </c>
      <c r="I367" s="137"/>
    </row>
    <row r="368" spans="1:9">
      <c r="A368" s="132">
        <v>360</v>
      </c>
      <c r="B368" s="21" t="s">
        <v>32</v>
      </c>
      <c r="C368" s="21" t="s">
        <v>421</v>
      </c>
      <c r="D368" s="96"/>
      <c r="E368" s="1" t="s">
        <v>365</v>
      </c>
      <c r="F368" s="2">
        <v>2000</v>
      </c>
      <c r="G368" s="1">
        <v>67</v>
      </c>
      <c r="H368" s="2">
        <v>134000</v>
      </c>
      <c r="I368" s="137"/>
    </row>
    <row r="369" spans="1:9">
      <c r="A369" s="131">
        <v>361</v>
      </c>
      <c r="B369" s="21" t="s">
        <v>32</v>
      </c>
      <c r="C369" s="21" t="s">
        <v>167</v>
      </c>
      <c r="D369" s="96"/>
      <c r="E369" s="1" t="s">
        <v>60</v>
      </c>
      <c r="F369" s="2">
        <v>2000</v>
      </c>
      <c r="G369" s="1">
        <v>67</v>
      </c>
      <c r="H369" s="2">
        <v>134000</v>
      </c>
      <c r="I369" s="137"/>
    </row>
    <row r="370" spans="1:9" ht="32.4">
      <c r="A370" s="108">
        <v>362</v>
      </c>
      <c r="B370" s="109" t="s">
        <v>32</v>
      </c>
      <c r="C370" s="109" t="s">
        <v>202</v>
      </c>
      <c r="D370" s="110" t="s">
        <v>1310</v>
      </c>
      <c r="E370" s="111" t="s">
        <v>424</v>
      </c>
      <c r="F370" s="112">
        <v>2000</v>
      </c>
      <c r="G370" s="111">
        <v>67</v>
      </c>
      <c r="H370" s="112">
        <v>134000</v>
      </c>
      <c r="I370" s="136" t="s">
        <v>1239</v>
      </c>
    </row>
    <row r="371" spans="1:9">
      <c r="A371" s="129">
        <v>363</v>
      </c>
      <c r="B371" s="47" t="s">
        <v>32</v>
      </c>
      <c r="C371" s="47" t="s">
        <v>220</v>
      </c>
      <c r="D371" s="98"/>
      <c r="E371" s="48" t="s">
        <v>61</v>
      </c>
      <c r="F371" s="49">
        <v>2000</v>
      </c>
      <c r="G371" s="48">
        <v>67</v>
      </c>
      <c r="H371" s="49">
        <v>134000</v>
      </c>
      <c r="I371" s="139" t="s">
        <v>1190</v>
      </c>
    </row>
    <row r="372" spans="1:9">
      <c r="A372" s="132">
        <v>364</v>
      </c>
      <c r="B372" s="21" t="s">
        <v>32</v>
      </c>
      <c r="C372" s="21" t="s">
        <v>566</v>
      </c>
      <c r="D372" s="96"/>
      <c r="E372" s="1" t="s">
        <v>61</v>
      </c>
      <c r="F372" s="2">
        <v>3000</v>
      </c>
      <c r="G372" s="1">
        <v>67</v>
      </c>
      <c r="H372" s="2">
        <v>201000</v>
      </c>
      <c r="I372" s="137"/>
    </row>
    <row r="373" spans="1:9">
      <c r="A373" s="129">
        <v>365</v>
      </c>
      <c r="B373" s="47" t="s">
        <v>32</v>
      </c>
      <c r="C373" s="47" t="s">
        <v>344</v>
      </c>
      <c r="D373" s="98"/>
      <c r="E373" s="48" t="s">
        <v>61</v>
      </c>
      <c r="F373" s="49">
        <v>1000</v>
      </c>
      <c r="G373" s="48">
        <v>67</v>
      </c>
      <c r="H373" s="49">
        <v>67000</v>
      </c>
      <c r="I373" s="139" t="s">
        <v>1190</v>
      </c>
    </row>
    <row r="374" spans="1:9">
      <c r="A374" s="46">
        <v>366</v>
      </c>
      <c r="B374" s="47" t="s">
        <v>32</v>
      </c>
      <c r="C374" s="47" t="s">
        <v>263</v>
      </c>
      <c r="D374" s="98"/>
      <c r="E374" s="48" t="s">
        <v>477</v>
      </c>
      <c r="F374" s="49">
        <v>1000</v>
      </c>
      <c r="G374" s="48">
        <v>67</v>
      </c>
      <c r="H374" s="49">
        <v>67000</v>
      </c>
      <c r="I374" s="139" t="s">
        <v>1190</v>
      </c>
    </row>
    <row r="375" spans="1:9">
      <c r="A375" s="130">
        <v>367</v>
      </c>
      <c r="B375" s="109" t="s">
        <v>32</v>
      </c>
      <c r="C375" s="109" t="s">
        <v>195</v>
      </c>
      <c r="D375" s="113"/>
      <c r="E375" s="111" t="s">
        <v>196</v>
      </c>
      <c r="F375" s="112">
        <v>1000</v>
      </c>
      <c r="G375" s="111">
        <v>67</v>
      </c>
      <c r="H375" s="112">
        <v>67000</v>
      </c>
      <c r="I375" s="136" t="s">
        <v>1291</v>
      </c>
    </row>
    <row r="376" spans="1:9">
      <c r="A376" s="108">
        <v>368</v>
      </c>
      <c r="B376" s="109" t="s">
        <v>32</v>
      </c>
      <c r="C376" s="109" t="s">
        <v>223</v>
      </c>
      <c r="D376" s="113"/>
      <c r="E376" s="111" t="s">
        <v>196</v>
      </c>
      <c r="F376" s="112">
        <v>5000</v>
      </c>
      <c r="G376" s="111">
        <v>67</v>
      </c>
      <c r="H376" s="112">
        <v>335000</v>
      </c>
      <c r="I376" s="136" t="s">
        <v>1291</v>
      </c>
    </row>
    <row r="377" spans="1:9">
      <c r="A377" s="131">
        <v>369</v>
      </c>
      <c r="B377" s="21" t="s">
        <v>32</v>
      </c>
      <c r="C377" s="21" t="s">
        <v>495</v>
      </c>
      <c r="D377" s="96"/>
      <c r="E377" s="1" t="s">
        <v>196</v>
      </c>
      <c r="F377" s="2">
        <v>2000</v>
      </c>
      <c r="G377" s="1">
        <v>67</v>
      </c>
      <c r="H377" s="2">
        <v>134000</v>
      </c>
      <c r="I377" s="137"/>
    </row>
    <row r="378" spans="1:9">
      <c r="A378" s="132">
        <v>370</v>
      </c>
      <c r="B378" s="21" t="s">
        <v>32</v>
      </c>
      <c r="C378" s="21" t="s">
        <v>567</v>
      </c>
      <c r="D378" s="96"/>
      <c r="E378" s="1" t="s">
        <v>196</v>
      </c>
      <c r="F378" s="2">
        <v>1000</v>
      </c>
      <c r="G378" s="1">
        <v>67</v>
      </c>
      <c r="H378" s="2">
        <v>67000</v>
      </c>
      <c r="I378" s="137"/>
    </row>
    <row r="379" spans="1:9">
      <c r="A379" s="131">
        <v>371</v>
      </c>
      <c r="B379" s="21" t="s">
        <v>32</v>
      </c>
      <c r="C379" s="21" t="s">
        <v>323</v>
      </c>
      <c r="D379" s="96"/>
      <c r="E379" s="1" t="s">
        <v>62</v>
      </c>
      <c r="F379" s="2">
        <v>10000</v>
      </c>
      <c r="G379" s="1">
        <v>67</v>
      </c>
      <c r="H379" s="2">
        <v>670000</v>
      </c>
      <c r="I379" s="137"/>
    </row>
    <row r="380" spans="1:9" ht="81">
      <c r="A380" s="108">
        <v>372</v>
      </c>
      <c r="B380" s="109" t="s">
        <v>32</v>
      </c>
      <c r="C380" s="109" t="s">
        <v>552</v>
      </c>
      <c r="D380" s="113"/>
      <c r="E380" s="111" t="s">
        <v>62</v>
      </c>
      <c r="F380" s="112">
        <v>5000</v>
      </c>
      <c r="G380" s="111">
        <v>67</v>
      </c>
      <c r="H380" s="112">
        <v>335000</v>
      </c>
      <c r="I380" s="119" t="s">
        <v>1308</v>
      </c>
    </row>
    <row r="381" spans="1:9">
      <c r="A381" s="131">
        <v>373</v>
      </c>
      <c r="B381" s="21" t="s">
        <v>32</v>
      </c>
      <c r="C381" s="21" t="s">
        <v>186</v>
      </c>
      <c r="D381" s="96"/>
      <c r="E381" s="1" t="s">
        <v>63</v>
      </c>
      <c r="F381" s="2">
        <v>1000</v>
      </c>
      <c r="G381" s="1">
        <v>67</v>
      </c>
      <c r="H381" s="2">
        <v>67000</v>
      </c>
      <c r="I381" s="137"/>
    </row>
    <row r="382" spans="1:9">
      <c r="A382" s="132">
        <v>374</v>
      </c>
      <c r="B382" s="21" t="s">
        <v>32</v>
      </c>
      <c r="C382" s="21" t="s">
        <v>187</v>
      </c>
      <c r="D382" s="96"/>
      <c r="E382" s="1" t="s">
        <v>63</v>
      </c>
      <c r="F382" s="2">
        <v>1000</v>
      </c>
      <c r="G382" s="1">
        <v>67</v>
      </c>
      <c r="H382" s="2">
        <v>67000</v>
      </c>
      <c r="I382" s="137"/>
    </row>
    <row r="383" spans="1:9">
      <c r="A383" s="131">
        <v>375</v>
      </c>
      <c r="B383" s="21" t="s">
        <v>32</v>
      </c>
      <c r="C383" s="21" t="s">
        <v>230</v>
      </c>
      <c r="D383" s="96"/>
      <c r="E383" s="1" t="s">
        <v>63</v>
      </c>
      <c r="F383" s="2">
        <v>3000</v>
      </c>
      <c r="G383" s="1">
        <v>67</v>
      </c>
      <c r="H383" s="2">
        <v>201000</v>
      </c>
      <c r="I383" s="137"/>
    </row>
    <row r="384" spans="1:9">
      <c r="A384" s="132">
        <v>376</v>
      </c>
      <c r="B384" s="21" t="s">
        <v>32</v>
      </c>
      <c r="C384" s="21" t="s">
        <v>206</v>
      </c>
      <c r="D384" s="96"/>
      <c r="E384" s="1" t="s">
        <v>64</v>
      </c>
      <c r="F384" s="2">
        <v>10000</v>
      </c>
      <c r="G384" s="1">
        <v>67</v>
      </c>
      <c r="H384" s="2">
        <v>670000</v>
      </c>
      <c r="I384" s="137"/>
    </row>
    <row r="385" spans="1:9">
      <c r="A385" s="130">
        <v>377</v>
      </c>
      <c r="B385" s="109" t="s">
        <v>32</v>
      </c>
      <c r="C385" s="109" t="s">
        <v>272</v>
      </c>
      <c r="D385" s="113"/>
      <c r="E385" s="111" t="s">
        <v>5</v>
      </c>
      <c r="F385" s="112">
        <v>5000</v>
      </c>
      <c r="G385" s="111">
        <v>67</v>
      </c>
      <c r="H385" s="112">
        <v>335000</v>
      </c>
      <c r="I385" s="136" t="s">
        <v>1291</v>
      </c>
    </row>
    <row r="386" spans="1:9">
      <c r="A386" s="132">
        <v>378</v>
      </c>
      <c r="B386" s="21" t="s">
        <v>32</v>
      </c>
      <c r="C386" s="21" t="s">
        <v>397</v>
      </c>
      <c r="D386" s="96"/>
      <c r="E386" s="1" t="s">
        <v>65</v>
      </c>
      <c r="F386" s="2">
        <v>2000</v>
      </c>
      <c r="G386" s="1">
        <v>67</v>
      </c>
      <c r="H386" s="2">
        <v>134000</v>
      </c>
      <c r="I386" s="137"/>
    </row>
    <row r="387" spans="1:9">
      <c r="A387" s="130">
        <v>379</v>
      </c>
      <c r="B387" s="109" t="s">
        <v>32</v>
      </c>
      <c r="C387" s="109" t="s">
        <v>228</v>
      </c>
      <c r="D387" s="113"/>
      <c r="E387" s="111" t="s">
        <v>65</v>
      </c>
      <c r="F387" s="112">
        <v>5000</v>
      </c>
      <c r="G387" s="111">
        <v>67</v>
      </c>
      <c r="H387" s="112">
        <v>335000</v>
      </c>
      <c r="I387" s="136" t="s">
        <v>1291</v>
      </c>
    </row>
    <row r="388" spans="1:9">
      <c r="A388" s="132">
        <v>380</v>
      </c>
      <c r="B388" s="21" t="s">
        <v>32</v>
      </c>
      <c r="C388" s="21" t="s">
        <v>230</v>
      </c>
      <c r="D388" s="96"/>
      <c r="E388" s="1" t="s">
        <v>65</v>
      </c>
      <c r="F388" s="2">
        <v>2000</v>
      </c>
      <c r="G388" s="1">
        <v>67</v>
      </c>
      <c r="H388" s="2">
        <v>134000</v>
      </c>
      <c r="I388" s="137"/>
    </row>
    <row r="389" spans="1:9">
      <c r="A389" s="131">
        <v>381</v>
      </c>
      <c r="B389" s="21" t="s">
        <v>32</v>
      </c>
      <c r="C389" s="21" t="s">
        <v>458</v>
      </c>
      <c r="D389" s="96"/>
      <c r="E389" s="1" t="s">
        <v>65</v>
      </c>
      <c r="F389" s="2">
        <v>2000</v>
      </c>
      <c r="G389" s="1">
        <v>67</v>
      </c>
      <c r="H389" s="2">
        <v>134000</v>
      </c>
      <c r="I389" s="137"/>
    </row>
    <row r="390" spans="1:9">
      <c r="A390" s="132">
        <v>382</v>
      </c>
      <c r="B390" s="21" t="s">
        <v>32</v>
      </c>
      <c r="C390" s="21" t="s">
        <v>260</v>
      </c>
      <c r="D390" s="96"/>
      <c r="E390" s="1" t="s">
        <v>65</v>
      </c>
      <c r="F390" s="2">
        <v>5000</v>
      </c>
      <c r="G390" s="1">
        <v>67</v>
      </c>
      <c r="H390" s="2">
        <v>335000</v>
      </c>
      <c r="I390" s="137"/>
    </row>
    <row r="391" spans="1:9">
      <c r="A391" s="131">
        <v>383</v>
      </c>
      <c r="B391" s="21" t="s">
        <v>32</v>
      </c>
      <c r="C391" s="21" t="s">
        <v>518</v>
      </c>
      <c r="D391" s="96"/>
      <c r="E391" s="1" t="s">
        <v>65</v>
      </c>
      <c r="F391" s="2">
        <v>1000</v>
      </c>
      <c r="G391" s="1">
        <v>67</v>
      </c>
      <c r="H391" s="2">
        <v>67000</v>
      </c>
      <c r="I391" s="137"/>
    </row>
    <row r="392" spans="1:9">
      <c r="A392" s="132">
        <v>384</v>
      </c>
      <c r="B392" s="21" t="s">
        <v>32</v>
      </c>
      <c r="C392" s="21" t="s">
        <v>522</v>
      </c>
      <c r="D392" s="96"/>
      <c r="E392" s="1" t="s">
        <v>65</v>
      </c>
      <c r="F392" s="2">
        <v>1000</v>
      </c>
      <c r="G392" s="1">
        <v>67</v>
      </c>
      <c r="H392" s="2">
        <v>67000</v>
      </c>
      <c r="I392" s="137"/>
    </row>
    <row r="393" spans="1:9">
      <c r="A393" s="131">
        <v>385</v>
      </c>
      <c r="B393" s="21" t="s">
        <v>32</v>
      </c>
      <c r="C393" s="21" t="s">
        <v>524</v>
      </c>
      <c r="D393" s="96"/>
      <c r="E393" s="1" t="s">
        <v>65</v>
      </c>
      <c r="F393" s="2">
        <v>2000</v>
      </c>
      <c r="G393" s="1">
        <v>67</v>
      </c>
      <c r="H393" s="2">
        <v>134000</v>
      </c>
      <c r="I393" s="137"/>
    </row>
    <row r="394" spans="1:9">
      <c r="A394" s="108">
        <v>386</v>
      </c>
      <c r="B394" s="109" t="s">
        <v>32</v>
      </c>
      <c r="C394" s="109" t="s">
        <v>319</v>
      </c>
      <c r="D394" s="113"/>
      <c r="E394" s="111" t="s">
        <v>65</v>
      </c>
      <c r="F394" s="112">
        <v>3000</v>
      </c>
      <c r="G394" s="111">
        <v>67</v>
      </c>
      <c r="H394" s="112">
        <v>201000</v>
      </c>
      <c r="I394" s="136" t="s">
        <v>1291</v>
      </c>
    </row>
    <row r="395" spans="1:9">
      <c r="A395" s="131">
        <v>387</v>
      </c>
      <c r="B395" s="21" t="s">
        <v>32</v>
      </c>
      <c r="C395" s="21" t="s">
        <v>474</v>
      </c>
      <c r="D395" s="96"/>
      <c r="E395" s="1" t="s">
        <v>66</v>
      </c>
      <c r="F395" s="2">
        <v>1000</v>
      </c>
      <c r="G395" s="1">
        <v>67</v>
      </c>
      <c r="H395" s="2">
        <v>67000</v>
      </c>
      <c r="I395" s="137"/>
    </row>
    <row r="396" spans="1:9">
      <c r="A396" s="132">
        <v>388</v>
      </c>
      <c r="B396" s="21" t="s">
        <v>32</v>
      </c>
      <c r="C396" s="21" t="s">
        <v>340</v>
      </c>
      <c r="D396" s="96"/>
      <c r="E396" s="1" t="s">
        <v>66</v>
      </c>
      <c r="F396" s="2">
        <v>3000</v>
      </c>
      <c r="G396" s="1">
        <v>67</v>
      </c>
      <c r="H396" s="2">
        <v>201000</v>
      </c>
      <c r="I396" s="137"/>
    </row>
    <row r="397" spans="1:9">
      <c r="A397" s="130">
        <v>389</v>
      </c>
      <c r="B397" s="109" t="s">
        <v>32</v>
      </c>
      <c r="C397" s="109" t="s">
        <v>198</v>
      </c>
      <c r="D397" s="113"/>
      <c r="E397" s="111" t="s">
        <v>6</v>
      </c>
      <c r="F397" s="112">
        <v>20000</v>
      </c>
      <c r="G397" s="111">
        <v>67</v>
      </c>
      <c r="H397" s="112">
        <v>1340000</v>
      </c>
      <c r="I397" s="136" t="s">
        <v>1291</v>
      </c>
    </row>
    <row r="398" spans="1:9">
      <c r="A398" s="108">
        <v>390</v>
      </c>
      <c r="B398" s="109" t="s">
        <v>32</v>
      </c>
      <c r="C398" s="109" t="s">
        <v>241</v>
      </c>
      <c r="D398" s="113"/>
      <c r="E398" s="111" t="s">
        <v>6</v>
      </c>
      <c r="F398" s="112">
        <v>6000</v>
      </c>
      <c r="G398" s="111">
        <v>67</v>
      </c>
      <c r="H398" s="112">
        <v>402000</v>
      </c>
      <c r="I398" s="136" t="s">
        <v>1291</v>
      </c>
    </row>
    <row r="399" spans="1:9">
      <c r="A399" s="130">
        <v>391</v>
      </c>
      <c r="B399" s="109" t="s">
        <v>32</v>
      </c>
      <c r="C399" s="109" t="s">
        <v>242</v>
      </c>
      <c r="D399" s="113"/>
      <c r="E399" s="111" t="s">
        <v>6</v>
      </c>
      <c r="F399" s="112">
        <v>14000</v>
      </c>
      <c r="G399" s="111">
        <v>67</v>
      </c>
      <c r="H399" s="112">
        <v>938000</v>
      </c>
      <c r="I399" s="136" t="s">
        <v>1289</v>
      </c>
    </row>
    <row r="400" spans="1:9">
      <c r="A400" s="108">
        <v>392</v>
      </c>
      <c r="B400" s="109" t="s">
        <v>32</v>
      </c>
      <c r="C400" s="109" t="s">
        <v>244</v>
      </c>
      <c r="D400" s="113"/>
      <c r="E400" s="111" t="s">
        <v>6</v>
      </c>
      <c r="F400" s="112">
        <v>10000</v>
      </c>
      <c r="G400" s="111">
        <v>67</v>
      </c>
      <c r="H400" s="112">
        <v>670000</v>
      </c>
      <c r="I400" s="136" t="s">
        <v>1291</v>
      </c>
    </row>
    <row r="401" spans="1:9" ht="64.8">
      <c r="A401" s="130">
        <v>393</v>
      </c>
      <c r="B401" s="109" t="s">
        <v>32</v>
      </c>
      <c r="C401" s="109" t="s">
        <v>457</v>
      </c>
      <c r="D401" s="113"/>
      <c r="E401" s="111" t="s">
        <v>26</v>
      </c>
      <c r="F401" s="112">
        <v>1000</v>
      </c>
      <c r="G401" s="111">
        <v>67</v>
      </c>
      <c r="H401" s="112">
        <v>67000</v>
      </c>
      <c r="I401" s="119" t="s">
        <v>1302</v>
      </c>
    </row>
    <row r="402" spans="1:9">
      <c r="A402" s="132">
        <v>394</v>
      </c>
      <c r="B402" s="21" t="s">
        <v>32</v>
      </c>
      <c r="C402" s="21" t="s">
        <v>258</v>
      </c>
      <c r="D402" s="96"/>
      <c r="E402" s="1" t="s">
        <v>26</v>
      </c>
      <c r="F402" s="2">
        <v>1000</v>
      </c>
      <c r="G402" s="1">
        <v>67</v>
      </c>
      <c r="H402" s="2">
        <v>67000</v>
      </c>
      <c r="I402" s="137"/>
    </row>
    <row r="403" spans="1:9">
      <c r="A403" s="131">
        <v>395</v>
      </c>
      <c r="B403" s="21" t="s">
        <v>32</v>
      </c>
      <c r="C403" s="21" t="s">
        <v>489</v>
      </c>
      <c r="D403" s="96"/>
      <c r="E403" s="1" t="s">
        <v>490</v>
      </c>
      <c r="F403" s="2">
        <v>1000</v>
      </c>
      <c r="G403" s="1">
        <v>67</v>
      </c>
      <c r="H403" s="2">
        <v>67000</v>
      </c>
      <c r="I403" s="137"/>
    </row>
    <row r="404" spans="1:9">
      <c r="A404" s="108">
        <v>396</v>
      </c>
      <c r="B404" s="109" t="s">
        <v>32</v>
      </c>
      <c r="C404" s="109" t="s">
        <v>148</v>
      </c>
      <c r="D404" s="113"/>
      <c r="E404" s="111" t="s">
        <v>107</v>
      </c>
      <c r="F404" s="112">
        <v>3000</v>
      </c>
      <c r="G404" s="111">
        <v>67</v>
      </c>
      <c r="H404" s="112">
        <v>201000</v>
      </c>
      <c r="I404" s="136" t="s">
        <v>1291</v>
      </c>
    </row>
    <row r="405" spans="1:9">
      <c r="A405" s="131">
        <v>397</v>
      </c>
      <c r="B405" s="21" t="s">
        <v>32</v>
      </c>
      <c r="C405" s="21" t="s">
        <v>463</v>
      </c>
      <c r="D405" s="96"/>
      <c r="E405" s="1" t="s">
        <v>107</v>
      </c>
      <c r="F405" s="2">
        <v>2000</v>
      </c>
      <c r="G405" s="1">
        <v>67</v>
      </c>
      <c r="H405" s="2">
        <v>134000</v>
      </c>
      <c r="I405" s="137"/>
    </row>
    <row r="406" spans="1:9">
      <c r="A406" s="132">
        <v>398</v>
      </c>
      <c r="B406" s="21" t="s">
        <v>32</v>
      </c>
      <c r="C406" s="21" t="s">
        <v>327</v>
      </c>
      <c r="D406" s="96"/>
      <c r="E406" s="1" t="s">
        <v>107</v>
      </c>
      <c r="F406" s="2">
        <v>2000</v>
      </c>
      <c r="G406" s="1">
        <v>67</v>
      </c>
      <c r="H406" s="2">
        <v>134000</v>
      </c>
      <c r="I406" s="137"/>
    </row>
    <row r="407" spans="1:9">
      <c r="A407" s="130">
        <v>399</v>
      </c>
      <c r="B407" s="109" t="s">
        <v>32</v>
      </c>
      <c r="C407" s="109" t="s">
        <v>333</v>
      </c>
      <c r="D407" s="113"/>
      <c r="E407" s="111" t="s">
        <v>107</v>
      </c>
      <c r="F407" s="112">
        <v>3000</v>
      </c>
      <c r="G407" s="111">
        <v>67</v>
      </c>
      <c r="H407" s="112">
        <v>201000</v>
      </c>
      <c r="I407" s="136" t="s">
        <v>1291</v>
      </c>
    </row>
    <row r="408" spans="1:9">
      <c r="A408" s="132">
        <v>400</v>
      </c>
      <c r="B408" s="21" t="s">
        <v>32</v>
      </c>
      <c r="C408" s="21" t="s">
        <v>425</v>
      </c>
      <c r="D408" s="96"/>
      <c r="E408" s="1" t="s">
        <v>67</v>
      </c>
      <c r="F408" s="2">
        <v>1000</v>
      </c>
      <c r="G408" s="1">
        <v>67</v>
      </c>
      <c r="H408" s="2">
        <v>67000</v>
      </c>
      <c r="I408" s="137"/>
    </row>
    <row r="409" spans="1:9">
      <c r="A409" s="131">
        <v>401</v>
      </c>
      <c r="B409" s="21" t="s">
        <v>32</v>
      </c>
      <c r="C409" s="21" t="s">
        <v>469</v>
      </c>
      <c r="D409" s="96"/>
      <c r="E409" s="1" t="s">
        <v>67</v>
      </c>
      <c r="F409" s="2">
        <v>3000</v>
      </c>
      <c r="G409" s="1">
        <v>67</v>
      </c>
      <c r="H409" s="2">
        <v>201000</v>
      </c>
      <c r="I409" s="137"/>
    </row>
    <row r="410" spans="1:9">
      <c r="A410" s="46">
        <v>402</v>
      </c>
      <c r="B410" s="47" t="s">
        <v>32</v>
      </c>
      <c r="C410" s="47" t="s">
        <v>324</v>
      </c>
      <c r="D410" s="98"/>
      <c r="E410" s="48" t="s">
        <v>67</v>
      </c>
      <c r="F410" s="49">
        <v>3000</v>
      </c>
      <c r="G410" s="48">
        <v>67</v>
      </c>
      <c r="H410" s="49">
        <v>201000</v>
      </c>
      <c r="I410" s="139" t="s">
        <v>1190</v>
      </c>
    </row>
    <row r="411" spans="1:9" ht="32.4">
      <c r="A411" s="129">
        <v>403</v>
      </c>
      <c r="B411" s="47" t="s">
        <v>32</v>
      </c>
      <c r="C411" s="47" t="s">
        <v>1278</v>
      </c>
      <c r="D411" s="98" t="s">
        <v>1277</v>
      </c>
      <c r="E411" s="48" t="s">
        <v>108</v>
      </c>
      <c r="F411" s="49">
        <v>1000</v>
      </c>
      <c r="G411" s="48">
        <v>67</v>
      </c>
      <c r="H411" s="49">
        <v>67000</v>
      </c>
      <c r="I411" s="138" t="s">
        <v>1309</v>
      </c>
    </row>
    <row r="412" spans="1:9">
      <c r="A412" s="132">
        <v>404</v>
      </c>
      <c r="B412" s="21" t="s">
        <v>32</v>
      </c>
      <c r="C412" s="21" t="s">
        <v>369</v>
      </c>
      <c r="D412" s="96"/>
      <c r="E412" s="1" t="s">
        <v>68</v>
      </c>
      <c r="F412" s="2">
        <v>1000</v>
      </c>
      <c r="G412" s="1">
        <v>67</v>
      </c>
      <c r="H412" s="2">
        <v>67000</v>
      </c>
      <c r="I412" s="137"/>
    </row>
    <row r="413" spans="1:9">
      <c r="A413" s="131">
        <v>405</v>
      </c>
      <c r="B413" s="21" t="s">
        <v>32</v>
      </c>
      <c r="C413" s="21" t="s">
        <v>147</v>
      </c>
      <c r="D413" s="96"/>
      <c r="E413" s="1" t="s">
        <v>68</v>
      </c>
      <c r="F413" s="2">
        <v>10000</v>
      </c>
      <c r="G413" s="1">
        <v>67</v>
      </c>
      <c r="H413" s="2">
        <v>670000</v>
      </c>
      <c r="I413" s="137"/>
    </row>
    <row r="414" spans="1:9">
      <c r="A414" s="46">
        <v>406</v>
      </c>
      <c r="B414" s="47" t="s">
        <v>32</v>
      </c>
      <c r="C414" s="47" t="s">
        <v>253</v>
      </c>
      <c r="D414" s="98"/>
      <c r="E414" s="48" t="s">
        <v>68</v>
      </c>
      <c r="F414" s="49">
        <v>2000</v>
      </c>
      <c r="G414" s="48">
        <v>67</v>
      </c>
      <c r="H414" s="49">
        <v>134000</v>
      </c>
      <c r="I414" s="139" t="s">
        <v>1190</v>
      </c>
    </row>
    <row r="415" spans="1:9">
      <c r="A415" s="130">
        <v>407</v>
      </c>
      <c r="B415" s="109" t="s">
        <v>32</v>
      </c>
      <c r="C415" s="109" t="s">
        <v>337</v>
      </c>
      <c r="D415" s="113"/>
      <c r="E415" s="111" t="s">
        <v>68</v>
      </c>
      <c r="F415" s="112">
        <v>1000</v>
      </c>
      <c r="G415" s="111">
        <v>67</v>
      </c>
      <c r="H415" s="112">
        <v>67000</v>
      </c>
      <c r="I415" s="136" t="s">
        <v>1291</v>
      </c>
    </row>
    <row r="416" spans="1:9" ht="64.8">
      <c r="A416" s="108">
        <v>408</v>
      </c>
      <c r="B416" s="109" t="s">
        <v>32</v>
      </c>
      <c r="C416" s="109" t="s">
        <v>179</v>
      </c>
      <c r="D416" s="113"/>
      <c r="E416" s="111" t="s">
        <v>69</v>
      </c>
      <c r="F416" s="112">
        <v>2000</v>
      </c>
      <c r="G416" s="111">
        <v>67</v>
      </c>
      <c r="H416" s="112">
        <v>134000</v>
      </c>
      <c r="I416" s="119" t="s">
        <v>1303</v>
      </c>
    </row>
    <row r="417" spans="1:9">
      <c r="A417" s="130">
        <v>409</v>
      </c>
      <c r="B417" s="109" t="s">
        <v>32</v>
      </c>
      <c r="C417" s="109" t="s">
        <v>246</v>
      </c>
      <c r="D417" s="113"/>
      <c r="E417" s="111" t="s">
        <v>247</v>
      </c>
      <c r="F417" s="112">
        <v>1000</v>
      </c>
      <c r="G417" s="111">
        <v>67</v>
      </c>
      <c r="H417" s="112">
        <v>67000</v>
      </c>
      <c r="I417" s="136" t="s">
        <v>1291</v>
      </c>
    </row>
    <row r="418" spans="1:9">
      <c r="A418" s="132">
        <v>410</v>
      </c>
      <c r="B418" s="21" t="s">
        <v>32</v>
      </c>
      <c r="C418" s="21" t="s">
        <v>321</v>
      </c>
      <c r="D418" s="96"/>
      <c r="E418" s="1" t="s">
        <v>247</v>
      </c>
      <c r="F418" s="2">
        <v>3000</v>
      </c>
      <c r="G418" s="1">
        <v>67</v>
      </c>
      <c r="H418" s="2">
        <v>201000</v>
      </c>
      <c r="I418" s="137"/>
    </row>
    <row r="419" spans="1:9">
      <c r="A419" s="130">
        <v>411</v>
      </c>
      <c r="B419" s="109" t="s">
        <v>32</v>
      </c>
      <c r="C419" s="109" t="s">
        <v>189</v>
      </c>
      <c r="D419" s="113"/>
      <c r="E419" s="111" t="s">
        <v>149</v>
      </c>
      <c r="F419" s="112">
        <v>2000</v>
      </c>
      <c r="G419" s="111">
        <v>67</v>
      </c>
      <c r="H419" s="112">
        <v>134000</v>
      </c>
      <c r="I419" s="136" t="s">
        <v>1291</v>
      </c>
    </row>
    <row r="420" spans="1:9">
      <c r="A420" s="108">
        <v>412</v>
      </c>
      <c r="B420" s="109" t="s">
        <v>32</v>
      </c>
      <c r="C420" s="109" t="s">
        <v>198</v>
      </c>
      <c r="D420" s="113"/>
      <c r="E420" s="111" t="s">
        <v>149</v>
      </c>
      <c r="F420" s="112">
        <v>3000</v>
      </c>
      <c r="G420" s="111">
        <v>67</v>
      </c>
      <c r="H420" s="112">
        <v>201000</v>
      </c>
      <c r="I420" s="136" t="s">
        <v>1291</v>
      </c>
    </row>
    <row r="421" spans="1:9" ht="64.8">
      <c r="A421" s="130">
        <v>413</v>
      </c>
      <c r="B421" s="109" t="s">
        <v>32</v>
      </c>
      <c r="C421" s="109" t="s">
        <v>202</v>
      </c>
      <c r="D421" s="113"/>
      <c r="E421" s="111" t="s">
        <v>149</v>
      </c>
      <c r="F421" s="112">
        <v>1000</v>
      </c>
      <c r="G421" s="111">
        <v>67</v>
      </c>
      <c r="H421" s="112">
        <v>67000</v>
      </c>
      <c r="I421" s="119" t="s">
        <v>1300</v>
      </c>
    </row>
    <row r="422" spans="1:9">
      <c r="A422" s="108">
        <v>414</v>
      </c>
      <c r="B422" s="109" t="s">
        <v>32</v>
      </c>
      <c r="C422" s="109" t="s">
        <v>234</v>
      </c>
      <c r="D422" s="113"/>
      <c r="E422" s="111" t="s">
        <v>149</v>
      </c>
      <c r="F422" s="112">
        <v>3000</v>
      </c>
      <c r="G422" s="111">
        <v>67</v>
      </c>
      <c r="H422" s="112">
        <v>201000</v>
      </c>
      <c r="I422" s="136" t="s">
        <v>1291</v>
      </c>
    </row>
    <row r="423" spans="1:9">
      <c r="A423" s="130">
        <v>415</v>
      </c>
      <c r="B423" s="109" t="s">
        <v>32</v>
      </c>
      <c r="C423" s="109" t="s">
        <v>237</v>
      </c>
      <c r="D423" s="113"/>
      <c r="E423" s="111" t="s">
        <v>149</v>
      </c>
      <c r="F423" s="112">
        <v>3000</v>
      </c>
      <c r="G423" s="111">
        <v>67</v>
      </c>
      <c r="H423" s="112">
        <v>201000</v>
      </c>
      <c r="I423" s="136" t="s">
        <v>1291</v>
      </c>
    </row>
    <row r="424" spans="1:9">
      <c r="A424" s="108">
        <v>416</v>
      </c>
      <c r="B424" s="109" t="s">
        <v>32</v>
      </c>
      <c r="C424" s="109" t="s">
        <v>241</v>
      </c>
      <c r="D424" s="113"/>
      <c r="E424" s="111" t="s">
        <v>149</v>
      </c>
      <c r="F424" s="112">
        <v>2000</v>
      </c>
      <c r="G424" s="111">
        <v>67</v>
      </c>
      <c r="H424" s="112">
        <v>134000</v>
      </c>
      <c r="I424" s="136" t="s">
        <v>1291</v>
      </c>
    </row>
    <row r="425" spans="1:9">
      <c r="A425" s="130">
        <v>417</v>
      </c>
      <c r="B425" s="109" t="s">
        <v>32</v>
      </c>
      <c r="C425" s="109" t="s">
        <v>242</v>
      </c>
      <c r="D425" s="113"/>
      <c r="E425" s="111" t="s">
        <v>149</v>
      </c>
      <c r="F425" s="112">
        <v>2000</v>
      </c>
      <c r="G425" s="111">
        <v>67</v>
      </c>
      <c r="H425" s="112">
        <v>134000</v>
      </c>
      <c r="I425" s="136" t="s">
        <v>1289</v>
      </c>
    </row>
    <row r="426" spans="1:9">
      <c r="A426" s="108">
        <v>418</v>
      </c>
      <c r="B426" s="109" t="s">
        <v>32</v>
      </c>
      <c r="C426" s="109" t="s">
        <v>244</v>
      </c>
      <c r="D426" s="113"/>
      <c r="E426" s="111" t="s">
        <v>149</v>
      </c>
      <c r="F426" s="112">
        <v>5000</v>
      </c>
      <c r="G426" s="111">
        <v>67</v>
      </c>
      <c r="H426" s="112">
        <v>335000</v>
      </c>
      <c r="I426" s="136" t="s">
        <v>1291</v>
      </c>
    </row>
    <row r="427" spans="1:9">
      <c r="A427" s="130">
        <v>419</v>
      </c>
      <c r="B427" s="109" t="s">
        <v>32</v>
      </c>
      <c r="C427" s="109" t="s">
        <v>245</v>
      </c>
      <c r="D427" s="113"/>
      <c r="E427" s="111" t="s">
        <v>149</v>
      </c>
      <c r="F427" s="112">
        <v>1000</v>
      </c>
      <c r="G427" s="111">
        <v>67</v>
      </c>
      <c r="H427" s="112">
        <v>67000</v>
      </c>
      <c r="I427" s="136" t="s">
        <v>1291</v>
      </c>
    </row>
    <row r="428" spans="1:9">
      <c r="A428" s="132">
        <v>420</v>
      </c>
      <c r="B428" s="21" t="s">
        <v>32</v>
      </c>
      <c r="C428" s="21" t="s">
        <v>559</v>
      </c>
      <c r="D428" s="96"/>
      <c r="E428" s="1" t="s">
        <v>109</v>
      </c>
      <c r="F428" s="2">
        <v>2000</v>
      </c>
      <c r="G428" s="1">
        <v>67</v>
      </c>
      <c r="H428" s="2">
        <v>134000</v>
      </c>
      <c r="I428" s="137"/>
    </row>
    <row r="429" spans="1:9">
      <c r="A429" s="131">
        <v>421</v>
      </c>
      <c r="B429" s="21" t="s">
        <v>32</v>
      </c>
      <c r="C429" s="21" t="s">
        <v>136</v>
      </c>
      <c r="D429" s="96"/>
      <c r="E429" s="1" t="s">
        <v>70</v>
      </c>
      <c r="F429" s="2">
        <v>2000</v>
      </c>
      <c r="G429" s="1">
        <v>67</v>
      </c>
      <c r="H429" s="2">
        <v>134000</v>
      </c>
      <c r="I429" s="137"/>
    </row>
    <row r="430" spans="1:9">
      <c r="A430" s="108">
        <v>422</v>
      </c>
      <c r="B430" s="109" t="s">
        <v>32</v>
      </c>
      <c r="C430" s="109" t="s">
        <v>150</v>
      </c>
      <c r="D430" s="113"/>
      <c r="E430" s="111" t="s">
        <v>70</v>
      </c>
      <c r="F430" s="112">
        <v>2000</v>
      </c>
      <c r="G430" s="111">
        <v>67</v>
      </c>
      <c r="H430" s="112">
        <v>134000</v>
      </c>
      <c r="I430" s="136" t="s">
        <v>1291</v>
      </c>
    </row>
    <row r="431" spans="1:9">
      <c r="A431" s="131">
        <v>423</v>
      </c>
      <c r="B431" s="21" t="s">
        <v>32</v>
      </c>
      <c r="C431" s="21" t="s">
        <v>428</v>
      </c>
      <c r="D431" s="96"/>
      <c r="E431" s="1" t="s">
        <v>70</v>
      </c>
      <c r="F431" s="2">
        <v>1000</v>
      </c>
      <c r="G431" s="1">
        <v>67</v>
      </c>
      <c r="H431" s="2">
        <v>67000</v>
      </c>
      <c r="I431" s="137"/>
    </row>
    <row r="432" spans="1:9">
      <c r="A432" s="132">
        <v>424</v>
      </c>
      <c r="B432" s="21" t="s">
        <v>32</v>
      </c>
      <c r="C432" s="21" t="s">
        <v>433</v>
      </c>
      <c r="D432" s="96"/>
      <c r="E432" s="1" t="s">
        <v>70</v>
      </c>
      <c r="F432" s="2">
        <v>3000</v>
      </c>
      <c r="G432" s="1">
        <v>67</v>
      </c>
      <c r="H432" s="2">
        <v>201000</v>
      </c>
      <c r="I432" s="137"/>
    </row>
    <row r="433" spans="1:9">
      <c r="A433" s="130">
        <v>425</v>
      </c>
      <c r="B433" s="109" t="s">
        <v>32</v>
      </c>
      <c r="C433" s="109" t="s">
        <v>461</v>
      </c>
      <c r="D433" s="113"/>
      <c r="E433" s="111" t="s">
        <v>70</v>
      </c>
      <c r="F433" s="112">
        <v>1000</v>
      </c>
      <c r="G433" s="111">
        <v>67</v>
      </c>
      <c r="H433" s="112">
        <v>67000</v>
      </c>
      <c r="I433" s="136" t="s">
        <v>1291</v>
      </c>
    </row>
    <row r="434" spans="1:9">
      <c r="A434" s="132">
        <v>426</v>
      </c>
      <c r="B434" s="21" t="s">
        <v>32</v>
      </c>
      <c r="C434" s="21" t="s">
        <v>497</v>
      </c>
      <c r="D434" s="96"/>
      <c r="E434" s="1" t="s">
        <v>70</v>
      </c>
      <c r="F434" s="2">
        <v>2000</v>
      </c>
      <c r="G434" s="1">
        <v>67</v>
      </c>
      <c r="H434" s="2">
        <v>134000</v>
      </c>
      <c r="I434" s="137"/>
    </row>
    <row r="435" spans="1:9">
      <c r="A435" s="131">
        <v>427</v>
      </c>
      <c r="B435" s="21" t="s">
        <v>32</v>
      </c>
      <c r="C435" s="21" t="s">
        <v>505</v>
      </c>
      <c r="D435" s="96"/>
      <c r="E435" s="1" t="s">
        <v>70</v>
      </c>
      <c r="F435" s="2">
        <v>5000</v>
      </c>
      <c r="G435" s="1">
        <v>67</v>
      </c>
      <c r="H435" s="2">
        <v>335000</v>
      </c>
      <c r="I435" s="137"/>
    </row>
    <row r="436" spans="1:9">
      <c r="A436" s="132">
        <v>428</v>
      </c>
      <c r="B436" s="21" t="s">
        <v>32</v>
      </c>
      <c r="C436" s="21" t="s">
        <v>339</v>
      </c>
      <c r="D436" s="96"/>
      <c r="E436" s="1" t="s">
        <v>70</v>
      </c>
      <c r="F436" s="2">
        <v>1000</v>
      </c>
      <c r="G436" s="1">
        <v>67</v>
      </c>
      <c r="H436" s="2">
        <v>67000</v>
      </c>
      <c r="I436" s="137"/>
    </row>
    <row r="437" spans="1:9" ht="48.6">
      <c r="A437" s="131">
        <v>429</v>
      </c>
      <c r="B437" s="21" t="s">
        <v>32</v>
      </c>
      <c r="C437" s="21" t="s">
        <v>569</v>
      </c>
      <c r="D437" s="96" t="s">
        <v>1241</v>
      </c>
      <c r="E437" s="1" t="s">
        <v>70</v>
      </c>
      <c r="F437" s="2">
        <v>3000</v>
      </c>
      <c r="G437" s="1">
        <v>67</v>
      </c>
      <c r="H437" s="2">
        <v>201000</v>
      </c>
      <c r="I437" s="104" t="s">
        <v>1276</v>
      </c>
    </row>
    <row r="438" spans="1:9">
      <c r="A438" s="132">
        <v>430</v>
      </c>
      <c r="B438" s="21" t="s">
        <v>32</v>
      </c>
      <c r="C438" s="21" t="s">
        <v>431</v>
      </c>
      <c r="D438" s="96"/>
      <c r="E438" s="1" t="s">
        <v>71</v>
      </c>
      <c r="F438" s="2">
        <v>3000</v>
      </c>
      <c r="G438" s="1">
        <v>67</v>
      </c>
      <c r="H438" s="2">
        <v>201000</v>
      </c>
      <c r="I438" s="137"/>
    </row>
    <row r="439" spans="1:9">
      <c r="A439" s="131">
        <v>431</v>
      </c>
      <c r="B439" s="21" t="s">
        <v>32</v>
      </c>
      <c r="C439" s="21" t="s">
        <v>280</v>
      </c>
      <c r="D439" s="96"/>
      <c r="E439" s="1" t="s">
        <v>71</v>
      </c>
      <c r="F439" s="2">
        <v>2000</v>
      </c>
      <c r="G439" s="1">
        <v>67</v>
      </c>
      <c r="H439" s="2">
        <v>134000</v>
      </c>
      <c r="I439" s="137"/>
    </row>
    <row r="440" spans="1:9">
      <c r="A440" s="132">
        <v>432</v>
      </c>
      <c r="B440" s="21" t="s">
        <v>32</v>
      </c>
      <c r="C440" s="21" t="s">
        <v>367</v>
      </c>
      <c r="D440" s="96"/>
      <c r="E440" s="1" t="s">
        <v>72</v>
      </c>
      <c r="F440" s="2">
        <v>1000</v>
      </c>
      <c r="G440" s="1">
        <v>67</v>
      </c>
      <c r="H440" s="2">
        <v>67000</v>
      </c>
      <c r="I440" s="137"/>
    </row>
    <row r="441" spans="1:9">
      <c r="A441" s="130">
        <v>433</v>
      </c>
      <c r="B441" s="109" t="s">
        <v>32</v>
      </c>
      <c r="C441" s="109" t="s">
        <v>158</v>
      </c>
      <c r="D441" s="113"/>
      <c r="E441" s="111" t="s">
        <v>72</v>
      </c>
      <c r="F441" s="112">
        <v>5000</v>
      </c>
      <c r="G441" s="111">
        <v>67</v>
      </c>
      <c r="H441" s="112">
        <v>335000</v>
      </c>
      <c r="I441" s="136" t="s">
        <v>1291</v>
      </c>
    </row>
    <row r="442" spans="1:9">
      <c r="A442" s="132">
        <v>434</v>
      </c>
      <c r="B442" s="21" t="s">
        <v>32</v>
      </c>
      <c r="C442" s="21" t="s">
        <v>164</v>
      </c>
      <c r="D442" s="96"/>
      <c r="E442" s="1" t="s">
        <v>72</v>
      </c>
      <c r="F442" s="2">
        <v>1000</v>
      </c>
      <c r="G442" s="1">
        <v>67</v>
      </c>
      <c r="H442" s="2">
        <v>67000</v>
      </c>
      <c r="I442" s="137"/>
    </row>
    <row r="443" spans="1:9">
      <c r="A443" s="131">
        <v>435</v>
      </c>
      <c r="B443" s="21" t="s">
        <v>32</v>
      </c>
      <c r="C443" s="21" t="s">
        <v>174</v>
      </c>
      <c r="D443" s="96"/>
      <c r="E443" s="1" t="s">
        <v>72</v>
      </c>
      <c r="F443" s="2">
        <v>1000</v>
      </c>
      <c r="G443" s="1">
        <v>67</v>
      </c>
      <c r="H443" s="2">
        <v>67000</v>
      </c>
      <c r="I443" s="137"/>
    </row>
    <row r="444" spans="1:9">
      <c r="A444" s="108">
        <v>436</v>
      </c>
      <c r="B444" s="109" t="s">
        <v>32</v>
      </c>
      <c r="C444" s="109" t="s">
        <v>203</v>
      </c>
      <c r="D444" s="113"/>
      <c r="E444" s="111" t="s">
        <v>72</v>
      </c>
      <c r="F444" s="112">
        <v>2000</v>
      </c>
      <c r="G444" s="111">
        <v>67</v>
      </c>
      <c r="H444" s="112">
        <v>134000</v>
      </c>
      <c r="I444" s="136" t="s">
        <v>1291</v>
      </c>
    </row>
    <row r="445" spans="1:9">
      <c r="A445" s="131">
        <v>437</v>
      </c>
      <c r="B445" s="21" t="s">
        <v>32</v>
      </c>
      <c r="C445" s="21" t="s">
        <v>258</v>
      </c>
      <c r="D445" s="96"/>
      <c r="E445" s="1" t="s">
        <v>72</v>
      </c>
      <c r="F445" s="2">
        <v>1000</v>
      </c>
      <c r="G445" s="1">
        <v>67</v>
      </c>
      <c r="H445" s="2">
        <v>67000</v>
      </c>
      <c r="I445" s="137"/>
    </row>
    <row r="446" spans="1:9">
      <c r="A446" s="108">
        <v>438</v>
      </c>
      <c r="B446" s="109" t="s">
        <v>32</v>
      </c>
      <c r="C446" s="109" t="s">
        <v>297</v>
      </c>
      <c r="D446" s="113"/>
      <c r="E446" s="111" t="s">
        <v>72</v>
      </c>
      <c r="F446" s="112">
        <v>5000</v>
      </c>
      <c r="G446" s="111">
        <v>67</v>
      </c>
      <c r="H446" s="112">
        <v>335000</v>
      </c>
      <c r="I446" s="136" t="s">
        <v>1291</v>
      </c>
    </row>
    <row r="447" spans="1:9">
      <c r="A447" s="130">
        <v>439</v>
      </c>
      <c r="B447" s="109" t="s">
        <v>32</v>
      </c>
      <c r="C447" s="109" t="s">
        <v>317</v>
      </c>
      <c r="D447" s="113"/>
      <c r="E447" s="111" t="s">
        <v>72</v>
      </c>
      <c r="F447" s="112">
        <v>1000</v>
      </c>
      <c r="G447" s="111">
        <v>67</v>
      </c>
      <c r="H447" s="112">
        <v>67000</v>
      </c>
      <c r="I447" s="136" t="s">
        <v>1291</v>
      </c>
    </row>
    <row r="448" spans="1:9">
      <c r="A448" s="108">
        <v>440</v>
      </c>
      <c r="B448" s="109" t="s">
        <v>32</v>
      </c>
      <c r="C448" s="109" t="s">
        <v>319</v>
      </c>
      <c r="D448" s="113"/>
      <c r="E448" s="111" t="s">
        <v>72</v>
      </c>
      <c r="F448" s="112">
        <v>1000</v>
      </c>
      <c r="G448" s="111">
        <v>67</v>
      </c>
      <c r="H448" s="112">
        <v>67000</v>
      </c>
      <c r="I448" s="136" t="s">
        <v>1291</v>
      </c>
    </row>
    <row r="449" spans="1:9">
      <c r="A449" s="130">
        <v>441</v>
      </c>
      <c r="B449" s="109" t="s">
        <v>32</v>
      </c>
      <c r="C449" s="109" t="s">
        <v>228</v>
      </c>
      <c r="D449" s="113"/>
      <c r="E449" s="111" t="s">
        <v>73</v>
      </c>
      <c r="F449" s="112">
        <v>2000</v>
      </c>
      <c r="G449" s="111">
        <v>67</v>
      </c>
      <c r="H449" s="112">
        <v>134000</v>
      </c>
      <c r="I449" s="136" t="s">
        <v>1291</v>
      </c>
    </row>
    <row r="450" spans="1:9">
      <c r="A450" s="132">
        <v>442</v>
      </c>
      <c r="B450" s="21" t="s">
        <v>32</v>
      </c>
      <c r="C450" s="21" t="s">
        <v>379</v>
      </c>
      <c r="D450" s="96"/>
      <c r="E450" s="1" t="s">
        <v>74</v>
      </c>
      <c r="F450" s="2">
        <v>5000</v>
      </c>
      <c r="G450" s="1">
        <v>67</v>
      </c>
      <c r="H450" s="2">
        <v>335000</v>
      </c>
      <c r="I450" s="137"/>
    </row>
    <row r="451" spans="1:9">
      <c r="A451" s="131">
        <v>443</v>
      </c>
      <c r="B451" s="21" t="s">
        <v>32</v>
      </c>
      <c r="C451" s="21" t="s">
        <v>161</v>
      </c>
      <c r="D451" s="96"/>
      <c r="E451" s="1" t="s">
        <v>74</v>
      </c>
      <c r="F451" s="2">
        <v>1000</v>
      </c>
      <c r="G451" s="1">
        <v>67</v>
      </c>
      <c r="H451" s="2">
        <v>67000</v>
      </c>
      <c r="I451" s="137"/>
    </row>
    <row r="452" spans="1:9">
      <c r="A452" s="108">
        <v>444</v>
      </c>
      <c r="B452" s="109" t="s">
        <v>32</v>
      </c>
      <c r="C452" s="109" t="s">
        <v>176</v>
      </c>
      <c r="D452" s="113"/>
      <c r="E452" s="111" t="s">
        <v>74</v>
      </c>
      <c r="F452" s="112">
        <v>1000</v>
      </c>
      <c r="G452" s="111">
        <v>67</v>
      </c>
      <c r="H452" s="112">
        <v>67000</v>
      </c>
      <c r="I452" s="136" t="s">
        <v>1291</v>
      </c>
    </row>
    <row r="453" spans="1:9">
      <c r="A453" s="130">
        <v>445</v>
      </c>
      <c r="B453" s="109" t="s">
        <v>32</v>
      </c>
      <c r="C453" s="109" t="s">
        <v>182</v>
      </c>
      <c r="D453" s="113"/>
      <c r="E453" s="111" t="s">
        <v>74</v>
      </c>
      <c r="F453" s="112">
        <v>1000</v>
      </c>
      <c r="G453" s="111">
        <v>67</v>
      </c>
      <c r="H453" s="112">
        <v>67000</v>
      </c>
      <c r="I453" s="136" t="s">
        <v>1291</v>
      </c>
    </row>
    <row r="454" spans="1:9">
      <c r="A454" s="132">
        <v>446</v>
      </c>
      <c r="B454" s="21" t="s">
        <v>32</v>
      </c>
      <c r="C454" s="21" t="s">
        <v>427</v>
      </c>
      <c r="D454" s="96"/>
      <c r="E454" s="1" t="s">
        <v>74</v>
      </c>
      <c r="F454" s="2">
        <v>2000</v>
      </c>
      <c r="G454" s="1">
        <v>67</v>
      </c>
      <c r="H454" s="2">
        <v>134000</v>
      </c>
      <c r="I454" s="137"/>
    </row>
    <row r="455" spans="1:9" ht="48.6">
      <c r="A455" s="130">
        <v>447</v>
      </c>
      <c r="B455" s="109" t="s">
        <v>32</v>
      </c>
      <c r="C455" s="109" t="s">
        <v>523</v>
      </c>
      <c r="D455" s="110" t="s">
        <v>1294</v>
      </c>
      <c r="E455" s="111" t="s">
        <v>74</v>
      </c>
      <c r="F455" s="112">
        <v>2000</v>
      </c>
      <c r="G455" s="111">
        <v>67</v>
      </c>
      <c r="H455" s="112">
        <v>134000</v>
      </c>
      <c r="I455" s="136" t="s">
        <v>1239</v>
      </c>
    </row>
    <row r="456" spans="1:9">
      <c r="A456" s="132">
        <v>448</v>
      </c>
      <c r="B456" s="21" t="s">
        <v>32</v>
      </c>
      <c r="C456" s="21" t="s">
        <v>540</v>
      </c>
      <c r="D456" s="96"/>
      <c r="E456" s="1" t="s">
        <v>74</v>
      </c>
      <c r="F456" s="2">
        <v>2000</v>
      </c>
      <c r="G456" s="1">
        <v>67</v>
      </c>
      <c r="H456" s="2">
        <v>134000</v>
      </c>
      <c r="I456" s="137"/>
    </row>
    <row r="457" spans="1:9">
      <c r="A457" s="130">
        <v>449</v>
      </c>
      <c r="B457" s="109" t="s">
        <v>32</v>
      </c>
      <c r="C457" s="109" t="s">
        <v>334</v>
      </c>
      <c r="D457" s="113"/>
      <c r="E457" s="111" t="s">
        <v>74</v>
      </c>
      <c r="F457" s="112">
        <v>4000</v>
      </c>
      <c r="G457" s="111">
        <v>67</v>
      </c>
      <c r="H457" s="112">
        <v>268000</v>
      </c>
      <c r="I457" s="136" t="s">
        <v>1289</v>
      </c>
    </row>
    <row r="458" spans="1:9">
      <c r="A458" s="108">
        <v>450</v>
      </c>
      <c r="B458" s="109" t="s">
        <v>32</v>
      </c>
      <c r="C458" s="109" t="s">
        <v>335</v>
      </c>
      <c r="D458" s="113"/>
      <c r="E458" s="111" t="s">
        <v>74</v>
      </c>
      <c r="F458" s="112">
        <v>3000</v>
      </c>
      <c r="G458" s="111">
        <v>67</v>
      </c>
      <c r="H458" s="112">
        <v>201000</v>
      </c>
      <c r="I458" s="136" t="s">
        <v>1291</v>
      </c>
    </row>
    <row r="459" spans="1:9">
      <c r="A459" s="131">
        <v>451</v>
      </c>
      <c r="B459" s="21" t="s">
        <v>32</v>
      </c>
      <c r="C459" s="21" t="s">
        <v>338</v>
      </c>
      <c r="D459" s="96"/>
      <c r="E459" s="1" t="s">
        <v>74</v>
      </c>
      <c r="F459" s="2">
        <v>1000</v>
      </c>
      <c r="G459" s="1">
        <v>67</v>
      </c>
      <c r="H459" s="2">
        <v>67000</v>
      </c>
      <c r="I459" s="137"/>
    </row>
    <row r="460" spans="1:9">
      <c r="A460" s="132">
        <v>452</v>
      </c>
      <c r="B460" s="21" t="s">
        <v>32</v>
      </c>
      <c r="C460" s="21" t="s">
        <v>422</v>
      </c>
      <c r="D460" s="96"/>
      <c r="E460" s="1" t="s">
        <v>423</v>
      </c>
      <c r="F460" s="2">
        <v>4000</v>
      </c>
      <c r="G460" s="1">
        <v>67</v>
      </c>
      <c r="H460" s="2">
        <v>268000</v>
      </c>
      <c r="I460" s="137"/>
    </row>
    <row r="461" spans="1:9">
      <c r="A461" s="131">
        <v>453</v>
      </c>
      <c r="B461" s="21" t="s">
        <v>32</v>
      </c>
      <c r="C461" s="21" t="s">
        <v>383</v>
      </c>
      <c r="D461" s="96"/>
      <c r="E461" s="1" t="s">
        <v>151</v>
      </c>
      <c r="F461" s="2">
        <v>1000</v>
      </c>
      <c r="G461" s="1">
        <v>67</v>
      </c>
      <c r="H461" s="2">
        <v>67000</v>
      </c>
      <c r="I461" s="137"/>
    </row>
    <row r="462" spans="1:9">
      <c r="A462" s="108">
        <v>454</v>
      </c>
      <c r="B462" s="109" t="s">
        <v>32</v>
      </c>
      <c r="C462" s="109" t="s">
        <v>150</v>
      </c>
      <c r="D462" s="113"/>
      <c r="E462" s="111" t="s">
        <v>151</v>
      </c>
      <c r="F462" s="112">
        <v>1000</v>
      </c>
      <c r="G462" s="111">
        <v>67</v>
      </c>
      <c r="H462" s="112">
        <v>67000</v>
      </c>
      <c r="I462" s="136" t="s">
        <v>1291</v>
      </c>
    </row>
    <row r="463" spans="1:9">
      <c r="A463" s="130">
        <v>455</v>
      </c>
      <c r="B463" s="109" t="s">
        <v>32</v>
      </c>
      <c r="C463" s="109" t="s">
        <v>152</v>
      </c>
      <c r="D463" s="113"/>
      <c r="E463" s="111" t="s">
        <v>151</v>
      </c>
      <c r="F463" s="112">
        <v>3000</v>
      </c>
      <c r="G463" s="111">
        <v>67</v>
      </c>
      <c r="H463" s="112">
        <v>201000</v>
      </c>
      <c r="I463" s="136" t="s">
        <v>1291</v>
      </c>
    </row>
    <row r="464" spans="1:9">
      <c r="A464" s="132">
        <v>456</v>
      </c>
      <c r="B464" s="21" t="s">
        <v>32</v>
      </c>
      <c r="C464" s="21" t="s">
        <v>153</v>
      </c>
      <c r="D464" s="96"/>
      <c r="E464" s="1" t="s">
        <v>151</v>
      </c>
      <c r="F464" s="2">
        <v>1000</v>
      </c>
      <c r="G464" s="1">
        <v>67</v>
      </c>
      <c r="H464" s="2">
        <v>67000</v>
      </c>
      <c r="I464" s="137"/>
    </row>
    <row r="465" spans="1:9">
      <c r="A465" s="131">
        <v>457</v>
      </c>
      <c r="B465" s="21" t="s">
        <v>32</v>
      </c>
      <c r="C465" s="21" t="s">
        <v>154</v>
      </c>
      <c r="D465" s="96"/>
      <c r="E465" s="1" t="s">
        <v>151</v>
      </c>
      <c r="F465" s="2">
        <v>1000</v>
      </c>
      <c r="G465" s="1">
        <v>67</v>
      </c>
      <c r="H465" s="2">
        <v>67000</v>
      </c>
      <c r="I465" s="137"/>
    </row>
    <row r="466" spans="1:9">
      <c r="A466" s="132">
        <v>458</v>
      </c>
      <c r="B466" s="21" t="s">
        <v>32</v>
      </c>
      <c r="C466" s="21" t="s">
        <v>187</v>
      </c>
      <c r="D466" s="96"/>
      <c r="E466" s="1" t="s">
        <v>151</v>
      </c>
      <c r="F466" s="2">
        <v>1000</v>
      </c>
      <c r="G466" s="1">
        <v>67</v>
      </c>
      <c r="H466" s="2">
        <v>67000</v>
      </c>
      <c r="I466" s="137"/>
    </row>
    <row r="467" spans="1:9">
      <c r="A467" s="130">
        <v>459</v>
      </c>
      <c r="B467" s="109" t="s">
        <v>32</v>
      </c>
      <c r="C467" s="109" t="s">
        <v>189</v>
      </c>
      <c r="D467" s="113"/>
      <c r="E467" s="111" t="s">
        <v>151</v>
      </c>
      <c r="F467" s="112">
        <v>2000</v>
      </c>
      <c r="G467" s="111">
        <v>67</v>
      </c>
      <c r="H467" s="112">
        <v>134000</v>
      </c>
      <c r="I467" s="136" t="s">
        <v>1291</v>
      </c>
    </row>
    <row r="468" spans="1:9">
      <c r="A468" s="108">
        <v>460</v>
      </c>
      <c r="B468" s="109" t="s">
        <v>32</v>
      </c>
      <c r="C468" s="109" t="s">
        <v>191</v>
      </c>
      <c r="D468" s="113"/>
      <c r="E468" s="111" t="s">
        <v>151</v>
      </c>
      <c r="F468" s="112">
        <v>3000</v>
      </c>
      <c r="G468" s="111">
        <v>67</v>
      </c>
      <c r="H468" s="112">
        <v>201000</v>
      </c>
      <c r="I468" s="136" t="s">
        <v>1291</v>
      </c>
    </row>
    <row r="469" spans="1:9">
      <c r="A469" s="130">
        <v>461</v>
      </c>
      <c r="B469" s="109" t="s">
        <v>32</v>
      </c>
      <c r="C469" s="109" t="s">
        <v>198</v>
      </c>
      <c r="D469" s="113"/>
      <c r="E469" s="111" t="s">
        <v>151</v>
      </c>
      <c r="F469" s="112">
        <v>2000</v>
      </c>
      <c r="G469" s="111">
        <v>67</v>
      </c>
      <c r="H469" s="112">
        <v>134000</v>
      </c>
      <c r="I469" s="136" t="s">
        <v>1291</v>
      </c>
    </row>
    <row r="470" spans="1:9">
      <c r="A470" s="132">
        <v>462</v>
      </c>
      <c r="B470" s="21" t="s">
        <v>32</v>
      </c>
      <c r="C470" s="21" t="s">
        <v>444</v>
      </c>
      <c r="D470" s="96"/>
      <c r="E470" s="1" t="s">
        <v>151</v>
      </c>
      <c r="F470" s="2">
        <v>4000</v>
      </c>
      <c r="G470" s="1">
        <v>67</v>
      </c>
      <c r="H470" s="2">
        <v>268000</v>
      </c>
      <c r="I470" s="137"/>
    </row>
    <row r="471" spans="1:9">
      <c r="A471" s="130">
        <v>463</v>
      </c>
      <c r="B471" s="109" t="s">
        <v>32</v>
      </c>
      <c r="C471" s="109" t="s">
        <v>242</v>
      </c>
      <c r="D471" s="113"/>
      <c r="E471" s="111" t="s">
        <v>151</v>
      </c>
      <c r="F471" s="112">
        <v>5000</v>
      </c>
      <c r="G471" s="111">
        <v>67</v>
      </c>
      <c r="H471" s="112">
        <v>335000</v>
      </c>
      <c r="I471" s="136" t="s">
        <v>1289</v>
      </c>
    </row>
    <row r="472" spans="1:9">
      <c r="A472" s="108">
        <v>464</v>
      </c>
      <c r="B472" s="109" t="s">
        <v>32</v>
      </c>
      <c r="C472" s="109" t="s">
        <v>250</v>
      </c>
      <c r="D472" s="113"/>
      <c r="E472" s="111" t="s">
        <v>151</v>
      </c>
      <c r="F472" s="112">
        <v>5000</v>
      </c>
      <c r="G472" s="111">
        <v>67</v>
      </c>
      <c r="H472" s="112">
        <v>335000</v>
      </c>
      <c r="I472" s="136" t="s">
        <v>1291</v>
      </c>
    </row>
    <row r="473" spans="1:9">
      <c r="A473" s="131">
        <v>465</v>
      </c>
      <c r="B473" s="21" t="s">
        <v>32</v>
      </c>
      <c r="C473" s="21" t="s">
        <v>467</v>
      </c>
      <c r="D473" s="96"/>
      <c r="E473" s="1" t="s">
        <v>151</v>
      </c>
      <c r="F473" s="2">
        <v>1000</v>
      </c>
      <c r="G473" s="1">
        <v>67</v>
      </c>
      <c r="H473" s="2">
        <v>67000</v>
      </c>
      <c r="I473" s="137"/>
    </row>
    <row r="474" spans="1:9">
      <c r="A474" s="108">
        <v>466</v>
      </c>
      <c r="B474" s="109" t="s">
        <v>32</v>
      </c>
      <c r="C474" s="109" t="s">
        <v>271</v>
      </c>
      <c r="D474" s="113"/>
      <c r="E474" s="111" t="s">
        <v>151</v>
      </c>
      <c r="F474" s="112">
        <v>1000</v>
      </c>
      <c r="G474" s="111">
        <v>67</v>
      </c>
      <c r="H474" s="112">
        <v>67000</v>
      </c>
      <c r="I474" s="119" t="s">
        <v>1289</v>
      </c>
    </row>
    <row r="475" spans="1:9">
      <c r="A475" s="130">
        <v>467</v>
      </c>
      <c r="B475" s="109" t="s">
        <v>32</v>
      </c>
      <c r="C475" s="109" t="s">
        <v>291</v>
      </c>
      <c r="D475" s="113"/>
      <c r="E475" s="111" t="s">
        <v>151</v>
      </c>
      <c r="F475" s="112">
        <v>3000</v>
      </c>
      <c r="G475" s="111">
        <v>67</v>
      </c>
      <c r="H475" s="112">
        <v>201000</v>
      </c>
      <c r="I475" s="119" t="s">
        <v>1289</v>
      </c>
    </row>
    <row r="476" spans="1:9" ht="32.4">
      <c r="A476" s="108">
        <v>468</v>
      </c>
      <c r="B476" s="109" t="s">
        <v>32</v>
      </c>
      <c r="C476" s="109" t="s">
        <v>295</v>
      </c>
      <c r="D476" s="110" t="s">
        <v>1290</v>
      </c>
      <c r="E476" s="111" t="s">
        <v>151</v>
      </c>
      <c r="F476" s="112">
        <v>1000</v>
      </c>
      <c r="G476" s="111">
        <v>67</v>
      </c>
      <c r="H476" s="112">
        <v>67000</v>
      </c>
      <c r="I476" s="119" t="s">
        <v>1289</v>
      </c>
    </row>
    <row r="477" spans="1:9">
      <c r="A477" s="131">
        <v>469</v>
      </c>
      <c r="B477" s="21" t="s">
        <v>32</v>
      </c>
      <c r="C477" s="21" t="s">
        <v>309</v>
      </c>
      <c r="D477" s="96"/>
      <c r="E477" s="1" t="s">
        <v>151</v>
      </c>
      <c r="F477" s="2">
        <v>3000</v>
      </c>
      <c r="G477" s="1">
        <v>67</v>
      </c>
      <c r="H477" s="2">
        <v>201000</v>
      </c>
      <c r="I477" s="137"/>
    </row>
    <row r="478" spans="1:9">
      <c r="A478" s="132">
        <v>470</v>
      </c>
      <c r="B478" s="21" t="s">
        <v>32</v>
      </c>
      <c r="C478" s="21" t="s">
        <v>527</v>
      </c>
      <c r="D478" s="96"/>
      <c r="E478" s="1" t="s">
        <v>151</v>
      </c>
      <c r="F478" s="2">
        <v>2000</v>
      </c>
      <c r="G478" s="1">
        <v>67</v>
      </c>
      <c r="H478" s="2">
        <v>134000</v>
      </c>
      <c r="I478" s="137"/>
    </row>
    <row r="479" spans="1:9">
      <c r="A479" s="130">
        <v>471</v>
      </c>
      <c r="B479" s="109" t="s">
        <v>32</v>
      </c>
      <c r="C479" s="109" t="s">
        <v>322</v>
      </c>
      <c r="D479" s="113"/>
      <c r="E479" s="111" t="s">
        <v>151</v>
      </c>
      <c r="F479" s="112">
        <v>5000</v>
      </c>
      <c r="G479" s="111">
        <v>67</v>
      </c>
      <c r="H479" s="112">
        <v>335000</v>
      </c>
      <c r="I479" s="136" t="s">
        <v>1291</v>
      </c>
    </row>
    <row r="480" spans="1:9">
      <c r="A480" s="108">
        <v>472</v>
      </c>
      <c r="B480" s="109" t="s">
        <v>32</v>
      </c>
      <c r="C480" s="109" t="s">
        <v>544</v>
      </c>
      <c r="D480" s="113"/>
      <c r="E480" s="111" t="s">
        <v>151</v>
      </c>
      <c r="F480" s="112">
        <v>2000</v>
      </c>
      <c r="G480" s="111">
        <v>67</v>
      </c>
      <c r="H480" s="112">
        <v>134000</v>
      </c>
      <c r="I480" s="119" t="s">
        <v>1289</v>
      </c>
    </row>
    <row r="481" spans="1:9">
      <c r="A481" s="131">
        <v>473</v>
      </c>
      <c r="B481" s="21" t="s">
        <v>32</v>
      </c>
      <c r="C481" s="21" t="s">
        <v>327</v>
      </c>
      <c r="D481" s="96"/>
      <c r="E481" s="1" t="s">
        <v>151</v>
      </c>
      <c r="F481" s="2">
        <v>1000</v>
      </c>
      <c r="G481" s="1">
        <v>67</v>
      </c>
      <c r="H481" s="2">
        <v>67000</v>
      </c>
      <c r="I481" s="137"/>
    </row>
    <row r="482" spans="1:9">
      <c r="A482" s="132">
        <v>474</v>
      </c>
      <c r="B482" s="21" t="s">
        <v>32</v>
      </c>
      <c r="C482" s="21" t="s">
        <v>551</v>
      </c>
      <c r="D482" s="96"/>
      <c r="E482" s="1" t="s">
        <v>151</v>
      </c>
      <c r="F482" s="2">
        <v>20000</v>
      </c>
      <c r="G482" s="1">
        <v>67</v>
      </c>
      <c r="H482" s="2">
        <v>1340000</v>
      </c>
      <c r="I482" s="137"/>
    </row>
    <row r="483" spans="1:9">
      <c r="A483" s="131">
        <v>475</v>
      </c>
      <c r="B483" s="21" t="s">
        <v>32</v>
      </c>
      <c r="C483" s="21" t="s">
        <v>555</v>
      </c>
      <c r="D483" s="96"/>
      <c r="E483" s="1" t="s">
        <v>151</v>
      </c>
      <c r="F483" s="2">
        <v>3000</v>
      </c>
      <c r="G483" s="1">
        <v>67</v>
      </c>
      <c r="H483" s="2">
        <v>201000</v>
      </c>
      <c r="I483" s="137"/>
    </row>
    <row r="484" spans="1:9">
      <c r="A484" s="46">
        <v>476</v>
      </c>
      <c r="B484" s="47" t="s">
        <v>32</v>
      </c>
      <c r="C484" s="47" t="s">
        <v>216</v>
      </c>
      <c r="D484" s="98" t="s">
        <v>1277</v>
      </c>
      <c r="E484" s="48" t="s">
        <v>217</v>
      </c>
      <c r="F484" s="49">
        <v>1000</v>
      </c>
      <c r="G484" s="48">
        <v>67</v>
      </c>
      <c r="H484" s="49">
        <v>67000</v>
      </c>
      <c r="I484" s="139" t="s">
        <v>1190</v>
      </c>
    </row>
    <row r="485" spans="1:9">
      <c r="A485" s="131">
        <v>477</v>
      </c>
      <c r="B485" s="21" t="s">
        <v>32</v>
      </c>
      <c r="C485" s="21" t="s">
        <v>261</v>
      </c>
      <c r="D485" s="96"/>
      <c r="E485" s="1" t="s">
        <v>217</v>
      </c>
      <c r="F485" s="2">
        <v>1000</v>
      </c>
      <c r="G485" s="1">
        <v>67</v>
      </c>
      <c r="H485" s="2">
        <v>67000</v>
      </c>
      <c r="I485" s="137"/>
    </row>
    <row r="486" spans="1:9">
      <c r="A486" s="132">
        <v>478</v>
      </c>
      <c r="B486" s="21" t="s">
        <v>32</v>
      </c>
      <c r="C486" s="21" t="s">
        <v>264</v>
      </c>
      <c r="D486" s="96"/>
      <c r="E486" s="1" t="s">
        <v>265</v>
      </c>
      <c r="F486" s="2">
        <v>1000</v>
      </c>
      <c r="G486" s="1">
        <v>67</v>
      </c>
      <c r="H486" s="2">
        <v>67000</v>
      </c>
      <c r="I486" s="137"/>
    </row>
    <row r="487" spans="1:9">
      <c r="A487" s="131">
        <v>479</v>
      </c>
      <c r="B487" s="21" t="s">
        <v>32</v>
      </c>
      <c r="C487" s="21" t="s">
        <v>541</v>
      </c>
      <c r="D487" s="96"/>
      <c r="E487" s="1" t="s">
        <v>265</v>
      </c>
      <c r="F487" s="2">
        <v>2000</v>
      </c>
      <c r="G487" s="1">
        <v>67</v>
      </c>
      <c r="H487" s="2">
        <v>134000</v>
      </c>
      <c r="I487" s="137"/>
    </row>
    <row r="488" spans="1:9">
      <c r="A488" s="132">
        <v>480</v>
      </c>
      <c r="B488" s="21" t="s">
        <v>32</v>
      </c>
      <c r="C488" s="21" t="s">
        <v>401</v>
      </c>
      <c r="D488" s="96"/>
      <c r="E488" s="1" t="s">
        <v>402</v>
      </c>
      <c r="F488" s="2">
        <v>6000</v>
      </c>
      <c r="G488" s="1">
        <v>67</v>
      </c>
      <c r="H488" s="2">
        <v>402000</v>
      </c>
      <c r="I488" s="137"/>
    </row>
    <row r="489" spans="1:9">
      <c r="A489" s="131">
        <v>481</v>
      </c>
      <c r="B489" s="21" t="s">
        <v>32</v>
      </c>
      <c r="C489" s="21" t="s">
        <v>486</v>
      </c>
      <c r="D489" s="96"/>
      <c r="E489" s="1" t="s">
        <v>402</v>
      </c>
      <c r="F489" s="2">
        <v>1000</v>
      </c>
      <c r="G489" s="1">
        <v>67</v>
      </c>
      <c r="H489" s="2">
        <v>67000</v>
      </c>
      <c r="I489" s="137"/>
    </row>
    <row r="490" spans="1:9">
      <c r="A490" s="108">
        <v>482</v>
      </c>
      <c r="B490" s="109" t="s">
        <v>32</v>
      </c>
      <c r="C490" s="109" t="s">
        <v>520</v>
      </c>
      <c r="D490" s="113"/>
      <c r="E490" s="111" t="s">
        <v>402</v>
      </c>
      <c r="F490" s="112">
        <v>2000</v>
      </c>
      <c r="G490" s="111">
        <v>67</v>
      </c>
      <c r="H490" s="112">
        <v>134000</v>
      </c>
      <c r="I490" s="136" t="s">
        <v>1291</v>
      </c>
    </row>
    <row r="491" spans="1:9">
      <c r="A491" s="131">
        <v>483</v>
      </c>
      <c r="B491" s="21" t="s">
        <v>32</v>
      </c>
      <c r="C491" s="21" t="s">
        <v>342</v>
      </c>
      <c r="D491" s="96"/>
      <c r="E491" s="1" t="s">
        <v>343</v>
      </c>
      <c r="F491" s="2">
        <v>3000</v>
      </c>
      <c r="G491" s="1">
        <v>67</v>
      </c>
      <c r="H491" s="2">
        <v>201000</v>
      </c>
      <c r="I491" s="137"/>
    </row>
    <row r="492" spans="1:9">
      <c r="A492" s="132">
        <v>484</v>
      </c>
      <c r="B492" s="21" t="s">
        <v>32</v>
      </c>
      <c r="C492" s="21" t="s">
        <v>345</v>
      </c>
      <c r="D492" s="96"/>
      <c r="E492" s="1" t="s">
        <v>343</v>
      </c>
      <c r="F492" s="2">
        <v>2000</v>
      </c>
      <c r="G492" s="1">
        <v>67</v>
      </c>
      <c r="H492" s="2">
        <v>134000</v>
      </c>
      <c r="I492" s="137"/>
    </row>
    <row r="493" spans="1:9">
      <c r="A493" s="131">
        <v>485</v>
      </c>
      <c r="B493" s="21" t="s">
        <v>32</v>
      </c>
      <c r="C493" s="21" t="s">
        <v>382</v>
      </c>
      <c r="D493" s="96"/>
      <c r="E493" s="1" t="s">
        <v>76</v>
      </c>
      <c r="F493" s="2">
        <v>2000</v>
      </c>
      <c r="G493" s="1">
        <v>67</v>
      </c>
      <c r="H493" s="2">
        <v>134000</v>
      </c>
      <c r="I493" s="137"/>
    </row>
    <row r="494" spans="1:9">
      <c r="A494" s="132">
        <v>486</v>
      </c>
      <c r="B494" s="21" t="s">
        <v>32</v>
      </c>
      <c r="C494" s="21" t="s">
        <v>168</v>
      </c>
      <c r="D494" s="96"/>
      <c r="E494" s="1" t="s">
        <v>76</v>
      </c>
      <c r="F494" s="2">
        <v>5000</v>
      </c>
      <c r="G494" s="1">
        <v>67</v>
      </c>
      <c r="H494" s="2">
        <v>335000</v>
      </c>
      <c r="I494" s="137"/>
    </row>
    <row r="495" spans="1:9">
      <c r="A495" s="131">
        <v>487</v>
      </c>
      <c r="B495" s="21" t="s">
        <v>32</v>
      </c>
      <c r="C495" s="21" t="s">
        <v>180</v>
      </c>
      <c r="D495" s="96"/>
      <c r="E495" s="1" t="s">
        <v>76</v>
      </c>
      <c r="F495" s="2">
        <v>1000</v>
      </c>
      <c r="G495" s="1">
        <v>67</v>
      </c>
      <c r="H495" s="2">
        <v>67000</v>
      </c>
      <c r="I495" s="137"/>
    </row>
    <row r="496" spans="1:9">
      <c r="A496" s="132">
        <v>488</v>
      </c>
      <c r="B496" s="21" t="s">
        <v>32</v>
      </c>
      <c r="C496" s="21" t="s">
        <v>431</v>
      </c>
      <c r="D496" s="96"/>
      <c r="E496" s="1" t="s">
        <v>76</v>
      </c>
      <c r="F496" s="2">
        <v>2000</v>
      </c>
      <c r="G496" s="1">
        <v>67</v>
      </c>
      <c r="H496" s="2">
        <v>134000</v>
      </c>
      <c r="I496" s="137"/>
    </row>
    <row r="497" spans="1:9">
      <c r="A497" s="131">
        <v>489</v>
      </c>
      <c r="B497" s="21" t="s">
        <v>32</v>
      </c>
      <c r="C497" s="21" t="s">
        <v>224</v>
      </c>
      <c r="D497" s="96"/>
      <c r="E497" s="1" t="s">
        <v>76</v>
      </c>
      <c r="F497" s="2">
        <v>4000</v>
      </c>
      <c r="G497" s="1">
        <v>67</v>
      </c>
      <c r="H497" s="2">
        <v>268000</v>
      </c>
      <c r="I497" s="137"/>
    </row>
    <row r="498" spans="1:9">
      <c r="A498" s="132">
        <v>490</v>
      </c>
      <c r="B498" s="21" t="s">
        <v>32</v>
      </c>
      <c r="C498" s="21" t="s">
        <v>513</v>
      </c>
      <c r="D498" s="96"/>
      <c r="E498" s="1" t="s">
        <v>76</v>
      </c>
      <c r="F498" s="2">
        <v>2000</v>
      </c>
      <c r="G498" s="1">
        <v>67</v>
      </c>
      <c r="H498" s="2">
        <v>134000</v>
      </c>
      <c r="I498" s="137"/>
    </row>
    <row r="499" spans="1:9">
      <c r="A499" s="130">
        <v>491</v>
      </c>
      <c r="B499" s="109" t="s">
        <v>32</v>
      </c>
      <c r="C499" s="109" t="s">
        <v>445</v>
      </c>
      <c r="D499" s="113"/>
      <c r="E499" s="111" t="s">
        <v>77</v>
      </c>
      <c r="F499" s="112">
        <v>2000</v>
      </c>
      <c r="G499" s="111">
        <v>67</v>
      </c>
      <c r="H499" s="112">
        <v>134000</v>
      </c>
      <c r="I499" s="136" t="s">
        <v>1291</v>
      </c>
    </row>
    <row r="500" spans="1:9">
      <c r="A500" s="108">
        <v>492</v>
      </c>
      <c r="B500" s="109" t="s">
        <v>32</v>
      </c>
      <c r="C500" s="109" t="s">
        <v>464</v>
      </c>
      <c r="D500" s="113"/>
      <c r="E500" s="111" t="s">
        <v>77</v>
      </c>
      <c r="F500" s="112">
        <v>1000</v>
      </c>
      <c r="G500" s="111">
        <v>67</v>
      </c>
      <c r="H500" s="112">
        <v>67000</v>
      </c>
      <c r="I500" s="136" t="s">
        <v>1291</v>
      </c>
    </row>
    <row r="501" spans="1:9">
      <c r="A501" s="131">
        <v>493</v>
      </c>
      <c r="B501" s="21" t="s">
        <v>32</v>
      </c>
      <c r="C501" s="21" t="s">
        <v>192</v>
      </c>
      <c r="D501" s="96"/>
      <c r="E501" s="1" t="s">
        <v>110</v>
      </c>
      <c r="F501" s="2">
        <v>1000</v>
      </c>
      <c r="G501" s="1">
        <v>67</v>
      </c>
      <c r="H501" s="2">
        <v>67000</v>
      </c>
      <c r="I501" s="137"/>
    </row>
    <row r="502" spans="1:9">
      <c r="A502" s="132">
        <v>494</v>
      </c>
      <c r="B502" s="21" t="s">
        <v>32</v>
      </c>
      <c r="C502" s="21" t="s">
        <v>192</v>
      </c>
      <c r="D502" s="96"/>
      <c r="E502" s="1" t="s">
        <v>110</v>
      </c>
      <c r="F502" s="2">
        <v>1000</v>
      </c>
      <c r="G502" s="1">
        <v>67</v>
      </c>
      <c r="H502" s="2">
        <v>67000</v>
      </c>
      <c r="I502" s="137"/>
    </row>
    <row r="503" spans="1:9">
      <c r="A503" s="131">
        <v>495</v>
      </c>
      <c r="B503" s="21" t="s">
        <v>32</v>
      </c>
      <c r="C503" s="21" t="s">
        <v>257</v>
      </c>
      <c r="D503" s="96"/>
      <c r="E503" s="1" t="s">
        <v>110</v>
      </c>
      <c r="F503" s="2">
        <v>3000</v>
      </c>
      <c r="G503" s="1">
        <v>67</v>
      </c>
      <c r="H503" s="2">
        <v>201000</v>
      </c>
      <c r="I503" s="137"/>
    </row>
    <row r="504" spans="1:9">
      <c r="A504" s="132">
        <v>496</v>
      </c>
      <c r="B504" s="21" t="s">
        <v>32</v>
      </c>
      <c r="C504" s="21" t="s">
        <v>473</v>
      </c>
      <c r="D504" s="96"/>
      <c r="E504" s="1" t="s">
        <v>110</v>
      </c>
      <c r="F504" s="2">
        <v>3000</v>
      </c>
      <c r="G504" s="1">
        <v>67</v>
      </c>
      <c r="H504" s="2">
        <v>201000</v>
      </c>
      <c r="I504" s="137"/>
    </row>
    <row r="505" spans="1:9">
      <c r="A505" s="131">
        <v>497</v>
      </c>
      <c r="B505" s="21" t="s">
        <v>32</v>
      </c>
      <c r="C505" s="21" t="s">
        <v>134</v>
      </c>
      <c r="D505" s="96"/>
      <c r="E505" s="1" t="s">
        <v>135</v>
      </c>
      <c r="F505" s="2">
        <v>1000</v>
      </c>
      <c r="G505" s="1">
        <v>67</v>
      </c>
      <c r="H505" s="2">
        <v>67000</v>
      </c>
      <c r="I505" s="137"/>
    </row>
    <row r="506" spans="1:9">
      <c r="A506" s="132">
        <v>498</v>
      </c>
      <c r="B506" s="21" t="s">
        <v>32</v>
      </c>
      <c r="C506" s="21" t="s">
        <v>415</v>
      </c>
      <c r="D506" s="96"/>
      <c r="E506" s="1" t="s">
        <v>135</v>
      </c>
      <c r="F506" s="2">
        <v>1000</v>
      </c>
      <c r="G506" s="1">
        <v>67</v>
      </c>
      <c r="H506" s="2">
        <v>67000</v>
      </c>
      <c r="I506" s="137"/>
    </row>
    <row r="507" spans="1:9">
      <c r="A507" s="131">
        <v>499</v>
      </c>
      <c r="B507" s="21" t="s">
        <v>32</v>
      </c>
      <c r="C507" s="21" t="s">
        <v>492</v>
      </c>
      <c r="D507" s="96"/>
      <c r="E507" s="1" t="s">
        <v>135</v>
      </c>
      <c r="F507" s="2">
        <v>1000</v>
      </c>
      <c r="G507" s="1">
        <v>67</v>
      </c>
      <c r="H507" s="2">
        <v>67000</v>
      </c>
      <c r="I507" s="137"/>
    </row>
    <row r="508" spans="1:9">
      <c r="A508" s="132">
        <v>500</v>
      </c>
      <c r="B508" s="21" t="s">
        <v>32</v>
      </c>
      <c r="C508" s="21" t="s">
        <v>170</v>
      </c>
      <c r="D508" s="96"/>
      <c r="E508" s="1" t="s">
        <v>78</v>
      </c>
      <c r="F508" s="2">
        <v>4000</v>
      </c>
      <c r="G508" s="1">
        <v>67</v>
      </c>
      <c r="H508" s="2">
        <v>268000</v>
      </c>
      <c r="I508" s="137"/>
    </row>
    <row r="509" spans="1:9">
      <c r="A509" s="131">
        <v>501</v>
      </c>
      <c r="B509" s="21" t="s">
        <v>32</v>
      </c>
      <c r="C509" s="21" t="s">
        <v>509</v>
      </c>
      <c r="D509" s="96"/>
      <c r="E509" s="1" t="s">
        <v>78</v>
      </c>
      <c r="F509" s="2">
        <v>6000</v>
      </c>
      <c r="G509" s="1">
        <v>67</v>
      </c>
      <c r="H509" s="2">
        <v>402000</v>
      </c>
      <c r="I509" s="137"/>
    </row>
    <row r="510" spans="1:9">
      <c r="A510" s="132">
        <v>502</v>
      </c>
      <c r="B510" s="21" t="s">
        <v>32</v>
      </c>
      <c r="C510" s="21" t="s">
        <v>325</v>
      </c>
      <c r="D510" s="96"/>
      <c r="E510" s="1" t="s">
        <v>78</v>
      </c>
      <c r="F510" s="2">
        <v>3000</v>
      </c>
      <c r="G510" s="1">
        <v>67</v>
      </c>
      <c r="H510" s="2">
        <v>201000</v>
      </c>
      <c r="I510" s="137"/>
    </row>
    <row r="511" spans="1:9">
      <c r="A511" s="131">
        <v>503</v>
      </c>
      <c r="B511" s="21" t="s">
        <v>32</v>
      </c>
      <c r="C511" s="21" t="s">
        <v>229</v>
      </c>
      <c r="D511" s="96"/>
      <c r="E511" s="1" t="s">
        <v>11</v>
      </c>
      <c r="F511" s="2">
        <v>1000</v>
      </c>
      <c r="G511" s="1">
        <v>67</v>
      </c>
      <c r="H511" s="2">
        <v>67000</v>
      </c>
      <c r="I511" s="137"/>
    </row>
    <row r="512" spans="1:9">
      <c r="A512" s="132">
        <v>504</v>
      </c>
      <c r="B512" s="21" t="s">
        <v>32</v>
      </c>
      <c r="C512" s="21" t="s">
        <v>353</v>
      </c>
      <c r="D512" s="96"/>
      <c r="E512" s="1" t="s">
        <v>267</v>
      </c>
      <c r="F512" s="2">
        <v>1000</v>
      </c>
      <c r="G512" s="1">
        <v>67</v>
      </c>
      <c r="H512" s="2">
        <v>67000</v>
      </c>
      <c r="I512" s="137"/>
    </row>
    <row r="513" spans="1:9">
      <c r="A513" s="131">
        <v>505</v>
      </c>
      <c r="B513" s="21" t="s">
        <v>32</v>
      </c>
      <c r="C513" s="21" t="s">
        <v>266</v>
      </c>
      <c r="D513" s="96"/>
      <c r="E513" s="1" t="s">
        <v>267</v>
      </c>
      <c r="F513" s="2">
        <v>4000</v>
      </c>
      <c r="G513" s="1">
        <v>67</v>
      </c>
      <c r="H513" s="2">
        <v>268000</v>
      </c>
      <c r="I513" s="137"/>
    </row>
    <row r="514" spans="1:9">
      <c r="A514" s="132">
        <v>506</v>
      </c>
      <c r="B514" s="21" t="s">
        <v>32</v>
      </c>
      <c r="C514" s="21" t="s">
        <v>281</v>
      </c>
      <c r="D514" s="96"/>
      <c r="E514" s="1" t="s">
        <v>267</v>
      </c>
      <c r="F514" s="2">
        <v>1000</v>
      </c>
      <c r="G514" s="1">
        <v>67</v>
      </c>
      <c r="H514" s="2">
        <v>67000</v>
      </c>
      <c r="I514" s="137"/>
    </row>
    <row r="515" spans="1:9">
      <c r="A515" s="130">
        <v>507</v>
      </c>
      <c r="B515" s="109" t="s">
        <v>32</v>
      </c>
      <c r="C515" s="109" t="s">
        <v>1262</v>
      </c>
      <c r="D515" s="113"/>
      <c r="E515" s="111" t="s">
        <v>267</v>
      </c>
      <c r="F515" s="112">
        <v>4000</v>
      </c>
      <c r="G515" s="111">
        <v>67</v>
      </c>
      <c r="H515" s="112">
        <v>268000</v>
      </c>
      <c r="I515" s="136" t="s">
        <v>1291</v>
      </c>
    </row>
    <row r="516" spans="1:9">
      <c r="A516" s="132">
        <v>508</v>
      </c>
      <c r="B516" s="21" t="s">
        <v>32</v>
      </c>
      <c r="C516" s="21" t="s">
        <v>550</v>
      </c>
      <c r="D516" s="96"/>
      <c r="E516" s="1" t="s">
        <v>267</v>
      </c>
      <c r="F516" s="2">
        <v>5000</v>
      </c>
      <c r="G516" s="1">
        <v>67</v>
      </c>
      <c r="H516" s="2">
        <v>335000</v>
      </c>
      <c r="I516" s="137"/>
    </row>
    <row r="517" spans="1:9">
      <c r="A517" s="131">
        <v>509</v>
      </c>
      <c r="B517" s="21" t="s">
        <v>32</v>
      </c>
      <c r="C517" s="21" t="s">
        <v>222</v>
      </c>
      <c r="D517" s="96"/>
      <c r="E517" s="1" t="s">
        <v>437</v>
      </c>
      <c r="F517" s="2">
        <v>5000</v>
      </c>
      <c r="G517" s="1">
        <v>67</v>
      </c>
      <c r="H517" s="2">
        <v>335000</v>
      </c>
      <c r="I517" s="137"/>
    </row>
    <row r="518" spans="1:9">
      <c r="A518" s="132">
        <v>510</v>
      </c>
      <c r="B518" s="21" t="s">
        <v>32</v>
      </c>
      <c r="C518" s="21" t="s">
        <v>268</v>
      </c>
      <c r="D518" s="96"/>
      <c r="E518" s="1" t="s">
        <v>269</v>
      </c>
      <c r="F518" s="2">
        <v>3000</v>
      </c>
      <c r="G518" s="1">
        <v>67</v>
      </c>
      <c r="H518" s="2">
        <v>201000</v>
      </c>
      <c r="I518" s="137"/>
    </row>
    <row r="519" spans="1:9">
      <c r="A519" s="131">
        <v>511</v>
      </c>
      <c r="B519" s="21" t="s">
        <v>32</v>
      </c>
      <c r="C519" s="21" t="s">
        <v>521</v>
      </c>
      <c r="D519" s="96"/>
      <c r="E519" s="1" t="s">
        <v>269</v>
      </c>
      <c r="F519" s="2">
        <v>2000</v>
      </c>
      <c r="G519" s="1">
        <v>67</v>
      </c>
      <c r="H519" s="2">
        <v>134000</v>
      </c>
      <c r="I519" s="137"/>
    </row>
    <row r="520" spans="1:9">
      <c r="A520" s="132">
        <v>512</v>
      </c>
      <c r="B520" s="21" t="s">
        <v>32</v>
      </c>
      <c r="C520" s="21" t="s">
        <v>556</v>
      </c>
      <c r="D520" s="96"/>
      <c r="E520" s="1" t="s">
        <v>269</v>
      </c>
      <c r="F520" s="2">
        <v>1000</v>
      </c>
      <c r="G520" s="1">
        <v>67</v>
      </c>
      <c r="H520" s="2">
        <v>67000</v>
      </c>
      <c r="I520" s="137"/>
    </row>
    <row r="521" spans="1:9">
      <c r="A521" s="131">
        <v>513</v>
      </c>
      <c r="B521" s="21" t="s">
        <v>32</v>
      </c>
      <c r="C521" s="21" t="s">
        <v>213</v>
      </c>
      <c r="D521" s="96"/>
      <c r="E521" s="1" t="s">
        <v>214</v>
      </c>
      <c r="F521" s="2">
        <v>1000</v>
      </c>
      <c r="G521" s="1">
        <v>67</v>
      </c>
      <c r="H521" s="2">
        <v>67000</v>
      </c>
      <c r="I521" s="137"/>
    </row>
    <row r="522" spans="1:9">
      <c r="A522" s="132">
        <v>514</v>
      </c>
      <c r="B522" s="21" t="s">
        <v>32</v>
      </c>
      <c r="C522" s="21" t="s">
        <v>292</v>
      </c>
      <c r="D522" s="96"/>
      <c r="E522" s="1" t="s">
        <v>214</v>
      </c>
      <c r="F522" s="2">
        <v>1000</v>
      </c>
      <c r="G522" s="1">
        <v>67</v>
      </c>
      <c r="H522" s="2">
        <v>67000</v>
      </c>
      <c r="I522" s="137"/>
    </row>
    <row r="523" spans="1:9">
      <c r="A523" s="131">
        <v>515</v>
      </c>
      <c r="B523" s="21" t="s">
        <v>32</v>
      </c>
      <c r="C523" s="21" t="s">
        <v>429</v>
      </c>
      <c r="D523" s="96"/>
      <c r="E523" s="1" t="s">
        <v>79</v>
      </c>
      <c r="F523" s="2">
        <v>5000</v>
      </c>
      <c r="G523" s="1">
        <v>67</v>
      </c>
      <c r="H523" s="2">
        <v>335000</v>
      </c>
      <c r="I523" s="137"/>
    </row>
    <row r="524" spans="1:9">
      <c r="A524" s="132">
        <v>516</v>
      </c>
      <c r="B524" s="21" t="s">
        <v>32</v>
      </c>
      <c r="C524" s="21" t="s">
        <v>478</v>
      </c>
      <c r="D524" s="96"/>
      <c r="E524" s="1" t="s">
        <v>79</v>
      </c>
      <c r="F524" s="2">
        <v>2000</v>
      </c>
      <c r="G524" s="1">
        <v>67</v>
      </c>
      <c r="H524" s="2">
        <v>134000</v>
      </c>
      <c r="I524" s="137"/>
    </row>
    <row r="525" spans="1:9">
      <c r="A525" s="131">
        <v>517</v>
      </c>
      <c r="B525" s="21" t="s">
        <v>32</v>
      </c>
      <c r="C525" s="21" t="s">
        <v>480</v>
      </c>
      <c r="D525" s="96"/>
      <c r="E525" s="1" t="s">
        <v>79</v>
      </c>
      <c r="F525" s="2">
        <v>2000</v>
      </c>
      <c r="G525" s="1">
        <v>67</v>
      </c>
      <c r="H525" s="2">
        <v>134000</v>
      </c>
      <c r="I525" s="137"/>
    </row>
    <row r="526" spans="1:9">
      <c r="A526" s="108">
        <v>518</v>
      </c>
      <c r="B526" s="109" t="s">
        <v>32</v>
      </c>
      <c r="C526" s="109" t="s">
        <v>511</v>
      </c>
      <c r="D526" s="113"/>
      <c r="E526" s="111" t="s">
        <v>79</v>
      </c>
      <c r="F526" s="112">
        <v>10000</v>
      </c>
      <c r="G526" s="111">
        <v>67</v>
      </c>
      <c r="H526" s="112">
        <v>670000</v>
      </c>
      <c r="I526" s="136" t="s">
        <v>1291</v>
      </c>
    </row>
    <row r="527" spans="1:9" ht="48.6">
      <c r="A527" s="130">
        <v>519</v>
      </c>
      <c r="B527" s="109" t="s">
        <v>32</v>
      </c>
      <c r="C527" s="109" t="s">
        <v>331</v>
      </c>
      <c r="D527" s="113"/>
      <c r="E527" s="111" t="s">
        <v>79</v>
      </c>
      <c r="F527" s="112">
        <v>2000</v>
      </c>
      <c r="G527" s="111">
        <v>67</v>
      </c>
      <c r="H527" s="112">
        <v>134000</v>
      </c>
      <c r="I527" s="119" t="s">
        <v>1306</v>
      </c>
    </row>
    <row r="528" spans="1:9">
      <c r="A528" s="108">
        <v>520</v>
      </c>
      <c r="B528" s="109" t="s">
        <v>32</v>
      </c>
      <c r="C528" s="109" t="s">
        <v>426</v>
      </c>
      <c r="D528" s="113"/>
      <c r="E528" s="111" t="s">
        <v>111</v>
      </c>
      <c r="F528" s="112">
        <v>2000</v>
      </c>
      <c r="G528" s="111">
        <v>67</v>
      </c>
      <c r="H528" s="112">
        <v>134000</v>
      </c>
      <c r="I528" s="136" t="s">
        <v>1291</v>
      </c>
    </row>
    <row r="529" spans="1:9">
      <c r="A529" s="131">
        <v>521</v>
      </c>
      <c r="B529" s="21" t="s">
        <v>32</v>
      </c>
      <c r="C529" s="21" t="s">
        <v>558</v>
      </c>
      <c r="D529" s="96"/>
      <c r="E529" s="1" t="s">
        <v>111</v>
      </c>
      <c r="F529" s="2">
        <v>1000</v>
      </c>
      <c r="G529" s="1">
        <v>67</v>
      </c>
      <c r="H529" s="2">
        <v>67000</v>
      </c>
      <c r="I529" s="137"/>
    </row>
    <row r="530" spans="1:9">
      <c r="A530" s="132">
        <v>522</v>
      </c>
      <c r="B530" s="21" t="s">
        <v>32</v>
      </c>
      <c r="C530" s="21" t="s">
        <v>401</v>
      </c>
      <c r="D530" s="96"/>
      <c r="E530" s="1" t="s">
        <v>403</v>
      </c>
      <c r="F530" s="2">
        <v>11000</v>
      </c>
      <c r="G530" s="1">
        <v>67</v>
      </c>
      <c r="H530" s="2">
        <v>737000</v>
      </c>
      <c r="I530" s="137"/>
    </row>
    <row r="531" spans="1:9">
      <c r="A531" s="131">
        <v>523</v>
      </c>
      <c r="B531" s="21" t="s">
        <v>32</v>
      </c>
      <c r="C531" s="21" t="s">
        <v>465</v>
      </c>
      <c r="D531" s="96"/>
      <c r="E531" s="1" t="s">
        <v>403</v>
      </c>
      <c r="F531" s="2">
        <v>4000</v>
      </c>
      <c r="G531" s="1">
        <v>67</v>
      </c>
      <c r="H531" s="2">
        <v>268000</v>
      </c>
      <c r="I531" s="137"/>
    </row>
    <row r="532" spans="1:9">
      <c r="A532" s="132">
        <v>524</v>
      </c>
      <c r="B532" s="21" t="s">
        <v>32</v>
      </c>
      <c r="C532" s="21" t="s">
        <v>329</v>
      </c>
      <c r="D532" s="96"/>
      <c r="E532" s="1" t="s">
        <v>290</v>
      </c>
      <c r="F532" s="2">
        <v>1000</v>
      </c>
      <c r="G532" s="1">
        <v>67</v>
      </c>
      <c r="H532" s="2">
        <v>67000</v>
      </c>
      <c r="I532" s="137"/>
    </row>
    <row r="533" spans="1:9">
      <c r="A533" s="130">
        <v>525</v>
      </c>
      <c r="B533" s="109" t="s">
        <v>32</v>
      </c>
      <c r="C533" s="109" t="s">
        <v>143</v>
      </c>
      <c r="D533" s="113"/>
      <c r="E533" s="111" t="s">
        <v>144</v>
      </c>
      <c r="F533" s="112">
        <v>1000</v>
      </c>
      <c r="G533" s="111">
        <v>67</v>
      </c>
      <c r="H533" s="112">
        <v>67000</v>
      </c>
      <c r="I533" s="136" t="s">
        <v>1291</v>
      </c>
    </row>
    <row r="534" spans="1:9">
      <c r="A534" s="108">
        <v>526</v>
      </c>
      <c r="B534" s="109" t="s">
        <v>32</v>
      </c>
      <c r="C534" s="109" t="s">
        <v>412</v>
      </c>
      <c r="D534" s="113"/>
      <c r="E534" s="111" t="s">
        <v>239</v>
      </c>
      <c r="F534" s="112">
        <v>2000</v>
      </c>
      <c r="G534" s="111">
        <v>67</v>
      </c>
      <c r="H534" s="112">
        <v>134000</v>
      </c>
      <c r="I534" s="136" t="s">
        <v>1291</v>
      </c>
    </row>
    <row r="535" spans="1:9">
      <c r="A535" s="130">
        <v>527</v>
      </c>
      <c r="B535" s="109" t="s">
        <v>32</v>
      </c>
      <c r="C535" s="109" t="s">
        <v>238</v>
      </c>
      <c r="D535" s="113"/>
      <c r="E535" s="111" t="s">
        <v>239</v>
      </c>
      <c r="F535" s="112">
        <v>5000</v>
      </c>
      <c r="G535" s="111">
        <v>67</v>
      </c>
      <c r="H535" s="112">
        <v>335000</v>
      </c>
      <c r="I535" s="136" t="s">
        <v>1291</v>
      </c>
    </row>
    <row r="536" spans="1:9">
      <c r="A536" s="132">
        <v>528</v>
      </c>
      <c r="B536" s="21" t="s">
        <v>32</v>
      </c>
      <c r="C536" s="21" t="s">
        <v>281</v>
      </c>
      <c r="D536" s="96"/>
      <c r="E536" s="1" t="s">
        <v>155</v>
      </c>
      <c r="F536" s="2">
        <v>4000</v>
      </c>
      <c r="G536" s="1">
        <v>67</v>
      </c>
      <c r="H536" s="2">
        <v>268000</v>
      </c>
      <c r="I536" s="137"/>
    </row>
    <row r="537" spans="1:9">
      <c r="A537" s="131">
        <v>529</v>
      </c>
      <c r="B537" s="21" t="s">
        <v>32</v>
      </c>
      <c r="C537" s="21" t="s">
        <v>304</v>
      </c>
      <c r="D537" s="96"/>
      <c r="E537" s="1" t="s">
        <v>155</v>
      </c>
      <c r="F537" s="2">
        <v>2000</v>
      </c>
      <c r="G537" s="1">
        <v>67</v>
      </c>
      <c r="H537" s="2">
        <v>134000</v>
      </c>
      <c r="I537" s="137"/>
    </row>
    <row r="538" spans="1:9">
      <c r="A538" s="132">
        <v>530</v>
      </c>
      <c r="B538" s="21" t="s">
        <v>32</v>
      </c>
      <c r="C538" s="21" t="s">
        <v>232</v>
      </c>
      <c r="D538" s="96"/>
      <c r="E538" s="1" t="s">
        <v>233</v>
      </c>
      <c r="F538" s="2">
        <v>8000</v>
      </c>
      <c r="G538" s="1">
        <v>67</v>
      </c>
      <c r="H538" s="2">
        <v>536000</v>
      </c>
      <c r="I538" s="137"/>
    </row>
    <row r="539" spans="1:9">
      <c r="A539" s="131">
        <v>531</v>
      </c>
      <c r="B539" s="21" t="s">
        <v>32</v>
      </c>
      <c r="C539" s="21" t="s">
        <v>496</v>
      </c>
      <c r="D539" s="96"/>
      <c r="E539" s="1" t="s">
        <v>233</v>
      </c>
      <c r="F539" s="2">
        <v>1000</v>
      </c>
      <c r="G539" s="1">
        <v>67</v>
      </c>
      <c r="H539" s="2">
        <v>67000</v>
      </c>
      <c r="I539" s="137"/>
    </row>
    <row r="540" spans="1:9">
      <c r="A540" s="132">
        <v>532</v>
      </c>
      <c r="B540" s="21" t="s">
        <v>32</v>
      </c>
      <c r="C540" s="21" t="s">
        <v>139</v>
      </c>
      <c r="D540" s="96"/>
      <c r="E540" s="1" t="s">
        <v>140</v>
      </c>
      <c r="F540" s="2">
        <v>2000</v>
      </c>
      <c r="G540" s="1">
        <v>67</v>
      </c>
      <c r="H540" s="2">
        <v>134000</v>
      </c>
      <c r="I540" s="137"/>
    </row>
    <row r="541" spans="1:9">
      <c r="A541" s="131">
        <v>533</v>
      </c>
      <c r="B541" s="21" t="s">
        <v>32</v>
      </c>
      <c r="C541" s="21" t="s">
        <v>384</v>
      </c>
      <c r="D541" s="96"/>
      <c r="E541" s="1" t="s">
        <v>140</v>
      </c>
      <c r="F541" s="2">
        <v>1000</v>
      </c>
      <c r="G541" s="1">
        <v>67</v>
      </c>
      <c r="H541" s="2">
        <v>67000</v>
      </c>
      <c r="I541" s="137"/>
    </row>
    <row r="542" spans="1:9">
      <c r="A542" s="132">
        <v>534</v>
      </c>
      <c r="B542" s="21" t="s">
        <v>32</v>
      </c>
      <c r="C542" s="21" t="s">
        <v>222</v>
      </c>
      <c r="D542" s="96"/>
      <c r="E542" s="1" t="s">
        <v>140</v>
      </c>
      <c r="F542" s="2">
        <v>1000</v>
      </c>
      <c r="G542" s="1">
        <v>67</v>
      </c>
      <c r="H542" s="2">
        <v>67000</v>
      </c>
      <c r="I542" s="137"/>
    </row>
    <row r="543" spans="1:9">
      <c r="A543" s="131">
        <v>535</v>
      </c>
      <c r="B543" s="21" t="s">
        <v>32</v>
      </c>
      <c r="C543" s="21" t="s">
        <v>278</v>
      </c>
      <c r="D543" s="96"/>
      <c r="E543" s="1" t="s">
        <v>140</v>
      </c>
      <c r="F543" s="2">
        <v>1000</v>
      </c>
      <c r="G543" s="1">
        <v>67</v>
      </c>
      <c r="H543" s="2">
        <v>67000</v>
      </c>
      <c r="I543" s="137"/>
    </row>
    <row r="544" spans="1:9">
      <c r="A544" s="132">
        <v>536</v>
      </c>
      <c r="B544" s="21" t="s">
        <v>32</v>
      </c>
      <c r="C544" s="21" t="s">
        <v>430</v>
      </c>
      <c r="D544" s="96"/>
      <c r="E544" s="1" t="s">
        <v>210</v>
      </c>
      <c r="F544" s="2">
        <v>1000</v>
      </c>
      <c r="G544" s="1">
        <v>67</v>
      </c>
      <c r="H544" s="2">
        <v>67000</v>
      </c>
      <c r="I544" s="137"/>
    </row>
    <row r="545" spans="1:9">
      <c r="A545" s="131">
        <v>537</v>
      </c>
      <c r="B545" s="21" t="s">
        <v>32</v>
      </c>
      <c r="C545" s="21" t="s">
        <v>209</v>
      </c>
      <c r="D545" s="96"/>
      <c r="E545" s="1" t="s">
        <v>210</v>
      </c>
      <c r="F545" s="2">
        <v>5000</v>
      </c>
      <c r="G545" s="1">
        <v>67</v>
      </c>
      <c r="H545" s="2">
        <v>335000</v>
      </c>
      <c r="I545" s="137"/>
    </row>
    <row r="546" spans="1:9">
      <c r="A546" s="108">
        <v>538</v>
      </c>
      <c r="B546" s="109" t="s">
        <v>32</v>
      </c>
      <c r="C546" s="109" t="s">
        <v>442</v>
      </c>
      <c r="D546" s="113"/>
      <c r="E546" s="111" t="s">
        <v>210</v>
      </c>
      <c r="F546" s="112">
        <v>3000</v>
      </c>
      <c r="G546" s="111">
        <v>67</v>
      </c>
      <c r="H546" s="112">
        <v>201000</v>
      </c>
      <c r="I546" s="136" t="s">
        <v>1291</v>
      </c>
    </row>
    <row r="547" spans="1:9">
      <c r="A547" s="131">
        <v>539</v>
      </c>
      <c r="B547" s="21" t="s">
        <v>32</v>
      </c>
      <c r="C547" s="21" t="s">
        <v>273</v>
      </c>
      <c r="D547" s="96"/>
      <c r="E547" s="1" t="s">
        <v>210</v>
      </c>
      <c r="F547" s="2">
        <v>10000</v>
      </c>
      <c r="G547" s="1">
        <v>67</v>
      </c>
      <c r="H547" s="2">
        <v>670000</v>
      </c>
      <c r="I547" s="137"/>
    </row>
    <row r="548" spans="1:9">
      <c r="A548" s="132">
        <v>540</v>
      </c>
      <c r="B548" s="21" t="s">
        <v>32</v>
      </c>
      <c r="C548" s="21" t="s">
        <v>177</v>
      </c>
      <c r="D548" s="96"/>
      <c r="E548" s="1" t="s">
        <v>178</v>
      </c>
      <c r="F548" s="2">
        <v>2000</v>
      </c>
      <c r="G548" s="1">
        <v>67</v>
      </c>
      <c r="H548" s="2">
        <v>134000</v>
      </c>
      <c r="I548" s="137"/>
    </row>
    <row r="549" spans="1:9">
      <c r="A549" s="130">
        <v>541</v>
      </c>
      <c r="B549" s="109" t="s">
        <v>32</v>
      </c>
      <c r="C549" s="109" t="s">
        <v>470</v>
      </c>
      <c r="D549" s="113"/>
      <c r="E549" s="111" t="s">
        <v>178</v>
      </c>
      <c r="F549" s="112">
        <v>2000</v>
      </c>
      <c r="G549" s="111">
        <v>67</v>
      </c>
      <c r="H549" s="112">
        <v>134000</v>
      </c>
      <c r="I549" s="136" t="s">
        <v>1291</v>
      </c>
    </row>
    <row r="550" spans="1:9">
      <c r="A550" s="132">
        <v>542</v>
      </c>
      <c r="B550" s="21" t="s">
        <v>32</v>
      </c>
      <c r="C550" s="21" t="s">
        <v>563</v>
      </c>
      <c r="D550" s="96"/>
      <c r="E550" s="1" t="s">
        <v>178</v>
      </c>
      <c r="F550" s="2">
        <v>1000</v>
      </c>
      <c r="G550" s="1">
        <v>67</v>
      </c>
      <c r="H550" s="2">
        <v>67000</v>
      </c>
      <c r="I550" s="137"/>
    </row>
    <row r="551" spans="1:9">
      <c r="A551" s="131">
        <v>543</v>
      </c>
      <c r="B551" s="21" t="s">
        <v>32</v>
      </c>
      <c r="C551" s="21" t="s">
        <v>164</v>
      </c>
      <c r="D551" s="96"/>
      <c r="E551" s="1" t="s">
        <v>80</v>
      </c>
      <c r="F551" s="2">
        <v>1000</v>
      </c>
      <c r="G551" s="1">
        <v>67</v>
      </c>
      <c r="H551" s="2">
        <v>67000</v>
      </c>
      <c r="I551" s="137"/>
    </row>
    <row r="552" spans="1:9">
      <c r="A552" s="108">
        <v>544</v>
      </c>
      <c r="B552" s="109" t="s">
        <v>32</v>
      </c>
      <c r="C552" s="109" t="s">
        <v>227</v>
      </c>
      <c r="D552" s="113"/>
      <c r="E552" s="111" t="s">
        <v>80</v>
      </c>
      <c r="F552" s="112">
        <v>6000</v>
      </c>
      <c r="G552" s="111">
        <v>67</v>
      </c>
      <c r="H552" s="112">
        <v>402000</v>
      </c>
      <c r="I552" s="136" t="s">
        <v>1291</v>
      </c>
    </row>
    <row r="553" spans="1:9">
      <c r="A553" s="130">
        <v>545</v>
      </c>
      <c r="B553" s="109" t="s">
        <v>32</v>
      </c>
      <c r="C553" s="109" t="s">
        <v>240</v>
      </c>
      <c r="D553" s="113"/>
      <c r="E553" s="111" t="s">
        <v>80</v>
      </c>
      <c r="F553" s="112">
        <v>6000</v>
      </c>
      <c r="G553" s="111">
        <v>67</v>
      </c>
      <c r="H553" s="112">
        <v>402000</v>
      </c>
      <c r="I553" s="136" t="s">
        <v>1291</v>
      </c>
    </row>
    <row r="554" spans="1:9" ht="48.6">
      <c r="A554" s="108">
        <v>546</v>
      </c>
      <c r="B554" s="109" t="s">
        <v>32</v>
      </c>
      <c r="C554" s="109" t="s">
        <v>326</v>
      </c>
      <c r="D554" s="110" t="s">
        <v>1292</v>
      </c>
      <c r="E554" s="111" t="s">
        <v>80</v>
      </c>
      <c r="F554" s="112">
        <v>5000</v>
      </c>
      <c r="G554" s="111">
        <v>67</v>
      </c>
      <c r="H554" s="112">
        <v>335000</v>
      </c>
      <c r="I554" s="136" t="s">
        <v>1239</v>
      </c>
    </row>
    <row r="555" spans="1:9">
      <c r="A555" s="130">
        <v>547</v>
      </c>
      <c r="B555" s="109" t="s">
        <v>32</v>
      </c>
      <c r="C555" s="109" t="s">
        <v>412</v>
      </c>
      <c r="D555" s="113"/>
      <c r="E555" s="111" t="s">
        <v>413</v>
      </c>
      <c r="F555" s="112">
        <v>2000</v>
      </c>
      <c r="G555" s="111">
        <v>67</v>
      </c>
      <c r="H555" s="112">
        <v>134000</v>
      </c>
      <c r="I555" s="136" t="s">
        <v>1291</v>
      </c>
    </row>
    <row r="556" spans="1:9">
      <c r="A556" s="132">
        <v>548</v>
      </c>
      <c r="B556" s="21" t="s">
        <v>32</v>
      </c>
      <c r="C556" s="21" t="s">
        <v>168</v>
      </c>
      <c r="D556" s="96"/>
      <c r="E556" s="1" t="s">
        <v>169</v>
      </c>
      <c r="F556" s="2">
        <v>1000</v>
      </c>
      <c r="G556" s="1">
        <v>67</v>
      </c>
      <c r="H556" s="2">
        <v>67000</v>
      </c>
      <c r="I556" s="137"/>
    </row>
    <row r="557" spans="1:9">
      <c r="A557" s="131">
        <v>549</v>
      </c>
      <c r="B557" s="21" t="s">
        <v>32</v>
      </c>
      <c r="C557" s="21" t="s">
        <v>336</v>
      </c>
      <c r="D557" s="96"/>
      <c r="E557" s="1" t="s">
        <v>169</v>
      </c>
      <c r="F557" s="2">
        <v>1000</v>
      </c>
      <c r="G557" s="1">
        <v>67</v>
      </c>
      <c r="H557" s="2">
        <v>67000</v>
      </c>
      <c r="I557" s="137"/>
    </row>
    <row r="558" spans="1:9">
      <c r="A558" s="132">
        <v>550</v>
      </c>
      <c r="B558" s="21" t="s">
        <v>32</v>
      </c>
      <c r="C558" s="21" t="s">
        <v>336</v>
      </c>
      <c r="D558" s="96"/>
      <c r="E558" s="1" t="s">
        <v>169</v>
      </c>
      <c r="F558" s="2">
        <v>1000</v>
      </c>
      <c r="G558" s="1">
        <v>67</v>
      </c>
      <c r="H558" s="2">
        <v>67000</v>
      </c>
      <c r="I558" s="137"/>
    </row>
    <row r="559" spans="1:9">
      <c r="A559" s="130">
        <v>551</v>
      </c>
      <c r="B559" s="109" t="s">
        <v>32</v>
      </c>
      <c r="C559" s="109" t="s">
        <v>199</v>
      </c>
      <c r="D559" s="113"/>
      <c r="E559" s="111" t="s">
        <v>200</v>
      </c>
      <c r="F559" s="112">
        <v>4000</v>
      </c>
      <c r="G559" s="111">
        <v>67</v>
      </c>
      <c r="H559" s="112">
        <v>268000</v>
      </c>
      <c r="I559" s="136" t="s">
        <v>1291</v>
      </c>
    </row>
    <row r="560" spans="1:9">
      <c r="A560" s="132">
        <v>552</v>
      </c>
      <c r="B560" s="21" t="s">
        <v>32</v>
      </c>
      <c r="C560" s="21" t="s">
        <v>221</v>
      </c>
      <c r="D560" s="96"/>
      <c r="E560" s="1" t="s">
        <v>200</v>
      </c>
      <c r="F560" s="2">
        <v>1000</v>
      </c>
      <c r="G560" s="1">
        <v>67</v>
      </c>
      <c r="H560" s="2">
        <v>67000</v>
      </c>
      <c r="I560" s="137"/>
    </row>
    <row r="561" spans="1:9">
      <c r="A561" s="131">
        <v>553</v>
      </c>
      <c r="B561" s="21" t="s">
        <v>32</v>
      </c>
      <c r="C561" s="21" t="s">
        <v>455</v>
      </c>
      <c r="D561" s="96"/>
      <c r="E561" s="1" t="s">
        <v>200</v>
      </c>
      <c r="F561" s="2">
        <v>5000</v>
      </c>
      <c r="G561" s="1">
        <v>67</v>
      </c>
      <c r="H561" s="2">
        <v>335000</v>
      </c>
      <c r="I561" s="137"/>
    </row>
    <row r="562" spans="1:9">
      <c r="A562" s="132">
        <v>554</v>
      </c>
      <c r="B562" s="21" t="s">
        <v>32</v>
      </c>
      <c r="C562" s="21" t="s">
        <v>329</v>
      </c>
      <c r="D562" s="96"/>
      <c r="E562" s="1" t="s">
        <v>200</v>
      </c>
      <c r="F562" s="2">
        <v>2000</v>
      </c>
      <c r="G562" s="1">
        <v>67</v>
      </c>
      <c r="H562" s="2">
        <v>134000</v>
      </c>
      <c r="I562" s="137"/>
    </row>
    <row r="563" spans="1:9">
      <c r="A563" s="131">
        <v>555</v>
      </c>
      <c r="B563" s="21" t="s">
        <v>32</v>
      </c>
      <c r="C563" s="21" t="s">
        <v>235</v>
      </c>
      <c r="D563" s="96"/>
      <c r="E563" s="1" t="s">
        <v>236</v>
      </c>
      <c r="F563" s="2">
        <v>1000</v>
      </c>
      <c r="G563" s="1">
        <v>67</v>
      </c>
      <c r="H563" s="2">
        <v>67000</v>
      </c>
      <c r="I563" s="137"/>
    </row>
    <row r="564" spans="1:9">
      <c r="A564" s="132">
        <v>556</v>
      </c>
      <c r="B564" s="21" t="s">
        <v>32</v>
      </c>
      <c r="C564" s="21" t="s">
        <v>251</v>
      </c>
      <c r="D564" s="96"/>
      <c r="E564" s="1" t="s">
        <v>236</v>
      </c>
      <c r="F564" s="2">
        <v>5000</v>
      </c>
      <c r="G564" s="1">
        <v>67</v>
      </c>
      <c r="H564" s="2">
        <v>335000</v>
      </c>
      <c r="I564" s="137"/>
    </row>
    <row r="565" spans="1:9">
      <c r="A565" s="131">
        <v>557</v>
      </c>
      <c r="B565" s="21" t="s">
        <v>32</v>
      </c>
      <c r="C565" s="21" t="s">
        <v>273</v>
      </c>
      <c r="D565" s="96"/>
      <c r="E565" s="1" t="s">
        <v>236</v>
      </c>
      <c r="F565" s="2">
        <v>10000</v>
      </c>
      <c r="G565" s="1">
        <v>67</v>
      </c>
      <c r="H565" s="2">
        <v>670000</v>
      </c>
      <c r="I565" s="137"/>
    </row>
    <row r="566" spans="1:9">
      <c r="A566" s="132">
        <v>558</v>
      </c>
      <c r="B566" s="21" t="s">
        <v>32</v>
      </c>
      <c r="C566" s="21" t="s">
        <v>311</v>
      </c>
      <c r="D566" s="96"/>
      <c r="E566" s="1" t="s">
        <v>236</v>
      </c>
      <c r="F566" s="2">
        <v>1000</v>
      </c>
      <c r="G566" s="1">
        <v>67</v>
      </c>
      <c r="H566" s="2">
        <v>67000</v>
      </c>
      <c r="I566" s="137"/>
    </row>
    <row r="567" spans="1:9">
      <c r="A567" s="131">
        <v>559</v>
      </c>
      <c r="B567" s="21" t="s">
        <v>32</v>
      </c>
      <c r="C567" s="21" t="s">
        <v>542</v>
      </c>
      <c r="D567" s="96"/>
      <c r="E567" s="1" t="s">
        <v>236</v>
      </c>
      <c r="F567" s="2">
        <v>1000</v>
      </c>
      <c r="G567" s="1">
        <v>67</v>
      </c>
      <c r="H567" s="2">
        <v>67000</v>
      </c>
      <c r="I567" s="137"/>
    </row>
    <row r="568" spans="1:9">
      <c r="A568" s="132">
        <v>560</v>
      </c>
      <c r="B568" s="21" t="s">
        <v>32</v>
      </c>
      <c r="C568" s="21" t="s">
        <v>386</v>
      </c>
      <c r="D568" s="96"/>
      <c r="E568" s="1" t="s">
        <v>387</v>
      </c>
      <c r="F568" s="2">
        <v>1000</v>
      </c>
      <c r="G568" s="1">
        <v>67</v>
      </c>
      <c r="H568" s="2">
        <v>67000</v>
      </c>
      <c r="I568" s="137"/>
    </row>
    <row r="569" spans="1:9">
      <c r="A569" s="131">
        <v>561</v>
      </c>
      <c r="B569" s="21" t="s">
        <v>32</v>
      </c>
      <c r="C569" s="21" t="s">
        <v>407</v>
      </c>
      <c r="D569" s="96"/>
      <c r="E569" s="1" t="s">
        <v>387</v>
      </c>
      <c r="F569" s="2">
        <v>1000</v>
      </c>
      <c r="G569" s="1">
        <v>67</v>
      </c>
      <c r="H569" s="2">
        <v>67000</v>
      </c>
      <c r="I569" s="137"/>
    </row>
    <row r="570" spans="1:9">
      <c r="A570" s="132">
        <v>562</v>
      </c>
      <c r="B570" s="21" t="s">
        <v>32</v>
      </c>
      <c r="C570" s="21" t="s">
        <v>420</v>
      </c>
      <c r="D570" s="96"/>
      <c r="E570" s="1" t="s">
        <v>387</v>
      </c>
      <c r="F570" s="2">
        <v>5000</v>
      </c>
      <c r="G570" s="1">
        <v>67</v>
      </c>
      <c r="H570" s="2">
        <v>335000</v>
      </c>
      <c r="I570" s="137"/>
    </row>
    <row r="571" spans="1:9">
      <c r="A571" s="130">
        <v>563</v>
      </c>
      <c r="B571" s="109" t="s">
        <v>32</v>
      </c>
      <c r="C571" s="109" t="s">
        <v>435</v>
      </c>
      <c r="D571" s="113"/>
      <c r="E571" s="111" t="s">
        <v>387</v>
      </c>
      <c r="F571" s="112">
        <v>2000</v>
      </c>
      <c r="G571" s="111">
        <v>67</v>
      </c>
      <c r="H571" s="112">
        <v>134000</v>
      </c>
      <c r="I571" s="136" t="s">
        <v>1291</v>
      </c>
    </row>
    <row r="572" spans="1:9">
      <c r="A572" s="132">
        <v>564</v>
      </c>
      <c r="B572" s="21" t="s">
        <v>32</v>
      </c>
      <c r="C572" s="21" t="s">
        <v>539</v>
      </c>
      <c r="D572" s="96"/>
      <c r="E572" s="1" t="s">
        <v>387</v>
      </c>
      <c r="F572" s="2">
        <v>1000</v>
      </c>
      <c r="G572" s="1">
        <v>67</v>
      </c>
      <c r="H572" s="2">
        <v>67000</v>
      </c>
      <c r="I572" s="137"/>
    </row>
    <row r="573" spans="1:9" ht="97.2">
      <c r="A573" s="130">
        <v>565</v>
      </c>
      <c r="B573" s="109" t="s">
        <v>32</v>
      </c>
      <c r="C573" s="109" t="s">
        <v>368</v>
      </c>
      <c r="D573" s="113"/>
      <c r="E573" s="111" t="s">
        <v>205</v>
      </c>
      <c r="F573" s="112">
        <v>15000</v>
      </c>
      <c r="G573" s="111">
        <v>67</v>
      </c>
      <c r="H573" s="112">
        <v>1005000</v>
      </c>
      <c r="I573" s="119" t="s">
        <v>1346</v>
      </c>
    </row>
    <row r="574" spans="1:9">
      <c r="A574" s="132">
        <v>566</v>
      </c>
      <c r="B574" s="21" t="s">
        <v>32</v>
      </c>
      <c r="C574" s="21" t="s">
        <v>385</v>
      </c>
      <c r="D574" s="96"/>
      <c r="E574" s="1" t="s">
        <v>205</v>
      </c>
      <c r="F574" s="2">
        <v>3000</v>
      </c>
      <c r="G574" s="1">
        <v>67</v>
      </c>
      <c r="H574" s="2">
        <v>201000</v>
      </c>
      <c r="I574" s="137"/>
    </row>
    <row r="575" spans="1:9">
      <c r="A575" s="130">
        <v>567</v>
      </c>
      <c r="B575" s="109" t="s">
        <v>32</v>
      </c>
      <c r="C575" s="109" t="s">
        <v>204</v>
      </c>
      <c r="D575" s="113"/>
      <c r="E575" s="111" t="s">
        <v>205</v>
      </c>
      <c r="F575" s="112">
        <v>4000</v>
      </c>
      <c r="G575" s="111">
        <v>67</v>
      </c>
      <c r="H575" s="112">
        <v>268000</v>
      </c>
      <c r="I575" s="136" t="s">
        <v>1291</v>
      </c>
    </row>
    <row r="576" spans="1:9">
      <c r="A576" s="108">
        <v>568</v>
      </c>
      <c r="B576" s="109" t="s">
        <v>32</v>
      </c>
      <c r="C576" s="109" t="s">
        <v>456</v>
      </c>
      <c r="D576" s="113"/>
      <c r="E576" s="111" t="s">
        <v>205</v>
      </c>
      <c r="F576" s="112">
        <v>1000</v>
      </c>
      <c r="G576" s="111">
        <v>67</v>
      </c>
      <c r="H576" s="112">
        <v>67000</v>
      </c>
      <c r="I576" s="136" t="s">
        <v>1291</v>
      </c>
    </row>
    <row r="577" spans="1:9">
      <c r="A577" s="130">
        <v>569</v>
      </c>
      <c r="B577" s="109" t="s">
        <v>32</v>
      </c>
      <c r="C577" s="109" t="s">
        <v>255</v>
      </c>
      <c r="D577" s="113"/>
      <c r="E577" s="111" t="s">
        <v>205</v>
      </c>
      <c r="F577" s="112">
        <v>4000</v>
      </c>
      <c r="G577" s="111">
        <v>67</v>
      </c>
      <c r="H577" s="112">
        <v>268000</v>
      </c>
      <c r="I577" s="136" t="s">
        <v>1291</v>
      </c>
    </row>
    <row r="578" spans="1:9">
      <c r="A578" s="108">
        <v>570</v>
      </c>
      <c r="B578" s="109" t="s">
        <v>32</v>
      </c>
      <c r="C578" s="109" t="s">
        <v>256</v>
      </c>
      <c r="D578" s="113"/>
      <c r="E578" s="111" t="s">
        <v>205</v>
      </c>
      <c r="F578" s="112">
        <v>4000</v>
      </c>
      <c r="G578" s="111">
        <v>67</v>
      </c>
      <c r="H578" s="112">
        <v>268000</v>
      </c>
      <c r="I578" s="136" t="s">
        <v>1291</v>
      </c>
    </row>
    <row r="579" spans="1:9">
      <c r="A579" s="130">
        <v>571</v>
      </c>
      <c r="B579" s="109" t="s">
        <v>32</v>
      </c>
      <c r="C579" s="109" t="s">
        <v>279</v>
      </c>
      <c r="D579" s="113"/>
      <c r="E579" s="111" t="s">
        <v>205</v>
      </c>
      <c r="F579" s="112">
        <v>5000</v>
      </c>
      <c r="G579" s="111">
        <v>67</v>
      </c>
      <c r="H579" s="112">
        <v>335000</v>
      </c>
      <c r="I579" s="136" t="s">
        <v>1291</v>
      </c>
    </row>
    <row r="580" spans="1:9">
      <c r="A580" s="132">
        <v>572</v>
      </c>
      <c r="B580" s="21" t="s">
        <v>32</v>
      </c>
      <c r="C580" s="21" t="s">
        <v>285</v>
      </c>
      <c r="D580" s="96"/>
      <c r="E580" s="1" t="s">
        <v>205</v>
      </c>
      <c r="F580" s="2">
        <v>2000</v>
      </c>
      <c r="G580" s="1">
        <v>67</v>
      </c>
      <c r="H580" s="2">
        <v>134000</v>
      </c>
      <c r="I580" s="137"/>
    </row>
    <row r="581" spans="1:9">
      <c r="A581" s="130">
        <v>573</v>
      </c>
      <c r="B581" s="109" t="s">
        <v>32</v>
      </c>
      <c r="C581" s="109" t="s">
        <v>366</v>
      </c>
      <c r="D581" s="113"/>
      <c r="E581" s="111" t="s">
        <v>157</v>
      </c>
      <c r="F581" s="112">
        <v>2000</v>
      </c>
      <c r="G581" s="111">
        <v>67</v>
      </c>
      <c r="H581" s="112">
        <v>134000</v>
      </c>
      <c r="I581" s="136" t="s">
        <v>1291</v>
      </c>
    </row>
    <row r="582" spans="1:9">
      <c r="A582" s="108">
        <v>574</v>
      </c>
      <c r="B582" s="109" t="s">
        <v>32</v>
      </c>
      <c r="C582" s="109" t="s">
        <v>156</v>
      </c>
      <c r="D582" s="113"/>
      <c r="E582" s="111" t="s">
        <v>157</v>
      </c>
      <c r="F582" s="112">
        <v>2000</v>
      </c>
      <c r="G582" s="111">
        <v>67</v>
      </c>
      <c r="H582" s="112">
        <v>134000</v>
      </c>
      <c r="I582" s="136" t="s">
        <v>1291</v>
      </c>
    </row>
    <row r="583" spans="1:9">
      <c r="A583" s="130">
        <v>575</v>
      </c>
      <c r="B583" s="109" t="s">
        <v>32</v>
      </c>
      <c r="C583" s="109" t="s">
        <v>183</v>
      </c>
      <c r="D583" s="113"/>
      <c r="E583" s="111" t="s">
        <v>157</v>
      </c>
      <c r="F583" s="112">
        <v>2000</v>
      </c>
      <c r="G583" s="111">
        <v>67</v>
      </c>
      <c r="H583" s="112">
        <v>134000</v>
      </c>
      <c r="I583" s="136" t="s">
        <v>1291</v>
      </c>
    </row>
    <row r="584" spans="1:9">
      <c r="A584" s="108">
        <v>576</v>
      </c>
      <c r="B584" s="109" t="s">
        <v>32</v>
      </c>
      <c r="C584" s="109" t="s">
        <v>215</v>
      </c>
      <c r="D584" s="113"/>
      <c r="E584" s="111" t="s">
        <v>157</v>
      </c>
      <c r="F584" s="112">
        <v>1000</v>
      </c>
      <c r="G584" s="111">
        <v>67</v>
      </c>
      <c r="H584" s="112">
        <v>67000</v>
      </c>
      <c r="I584" s="136" t="s">
        <v>1291</v>
      </c>
    </row>
    <row r="585" spans="1:9">
      <c r="A585" s="131">
        <v>577</v>
      </c>
      <c r="B585" s="21" t="s">
        <v>32</v>
      </c>
      <c r="C585" s="21" t="s">
        <v>409</v>
      </c>
      <c r="D585" s="96"/>
      <c r="E585" s="1" t="s">
        <v>82</v>
      </c>
      <c r="F585" s="2">
        <v>10000</v>
      </c>
      <c r="G585" s="1">
        <v>67</v>
      </c>
      <c r="H585" s="2">
        <v>670000</v>
      </c>
      <c r="I585" s="137"/>
    </row>
    <row r="586" spans="1:9">
      <c r="A586" s="132">
        <v>578</v>
      </c>
      <c r="B586" s="21" t="s">
        <v>32</v>
      </c>
      <c r="C586" s="21" t="s">
        <v>287</v>
      </c>
      <c r="D586" s="96"/>
      <c r="E586" s="1" t="s">
        <v>82</v>
      </c>
      <c r="F586" s="2">
        <v>3000</v>
      </c>
      <c r="G586" s="1">
        <v>67</v>
      </c>
      <c r="H586" s="2">
        <v>201000</v>
      </c>
      <c r="I586" s="137"/>
    </row>
    <row r="587" spans="1:9">
      <c r="A587" s="131">
        <v>579</v>
      </c>
      <c r="B587" s="21" t="s">
        <v>32</v>
      </c>
      <c r="C587" s="21" t="s">
        <v>141</v>
      </c>
      <c r="D587" s="96"/>
      <c r="E587" s="1" t="s">
        <v>13</v>
      </c>
      <c r="F587" s="2">
        <v>3000</v>
      </c>
      <c r="G587" s="1">
        <v>67</v>
      </c>
      <c r="H587" s="2">
        <v>201000</v>
      </c>
      <c r="I587" s="137"/>
    </row>
    <row r="588" spans="1:9">
      <c r="A588" s="132">
        <v>580</v>
      </c>
      <c r="B588" s="21" t="s">
        <v>32</v>
      </c>
      <c r="C588" s="21" t="s">
        <v>254</v>
      </c>
      <c r="D588" s="96"/>
      <c r="E588" s="1" t="s">
        <v>13</v>
      </c>
      <c r="F588" s="2">
        <v>1000</v>
      </c>
      <c r="G588" s="1">
        <v>67</v>
      </c>
      <c r="H588" s="2">
        <v>67000</v>
      </c>
      <c r="I588" s="137"/>
    </row>
    <row r="589" spans="1:9">
      <c r="A589" s="130">
        <v>581</v>
      </c>
      <c r="B589" s="109" t="s">
        <v>32</v>
      </c>
      <c r="C589" s="109" t="s">
        <v>1312</v>
      </c>
      <c r="D589" s="113"/>
      <c r="E589" s="111" t="s">
        <v>83</v>
      </c>
      <c r="F589" s="112">
        <v>1000</v>
      </c>
      <c r="G589" s="111">
        <v>67</v>
      </c>
      <c r="H589" s="112">
        <v>67000</v>
      </c>
      <c r="I589" s="136" t="s">
        <v>1291</v>
      </c>
    </row>
    <row r="590" spans="1:9">
      <c r="A590" s="132">
        <v>582</v>
      </c>
      <c r="B590" s="21" t="s">
        <v>32</v>
      </c>
      <c r="C590" s="21" t="s">
        <v>193</v>
      </c>
      <c r="D590" s="96"/>
      <c r="E590" s="1" t="s">
        <v>83</v>
      </c>
      <c r="F590" s="2">
        <v>5000</v>
      </c>
      <c r="G590" s="1">
        <v>67</v>
      </c>
      <c r="H590" s="2">
        <v>335000</v>
      </c>
      <c r="I590" s="137"/>
    </row>
    <row r="591" spans="1:9">
      <c r="A591" s="130">
        <v>583</v>
      </c>
      <c r="B591" s="109" t="s">
        <v>32</v>
      </c>
      <c r="C591" s="109" t="s">
        <v>502</v>
      </c>
      <c r="D591" s="113"/>
      <c r="E591" s="111" t="s">
        <v>83</v>
      </c>
      <c r="F591" s="112">
        <v>2000</v>
      </c>
      <c r="G591" s="111">
        <v>67</v>
      </c>
      <c r="H591" s="112">
        <v>134000</v>
      </c>
      <c r="I591" s="136" t="s">
        <v>1291</v>
      </c>
    </row>
    <row r="592" spans="1:9">
      <c r="A592" s="132">
        <v>584</v>
      </c>
      <c r="B592" s="21" t="s">
        <v>32</v>
      </c>
      <c r="C592" s="21" t="s">
        <v>519</v>
      </c>
      <c r="D592" s="96"/>
      <c r="E592" s="1" t="s">
        <v>83</v>
      </c>
      <c r="F592" s="2">
        <v>2000</v>
      </c>
      <c r="G592" s="1">
        <v>67</v>
      </c>
      <c r="H592" s="2">
        <v>134000</v>
      </c>
      <c r="I592" s="137"/>
    </row>
    <row r="593" spans="1:9">
      <c r="A593" s="130">
        <v>585</v>
      </c>
      <c r="B593" s="109" t="s">
        <v>32</v>
      </c>
      <c r="C593" s="109" t="s">
        <v>502</v>
      </c>
      <c r="D593" s="113"/>
      <c r="E593" s="111" t="s">
        <v>288</v>
      </c>
      <c r="F593" s="112">
        <v>3000</v>
      </c>
      <c r="G593" s="111">
        <v>67</v>
      </c>
      <c r="H593" s="112">
        <v>201000</v>
      </c>
      <c r="I593" s="136" t="s">
        <v>1291</v>
      </c>
    </row>
    <row r="594" spans="1:9">
      <c r="A594" s="108">
        <v>586</v>
      </c>
      <c r="B594" s="109" t="s">
        <v>32</v>
      </c>
      <c r="C594" s="109" t="s">
        <v>275</v>
      </c>
      <c r="D594" s="113"/>
      <c r="E594" s="111" t="s">
        <v>276</v>
      </c>
      <c r="F594" s="112">
        <v>10000</v>
      </c>
      <c r="G594" s="111">
        <v>67</v>
      </c>
      <c r="H594" s="112">
        <v>670000</v>
      </c>
      <c r="I594" s="136" t="s">
        <v>1291</v>
      </c>
    </row>
    <row r="595" spans="1:9">
      <c r="A595" s="131">
        <v>587</v>
      </c>
      <c r="B595" s="21" t="s">
        <v>32</v>
      </c>
      <c r="C595" s="21" t="s">
        <v>547</v>
      </c>
      <c r="D595" s="96"/>
      <c r="E595" s="1" t="s">
        <v>276</v>
      </c>
      <c r="F595" s="2">
        <v>2000</v>
      </c>
      <c r="G595" s="1">
        <v>67</v>
      </c>
      <c r="H595" s="2">
        <v>134000</v>
      </c>
      <c r="I595" s="137"/>
    </row>
    <row r="596" spans="1:9">
      <c r="A596" s="108">
        <v>588</v>
      </c>
      <c r="B596" s="109" t="s">
        <v>32</v>
      </c>
      <c r="C596" s="109" t="s">
        <v>557</v>
      </c>
      <c r="D596" s="113"/>
      <c r="E596" s="111" t="s">
        <v>276</v>
      </c>
      <c r="F596" s="112">
        <v>10000</v>
      </c>
      <c r="G596" s="111">
        <v>67</v>
      </c>
      <c r="H596" s="112">
        <v>670000</v>
      </c>
      <c r="I596" s="136" t="s">
        <v>1291</v>
      </c>
    </row>
    <row r="597" spans="1:9">
      <c r="A597" s="131">
        <v>589</v>
      </c>
      <c r="B597" s="21" t="s">
        <v>32</v>
      </c>
      <c r="C597" s="21" t="s">
        <v>350</v>
      </c>
      <c r="D597" s="96"/>
      <c r="E597" s="1" t="s">
        <v>351</v>
      </c>
      <c r="F597" s="2">
        <v>1000</v>
      </c>
      <c r="G597" s="1">
        <v>67</v>
      </c>
      <c r="H597" s="2">
        <v>67000</v>
      </c>
      <c r="I597" s="137"/>
    </row>
    <row r="598" spans="1:9" ht="49.2" thickBot="1">
      <c r="A598" s="108">
        <v>590</v>
      </c>
      <c r="B598" s="115" t="s">
        <v>1349</v>
      </c>
      <c r="C598" s="115" t="s">
        <v>1350</v>
      </c>
      <c r="D598" s="116"/>
      <c r="E598" s="146" t="s">
        <v>351</v>
      </c>
      <c r="F598" s="118">
        <v>3000</v>
      </c>
      <c r="G598" s="117">
        <v>67</v>
      </c>
      <c r="H598" s="118">
        <f>F598*G598</f>
        <v>201000</v>
      </c>
      <c r="I598" s="145" t="s">
        <v>1351</v>
      </c>
    </row>
    <row r="599" spans="1:9" ht="16.8" thickBot="1">
      <c r="A599" s="133"/>
      <c r="B599" s="32"/>
      <c r="C599" s="32"/>
      <c r="D599" s="97"/>
      <c r="E599" s="28"/>
      <c r="F599" s="29">
        <f>SUBTOTAL(9,F229:F598)</f>
        <v>1244000</v>
      </c>
      <c r="G599" s="35" t="s">
        <v>571</v>
      </c>
      <c r="H599" s="29">
        <f>SUBTOTAL(9,H229:H598)</f>
        <v>83348000</v>
      </c>
      <c r="I599" s="143"/>
    </row>
    <row r="600" spans="1:9">
      <c r="A600" s="131">
        <v>591</v>
      </c>
      <c r="B600" s="19" t="s">
        <v>32</v>
      </c>
      <c r="C600" s="19" t="s">
        <v>575</v>
      </c>
      <c r="D600" s="95"/>
      <c r="E600" s="11" t="s">
        <v>576</v>
      </c>
      <c r="F600" s="12">
        <v>1000</v>
      </c>
      <c r="G600" s="11">
        <v>68</v>
      </c>
      <c r="H600" s="12">
        <v>68000</v>
      </c>
      <c r="I600" s="135"/>
    </row>
    <row r="601" spans="1:9">
      <c r="A601" s="132">
        <v>592</v>
      </c>
      <c r="B601" s="21" t="s">
        <v>32</v>
      </c>
      <c r="C601" s="21" t="s">
        <v>573</v>
      </c>
      <c r="D601" s="96"/>
      <c r="E601" s="1" t="s">
        <v>130</v>
      </c>
      <c r="F601" s="2">
        <v>1000</v>
      </c>
      <c r="G601" s="1">
        <v>68</v>
      </c>
      <c r="H601" s="2">
        <v>68000</v>
      </c>
      <c r="I601" s="137"/>
    </row>
    <row r="602" spans="1:9">
      <c r="A602" s="131">
        <v>593</v>
      </c>
      <c r="B602" s="21" t="s">
        <v>32</v>
      </c>
      <c r="C602" s="21" t="s">
        <v>572</v>
      </c>
      <c r="D602" s="96"/>
      <c r="E602" s="1" t="s">
        <v>96</v>
      </c>
      <c r="F602" s="2">
        <v>2000</v>
      </c>
      <c r="G602" s="1">
        <v>68</v>
      </c>
      <c r="H602" s="2">
        <v>136000</v>
      </c>
      <c r="I602" s="137"/>
    </row>
    <row r="603" spans="1:9" ht="16.8" thickBot="1">
      <c r="A603" s="108">
        <v>594</v>
      </c>
      <c r="B603" s="120" t="s">
        <v>32</v>
      </c>
      <c r="C603" s="120" t="s">
        <v>574</v>
      </c>
      <c r="D603" s="121"/>
      <c r="E603" s="122" t="s">
        <v>47</v>
      </c>
      <c r="F603" s="123">
        <v>5000</v>
      </c>
      <c r="G603" s="122">
        <v>68</v>
      </c>
      <c r="H603" s="123">
        <v>340000</v>
      </c>
      <c r="I603" s="136" t="s">
        <v>1291</v>
      </c>
    </row>
    <row r="604" spans="1:9" ht="16.8" thickBot="1">
      <c r="A604" s="133"/>
      <c r="B604" s="32"/>
      <c r="C604" s="32"/>
      <c r="D604" s="97"/>
      <c r="E604" s="28"/>
      <c r="F604" s="29">
        <f>SUBTOTAL(9,F600:F603)</f>
        <v>9000</v>
      </c>
      <c r="G604" s="35" t="s">
        <v>577</v>
      </c>
      <c r="H604" s="29">
        <f>SUBTOTAL(9,H600:H603)</f>
        <v>612000</v>
      </c>
      <c r="I604" s="143"/>
    </row>
    <row r="605" spans="1:9">
      <c r="A605" s="131">
        <v>595</v>
      </c>
      <c r="B605" s="19" t="s">
        <v>32</v>
      </c>
      <c r="C605" s="19" t="s">
        <v>582</v>
      </c>
      <c r="D605" s="95"/>
      <c r="E605" s="11" t="s">
        <v>94</v>
      </c>
      <c r="F605" s="12">
        <v>2000</v>
      </c>
      <c r="G605" s="11">
        <v>69</v>
      </c>
      <c r="H605" s="12">
        <v>138000</v>
      </c>
      <c r="I605" s="135"/>
    </row>
    <row r="606" spans="1:9">
      <c r="A606" s="132">
        <v>596</v>
      </c>
      <c r="B606" s="21" t="s">
        <v>32</v>
      </c>
      <c r="C606" s="21" t="s">
        <v>248</v>
      </c>
      <c r="D606" s="96"/>
      <c r="E606" s="1" t="s">
        <v>591</v>
      </c>
      <c r="F606" s="2">
        <v>1000</v>
      </c>
      <c r="G606" s="1">
        <v>69</v>
      </c>
      <c r="H606" s="2">
        <v>69000</v>
      </c>
      <c r="I606" s="137"/>
    </row>
    <row r="607" spans="1:9">
      <c r="A607" s="131">
        <v>597</v>
      </c>
      <c r="B607" s="21" t="s">
        <v>32</v>
      </c>
      <c r="C607" s="21" t="s">
        <v>585</v>
      </c>
      <c r="D607" s="96"/>
      <c r="E607" s="1" t="s">
        <v>586</v>
      </c>
      <c r="F607" s="2">
        <v>2000</v>
      </c>
      <c r="G607" s="1">
        <v>69</v>
      </c>
      <c r="H607" s="2">
        <v>138000</v>
      </c>
      <c r="I607" s="137"/>
    </row>
    <row r="608" spans="1:9">
      <c r="A608" s="108">
        <v>598</v>
      </c>
      <c r="B608" s="109" t="s">
        <v>32</v>
      </c>
      <c r="C608" s="109" t="s">
        <v>584</v>
      </c>
      <c r="D608" s="113"/>
      <c r="E608" s="111" t="s">
        <v>46</v>
      </c>
      <c r="F608" s="112">
        <v>2000</v>
      </c>
      <c r="G608" s="111">
        <v>69</v>
      </c>
      <c r="H608" s="112">
        <v>138000</v>
      </c>
      <c r="I608" s="136" t="s">
        <v>1291</v>
      </c>
    </row>
    <row r="609" spans="1:9">
      <c r="A609" s="131">
        <v>599</v>
      </c>
      <c r="B609" s="21" t="s">
        <v>32</v>
      </c>
      <c r="C609" s="21" t="s">
        <v>595</v>
      </c>
      <c r="D609" s="96"/>
      <c r="E609" s="1" t="s">
        <v>46</v>
      </c>
      <c r="F609" s="2">
        <v>5000</v>
      </c>
      <c r="G609" s="1">
        <v>69</v>
      </c>
      <c r="H609" s="2">
        <v>345000</v>
      </c>
      <c r="I609" s="137"/>
    </row>
    <row r="610" spans="1:9">
      <c r="A610" s="132">
        <v>600</v>
      </c>
      <c r="B610" s="21" t="s">
        <v>32</v>
      </c>
      <c r="C610" s="21" t="s">
        <v>599</v>
      </c>
      <c r="D610" s="96"/>
      <c r="E610" s="1" t="s">
        <v>46</v>
      </c>
      <c r="F610" s="2">
        <v>2000</v>
      </c>
      <c r="G610" s="1">
        <v>69</v>
      </c>
      <c r="H610" s="2">
        <v>138000</v>
      </c>
      <c r="I610" s="137"/>
    </row>
    <row r="611" spans="1:9">
      <c r="A611" s="129">
        <v>601</v>
      </c>
      <c r="B611" s="47" t="s">
        <v>32</v>
      </c>
      <c r="C611" s="47" t="s">
        <v>601</v>
      </c>
      <c r="D611" s="98"/>
      <c r="E611" s="48" t="s">
        <v>46</v>
      </c>
      <c r="F611" s="49">
        <v>8000</v>
      </c>
      <c r="G611" s="48">
        <v>69</v>
      </c>
      <c r="H611" s="49">
        <v>552000</v>
      </c>
      <c r="I611" s="139" t="s">
        <v>1190</v>
      </c>
    </row>
    <row r="612" spans="1:9">
      <c r="A612" s="108">
        <v>602</v>
      </c>
      <c r="B612" s="109" t="s">
        <v>32</v>
      </c>
      <c r="C612" s="109" t="s">
        <v>607</v>
      </c>
      <c r="D612" s="113"/>
      <c r="E612" s="111" t="s">
        <v>46</v>
      </c>
      <c r="F612" s="112">
        <v>10000</v>
      </c>
      <c r="G612" s="111">
        <v>69</v>
      </c>
      <c r="H612" s="112">
        <v>690000</v>
      </c>
      <c r="I612" s="136" t="s">
        <v>1298</v>
      </c>
    </row>
    <row r="613" spans="1:9">
      <c r="A613" s="129">
        <v>603</v>
      </c>
      <c r="B613" s="47" t="s">
        <v>32</v>
      </c>
      <c r="C613" s="47" t="s">
        <v>592</v>
      </c>
      <c r="D613" s="98" t="s">
        <v>1243</v>
      </c>
      <c r="E613" s="48" t="s">
        <v>48</v>
      </c>
      <c r="F613" s="49">
        <v>3000</v>
      </c>
      <c r="G613" s="48">
        <v>69</v>
      </c>
      <c r="H613" s="49">
        <v>207000</v>
      </c>
      <c r="I613" s="139" t="s">
        <v>1190</v>
      </c>
    </row>
    <row r="614" spans="1:9">
      <c r="A614" s="46">
        <v>604</v>
      </c>
      <c r="B614" s="47" t="s">
        <v>32</v>
      </c>
      <c r="C614" s="47" t="s">
        <v>608</v>
      </c>
      <c r="D614" s="98"/>
      <c r="E614" s="48" t="s">
        <v>48</v>
      </c>
      <c r="F614" s="49">
        <v>6000</v>
      </c>
      <c r="G614" s="48">
        <v>69</v>
      </c>
      <c r="H614" s="49">
        <v>414000</v>
      </c>
      <c r="I614" s="139" t="s">
        <v>1190</v>
      </c>
    </row>
    <row r="615" spans="1:9">
      <c r="A615" s="130">
        <v>605</v>
      </c>
      <c r="B615" s="109" t="s">
        <v>32</v>
      </c>
      <c r="C615" s="109" t="s">
        <v>597</v>
      </c>
      <c r="D615" s="113"/>
      <c r="E615" s="111" t="s">
        <v>501</v>
      </c>
      <c r="F615" s="112">
        <v>1000</v>
      </c>
      <c r="G615" s="111">
        <v>69</v>
      </c>
      <c r="H615" s="112">
        <v>69000</v>
      </c>
      <c r="I615" s="136" t="s">
        <v>1298</v>
      </c>
    </row>
    <row r="616" spans="1:9">
      <c r="A616" s="46">
        <v>606</v>
      </c>
      <c r="B616" s="47" t="s">
        <v>32</v>
      </c>
      <c r="C616" s="47" t="s">
        <v>270</v>
      </c>
      <c r="D616" s="98" t="s">
        <v>1243</v>
      </c>
      <c r="E616" s="48" t="s">
        <v>52</v>
      </c>
      <c r="F616" s="49">
        <v>3000</v>
      </c>
      <c r="G616" s="48">
        <v>69</v>
      </c>
      <c r="H616" s="49">
        <v>207000</v>
      </c>
      <c r="I616" s="139" t="s">
        <v>1190</v>
      </c>
    </row>
    <row r="617" spans="1:9">
      <c r="A617" s="130">
        <v>607</v>
      </c>
      <c r="B617" s="109" t="s">
        <v>32</v>
      </c>
      <c r="C617" s="109" t="s">
        <v>578</v>
      </c>
      <c r="D617" s="113"/>
      <c r="E617" s="111" t="s">
        <v>54</v>
      </c>
      <c r="F617" s="112">
        <v>2000</v>
      </c>
      <c r="G617" s="111">
        <v>69</v>
      </c>
      <c r="H617" s="112">
        <v>138000</v>
      </c>
      <c r="I617" s="136" t="s">
        <v>1298</v>
      </c>
    </row>
    <row r="618" spans="1:9">
      <c r="A618" s="108">
        <v>608</v>
      </c>
      <c r="B618" s="124" t="s">
        <v>32</v>
      </c>
      <c r="C618" s="109" t="s">
        <v>579</v>
      </c>
      <c r="D618" s="113"/>
      <c r="E618" s="111" t="s">
        <v>54</v>
      </c>
      <c r="F618" s="112">
        <v>4000</v>
      </c>
      <c r="G618" s="111">
        <v>69</v>
      </c>
      <c r="H618" s="112">
        <v>276000</v>
      </c>
      <c r="I618" s="136" t="s">
        <v>1298</v>
      </c>
    </row>
    <row r="619" spans="1:9">
      <c r="A619" s="130">
        <v>609</v>
      </c>
      <c r="B619" s="109" t="s">
        <v>32</v>
      </c>
      <c r="C619" s="109" t="s">
        <v>580</v>
      </c>
      <c r="D619" s="113"/>
      <c r="E619" s="111" t="s">
        <v>54</v>
      </c>
      <c r="F619" s="112">
        <v>4000</v>
      </c>
      <c r="G619" s="111">
        <v>69</v>
      </c>
      <c r="H619" s="112">
        <v>276000</v>
      </c>
      <c r="I619" s="136" t="s">
        <v>1298</v>
      </c>
    </row>
    <row r="620" spans="1:9">
      <c r="A620" s="46">
        <v>610</v>
      </c>
      <c r="B620" s="47" t="s">
        <v>32</v>
      </c>
      <c r="C620" s="47" t="s">
        <v>588</v>
      </c>
      <c r="D620" s="98" t="s">
        <v>1243</v>
      </c>
      <c r="E620" s="48" t="s">
        <v>55</v>
      </c>
      <c r="F620" s="49">
        <v>1000</v>
      </c>
      <c r="G620" s="48">
        <v>69</v>
      </c>
      <c r="H620" s="49">
        <v>69000</v>
      </c>
      <c r="I620" s="139" t="s">
        <v>1190</v>
      </c>
    </row>
    <row r="621" spans="1:9">
      <c r="A621" s="129">
        <v>611</v>
      </c>
      <c r="B621" s="47" t="s">
        <v>32</v>
      </c>
      <c r="C621" s="47" t="s">
        <v>592</v>
      </c>
      <c r="D621" s="98" t="s">
        <v>1243</v>
      </c>
      <c r="E621" s="48" t="s">
        <v>593</v>
      </c>
      <c r="F621" s="49">
        <v>3000</v>
      </c>
      <c r="G621" s="48">
        <v>69</v>
      </c>
      <c r="H621" s="49">
        <v>207000</v>
      </c>
      <c r="I621" s="139" t="s">
        <v>1190</v>
      </c>
    </row>
    <row r="622" spans="1:9">
      <c r="A622" s="46">
        <v>612</v>
      </c>
      <c r="B622" s="47" t="s">
        <v>32</v>
      </c>
      <c r="C622" s="47" t="s">
        <v>298</v>
      </c>
      <c r="D622" s="98"/>
      <c r="E622" s="48" t="s">
        <v>459</v>
      </c>
      <c r="F622" s="49">
        <v>6000</v>
      </c>
      <c r="G622" s="48">
        <v>69</v>
      </c>
      <c r="H622" s="49">
        <v>414000</v>
      </c>
      <c r="I622" s="139" t="s">
        <v>1190</v>
      </c>
    </row>
    <row r="623" spans="1:9" ht="32.4">
      <c r="A623" s="129">
        <v>613</v>
      </c>
      <c r="B623" s="47" t="s">
        <v>32</v>
      </c>
      <c r="C623" s="47" t="s">
        <v>252</v>
      </c>
      <c r="D623" s="101" t="s">
        <v>1285</v>
      </c>
      <c r="E623" s="48" t="s">
        <v>491</v>
      </c>
      <c r="F623" s="49">
        <v>3000</v>
      </c>
      <c r="G623" s="48">
        <v>69</v>
      </c>
      <c r="H623" s="49">
        <v>207000</v>
      </c>
      <c r="I623" s="138" t="s">
        <v>1284</v>
      </c>
    </row>
    <row r="624" spans="1:9">
      <c r="A624" s="46">
        <v>614</v>
      </c>
      <c r="B624" s="47" t="s">
        <v>32</v>
      </c>
      <c r="C624" s="47" t="s">
        <v>587</v>
      </c>
      <c r="D624" s="98" t="s">
        <v>1243</v>
      </c>
      <c r="E624" s="48" t="s">
        <v>57</v>
      </c>
      <c r="F624" s="49">
        <v>10000</v>
      </c>
      <c r="G624" s="48">
        <v>69</v>
      </c>
      <c r="H624" s="49">
        <v>690000</v>
      </c>
      <c r="I624" s="139" t="s">
        <v>1190</v>
      </c>
    </row>
    <row r="625" spans="1:9">
      <c r="A625" s="129">
        <v>615</v>
      </c>
      <c r="B625" s="47" t="s">
        <v>32</v>
      </c>
      <c r="C625" s="47" t="s">
        <v>589</v>
      </c>
      <c r="D625" s="98" t="s">
        <v>1243</v>
      </c>
      <c r="E625" s="48" t="s">
        <v>57</v>
      </c>
      <c r="F625" s="49">
        <v>10000</v>
      </c>
      <c r="G625" s="48">
        <v>69</v>
      </c>
      <c r="H625" s="49">
        <v>690000</v>
      </c>
      <c r="I625" s="139" t="s">
        <v>1190</v>
      </c>
    </row>
    <row r="626" spans="1:9">
      <c r="A626" s="46">
        <v>616</v>
      </c>
      <c r="B626" s="47" t="s">
        <v>32</v>
      </c>
      <c r="C626" s="47" t="s">
        <v>1245</v>
      </c>
      <c r="D626" s="98" t="s">
        <v>1243</v>
      </c>
      <c r="E626" s="48" t="s">
        <v>226</v>
      </c>
      <c r="F626" s="49">
        <v>2000</v>
      </c>
      <c r="G626" s="48">
        <v>69</v>
      </c>
      <c r="H626" s="49">
        <v>138000</v>
      </c>
      <c r="I626" s="139" t="s">
        <v>1190</v>
      </c>
    </row>
    <row r="627" spans="1:9">
      <c r="A627" s="129">
        <v>617</v>
      </c>
      <c r="B627" s="47" t="s">
        <v>32</v>
      </c>
      <c r="C627" s="47" t="s">
        <v>603</v>
      </c>
      <c r="D627" s="98"/>
      <c r="E627" s="48" t="s">
        <v>359</v>
      </c>
      <c r="F627" s="49">
        <v>1000</v>
      </c>
      <c r="G627" s="48">
        <v>69</v>
      </c>
      <c r="H627" s="49">
        <v>69000</v>
      </c>
      <c r="I627" s="139" t="s">
        <v>1190</v>
      </c>
    </row>
    <row r="628" spans="1:9">
      <c r="A628" s="46">
        <v>618</v>
      </c>
      <c r="B628" s="47" t="s">
        <v>32</v>
      </c>
      <c r="C628" s="47" t="s">
        <v>1244</v>
      </c>
      <c r="D628" s="98" t="s">
        <v>1243</v>
      </c>
      <c r="E628" s="48" t="s">
        <v>405</v>
      </c>
      <c r="F628" s="49">
        <v>1000</v>
      </c>
      <c r="G628" s="48">
        <v>69</v>
      </c>
      <c r="H628" s="49">
        <v>69000</v>
      </c>
      <c r="I628" s="139" t="s">
        <v>1190</v>
      </c>
    </row>
    <row r="629" spans="1:9">
      <c r="A629" s="130">
        <v>619</v>
      </c>
      <c r="B629" s="109" t="s">
        <v>32</v>
      </c>
      <c r="C629" s="109" t="s">
        <v>293</v>
      </c>
      <c r="D629" s="113"/>
      <c r="E629" s="111" t="s">
        <v>405</v>
      </c>
      <c r="F629" s="112">
        <v>1000</v>
      </c>
      <c r="G629" s="111">
        <v>69</v>
      </c>
      <c r="H629" s="112">
        <v>69000</v>
      </c>
      <c r="I629" s="136" t="s">
        <v>1298</v>
      </c>
    </row>
    <row r="630" spans="1:9" ht="64.8">
      <c r="A630" s="46">
        <v>620</v>
      </c>
      <c r="B630" s="47" t="s">
        <v>32</v>
      </c>
      <c r="C630" s="47" t="s">
        <v>583</v>
      </c>
      <c r="D630" s="98"/>
      <c r="E630" s="48" t="s">
        <v>61</v>
      </c>
      <c r="F630" s="49">
        <v>1000</v>
      </c>
      <c r="G630" s="48">
        <v>69</v>
      </c>
      <c r="H630" s="49">
        <v>69000</v>
      </c>
      <c r="I630" s="138" t="s">
        <v>1295</v>
      </c>
    </row>
    <row r="631" spans="1:9">
      <c r="A631" s="129">
        <v>621</v>
      </c>
      <c r="B631" s="47" t="s">
        <v>32</v>
      </c>
      <c r="C631" s="47" t="s">
        <v>190</v>
      </c>
      <c r="D631" s="98"/>
      <c r="E631" s="48" t="s">
        <v>61</v>
      </c>
      <c r="F631" s="49">
        <v>3000</v>
      </c>
      <c r="G631" s="48">
        <v>69</v>
      </c>
      <c r="H631" s="49">
        <v>207000</v>
      </c>
      <c r="I631" s="139" t="s">
        <v>1190</v>
      </c>
    </row>
    <row r="632" spans="1:9">
      <c r="A632" s="132">
        <v>622</v>
      </c>
      <c r="B632" s="21" t="s">
        <v>32</v>
      </c>
      <c r="C632" s="21" t="s">
        <v>600</v>
      </c>
      <c r="D632" s="96"/>
      <c r="E632" s="1" t="s">
        <v>197</v>
      </c>
      <c r="F632" s="2">
        <v>1000</v>
      </c>
      <c r="G632" s="1">
        <v>69</v>
      </c>
      <c r="H632" s="2">
        <v>69000</v>
      </c>
      <c r="I632" s="137"/>
    </row>
    <row r="633" spans="1:9">
      <c r="A633" s="130">
        <v>623</v>
      </c>
      <c r="B633" s="109" t="s">
        <v>32</v>
      </c>
      <c r="C633" s="109" t="s">
        <v>328</v>
      </c>
      <c r="D633" s="113"/>
      <c r="E633" s="111" t="s">
        <v>197</v>
      </c>
      <c r="F633" s="112">
        <v>1000</v>
      </c>
      <c r="G633" s="111">
        <v>69</v>
      </c>
      <c r="H633" s="112">
        <v>69000</v>
      </c>
      <c r="I633" s="136" t="s">
        <v>1298</v>
      </c>
    </row>
    <row r="634" spans="1:9">
      <c r="A634" s="108">
        <v>624</v>
      </c>
      <c r="B634" s="109" t="s">
        <v>32</v>
      </c>
      <c r="C634" s="109" t="s">
        <v>166</v>
      </c>
      <c r="D634" s="113"/>
      <c r="E634" s="111" t="s">
        <v>64</v>
      </c>
      <c r="F634" s="112">
        <v>10000</v>
      </c>
      <c r="G634" s="111">
        <v>69</v>
      </c>
      <c r="H634" s="112">
        <v>690000</v>
      </c>
      <c r="I634" s="136" t="s">
        <v>1298</v>
      </c>
    </row>
    <row r="635" spans="1:9">
      <c r="A635" s="130">
        <v>625</v>
      </c>
      <c r="B635" s="109" t="s">
        <v>32</v>
      </c>
      <c r="C635" s="109" t="s">
        <v>330</v>
      </c>
      <c r="D635" s="113"/>
      <c r="E635" s="111" t="s">
        <v>64</v>
      </c>
      <c r="F635" s="112">
        <v>1000</v>
      </c>
      <c r="G635" s="111">
        <v>69</v>
      </c>
      <c r="H635" s="112">
        <v>69000</v>
      </c>
      <c r="I635" s="136" t="s">
        <v>1298</v>
      </c>
    </row>
    <row r="636" spans="1:9">
      <c r="A636" s="46">
        <v>626</v>
      </c>
      <c r="B636" s="47" t="s">
        <v>32</v>
      </c>
      <c r="C636" s="47" t="s">
        <v>162</v>
      </c>
      <c r="D636" s="98" t="s">
        <v>1243</v>
      </c>
      <c r="E636" s="48" t="s">
        <v>5</v>
      </c>
      <c r="F636" s="49">
        <v>2000</v>
      </c>
      <c r="G636" s="48">
        <v>69</v>
      </c>
      <c r="H636" s="49">
        <v>138000</v>
      </c>
      <c r="I636" s="139" t="s">
        <v>1190</v>
      </c>
    </row>
    <row r="637" spans="1:9">
      <c r="A637" s="129">
        <v>627</v>
      </c>
      <c r="B637" s="47" t="s">
        <v>32</v>
      </c>
      <c r="C637" s="47" t="s">
        <v>243</v>
      </c>
      <c r="D637" s="98"/>
      <c r="E637" s="48" t="s">
        <v>5</v>
      </c>
      <c r="F637" s="49">
        <v>1000</v>
      </c>
      <c r="G637" s="48">
        <v>69</v>
      </c>
      <c r="H637" s="49">
        <v>69000</v>
      </c>
      <c r="I637" s="139" t="s">
        <v>1190</v>
      </c>
    </row>
    <row r="638" spans="1:9">
      <c r="A638" s="108">
        <v>628</v>
      </c>
      <c r="B638" s="109" t="s">
        <v>32</v>
      </c>
      <c r="C638" s="109" t="s">
        <v>277</v>
      </c>
      <c r="D638" s="113"/>
      <c r="E638" s="111" t="s">
        <v>5</v>
      </c>
      <c r="F638" s="112">
        <v>2000</v>
      </c>
      <c r="G638" s="111">
        <v>69</v>
      </c>
      <c r="H638" s="112">
        <v>138000</v>
      </c>
      <c r="I638" s="136" t="s">
        <v>1298</v>
      </c>
    </row>
    <row r="639" spans="1:9">
      <c r="A639" s="131">
        <v>629</v>
      </c>
      <c r="B639" s="21" t="s">
        <v>32</v>
      </c>
      <c r="C639" s="21" t="s">
        <v>320</v>
      </c>
      <c r="D639" s="96"/>
      <c r="E639" s="1" t="s">
        <v>5</v>
      </c>
      <c r="F639" s="2">
        <v>5000</v>
      </c>
      <c r="G639" s="1">
        <v>69</v>
      </c>
      <c r="H639" s="2">
        <v>345000</v>
      </c>
      <c r="I639" s="137"/>
    </row>
    <row r="640" spans="1:9">
      <c r="A640" s="108">
        <v>630</v>
      </c>
      <c r="B640" s="109" t="s">
        <v>32</v>
      </c>
      <c r="C640" s="109" t="s">
        <v>184</v>
      </c>
      <c r="D640" s="113"/>
      <c r="E640" s="111" t="s">
        <v>65</v>
      </c>
      <c r="F640" s="112">
        <v>1000</v>
      </c>
      <c r="G640" s="111">
        <v>69</v>
      </c>
      <c r="H640" s="112">
        <v>69000</v>
      </c>
      <c r="I640" s="136" t="s">
        <v>1289</v>
      </c>
    </row>
    <row r="641" spans="1:9">
      <c r="A641" s="130">
        <v>631</v>
      </c>
      <c r="B641" s="109" t="s">
        <v>32</v>
      </c>
      <c r="C641" s="109" t="s">
        <v>211</v>
      </c>
      <c r="D641" s="113"/>
      <c r="E641" s="111" t="s">
        <v>65</v>
      </c>
      <c r="F641" s="112">
        <v>2000</v>
      </c>
      <c r="G641" s="111">
        <v>69</v>
      </c>
      <c r="H641" s="112">
        <v>138000</v>
      </c>
      <c r="I641" s="136" t="s">
        <v>1289</v>
      </c>
    </row>
    <row r="642" spans="1:9" ht="64.8">
      <c r="A642" s="46">
        <v>632</v>
      </c>
      <c r="B642" s="47" t="s">
        <v>32</v>
      </c>
      <c r="C642" s="47" t="s">
        <v>590</v>
      </c>
      <c r="D642" s="98"/>
      <c r="E642" s="48" t="s">
        <v>107</v>
      </c>
      <c r="F642" s="49">
        <v>1000</v>
      </c>
      <c r="G642" s="48">
        <v>69</v>
      </c>
      <c r="H642" s="49">
        <v>69000</v>
      </c>
      <c r="I642" s="138" t="s">
        <v>1296</v>
      </c>
    </row>
    <row r="643" spans="1:9">
      <c r="A643" s="130">
        <v>633</v>
      </c>
      <c r="B643" s="109" t="s">
        <v>32</v>
      </c>
      <c r="C643" s="109" t="s">
        <v>284</v>
      </c>
      <c r="D643" s="113"/>
      <c r="E643" s="111" t="s">
        <v>107</v>
      </c>
      <c r="F643" s="112">
        <v>2000</v>
      </c>
      <c r="G643" s="111">
        <v>69</v>
      </c>
      <c r="H643" s="112">
        <v>138000</v>
      </c>
      <c r="I643" s="136" t="s">
        <v>1298</v>
      </c>
    </row>
    <row r="644" spans="1:9" ht="32.4">
      <c r="A644" s="46">
        <v>634</v>
      </c>
      <c r="B644" s="47" t="s">
        <v>32</v>
      </c>
      <c r="C644" s="47" t="s">
        <v>29</v>
      </c>
      <c r="D644" s="101" t="s">
        <v>1297</v>
      </c>
      <c r="E644" s="48" t="s">
        <v>107</v>
      </c>
      <c r="F644" s="49">
        <v>2000</v>
      </c>
      <c r="G644" s="48">
        <v>69</v>
      </c>
      <c r="H644" s="49">
        <v>138000</v>
      </c>
      <c r="I644" s="138" t="s">
        <v>1284</v>
      </c>
    </row>
    <row r="645" spans="1:9">
      <c r="A645" s="130">
        <v>635</v>
      </c>
      <c r="B645" s="109" t="s">
        <v>32</v>
      </c>
      <c r="C645" s="109" t="s">
        <v>146</v>
      </c>
      <c r="D645" s="113"/>
      <c r="E645" s="111" t="s">
        <v>68</v>
      </c>
      <c r="F645" s="112">
        <v>3000</v>
      </c>
      <c r="G645" s="111">
        <v>69</v>
      </c>
      <c r="H645" s="112">
        <v>207000</v>
      </c>
      <c r="I645" s="136" t="s">
        <v>1298</v>
      </c>
    </row>
    <row r="646" spans="1:9">
      <c r="A646" s="46">
        <v>636</v>
      </c>
      <c r="B646" s="47" t="s">
        <v>32</v>
      </c>
      <c r="C646" s="47" t="s">
        <v>212</v>
      </c>
      <c r="D646" s="98" t="s">
        <v>1243</v>
      </c>
      <c r="E646" s="48" t="s">
        <v>68</v>
      </c>
      <c r="F646" s="49">
        <v>1000</v>
      </c>
      <c r="G646" s="48">
        <v>69</v>
      </c>
      <c r="H646" s="49">
        <v>69000</v>
      </c>
      <c r="I646" s="139" t="s">
        <v>1190</v>
      </c>
    </row>
    <row r="647" spans="1:9">
      <c r="A647" s="129">
        <v>637</v>
      </c>
      <c r="B647" s="47" t="s">
        <v>32</v>
      </c>
      <c r="C647" s="47" t="s">
        <v>303</v>
      </c>
      <c r="D647" s="98"/>
      <c r="E647" s="48" t="s">
        <v>68</v>
      </c>
      <c r="F647" s="49">
        <v>1000</v>
      </c>
      <c r="G647" s="48">
        <v>69</v>
      </c>
      <c r="H647" s="49">
        <v>69000</v>
      </c>
      <c r="I647" s="139" t="s">
        <v>1190</v>
      </c>
    </row>
    <row r="648" spans="1:9">
      <c r="A648" s="46">
        <v>638</v>
      </c>
      <c r="B648" s="47" t="s">
        <v>32</v>
      </c>
      <c r="C648" s="47" t="s">
        <v>312</v>
      </c>
      <c r="D648" s="98"/>
      <c r="E648" s="48" t="s">
        <v>149</v>
      </c>
      <c r="F648" s="49">
        <v>2000</v>
      </c>
      <c r="G648" s="48">
        <v>69</v>
      </c>
      <c r="H648" s="49">
        <v>138000</v>
      </c>
      <c r="I648" s="139" t="s">
        <v>1190</v>
      </c>
    </row>
    <row r="649" spans="1:9">
      <c r="A649" s="129">
        <v>639</v>
      </c>
      <c r="B649" s="47" t="s">
        <v>32</v>
      </c>
      <c r="C649" s="47" t="s">
        <v>137</v>
      </c>
      <c r="D649" s="98"/>
      <c r="E649" s="48" t="s">
        <v>109</v>
      </c>
      <c r="F649" s="49">
        <v>1000</v>
      </c>
      <c r="G649" s="48">
        <v>69</v>
      </c>
      <c r="H649" s="49">
        <v>69000</v>
      </c>
      <c r="I649" s="139" t="s">
        <v>1190</v>
      </c>
    </row>
    <row r="650" spans="1:9">
      <c r="A650" s="108">
        <v>640</v>
      </c>
      <c r="B650" s="109" t="s">
        <v>32</v>
      </c>
      <c r="C650" s="109" t="s">
        <v>602</v>
      </c>
      <c r="D650" s="113"/>
      <c r="E650" s="111" t="s">
        <v>109</v>
      </c>
      <c r="F650" s="112">
        <v>1000</v>
      </c>
      <c r="G650" s="111">
        <v>69</v>
      </c>
      <c r="H650" s="112">
        <v>69000</v>
      </c>
      <c r="I650" s="136" t="s">
        <v>1298</v>
      </c>
    </row>
    <row r="651" spans="1:9">
      <c r="A651" s="130">
        <v>641</v>
      </c>
      <c r="B651" s="109" t="s">
        <v>32</v>
      </c>
      <c r="C651" s="109" t="s">
        <v>146</v>
      </c>
      <c r="D651" s="113"/>
      <c r="E651" s="111" t="s">
        <v>71</v>
      </c>
      <c r="F651" s="112">
        <v>2000</v>
      </c>
      <c r="G651" s="111">
        <v>69</v>
      </c>
      <c r="H651" s="112">
        <v>138000</v>
      </c>
      <c r="I651" s="136" t="s">
        <v>1298</v>
      </c>
    </row>
    <row r="652" spans="1:9">
      <c r="A652" s="108">
        <v>642</v>
      </c>
      <c r="B652" s="109" t="s">
        <v>32</v>
      </c>
      <c r="C652" s="109" t="s">
        <v>581</v>
      </c>
      <c r="D652" s="113"/>
      <c r="E652" s="111" t="s">
        <v>71</v>
      </c>
      <c r="F652" s="112">
        <v>1000</v>
      </c>
      <c r="G652" s="111">
        <v>69</v>
      </c>
      <c r="H652" s="112">
        <v>69000</v>
      </c>
      <c r="I652" s="136" t="s">
        <v>1291</v>
      </c>
    </row>
    <row r="653" spans="1:9">
      <c r="A653" s="130">
        <v>643</v>
      </c>
      <c r="B653" s="109" t="s">
        <v>32</v>
      </c>
      <c r="C653" s="109" t="s">
        <v>211</v>
      </c>
      <c r="D653" s="113"/>
      <c r="E653" s="111" t="s">
        <v>71</v>
      </c>
      <c r="F653" s="112">
        <v>1000</v>
      </c>
      <c r="G653" s="111">
        <v>69</v>
      </c>
      <c r="H653" s="112">
        <v>69000</v>
      </c>
      <c r="I653" s="136" t="s">
        <v>1289</v>
      </c>
    </row>
    <row r="654" spans="1:9">
      <c r="A654" s="108">
        <v>644</v>
      </c>
      <c r="B654" s="109" t="s">
        <v>32</v>
      </c>
      <c r="C654" s="109" t="s">
        <v>594</v>
      </c>
      <c r="D654" s="113"/>
      <c r="E654" s="111" t="s">
        <v>71</v>
      </c>
      <c r="F654" s="112">
        <v>2000</v>
      </c>
      <c r="G654" s="111">
        <v>69</v>
      </c>
      <c r="H654" s="112">
        <v>138000</v>
      </c>
      <c r="I654" s="136" t="s">
        <v>1289</v>
      </c>
    </row>
    <row r="655" spans="1:9">
      <c r="A655" s="129">
        <v>645</v>
      </c>
      <c r="B655" s="47" t="s">
        <v>32</v>
      </c>
      <c r="C655" s="47" t="s">
        <v>270</v>
      </c>
      <c r="D655" s="98" t="s">
        <v>1243</v>
      </c>
      <c r="E655" s="48" t="s">
        <v>71</v>
      </c>
      <c r="F655" s="49">
        <v>2000</v>
      </c>
      <c r="G655" s="48">
        <v>69</v>
      </c>
      <c r="H655" s="49">
        <v>138000</v>
      </c>
      <c r="I655" s="139" t="s">
        <v>822</v>
      </c>
    </row>
    <row r="656" spans="1:9">
      <c r="A656" s="46">
        <v>646</v>
      </c>
      <c r="B656" s="47" t="s">
        <v>32</v>
      </c>
      <c r="C656" s="47" t="s">
        <v>1185</v>
      </c>
      <c r="D656" s="98"/>
      <c r="E656" s="48" t="s">
        <v>71</v>
      </c>
      <c r="F656" s="49">
        <v>1000</v>
      </c>
      <c r="G656" s="48">
        <v>69</v>
      </c>
      <c r="H656" s="49">
        <v>69000</v>
      </c>
      <c r="I656" s="139" t="s">
        <v>1190</v>
      </c>
    </row>
    <row r="657" spans="1:9" ht="64.8">
      <c r="A657" s="130">
        <v>647</v>
      </c>
      <c r="B657" s="109" t="s">
        <v>32</v>
      </c>
      <c r="C657" s="109" t="s">
        <v>604</v>
      </c>
      <c r="D657" s="113"/>
      <c r="E657" s="111" t="s">
        <v>71</v>
      </c>
      <c r="F657" s="112">
        <v>1000</v>
      </c>
      <c r="G657" s="111">
        <v>69</v>
      </c>
      <c r="H657" s="112">
        <v>69000</v>
      </c>
      <c r="I657" s="119" t="s">
        <v>1358</v>
      </c>
    </row>
    <row r="658" spans="1:9">
      <c r="A658" s="108">
        <v>648</v>
      </c>
      <c r="B658" s="109" t="s">
        <v>32</v>
      </c>
      <c r="C658" s="109" t="s">
        <v>605</v>
      </c>
      <c r="D658" s="113"/>
      <c r="E658" s="111" t="s">
        <v>71</v>
      </c>
      <c r="F658" s="112">
        <v>8000</v>
      </c>
      <c r="G658" s="111">
        <v>69</v>
      </c>
      <c r="H658" s="112">
        <v>552000</v>
      </c>
      <c r="I658" s="136" t="s">
        <v>1239</v>
      </c>
    </row>
    <row r="659" spans="1:9">
      <c r="A659" s="129">
        <v>649</v>
      </c>
      <c r="B659" s="47" t="s">
        <v>32</v>
      </c>
      <c r="C659" s="47" t="s">
        <v>1268</v>
      </c>
      <c r="D659" s="98"/>
      <c r="E659" s="48" t="s">
        <v>72</v>
      </c>
      <c r="F659" s="49">
        <v>2000</v>
      </c>
      <c r="G659" s="48">
        <v>69</v>
      </c>
      <c r="H659" s="49">
        <v>138000</v>
      </c>
      <c r="I659" s="139" t="s">
        <v>1190</v>
      </c>
    </row>
    <row r="660" spans="1:9">
      <c r="A660" s="132">
        <v>650</v>
      </c>
      <c r="B660" s="21" t="s">
        <v>32</v>
      </c>
      <c r="C660" s="21" t="s">
        <v>185</v>
      </c>
      <c r="D660" s="96"/>
      <c r="E660" s="1" t="s">
        <v>72</v>
      </c>
      <c r="F660" s="2">
        <v>5000</v>
      </c>
      <c r="G660" s="1">
        <v>69</v>
      </c>
      <c r="H660" s="2">
        <v>345000</v>
      </c>
      <c r="I660" s="137"/>
    </row>
    <row r="661" spans="1:9">
      <c r="A661" s="129">
        <v>651</v>
      </c>
      <c r="B661" s="47" t="s">
        <v>32</v>
      </c>
      <c r="C661" s="47" t="s">
        <v>194</v>
      </c>
      <c r="D661" s="98"/>
      <c r="E661" s="48" t="s">
        <v>72</v>
      </c>
      <c r="F661" s="49">
        <v>1000</v>
      </c>
      <c r="G661" s="48">
        <v>69</v>
      </c>
      <c r="H661" s="49">
        <v>69000</v>
      </c>
      <c r="I661" s="139" t="s">
        <v>1190</v>
      </c>
    </row>
    <row r="662" spans="1:9">
      <c r="A662" s="132">
        <v>652</v>
      </c>
      <c r="B662" s="21" t="s">
        <v>32</v>
      </c>
      <c r="C662" s="21" t="s">
        <v>598</v>
      </c>
      <c r="D662" s="96"/>
      <c r="E662" s="1" t="s">
        <v>72</v>
      </c>
      <c r="F662" s="2">
        <v>1000</v>
      </c>
      <c r="G662" s="1">
        <v>69</v>
      </c>
      <c r="H662" s="2">
        <v>69000</v>
      </c>
      <c r="I662" s="137"/>
    </row>
    <row r="663" spans="1:9">
      <c r="A663" s="129">
        <v>653</v>
      </c>
      <c r="B663" s="47" t="s">
        <v>32</v>
      </c>
      <c r="C663" s="47" t="s">
        <v>305</v>
      </c>
      <c r="D663" s="98"/>
      <c r="E663" s="48" t="s">
        <v>72</v>
      </c>
      <c r="F663" s="49">
        <v>1000</v>
      </c>
      <c r="G663" s="48">
        <v>69</v>
      </c>
      <c r="H663" s="49">
        <v>69000</v>
      </c>
      <c r="I663" s="139" t="s">
        <v>1190</v>
      </c>
    </row>
    <row r="664" spans="1:9">
      <c r="A664" s="132">
        <v>654</v>
      </c>
      <c r="B664" s="21" t="s">
        <v>32</v>
      </c>
      <c r="C664" s="21" t="s">
        <v>606</v>
      </c>
      <c r="D664" s="96"/>
      <c r="E664" s="1" t="s">
        <v>72</v>
      </c>
      <c r="F664" s="2">
        <v>2000</v>
      </c>
      <c r="G664" s="1">
        <v>69</v>
      </c>
      <c r="H664" s="2">
        <v>138000</v>
      </c>
      <c r="I664" s="137"/>
    </row>
    <row r="665" spans="1:9">
      <c r="A665" s="130">
        <v>655</v>
      </c>
      <c r="B665" s="109" t="s">
        <v>32</v>
      </c>
      <c r="C665" s="109" t="s">
        <v>610</v>
      </c>
      <c r="D665" s="113"/>
      <c r="E665" s="111" t="s">
        <v>72</v>
      </c>
      <c r="F665" s="112">
        <v>2000</v>
      </c>
      <c r="G665" s="111">
        <v>69</v>
      </c>
      <c r="H665" s="112">
        <v>138000</v>
      </c>
      <c r="I665" s="136" t="s">
        <v>1289</v>
      </c>
    </row>
    <row r="666" spans="1:9">
      <c r="A666" s="132">
        <v>656</v>
      </c>
      <c r="B666" s="21" t="s">
        <v>32</v>
      </c>
      <c r="C666" s="21" t="s">
        <v>596</v>
      </c>
      <c r="D666" s="96"/>
      <c r="E666" s="1" t="s">
        <v>74</v>
      </c>
      <c r="F666" s="2">
        <v>1000</v>
      </c>
      <c r="G666" s="1">
        <v>69</v>
      </c>
      <c r="H666" s="2">
        <v>69000</v>
      </c>
      <c r="I666" s="137"/>
    </row>
    <row r="667" spans="1:9" ht="64.8">
      <c r="A667" s="130">
        <v>657</v>
      </c>
      <c r="B667" s="109" t="s">
        <v>32</v>
      </c>
      <c r="C667" s="109" t="s">
        <v>609</v>
      </c>
      <c r="D667" s="113"/>
      <c r="E667" s="111" t="s">
        <v>239</v>
      </c>
      <c r="F667" s="112">
        <v>1000</v>
      </c>
      <c r="G667" s="111">
        <v>69</v>
      </c>
      <c r="H667" s="112">
        <v>69000</v>
      </c>
      <c r="I667" s="119" t="s">
        <v>1305</v>
      </c>
    </row>
    <row r="668" spans="1:9" ht="16.8" thickBot="1">
      <c r="A668" s="46">
        <v>658</v>
      </c>
      <c r="B668" s="51" t="s">
        <v>32</v>
      </c>
      <c r="C668" s="51" t="s">
        <v>159</v>
      </c>
      <c r="D668" s="100" t="s">
        <v>1246</v>
      </c>
      <c r="E668" s="52" t="s">
        <v>160</v>
      </c>
      <c r="F668" s="53">
        <v>2000</v>
      </c>
      <c r="G668" s="52">
        <v>69</v>
      </c>
      <c r="H668" s="53">
        <v>138000</v>
      </c>
      <c r="I668" s="139" t="s">
        <v>1190</v>
      </c>
    </row>
    <row r="669" spans="1:9" ht="16.8" thickBot="1">
      <c r="A669" s="14"/>
      <c r="B669" s="32"/>
      <c r="C669" s="32"/>
      <c r="D669" s="97"/>
      <c r="E669" s="28"/>
      <c r="F669" s="29">
        <f>SUBTOTAL(9,F605:F668)</f>
        <v>173000</v>
      </c>
      <c r="G669" s="35" t="s">
        <v>611</v>
      </c>
      <c r="H669" s="29">
        <f>SUBTOTAL(9,H605:H668)</f>
        <v>11937000</v>
      </c>
      <c r="I669" s="143"/>
    </row>
    <row r="670" spans="1:9" ht="16.8" thickBot="1">
      <c r="A670" s="14"/>
      <c r="B670" s="32"/>
      <c r="C670" s="32"/>
      <c r="D670" s="97"/>
      <c r="E670" s="32" t="s">
        <v>129</v>
      </c>
      <c r="F670" s="29">
        <f>SUM(F213,F215,F217,F219,F226,F228,F599,F604,F669)</f>
        <v>1988000</v>
      </c>
      <c r="G670" s="29"/>
      <c r="H670" s="29">
        <f>SUM(H213,H215,H217,H219,H226,H228,H599,H604,H669)</f>
        <v>110560000</v>
      </c>
      <c r="I670" s="143"/>
    </row>
    <row r="671" spans="1:9" ht="16.8" thickBot="1">
      <c r="A671" s="297" t="s">
        <v>1898</v>
      </c>
      <c r="B671" s="298"/>
      <c r="C671" s="298"/>
      <c r="D671" s="298"/>
      <c r="E671" s="299"/>
      <c r="F671" s="29">
        <v>837000</v>
      </c>
      <c r="G671" s="29"/>
      <c r="H671" s="29">
        <v>48959000</v>
      </c>
      <c r="I671" s="157"/>
    </row>
    <row r="672" spans="1:9" ht="33" thickBot="1">
      <c r="A672" s="297" t="s">
        <v>1899</v>
      </c>
      <c r="B672" s="298"/>
      <c r="C672" s="298"/>
      <c r="D672" s="298"/>
      <c r="E672" s="299"/>
      <c r="F672" s="29">
        <f>F670-F671</f>
        <v>1151000</v>
      </c>
      <c r="G672" s="29"/>
      <c r="H672" s="29">
        <f>H670-H671</f>
        <v>61601000</v>
      </c>
      <c r="I672" s="158" t="s">
        <v>1359</v>
      </c>
    </row>
    <row r="673" spans="1:9" ht="40.799999999999997" customHeight="1">
      <c r="A673" s="57" t="s">
        <v>1189</v>
      </c>
      <c r="B673" s="296" t="s">
        <v>1348</v>
      </c>
      <c r="C673" s="296"/>
      <c r="D673" s="296"/>
      <c r="E673" s="296"/>
      <c r="F673" s="296"/>
      <c r="G673" s="296"/>
      <c r="H673" s="296"/>
      <c r="I673" s="296"/>
    </row>
    <row r="674" spans="1:9" ht="93" customHeight="1">
      <c r="A674" s="60" t="s">
        <v>823</v>
      </c>
      <c r="B674" s="285" t="s">
        <v>1500</v>
      </c>
      <c r="C674" s="285"/>
      <c r="D674" s="285"/>
      <c r="E674" s="285"/>
      <c r="F674" s="285"/>
      <c r="G674" s="285"/>
      <c r="H674" s="285"/>
      <c r="I674" s="285"/>
    </row>
    <row r="675" spans="1:9" ht="36.6" customHeight="1">
      <c r="A675" s="60" t="s">
        <v>1240</v>
      </c>
      <c r="B675" s="285" t="s">
        <v>1571</v>
      </c>
      <c r="C675" s="285"/>
      <c r="D675" s="285"/>
      <c r="E675" s="285"/>
      <c r="F675" s="285"/>
      <c r="G675" s="285"/>
      <c r="H675" s="285"/>
      <c r="I675" s="285"/>
    </row>
  </sheetData>
  <sortState ref="C2:M672">
    <sortCondition ref="G2:G672"/>
    <sortCondition ref="E2:E672"/>
  </sortState>
  <mergeCells count="5">
    <mergeCell ref="B674:I674"/>
    <mergeCell ref="B675:I675"/>
    <mergeCell ref="B673:I673"/>
    <mergeCell ref="A671:E671"/>
    <mergeCell ref="A672:E672"/>
  </mergeCells>
  <phoneticPr fontId="1" type="noConversion"/>
  <pageMargins left="0.70866141732283472" right="0.70866141732283472" top="0.74803149606299213" bottom="0.74803149606299213" header="0.31496062992125984" footer="0.31496062992125984"/>
  <pageSetup paperSize="9" scale="72" fitToHeight="100"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sheetPr>
    <pageSetUpPr fitToPage="1"/>
  </sheetPr>
  <dimension ref="A1:I272"/>
  <sheetViews>
    <sheetView topLeftCell="A254" zoomScale="80" zoomScaleNormal="80" workbookViewId="0">
      <selection activeCell="B271" sqref="B271:I271"/>
    </sheetView>
  </sheetViews>
  <sheetFormatPr defaultRowHeight="16.2"/>
  <cols>
    <col min="1" max="1" width="11.44140625" customWidth="1"/>
    <col min="2" max="2" width="10.109375" style="37" customWidth="1"/>
    <col min="3" max="3" width="11.21875" style="37" customWidth="1"/>
    <col min="4" max="4" width="15.33203125" style="37" customWidth="1"/>
    <col min="5" max="7" width="10.5546875" bestFit="1" customWidth="1"/>
    <col min="8" max="8" width="11.6640625" bestFit="1" customWidth="1"/>
    <col min="9" max="9" width="23.77734375" customWidth="1"/>
  </cols>
  <sheetData>
    <row r="1" spans="1:9" ht="30.6" customHeight="1" thickBot="1">
      <c r="A1" t="s">
        <v>1563</v>
      </c>
    </row>
    <row r="2" spans="1:9" ht="16.8" thickBot="1">
      <c r="A2" s="22" t="s">
        <v>16</v>
      </c>
      <c r="B2" s="23" t="s">
        <v>18</v>
      </c>
      <c r="C2" s="23" t="s">
        <v>19</v>
      </c>
      <c r="D2" s="23" t="s">
        <v>1234</v>
      </c>
      <c r="E2" s="23" t="s">
        <v>20</v>
      </c>
      <c r="F2" s="23" t="s">
        <v>21</v>
      </c>
      <c r="G2" s="23" t="s">
        <v>22</v>
      </c>
      <c r="H2" s="23" t="s">
        <v>23</v>
      </c>
      <c r="I2" s="40" t="s">
        <v>821</v>
      </c>
    </row>
    <row r="3" spans="1:9">
      <c r="A3" s="10">
        <v>1</v>
      </c>
      <c r="B3" s="159" t="s">
        <v>613</v>
      </c>
      <c r="C3" s="159" t="s">
        <v>619</v>
      </c>
      <c r="D3" s="159"/>
      <c r="E3" s="160" t="s">
        <v>92</v>
      </c>
      <c r="F3" s="161">
        <v>1000</v>
      </c>
      <c r="G3" s="160">
        <v>38</v>
      </c>
      <c r="H3" s="161">
        <v>38000</v>
      </c>
      <c r="I3" s="41"/>
    </row>
    <row r="4" spans="1:9">
      <c r="A4" s="3">
        <v>2</v>
      </c>
      <c r="B4" s="162" t="s">
        <v>613</v>
      </c>
      <c r="C4" s="162" t="s">
        <v>621</v>
      </c>
      <c r="D4" s="162"/>
      <c r="E4" s="163" t="s">
        <v>92</v>
      </c>
      <c r="F4" s="164">
        <v>2000</v>
      </c>
      <c r="G4" s="163">
        <v>38</v>
      </c>
      <c r="H4" s="164">
        <v>76000</v>
      </c>
      <c r="I4" s="42"/>
    </row>
    <row r="5" spans="1:9">
      <c r="A5" s="3">
        <v>3</v>
      </c>
      <c r="B5" s="162" t="s">
        <v>613</v>
      </c>
      <c r="C5" s="162" t="s">
        <v>466</v>
      </c>
      <c r="D5" s="162"/>
      <c r="E5" s="163" t="s">
        <v>102</v>
      </c>
      <c r="F5" s="164">
        <v>2000</v>
      </c>
      <c r="G5" s="163">
        <v>38</v>
      </c>
      <c r="H5" s="164">
        <v>76000</v>
      </c>
      <c r="I5" s="42"/>
    </row>
    <row r="6" spans="1:9">
      <c r="A6" s="3">
        <v>4</v>
      </c>
      <c r="B6" s="162" t="s">
        <v>613</v>
      </c>
      <c r="C6" s="162" t="s">
        <v>612</v>
      </c>
      <c r="D6" s="162"/>
      <c r="E6" s="163" t="s">
        <v>93</v>
      </c>
      <c r="F6" s="164">
        <v>2000</v>
      </c>
      <c r="G6" s="163">
        <v>38</v>
      </c>
      <c r="H6" s="164">
        <v>76000</v>
      </c>
      <c r="I6" s="42"/>
    </row>
    <row r="7" spans="1:9" ht="32.4">
      <c r="A7" s="3">
        <v>5</v>
      </c>
      <c r="B7" s="162" t="s">
        <v>613</v>
      </c>
      <c r="C7" s="162" t="s">
        <v>614</v>
      </c>
      <c r="D7" s="165" t="s">
        <v>1235</v>
      </c>
      <c r="E7" s="166" t="s">
        <v>93</v>
      </c>
      <c r="F7" s="164">
        <v>1000</v>
      </c>
      <c r="G7" s="163">
        <v>38</v>
      </c>
      <c r="H7" s="164">
        <v>38000</v>
      </c>
      <c r="I7" s="93"/>
    </row>
    <row r="8" spans="1:9">
      <c r="A8" s="3">
        <v>6</v>
      </c>
      <c r="B8" s="162" t="s">
        <v>613</v>
      </c>
      <c r="C8" s="162" t="s">
        <v>615</v>
      </c>
      <c r="D8" s="162"/>
      <c r="E8" s="166" t="s">
        <v>93</v>
      </c>
      <c r="F8" s="164">
        <v>1000</v>
      </c>
      <c r="G8" s="163">
        <v>38</v>
      </c>
      <c r="H8" s="164">
        <v>38000</v>
      </c>
      <c r="I8" s="42"/>
    </row>
    <row r="9" spans="1:9">
      <c r="A9" s="3">
        <v>7</v>
      </c>
      <c r="B9" s="162" t="s">
        <v>613</v>
      </c>
      <c r="C9" s="162" t="s">
        <v>616</v>
      </c>
      <c r="D9" s="162"/>
      <c r="E9" s="166" t="s">
        <v>93</v>
      </c>
      <c r="F9" s="164">
        <v>1000</v>
      </c>
      <c r="G9" s="163">
        <v>38</v>
      </c>
      <c r="H9" s="164">
        <v>38000</v>
      </c>
      <c r="I9" s="42"/>
    </row>
    <row r="10" spans="1:9" ht="32.4">
      <c r="A10" s="3">
        <v>8</v>
      </c>
      <c r="B10" s="162" t="s">
        <v>613</v>
      </c>
      <c r="C10" s="162" t="s">
        <v>620</v>
      </c>
      <c r="D10" s="165" t="s">
        <v>1235</v>
      </c>
      <c r="E10" s="166" t="s">
        <v>93</v>
      </c>
      <c r="F10" s="164">
        <v>1000</v>
      </c>
      <c r="G10" s="163">
        <v>38</v>
      </c>
      <c r="H10" s="164">
        <v>38000</v>
      </c>
      <c r="I10" s="93"/>
    </row>
    <row r="11" spans="1:9">
      <c r="A11" s="3">
        <v>9</v>
      </c>
      <c r="B11" s="162" t="s">
        <v>613</v>
      </c>
      <c r="C11" s="162" t="s">
        <v>622</v>
      </c>
      <c r="D11" s="162"/>
      <c r="E11" s="166" t="s">
        <v>93</v>
      </c>
      <c r="F11" s="164">
        <v>1000</v>
      </c>
      <c r="G11" s="163">
        <v>38</v>
      </c>
      <c r="H11" s="164">
        <v>38000</v>
      </c>
      <c r="I11" s="42"/>
    </row>
    <row r="12" spans="1:9" ht="33" thickBot="1">
      <c r="A12" s="33">
        <v>10</v>
      </c>
      <c r="B12" s="167" t="s">
        <v>613</v>
      </c>
      <c r="C12" s="167" t="s">
        <v>617</v>
      </c>
      <c r="D12" s="168" t="s">
        <v>1235</v>
      </c>
      <c r="E12" s="169" t="s">
        <v>618</v>
      </c>
      <c r="F12" s="170">
        <v>1000</v>
      </c>
      <c r="G12" s="171">
        <v>38</v>
      </c>
      <c r="H12" s="170">
        <v>38000</v>
      </c>
      <c r="I12" s="93"/>
    </row>
    <row r="13" spans="1:9" ht="16.8" thickBot="1">
      <c r="A13" s="14"/>
      <c r="B13" s="172"/>
      <c r="C13" s="172"/>
      <c r="D13" s="172"/>
      <c r="E13" s="173"/>
      <c r="F13" s="174">
        <f>SUBTOTAL(9,F3:F12)</f>
        <v>13000</v>
      </c>
      <c r="G13" s="175" t="s">
        <v>358</v>
      </c>
      <c r="H13" s="174">
        <f>SUBTOTAL(9,H3:H12)</f>
        <v>494000</v>
      </c>
      <c r="I13" s="25"/>
    </row>
    <row r="14" spans="1:9">
      <c r="A14" s="10">
        <v>11</v>
      </c>
      <c r="B14" s="159" t="s">
        <v>613</v>
      </c>
      <c r="C14" s="159" t="s">
        <v>632</v>
      </c>
      <c r="D14" s="159"/>
      <c r="E14" s="160" t="s">
        <v>91</v>
      </c>
      <c r="F14" s="161">
        <v>2000</v>
      </c>
      <c r="G14" s="160">
        <v>65</v>
      </c>
      <c r="H14" s="161">
        <v>130000</v>
      </c>
      <c r="I14" s="41"/>
    </row>
    <row r="15" spans="1:9">
      <c r="A15" s="3">
        <v>12</v>
      </c>
      <c r="B15" s="162" t="s">
        <v>613</v>
      </c>
      <c r="C15" s="162" t="s">
        <v>645</v>
      </c>
      <c r="D15" s="162"/>
      <c r="E15" s="163" t="s">
        <v>91</v>
      </c>
      <c r="F15" s="164">
        <v>5000</v>
      </c>
      <c r="G15" s="163">
        <v>65</v>
      </c>
      <c r="H15" s="164">
        <v>325000</v>
      </c>
      <c r="I15" s="42"/>
    </row>
    <row r="16" spans="1:9">
      <c r="A16" s="3">
        <v>13</v>
      </c>
      <c r="B16" s="162" t="s">
        <v>613</v>
      </c>
      <c r="C16" s="162" t="s">
        <v>626</v>
      </c>
      <c r="D16" s="162"/>
      <c r="E16" s="163" t="s">
        <v>627</v>
      </c>
      <c r="F16" s="164">
        <v>5000</v>
      </c>
      <c r="G16" s="163">
        <v>65</v>
      </c>
      <c r="H16" s="164">
        <v>325000</v>
      </c>
      <c r="I16" s="42"/>
    </row>
    <row r="17" spans="1:9">
      <c r="A17" s="3">
        <v>14</v>
      </c>
      <c r="B17" s="162" t="s">
        <v>613</v>
      </c>
      <c r="C17" s="162" t="s">
        <v>631</v>
      </c>
      <c r="D17" s="162"/>
      <c r="E17" s="163" t="s">
        <v>627</v>
      </c>
      <c r="F17" s="164">
        <v>2000</v>
      </c>
      <c r="G17" s="163">
        <v>65</v>
      </c>
      <c r="H17" s="164">
        <v>130000</v>
      </c>
      <c r="I17" s="42"/>
    </row>
    <row r="18" spans="1:9">
      <c r="A18" s="3">
        <v>15</v>
      </c>
      <c r="B18" s="162" t="s">
        <v>613</v>
      </c>
      <c r="C18" s="162" t="s">
        <v>632</v>
      </c>
      <c r="D18" s="162"/>
      <c r="E18" s="163" t="s">
        <v>627</v>
      </c>
      <c r="F18" s="164">
        <v>2000</v>
      </c>
      <c r="G18" s="163">
        <v>65</v>
      </c>
      <c r="H18" s="164">
        <v>130000</v>
      </c>
      <c r="I18" s="42"/>
    </row>
    <row r="19" spans="1:9">
      <c r="A19" s="3">
        <v>16</v>
      </c>
      <c r="B19" s="162" t="s">
        <v>613</v>
      </c>
      <c r="C19" s="162" t="s">
        <v>642</v>
      </c>
      <c r="D19" s="162"/>
      <c r="E19" s="163" t="s">
        <v>627</v>
      </c>
      <c r="F19" s="164">
        <v>1000</v>
      </c>
      <c r="G19" s="163">
        <v>65</v>
      </c>
      <c r="H19" s="164">
        <v>65000</v>
      </c>
      <c r="I19" s="42"/>
    </row>
    <row r="20" spans="1:9">
      <c r="A20" s="3">
        <v>17</v>
      </c>
      <c r="B20" s="162" t="s">
        <v>613</v>
      </c>
      <c r="C20" s="162" t="s">
        <v>643</v>
      </c>
      <c r="D20" s="162"/>
      <c r="E20" s="163" t="s">
        <v>627</v>
      </c>
      <c r="F20" s="164">
        <v>1000</v>
      </c>
      <c r="G20" s="163">
        <v>65</v>
      </c>
      <c r="H20" s="164">
        <v>65000</v>
      </c>
      <c r="I20" s="42"/>
    </row>
    <row r="21" spans="1:9">
      <c r="A21" s="3">
        <v>18</v>
      </c>
      <c r="B21" s="162" t="s">
        <v>613</v>
      </c>
      <c r="C21" s="162" t="s">
        <v>632</v>
      </c>
      <c r="D21" s="162"/>
      <c r="E21" s="163" t="s">
        <v>633</v>
      </c>
      <c r="F21" s="164">
        <v>2000</v>
      </c>
      <c r="G21" s="163">
        <v>65</v>
      </c>
      <c r="H21" s="164">
        <v>130000</v>
      </c>
      <c r="I21" s="42"/>
    </row>
    <row r="22" spans="1:9">
      <c r="A22" s="3">
        <v>19</v>
      </c>
      <c r="B22" s="162" t="s">
        <v>613</v>
      </c>
      <c r="C22" s="162" t="s">
        <v>634</v>
      </c>
      <c r="D22" s="162"/>
      <c r="E22" s="163" t="s">
        <v>633</v>
      </c>
      <c r="F22" s="164">
        <v>10000</v>
      </c>
      <c r="G22" s="163">
        <v>65</v>
      </c>
      <c r="H22" s="164">
        <v>650000</v>
      </c>
      <c r="I22" s="42"/>
    </row>
    <row r="23" spans="1:9">
      <c r="A23" s="3">
        <v>20</v>
      </c>
      <c r="B23" s="162" t="s">
        <v>613</v>
      </c>
      <c r="C23" s="162" t="s">
        <v>478</v>
      </c>
      <c r="D23" s="162"/>
      <c r="E23" s="163" t="s">
        <v>633</v>
      </c>
      <c r="F23" s="164">
        <v>1000</v>
      </c>
      <c r="G23" s="163">
        <v>65</v>
      </c>
      <c r="H23" s="164">
        <v>65000</v>
      </c>
      <c r="I23" s="42"/>
    </row>
    <row r="24" spans="1:9">
      <c r="A24" s="3">
        <v>21</v>
      </c>
      <c r="B24" s="162" t="s">
        <v>613</v>
      </c>
      <c r="C24" s="162" t="s">
        <v>653</v>
      </c>
      <c r="D24" s="162"/>
      <c r="E24" s="163" t="s">
        <v>654</v>
      </c>
      <c r="F24" s="164">
        <v>3000</v>
      </c>
      <c r="G24" s="163">
        <v>65</v>
      </c>
      <c r="H24" s="164">
        <v>195000</v>
      </c>
      <c r="I24" s="42"/>
    </row>
    <row r="25" spans="1:9">
      <c r="A25" s="3">
        <v>22</v>
      </c>
      <c r="B25" s="162" t="s">
        <v>613</v>
      </c>
      <c r="C25" s="162" t="s">
        <v>250</v>
      </c>
      <c r="D25" s="162"/>
      <c r="E25" s="163" t="s">
        <v>630</v>
      </c>
      <c r="F25" s="164">
        <v>5000</v>
      </c>
      <c r="G25" s="163">
        <v>65</v>
      </c>
      <c r="H25" s="164">
        <v>325000</v>
      </c>
      <c r="I25" s="42"/>
    </row>
    <row r="26" spans="1:9" ht="32.4">
      <c r="A26" s="3">
        <v>23</v>
      </c>
      <c r="B26" s="162" t="s">
        <v>613</v>
      </c>
      <c r="C26" s="162" t="s">
        <v>617</v>
      </c>
      <c r="D26" s="176" t="s">
        <v>1235</v>
      </c>
      <c r="E26" s="166" t="s">
        <v>630</v>
      </c>
      <c r="F26" s="164">
        <v>2000</v>
      </c>
      <c r="G26" s="163">
        <v>65</v>
      </c>
      <c r="H26" s="164">
        <v>130000</v>
      </c>
      <c r="I26" s="93"/>
    </row>
    <row r="27" spans="1:9">
      <c r="A27" s="3">
        <v>24</v>
      </c>
      <c r="B27" s="162" t="s">
        <v>613</v>
      </c>
      <c r="C27" s="162" t="s">
        <v>641</v>
      </c>
      <c r="D27" s="162"/>
      <c r="E27" s="163" t="s">
        <v>630</v>
      </c>
      <c r="F27" s="164">
        <v>1000</v>
      </c>
      <c r="G27" s="163">
        <v>65</v>
      </c>
      <c r="H27" s="164">
        <v>65000</v>
      </c>
      <c r="I27" s="42"/>
    </row>
    <row r="28" spans="1:9">
      <c r="A28" s="3">
        <v>25</v>
      </c>
      <c r="B28" s="162" t="s">
        <v>613</v>
      </c>
      <c r="C28" s="162" t="s">
        <v>1269</v>
      </c>
      <c r="D28" s="162"/>
      <c r="E28" s="163" t="s">
        <v>648</v>
      </c>
      <c r="F28" s="164">
        <v>2000</v>
      </c>
      <c r="G28" s="163">
        <v>65</v>
      </c>
      <c r="H28" s="164">
        <v>130000</v>
      </c>
      <c r="I28" s="42"/>
    </row>
    <row r="29" spans="1:9">
      <c r="A29" s="3">
        <v>26</v>
      </c>
      <c r="B29" s="162" t="s">
        <v>613</v>
      </c>
      <c r="C29" s="162" t="s">
        <v>638</v>
      </c>
      <c r="D29" s="162"/>
      <c r="E29" s="163" t="s">
        <v>639</v>
      </c>
      <c r="F29" s="164">
        <v>1000</v>
      </c>
      <c r="G29" s="163">
        <v>65</v>
      </c>
      <c r="H29" s="164">
        <v>65000</v>
      </c>
      <c r="I29" s="42"/>
    </row>
    <row r="30" spans="1:9">
      <c r="A30" s="3">
        <v>27</v>
      </c>
      <c r="B30" s="162" t="s">
        <v>613</v>
      </c>
      <c r="C30" s="162" t="s">
        <v>656</v>
      </c>
      <c r="D30" s="162"/>
      <c r="E30" s="163" t="s">
        <v>657</v>
      </c>
      <c r="F30" s="164">
        <v>6000</v>
      </c>
      <c r="G30" s="163">
        <v>65</v>
      </c>
      <c r="H30" s="164">
        <v>390000</v>
      </c>
      <c r="I30" s="42"/>
    </row>
    <row r="31" spans="1:9">
      <c r="A31" s="3">
        <v>28</v>
      </c>
      <c r="B31" s="162" t="s">
        <v>613</v>
      </c>
      <c r="C31" s="162" t="s">
        <v>623</v>
      </c>
      <c r="D31" s="162"/>
      <c r="E31" s="163" t="s">
        <v>92</v>
      </c>
      <c r="F31" s="164">
        <v>10000</v>
      </c>
      <c r="G31" s="163">
        <v>65</v>
      </c>
      <c r="H31" s="164">
        <v>650000</v>
      </c>
      <c r="I31" s="42"/>
    </row>
    <row r="32" spans="1:9">
      <c r="A32" s="3">
        <v>29</v>
      </c>
      <c r="B32" s="162" t="s">
        <v>613</v>
      </c>
      <c r="C32" s="162" t="s">
        <v>635</v>
      </c>
      <c r="D32" s="162"/>
      <c r="E32" s="163" t="s">
        <v>92</v>
      </c>
      <c r="F32" s="164">
        <v>2000</v>
      </c>
      <c r="G32" s="163">
        <v>65</v>
      </c>
      <c r="H32" s="164">
        <v>130000</v>
      </c>
      <c r="I32" s="42"/>
    </row>
    <row r="33" spans="1:9" ht="48.6">
      <c r="A33" s="3">
        <v>30</v>
      </c>
      <c r="B33" s="162" t="s">
        <v>613</v>
      </c>
      <c r="C33" s="162" t="s">
        <v>621</v>
      </c>
      <c r="D33" s="162"/>
      <c r="E33" s="163" t="s">
        <v>92</v>
      </c>
      <c r="F33" s="164">
        <v>10000</v>
      </c>
      <c r="G33" s="163">
        <v>65</v>
      </c>
      <c r="H33" s="164">
        <v>650000</v>
      </c>
      <c r="I33" s="105" t="s">
        <v>1270</v>
      </c>
    </row>
    <row r="34" spans="1:9">
      <c r="A34" s="3">
        <v>31</v>
      </c>
      <c r="B34" s="162" t="s">
        <v>613</v>
      </c>
      <c r="C34" s="162" t="s">
        <v>1881</v>
      </c>
      <c r="D34" s="162"/>
      <c r="E34" s="163" t="s">
        <v>33</v>
      </c>
      <c r="F34" s="164">
        <v>4000</v>
      </c>
      <c r="G34" s="163">
        <v>65</v>
      </c>
      <c r="H34" s="164">
        <v>260000</v>
      </c>
      <c r="I34" s="42"/>
    </row>
    <row r="35" spans="1:9">
      <c r="A35" s="3">
        <v>32</v>
      </c>
      <c r="B35" s="162" t="s">
        <v>613</v>
      </c>
      <c r="C35" s="162" t="s">
        <v>652</v>
      </c>
      <c r="D35" s="162"/>
      <c r="E35" s="163" t="s">
        <v>33</v>
      </c>
      <c r="F35" s="164">
        <v>2000</v>
      </c>
      <c r="G35" s="163">
        <v>65</v>
      </c>
      <c r="H35" s="164">
        <v>130000</v>
      </c>
      <c r="I35" s="42"/>
    </row>
    <row r="36" spans="1:9">
      <c r="A36" s="3">
        <v>33</v>
      </c>
      <c r="B36" s="162" t="s">
        <v>613</v>
      </c>
      <c r="C36" s="162" t="s">
        <v>655</v>
      </c>
      <c r="D36" s="162"/>
      <c r="E36" s="163" t="s">
        <v>102</v>
      </c>
      <c r="F36" s="164">
        <v>5000</v>
      </c>
      <c r="G36" s="163">
        <v>65</v>
      </c>
      <c r="H36" s="164">
        <v>325000</v>
      </c>
      <c r="I36" s="42"/>
    </row>
    <row r="37" spans="1:9">
      <c r="A37" s="3">
        <v>34</v>
      </c>
      <c r="B37" s="162" t="s">
        <v>613</v>
      </c>
      <c r="C37" s="162" t="s">
        <v>484</v>
      </c>
      <c r="D37" s="162"/>
      <c r="E37" s="163" t="s">
        <v>640</v>
      </c>
      <c r="F37" s="164">
        <v>2000</v>
      </c>
      <c r="G37" s="163">
        <v>65</v>
      </c>
      <c r="H37" s="164">
        <v>130000</v>
      </c>
      <c r="I37" s="42"/>
    </row>
    <row r="38" spans="1:9">
      <c r="A38" s="3">
        <v>35</v>
      </c>
      <c r="B38" s="162" t="s">
        <v>613</v>
      </c>
      <c r="C38" s="162" t="s">
        <v>628</v>
      </c>
      <c r="D38" s="162"/>
      <c r="E38" s="163" t="s">
        <v>440</v>
      </c>
      <c r="F38" s="164">
        <v>3000</v>
      </c>
      <c r="G38" s="163">
        <v>65</v>
      </c>
      <c r="H38" s="164">
        <v>195000</v>
      </c>
      <c r="I38" s="42"/>
    </row>
    <row r="39" spans="1:9">
      <c r="A39" s="3">
        <v>36</v>
      </c>
      <c r="B39" s="162" t="s">
        <v>613</v>
      </c>
      <c r="C39" s="162" t="s">
        <v>637</v>
      </c>
      <c r="D39" s="162"/>
      <c r="E39" s="163" t="s">
        <v>440</v>
      </c>
      <c r="F39" s="164">
        <v>2000</v>
      </c>
      <c r="G39" s="163">
        <v>65</v>
      </c>
      <c r="H39" s="164">
        <v>130000</v>
      </c>
      <c r="I39" s="42"/>
    </row>
    <row r="40" spans="1:9">
      <c r="A40" s="3">
        <v>37</v>
      </c>
      <c r="B40" s="162" t="s">
        <v>613</v>
      </c>
      <c r="C40" s="162" t="s">
        <v>1259</v>
      </c>
      <c r="D40" s="162"/>
      <c r="E40" s="163" t="s">
        <v>440</v>
      </c>
      <c r="F40" s="164">
        <v>6000</v>
      </c>
      <c r="G40" s="163">
        <v>65</v>
      </c>
      <c r="H40" s="164">
        <v>390000</v>
      </c>
      <c r="I40" s="42"/>
    </row>
    <row r="41" spans="1:9">
      <c r="A41" s="3">
        <v>38</v>
      </c>
      <c r="B41" s="162" t="s">
        <v>613</v>
      </c>
      <c r="C41" s="162" t="s">
        <v>646</v>
      </c>
      <c r="D41" s="162"/>
      <c r="E41" s="163" t="s">
        <v>440</v>
      </c>
      <c r="F41" s="164">
        <v>3000</v>
      </c>
      <c r="G41" s="163">
        <v>65</v>
      </c>
      <c r="H41" s="164">
        <v>195000</v>
      </c>
      <c r="I41" s="42"/>
    </row>
    <row r="42" spans="1:9">
      <c r="A42" s="3">
        <v>39</v>
      </c>
      <c r="B42" s="162" t="s">
        <v>613</v>
      </c>
      <c r="C42" s="162" t="s">
        <v>647</v>
      </c>
      <c r="D42" s="162"/>
      <c r="E42" s="163" t="s">
        <v>440</v>
      </c>
      <c r="F42" s="164">
        <v>2000</v>
      </c>
      <c r="G42" s="163">
        <v>65</v>
      </c>
      <c r="H42" s="164">
        <v>130000</v>
      </c>
      <c r="I42" s="42"/>
    </row>
    <row r="43" spans="1:9">
      <c r="A43" s="3">
        <v>40</v>
      </c>
      <c r="B43" s="162" t="s">
        <v>613</v>
      </c>
      <c r="C43" s="162" t="s">
        <v>322</v>
      </c>
      <c r="D43" s="162"/>
      <c r="E43" s="163" t="s">
        <v>440</v>
      </c>
      <c r="F43" s="164">
        <v>5000</v>
      </c>
      <c r="G43" s="163">
        <v>65</v>
      </c>
      <c r="H43" s="164">
        <v>325000</v>
      </c>
      <c r="I43" s="42"/>
    </row>
    <row r="44" spans="1:9" ht="32.4">
      <c r="A44" s="3">
        <v>41</v>
      </c>
      <c r="B44" s="162" t="s">
        <v>613</v>
      </c>
      <c r="C44" s="162" t="s">
        <v>625</v>
      </c>
      <c r="D44" s="165" t="s">
        <v>1235</v>
      </c>
      <c r="E44" s="166" t="s">
        <v>93</v>
      </c>
      <c r="F44" s="164">
        <v>3000</v>
      </c>
      <c r="G44" s="163">
        <v>65</v>
      </c>
      <c r="H44" s="164">
        <v>195000</v>
      </c>
      <c r="I44" s="93"/>
    </row>
    <row r="45" spans="1:9">
      <c r="A45" s="3">
        <v>42</v>
      </c>
      <c r="B45" s="162" t="s">
        <v>613</v>
      </c>
      <c r="C45" s="162" t="s">
        <v>616</v>
      </c>
      <c r="D45" s="162"/>
      <c r="E45" s="166" t="s">
        <v>93</v>
      </c>
      <c r="F45" s="164">
        <v>3000</v>
      </c>
      <c r="G45" s="163">
        <v>65</v>
      </c>
      <c r="H45" s="164">
        <v>195000</v>
      </c>
      <c r="I45" s="42"/>
    </row>
    <row r="46" spans="1:9">
      <c r="A46" s="3">
        <v>43</v>
      </c>
      <c r="B46" s="162" t="s">
        <v>613</v>
      </c>
      <c r="C46" s="162" t="s">
        <v>644</v>
      </c>
      <c r="D46" s="162"/>
      <c r="E46" s="166" t="s">
        <v>93</v>
      </c>
      <c r="F46" s="164">
        <v>1000</v>
      </c>
      <c r="G46" s="163">
        <v>65</v>
      </c>
      <c r="H46" s="164">
        <v>65000</v>
      </c>
      <c r="I46" s="42"/>
    </row>
    <row r="47" spans="1:9" ht="32.4">
      <c r="A47" s="3">
        <v>44</v>
      </c>
      <c r="B47" s="162" t="s">
        <v>613</v>
      </c>
      <c r="C47" s="162" t="s">
        <v>620</v>
      </c>
      <c r="D47" s="165" t="s">
        <v>1235</v>
      </c>
      <c r="E47" s="166" t="s">
        <v>93</v>
      </c>
      <c r="F47" s="164">
        <v>10000</v>
      </c>
      <c r="G47" s="163">
        <v>65</v>
      </c>
      <c r="H47" s="164">
        <v>650000</v>
      </c>
      <c r="I47" s="93"/>
    </row>
    <row r="48" spans="1:9">
      <c r="A48" s="3">
        <v>45</v>
      </c>
      <c r="B48" s="162" t="s">
        <v>613</v>
      </c>
      <c r="C48" s="162" t="s">
        <v>622</v>
      </c>
      <c r="D48" s="162"/>
      <c r="E48" s="166" t="s">
        <v>93</v>
      </c>
      <c r="F48" s="164">
        <v>5000</v>
      </c>
      <c r="G48" s="163">
        <v>65</v>
      </c>
      <c r="H48" s="164">
        <v>325000</v>
      </c>
      <c r="I48" s="42"/>
    </row>
    <row r="49" spans="1:9" ht="32.4">
      <c r="A49" s="3">
        <v>46</v>
      </c>
      <c r="B49" s="162" t="s">
        <v>613</v>
      </c>
      <c r="C49" s="162" t="s">
        <v>617</v>
      </c>
      <c r="D49" s="165" t="s">
        <v>1235</v>
      </c>
      <c r="E49" s="166" t="s">
        <v>618</v>
      </c>
      <c r="F49" s="164">
        <v>1000</v>
      </c>
      <c r="G49" s="163">
        <v>65</v>
      </c>
      <c r="H49" s="164">
        <v>65000</v>
      </c>
      <c r="I49" s="93"/>
    </row>
    <row r="50" spans="1:9">
      <c r="A50" s="3">
        <v>47</v>
      </c>
      <c r="B50" s="162" t="s">
        <v>613</v>
      </c>
      <c r="C50" s="162" t="s">
        <v>624</v>
      </c>
      <c r="D50" s="162"/>
      <c r="E50" s="166" t="s">
        <v>576</v>
      </c>
      <c r="F50" s="164">
        <v>5000</v>
      </c>
      <c r="G50" s="163">
        <v>65</v>
      </c>
      <c r="H50" s="164">
        <v>325000</v>
      </c>
      <c r="I50" s="42"/>
    </row>
    <row r="51" spans="1:9">
      <c r="A51" s="3">
        <v>48</v>
      </c>
      <c r="B51" s="162" t="s">
        <v>613</v>
      </c>
      <c r="C51" s="162" t="s">
        <v>636</v>
      </c>
      <c r="D51" s="162"/>
      <c r="E51" s="166" t="s">
        <v>576</v>
      </c>
      <c r="F51" s="164">
        <v>2000</v>
      </c>
      <c r="G51" s="163">
        <v>65</v>
      </c>
      <c r="H51" s="164">
        <v>130000</v>
      </c>
      <c r="I51" s="42"/>
    </row>
    <row r="52" spans="1:9">
      <c r="A52" s="3">
        <v>49</v>
      </c>
      <c r="B52" s="162" t="s">
        <v>613</v>
      </c>
      <c r="C52" s="162" t="s">
        <v>649</v>
      </c>
      <c r="D52" s="162"/>
      <c r="E52" s="166" t="s">
        <v>576</v>
      </c>
      <c r="F52" s="164">
        <v>3000</v>
      </c>
      <c r="G52" s="163">
        <v>65</v>
      </c>
      <c r="H52" s="164">
        <v>195000</v>
      </c>
      <c r="I52" s="42"/>
    </row>
    <row r="53" spans="1:9" ht="32.4">
      <c r="A53" s="3">
        <v>50</v>
      </c>
      <c r="B53" s="162" t="s">
        <v>613</v>
      </c>
      <c r="C53" s="162" t="s">
        <v>629</v>
      </c>
      <c r="D53" s="165" t="s">
        <v>1235</v>
      </c>
      <c r="E53" s="166" t="s">
        <v>94</v>
      </c>
      <c r="F53" s="164">
        <v>10000</v>
      </c>
      <c r="G53" s="163">
        <v>65</v>
      </c>
      <c r="H53" s="164">
        <v>650000</v>
      </c>
      <c r="I53" s="93"/>
    </row>
    <row r="54" spans="1:9">
      <c r="A54" s="3">
        <v>51</v>
      </c>
      <c r="B54" s="162" t="s">
        <v>613</v>
      </c>
      <c r="C54" s="162" t="s">
        <v>650</v>
      </c>
      <c r="D54" s="162"/>
      <c r="E54" s="166" t="s">
        <v>651</v>
      </c>
      <c r="F54" s="164">
        <v>2000</v>
      </c>
      <c r="G54" s="163">
        <v>65</v>
      </c>
      <c r="H54" s="164">
        <v>130000</v>
      </c>
      <c r="I54" s="42"/>
    </row>
    <row r="55" spans="1:9" ht="33" thickBot="1">
      <c r="A55" s="33">
        <v>52</v>
      </c>
      <c r="B55" s="167" t="s">
        <v>613</v>
      </c>
      <c r="C55" s="167" t="s">
        <v>629</v>
      </c>
      <c r="D55" s="168" t="s">
        <v>1235</v>
      </c>
      <c r="E55" s="169" t="s">
        <v>586</v>
      </c>
      <c r="F55" s="170">
        <v>5000</v>
      </c>
      <c r="G55" s="171">
        <v>65</v>
      </c>
      <c r="H55" s="170">
        <v>325000</v>
      </c>
      <c r="I55" s="93"/>
    </row>
    <row r="56" spans="1:9" ht="16.8" thickBot="1">
      <c r="A56" s="14"/>
      <c r="B56" s="172"/>
      <c r="C56" s="172"/>
      <c r="D56" s="172"/>
      <c r="E56" s="173"/>
      <c r="F56" s="174">
        <f>SUBTOTAL(9,F14:F55)</f>
        <v>157000</v>
      </c>
      <c r="G56" s="177" t="s">
        <v>658</v>
      </c>
      <c r="H56" s="174">
        <f>SUBTOTAL(9,H14:H55)</f>
        <v>10205000</v>
      </c>
      <c r="I56" s="25"/>
    </row>
    <row r="57" spans="1:9" ht="16.8" thickBot="1">
      <c r="A57" s="36">
        <v>53</v>
      </c>
      <c r="B57" s="178" t="s">
        <v>613</v>
      </c>
      <c r="C57" s="178" t="s">
        <v>659</v>
      </c>
      <c r="D57" s="178"/>
      <c r="E57" s="179" t="s">
        <v>538</v>
      </c>
      <c r="F57" s="180">
        <v>6000</v>
      </c>
      <c r="G57" s="179">
        <v>66</v>
      </c>
      <c r="H57" s="180">
        <v>396000</v>
      </c>
      <c r="I57" s="44"/>
    </row>
    <row r="58" spans="1:9" ht="16.8" thickBot="1">
      <c r="A58" s="14"/>
      <c r="B58" s="172"/>
      <c r="C58" s="172"/>
      <c r="D58" s="172"/>
      <c r="E58" s="173"/>
      <c r="F58" s="174">
        <f>SUBTOTAL(9,F57)</f>
        <v>6000</v>
      </c>
      <c r="G58" s="177" t="s">
        <v>660</v>
      </c>
      <c r="H58" s="174">
        <f>SUBTOTAL(9,H57)</f>
        <v>396000</v>
      </c>
      <c r="I58" s="25"/>
    </row>
    <row r="59" spans="1:9">
      <c r="A59" s="10">
        <v>54</v>
      </c>
      <c r="B59" s="159" t="s">
        <v>613</v>
      </c>
      <c r="C59" s="159" t="s">
        <v>1274</v>
      </c>
      <c r="D59" s="159"/>
      <c r="E59" s="160" t="s">
        <v>633</v>
      </c>
      <c r="F59" s="161">
        <v>2000</v>
      </c>
      <c r="G59" s="160">
        <v>67</v>
      </c>
      <c r="H59" s="161">
        <v>134000</v>
      </c>
      <c r="I59" s="41"/>
    </row>
    <row r="60" spans="1:9">
      <c r="A60" s="3">
        <v>55</v>
      </c>
      <c r="B60" s="162" t="s">
        <v>613</v>
      </c>
      <c r="C60" s="162" t="s">
        <v>595</v>
      </c>
      <c r="D60" s="162"/>
      <c r="E60" s="163" t="s">
        <v>718</v>
      </c>
      <c r="F60" s="164">
        <v>2000</v>
      </c>
      <c r="G60" s="163">
        <v>67</v>
      </c>
      <c r="H60" s="164">
        <v>134000</v>
      </c>
      <c r="I60" s="42"/>
    </row>
    <row r="61" spans="1:9">
      <c r="A61" s="3">
        <v>56</v>
      </c>
      <c r="B61" s="162" t="s">
        <v>613</v>
      </c>
      <c r="C61" s="162" t="s">
        <v>664</v>
      </c>
      <c r="D61" s="162"/>
      <c r="E61" s="163" t="s">
        <v>654</v>
      </c>
      <c r="F61" s="164">
        <v>5000</v>
      </c>
      <c r="G61" s="163">
        <v>67</v>
      </c>
      <c r="H61" s="164">
        <v>335000</v>
      </c>
      <c r="I61" s="42"/>
    </row>
    <row r="62" spans="1:9">
      <c r="A62" s="3">
        <v>57</v>
      </c>
      <c r="B62" s="162" t="s">
        <v>613</v>
      </c>
      <c r="C62" s="162" t="s">
        <v>688</v>
      </c>
      <c r="D62" s="162"/>
      <c r="E62" s="163" t="s">
        <v>639</v>
      </c>
      <c r="F62" s="164">
        <v>2000</v>
      </c>
      <c r="G62" s="163">
        <v>67</v>
      </c>
      <c r="H62" s="164">
        <v>134000</v>
      </c>
      <c r="I62" s="42"/>
    </row>
    <row r="63" spans="1:9">
      <c r="A63" s="3">
        <v>58</v>
      </c>
      <c r="B63" s="162" t="s">
        <v>613</v>
      </c>
      <c r="C63" s="162" t="s">
        <v>680</v>
      </c>
      <c r="D63" s="162"/>
      <c r="E63" s="163" t="s">
        <v>657</v>
      </c>
      <c r="F63" s="164">
        <v>2000</v>
      </c>
      <c r="G63" s="163">
        <v>67</v>
      </c>
      <c r="H63" s="164">
        <v>134000</v>
      </c>
      <c r="I63" s="42"/>
    </row>
    <row r="64" spans="1:9">
      <c r="A64" s="3">
        <v>59</v>
      </c>
      <c r="B64" s="162" t="s">
        <v>613</v>
      </c>
      <c r="C64" s="162" t="s">
        <v>735</v>
      </c>
      <c r="D64" s="162"/>
      <c r="E64" s="163" t="s">
        <v>657</v>
      </c>
      <c r="F64" s="164">
        <v>6000</v>
      </c>
      <c r="G64" s="163">
        <v>67</v>
      </c>
      <c r="H64" s="164">
        <v>402000</v>
      </c>
      <c r="I64" s="42"/>
    </row>
    <row r="65" spans="1:9">
      <c r="A65" s="3">
        <v>60</v>
      </c>
      <c r="B65" s="162" t="s">
        <v>613</v>
      </c>
      <c r="C65" s="162" t="s">
        <v>1266</v>
      </c>
      <c r="D65" s="162"/>
      <c r="E65" s="163" t="s">
        <v>92</v>
      </c>
      <c r="F65" s="164">
        <v>4000</v>
      </c>
      <c r="G65" s="163">
        <v>67</v>
      </c>
      <c r="H65" s="164">
        <v>268000</v>
      </c>
      <c r="I65" s="42"/>
    </row>
    <row r="66" spans="1:9">
      <c r="A66" s="3">
        <v>61</v>
      </c>
      <c r="B66" s="162" t="s">
        <v>613</v>
      </c>
      <c r="C66" s="162" t="s">
        <v>619</v>
      </c>
      <c r="D66" s="162"/>
      <c r="E66" s="163" t="s">
        <v>92</v>
      </c>
      <c r="F66" s="164">
        <v>4000</v>
      </c>
      <c r="G66" s="163">
        <v>67</v>
      </c>
      <c r="H66" s="164">
        <v>268000</v>
      </c>
      <c r="I66" s="42"/>
    </row>
    <row r="67" spans="1:9">
      <c r="A67" s="3">
        <v>62</v>
      </c>
      <c r="B67" s="162" t="s">
        <v>613</v>
      </c>
      <c r="C67" s="162" t="s">
        <v>672</v>
      </c>
      <c r="D67" s="162"/>
      <c r="E67" s="163" t="s">
        <v>33</v>
      </c>
      <c r="F67" s="164">
        <v>2000</v>
      </c>
      <c r="G67" s="163">
        <v>67</v>
      </c>
      <c r="H67" s="164">
        <v>134000</v>
      </c>
      <c r="I67" s="42"/>
    </row>
    <row r="68" spans="1:9">
      <c r="A68" s="3">
        <v>63</v>
      </c>
      <c r="B68" s="162" t="s">
        <v>613</v>
      </c>
      <c r="C68" s="162" t="s">
        <v>681</v>
      </c>
      <c r="D68" s="162"/>
      <c r="E68" s="163" t="s">
        <v>33</v>
      </c>
      <c r="F68" s="164">
        <v>1000</v>
      </c>
      <c r="G68" s="163">
        <v>67</v>
      </c>
      <c r="H68" s="164">
        <v>67000</v>
      </c>
      <c r="I68" s="42"/>
    </row>
    <row r="69" spans="1:9">
      <c r="A69" s="3">
        <v>64</v>
      </c>
      <c r="B69" s="162" t="s">
        <v>613</v>
      </c>
      <c r="C69" s="162" t="s">
        <v>466</v>
      </c>
      <c r="D69" s="162"/>
      <c r="E69" s="163" t="s">
        <v>102</v>
      </c>
      <c r="F69" s="164">
        <v>12000</v>
      </c>
      <c r="G69" s="163">
        <v>67</v>
      </c>
      <c r="H69" s="164">
        <v>804000</v>
      </c>
      <c r="I69" s="42"/>
    </row>
    <row r="70" spans="1:9">
      <c r="A70" s="3">
        <v>65</v>
      </c>
      <c r="B70" s="162" t="s">
        <v>613</v>
      </c>
      <c r="C70" s="162" t="s">
        <v>714</v>
      </c>
      <c r="D70" s="162"/>
      <c r="E70" s="163" t="s">
        <v>440</v>
      </c>
      <c r="F70" s="164">
        <v>5000</v>
      </c>
      <c r="G70" s="163">
        <v>67</v>
      </c>
      <c r="H70" s="164">
        <v>335000</v>
      </c>
      <c r="I70" s="42"/>
    </row>
    <row r="71" spans="1:9">
      <c r="A71" s="3">
        <v>66</v>
      </c>
      <c r="B71" s="162" t="s">
        <v>613</v>
      </c>
      <c r="C71" s="162" t="s">
        <v>667</v>
      </c>
      <c r="D71" s="162"/>
      <c r="E71" s="163" t="s">
        <v>93</v>
      </c>
      <c r="F71" s="164">
        <v>5000</v>
      </c>
      <c r="G71" s="163">
        <v>67</v>
      </c>
      <c r="H71" s="164">
        <v>335000</v>
      </c>
      <c r="I71" s="42"/>
    </row>
    <row r="72" spans="1:9">
      <c r="A72" s="3">
        <v>67</v>
      </c>
      <c r="B72" s="162" t="s">
        <v>613</v>
      </c>
      <c r="C72" s="162" t="s">
        <v>612</v>
      </c>
      <c r="D72" s="162"/>
      <c r="E72" s="163" t="s">
        <v>93</v>
      </c>
      <c r="F72" s="164">
        <v>8000</v>
      </c>
      <c r="G72" s="163">
        <v>67</v>
      </c>
      <c r="H72" s="164">
        <v>536000</v>
      </c>
      <c r="I72" s="42"/>
    </row>
    <row r="73" spans="1:9">
      <c r="A73" s="3">
        <v>68</v>
      </c>
      <c r="B73" s="162" t="s">
        <v>613</v>
      </c>
      <c r="C73" s="162" t="s">
        <v>615</v>
      </c>
      <c r="D73" s="162"/>
      <c r="E73" s="163" t="s">
        <v>93</v>
      </c>
      <c r="F73" s="164">
        <v>4000</v>
      </c>
      <c r="G73" s="163">
        <v>67</v>
      </c>
      <c r="H73" s="164">
        <v>268000</v>
      </c>
      <c r="I73" s="42"/>
    </row>
    <row r="74" spans="1:9">
      <c r="A74" s="3">
        <v>69</v>
      </c>
      <c r="B74" s="162" t="s">
        <v>613</v>
      </c>
      <c r="C74" s="162" t="s">
        <v>731</v>
      </c>
      <c r="D74" s="162"/>
      <c r="E74" s="163" t="s">
        <v>93</v>
      </c>
      <c r="F74" s="164">
        <v>7000</v>
      </c>
      <c r="G74" s="163">
        <v>67</v>
      </c>
      <c r="H74" s="164">
        <v>469000</v>
      </c>
      <c r="I74" s="42"/>
    </row>
    <row r="75" spans="1:9" ht="64.8">
      <c r="A75" s="3">
        <v>70</v>
      </c>
      <c r="B75" s="162" t="s">
        <v>613</v>
      </c>
      <c r="C75" s="162" t="s">
        <v>748</v>
      </c>
      <c r="D75" s="162"/>
      <c r="E75" s="163" t="s">
        <v>93</v>
      </c>
      <c r="F75" s="164">
        <v>5000</v>
      </c>
      <c r="G75" s="163">
        <v>67</v>
      </c>
      <c r="H75" s="164">
        <v>335000</v>
      </c>
      <c r="I75" s="105" t="s">
        <v>1252</v>
      </c>
    </row>
    <row r="76" spans="1:9">
      <c r="A76" s="3">
        <v>71</v>
      </c>
      <c r="B76" s="162" t="s">
        <v>613</v>
      </c>
      <c r="C76" s="162" t="s">
        <v>737</v>
      </c>
      <c r="D76" s="162"/>
      <c r="E76" s="163" t="s">
        <v>576</v>
      </c>
      <c r="F76" s="164">
        <v>1000</v>
      </c>
      <c r="G76" s="163">
        <v>67</v>
      </c>
      <c r="H76" s="164">
        <v>67000</v>
      </c>
      <c r="I76" s="42"/>
    </row>
    <row r="77" spans="1:9">
      <c r="A77" s="3">
        <v>72</v>
      </c>
      <c r="B77" s="162" t="s">
        <v>613</v>
      </c>
      <c r="C77" s="162" t="s">
        <v>293</v>
      </c>
      <c r="D77" s="162"/>
      <c r="E77" s="163" t="s">
        <v>94</v>
      </c>
      <c r="F77" s="164">
        <v>6000</v>
      </c>
      <c r="G77" s="163">
        <v>67</v>
      </c>
      <c r="H77" s="164">
        <v>402000</v>
      </c>
      <c r="I77" s="42"/>
    </row>
    <row r="78" spans="1:9">
      <c r="A78" s="3">
        <v>73</v>
      </c>
      <c r="B78" s="162" t="s">
        <v>613</v>
      </c>
      <c r="C78" s="162" t="s">
        <v>710</v>
      </c>
      <c r="D78" s="162"/>
      <c r="E78" s="163" t="s">
        <v>94</v>
      </c>
      <c r="F78" s="164">
        <v>5000</v>
      </c>
      <c r="G78" s="163">
        <v>67</v>
      </c>
      <c r="H78" s="164">
        <v>335000</v>
      </c>
      <c r="I78" s="42"/>
    </row>
    <row r="79" spans="1:9">
      <c r="A79" s="3">
        <v>74</v>
      </c>
      <c r="B79" s="162" t="s">
        <v>613</v>
      </c>
      <c r="C79" s="162" t="s">
        <v>711</v>
      </c>
      <c r="D79" s="162"/>
      <c r="E79" s="163" t="s">
        <v>94</v>
      </c>
      <c r="F79" s="164">
        <v>2000</v>
      </c>
      <c r="G79" s="163">
        <v>67</v>
      </c>
      <c r="H79" s="164">
        <v>134000</v>
      </c>
      <c r="I79" s="42"/>
    </row>
    <row r="80" spans="1:9">
      <c r="A80" s="3">
        <v>75</v>
      </c>
      <c r="B80" s="162" t="s">
        <v>613</v>
      </c>
      <c r="C80" s="162" t="s">
        <v>736</v>
      </c>
      <c r="D80" s="162"/>
      <c r="E80" s="163" t="s">
        <v>94</v>
      </c>
      <c r="F80" s="164">
        <v>1000</v>
      </c>
      <c r="G80" s="163">
        <v>67</v>
      </c>
      <c r="H80" s="164">
        <v>67000</v>
      </c>
      <c r="I80" s="42"/>
    </row>
    <row r="81" spans="1:9">
      <c r="A81" s="3">
        <v>76</v>
      </c>
      <c r="B81" s="162" t="s">
        <v>613</v>
      </c>
      <c r="C81" s="162" t="s">
        <v>711</v>
      </c>
      <c r="D81" s="162"/>
      <c r="E81" s="163" t="s">
        <v>591</v>
      </c>
      <c r="F81" s="164">
        <v>8000</v>
      </c>
      <c r="G81" s="163">
        <v>67</v>
      </c>
      <c r="H81" s="164">
        <v>536000</v>
      </c>
      <c r="I81" s="42"/>
    </row>
    <row r="82" spans="1:9">
      <c r="A82" s="3">
        <v>77</v>
      </c>
      <c r="B82" s="162" t="s">
        <v>613</v>
      </c>
      <c r="C82" s="162" t="s">
        <v>698</v>
      </c>
      <c r="D82" s="162"/>
      <c r="E82" s="163" t="s">
        <v>538</v>
      </c>
      <c r="F82" s="164">
        <v>1000</v>
      </c>
      <c r="G82" s="163">
        <v>67</v>
      </c>
      <c r="H82" s="164">
        <v>67000</v>
      </c>
      <c r="I82" s="42"/>
    </row>
    <row r="83" spans="1:9">
      <c r="A83" s="3">
        <v>78</v>
      </c>
      <c r="B83" s="162" t="s">
        <v>613</v>
      </c>
      <c r="C83" s="162" t="s">
        <v>706</v>
      </c>
      <c r="D83" s="162"/>
      <c r="E83" s="163" t="s">
        <v>538</v>
      </c>
      <c r="F83" s="164">
        <v>2000</v>
      </c>
      <c r="G83" s="163">
        <v>67</v>
      </c>
      <c r="H83" s="164">
        <v>134000</v>
      </c>
      <c r="I83" s="42"/>
    </row>
    <row r="84" spans="1:9">
      <c r="A84" s="3">
        <v>79</v>
      </c>
      <c r="B84" s="162" t="s">
        <v>613</v>
      </c>
      <c r="C84" s="162" t="s">
        <v>410</v>
      </c>
      <c r="D84" s="162"/>
      <c r="E84" s="163" t="s">
        <v>586</v>
      </c>
      <c r="F84" s="164">
        <v>10000</v>
      </c>
      <c r="G84" s="163">
        <v>67</v>
      </c>
      <c r="H84" s="164">
        <v>670000</v>
      </c>
      <c r="I84" s="42"/>
    </row>
    <row r="85" spans="1:9">
      <c r="A85" s="3">
        <v>80</v>
      </c>
      <c r="B85" s="162" t="s">
        <v>613</v>
      </c>
      <c r="C85" s="162" t="s">
        <v>708</v>
      </c>
      <c r="D85" s="162"/>
      <c r="E85" s="163" t="s">
        <v>586</v>
      </c>
      <c r="F85" s="164">
        <v>1000</v>
      </c>
      <c r="G85" s="163">
        <v>67</v>
      </c>
      <c r="H85" s="164">
        <v>67000</v>
      </c>
      <c r="I85" s="42"/>
    </row>
    <row r="86" spans="1:9">
      <c r="A86" s="3">
        <v>81</v>
      </c>
      <c r="B86" s="162" t="s">
        <v>613</v>
      </c>
      <c r="C86" s="162" t="s">
        <v>720</v>
      </c>
      <c r="D86" s="162"/>
      <c r="E86" s="163" t="s">
        <v>586</v>
      </c>
      <c r="F86" s="164">
        <v>3000</v>
      </c>
      <c r="G86" s="163">
        <v>67</v>
      </c>
      <c r="H86" s="164">
        <v>201000</v>
      </c>
      <c r="I86" s="42"/>
    </row>
    <row r="87" spans="1:9">
      <c r="A87" s="3">
        <v>82</v>
      </c>
      <c r="B87" s="162" t="s">
        <v>613</v>
      </c>
      <c r="C87" s="162" t="s">
        <v>677</v>
      </c>
      <c r="D87" s="162"/>
      <c r="E87" s="163" t="s">
        <v>34</v>
      </c>
      <c r="F87" s="164">
        <v>3000</v>
      </c>
      <c r="G87" s="163">
        <v>67</v>
      </c>
      <c r="H87" s="164">
        <v>201000</v>
      </c>
      <c r="I87" s="42"/>
    </row>
    <row r="88" spans="1:9">
      <c r="A88" s="3">
        <v>83</v>
      </c>
      <c r="B88" s="162" t="s">
        <v>613</v>
      </c>
      <c r="C88" s="162" t="s">
        <v>684</v>
      </c>
      <c r="D88" s="162"/>
      <c r="E88" s="163" t="s">
        <v>34</v>
      </c>
      <c r="F88" s="164">
        <v>2000</v>
      </c>
      <c r="G88" s="163">
        <v>67</v>
      </c>
      <c r="H88" s="164">
        <v>134000</v>
      </c>
      <c r="I88" s="42"/>
    </row>
    <row r="89" spans="1:9">
      <c r="A89" s="3">
        <v>84</v>
      </c>
      <c r="B89" s="162" t="s">
        <v>613</v>
      </c>
      <c r="C89" s="162" t="s">
        <v>689</v>
      </c>
      <c r="D89" s="162"/>
      <c r="E89" s="163" t="s">
        <v>34</v>
      </c>
      <c r="F89" s="164">
        <v>1000</v>
      </c>
      <c r="G89" s="163">
        <v>67</v>
      </c>
      <c r="H89" s="164">
        <v>67000</v>
      </c>
      <c r="I89" s="42"/>
    </row>
    <row r="90" spans="1:9">
      <c r="A90" s="3">
        <v>85</v>
      </c>
      <c r="B90" s="162" t="s">
        <v>613</v>
      </c>
      <c r="C90" s="162" t="s">
        <v>636</v>
      </c>
      <c r="D90" s="162"/>
      <c r="E90" s="163" t="s">
        <v>34</v>
      </c>
      <c r="F90" s="164">
        <v>2000</v>
      </c>
      <c r="G90" s="163">
        <v>67</v>
      </c>
      <c r="H90" s="164">
        <v>134000</v>
      </c>
      <c r="I90" s="42"/>
    </row>
    <row r="91" spans="1:9">
      <c r="A91" s="3">
        <v>86</v>
      </c>
      <c r="B91" s="162" t="s">
        <v>613</v>
      </c>
      <c r="C91" s="162" t="s">
        <v>740</v>
      </c>
      <c r="D91" s="162"/>
      <c r="E91" s="163" t="s">
        <v>34</v>
      </c>
      <c r="F91" s="164">
        <v>1000</v>
      </c>
      <c r="G91" s="163">
        <v>67</v>
      </c>
      <c r="H91" s="164">
        <v>67000</v>
      </c>
      <c r="I91" s="42"/>
    </row>
    <row r="92" spans="1:9">
      <c r="A92" s="3">
        <v>87</v>
      </c>
      <c r="B92" s="162" t="s">
        <v>613</v>
      </c>
      <c r="C92" s="162" t="s">
        <v>746</v>
      </c>
      <c r="D92" s="162"/>
      <c r="E92" s="163" t="s">
        <v>34</v>
      </c>
      <c r="F92" s="164">
        <v>20000</v>
      </c>
      <c r="G92" s="163">
        <v>67</v>
      </c>
      <c r="H92" s="164">
        <v>1340000</v>
      </c>
      <c r="I92" s="42"/>
    </row>
    <row r="93" spans="1:9">
      <c r="A93" s="3">
        <v>88</v>
      </c>
      <c r="B93" s="162" t="s">
        <v>613</v>
      </c>
      <c r="C93" s="162" t="s">
        <v>726</v>
      </c>
      <c r="D93" s="162"/>
      <c r="E93" s="163" t="s">
        <v>727</v>
      </c>
      <c r="F93" s="164">
        <v>1000</v>
      </c>
      <c r="G93" s="163">
        <v>67</v>
      </c>
      <c r="H93" s="164">
        <v>67000</v>
      </c>
      <c r="I93" s="42"/>
    </row>
    <row r="94" spans="1:9">
      <c r="A94" s="3">
        <v>89</v>
      </c>
      <c r="B94" s="162" t="s">
        <v>613</v>
      </c>
      <c r="C94" s="162" t="s">
        <v>634</v>
      </c>
      <c r="D94" s="162"/>
      <c r="E94" s="163" t="s">
        <v>712</v>
      </c>
      <c r="F94" s="164">
        <v>2000</v>
      </c>
      <c r="G94" s="163">
        <v>67</v>
      </c>
      <c r="H94" s="164">
        <v>134000</v>
      </c>
      <c r="I94" s="42"/>
    </row>
    <row r="95" spans="1:9" ht="32.4">
      <c r="A95" s="3">
        <v>90</v>
      </c>
      <c r="B95" s="162" t="s">
        <v>613</v>
      </c>
      <c r="C95" s="162" t="s">
        <v>716</v>
      </c>
      <c r="D95" s="165" t="s">
        <v>1235</v>
      </c>
      <c r="E95" s="166" t="s">
        <v>712</v>
      </c>
      <c r="F95" s="164">
        <v>1000</v>
      </c>
      <c r="G95" s="163">
        <v>67</v>
      </c>
      <c r="H95" s="164">
        <v>67000</v>
      </c>
      <c r="I95" s="93"/>
    </row>
    <row r="96" spans="1:9">
      <c r="A96" s="3">
        <v>91</v>
      </c>
      <c r="B96" s="162" t="s">
        <v>613</v>
      </c>
      <c r="C96" s="162" t="s">
        <v>717</v>
      </c>
      <c r="D96" s="162"/>
      <c r="E96" s="166" t="s">
        <v>712</v>
      </c>
      <c r="F96" s="164">
        <v>1000</v>
      </c>
      <c r="G96" s="163">
        <v>67</v>
      </c>
      <c r="H96" s="164">
        <v>67000</v>
      </c>
      <c r="I96" s="42"/>
    </row>
    <row r="97" spans="1:9">
      <c r="A97" s="3">
        <v>92</v>
      </c>
      <c r="B97" s="162" t="s">
        <v>613</v>
      </c>
      <c r="C97" s="162" t="s">
        <v>733</v>
      </c>
      <c r="D97" s="162"/>
      <c r="E97" s="166" t="s">
        <v>712</v>
      </c>
      <c r="F97" s="164">
        <v>2000</v>
      </c>
      <c r="G97" s="163">
        <v>67</v>
      </c>
      <c r="H97" s="164">
        <v>134000</v>
      </c>
      <c r="I97" s="42"/>
    </row>
    <row r="98" spans="1:9">
      <c r="A98" s="3">
        <v>93</v>
      </c>
      <c r="B98" s="162" t="s">
        <v>613</v>
      </c>
      <c r="C98" s="162" t="s">
        <v>634</v>
      </c>
      <c r="D98" s="162"/>
      <c r="E98" s="166" t="s">
        <v>713</v>
      </c>
      <c r="F98" s="164">
        <v>4000</v>
      </c>
      <c r="G98" s="163">
        <v>67</v>
      </c>
      <c r="H98" s="164">
        <v>268000</v>
      </c>
      <c r="I98" s="42"/>
    </row>
    <row r="99" spans="1:9" ht="32.4">
      <c r="A99" s="3">
        <v>94</v>
      </c>
      <c r="B99" s="162" t="s">
        <v>613</v>
      </c>
      <c r="C99" s="162" t="s">
        <v>744</v>
      </c>
      <c r="D99" s="165" t="s">
        <v>1235</v>
      </c>
      <c r="E99" s="166" t="s">
        <v>713</v>
      </c>
      <c r="F99" s="164">
        <v>5000</v>
      </c>
      <c r="G99" s="163">
        <v>67</v>
      </c>
      <c r="H99" s="164">
        <v>335000</v>
      </c>
      <c r="I99" s="93"/>
    </row>
    <row r="100" spans="1:9" ht="32.4">
      <c r="A100" s="3">
        <v>95</v>
      </c>
      <c r="B100" s="162" t="s">
        <v>613</v>
      </c>
      <c r="C100" s="162" t="s">
        <v>745</v>
      </c>
      <c r="D100" s="176" t="s">
        <v>1235</v>
      </c>
      <c r="E100" s="166" t="s">
        <v>713</v>
      </c>
      <c r="F100" s="164">
        <v>1000</v>
      </c>
      <c r="G100" s="163">
        <v>67</v>
      </c>
      <c r="H100" s="164">
        <v>67000</v>
      </c>
      <c r="I100" s="93"/>
    </row>
    <row r="101" spans="1:9">
      <c r="A101" s="3">
        <v>96</v>
      </c>
      <c r="B101" s="162" t="s">
        <v>613</v>
      </c>
      <c r="C101" s="162" t="s">
        <v>678</v>
      </c>
      <c r="D101" s="162"/>
      <c r="E101" s="163" t="s">
        <v>679</v>
      </c>
      <c r="F101" s="164">
        <v>2000</v>
      </c>
      <c r="G101" s="163">
        <v>67</v>
      </c>
      <c r="H101" s="164">
        <v>134000</v>
      </c>
      <c r="I101" s="42"/>
    </row>
    <row r="102" spans="1:9">
      <c r="A102" s="3">
        <v>97</v>
      </c>
      <c r="B102" s="162" t="s">
        <v>613</v>
      </c>
      <c r="C102" s="162" t="s">
        <v>682</v>
      </c>
      <c r="D102" s="162"/>
      <c r="E102" s="163" t="s">
        <v>679</v>
      </c>
      <c r="F102" s="164">
        <v>2000</v>
      </c>
      <c r="G102" s="163">
        <v>67</v>
      </c>
      <c r="H102" s="164">
        <v>134000</v>
      </c>
      <c r="I102" s="42"/>
    </row>
    <row r="103" spans="1:9">
      <c r="A103" s="3">
        <v>98</v>
      </c>
      <c r="B103" s="162" t="s">
        <v>613</v>
      </c>
      <c r="C103" s="162" t="s">
        <v>694</v>
      </c>
      <c r="D103" s="162"/>
      <c r="E103" s="163" t="s">
        <v>679</v>
      </c>
      <c r="F103" s="164">
        <v>2000</v>
      </c>
      <c r="G103" s="163">
        <v>67</v>
      </c>
      <c r="H103" s="164">
        <v>134000</v>
      </c>
      <c r="I103" s="42"/>
    </row>
    <row r="104" spans="1:9">
      <c r="A104" s="3">
        <v>99</v>
      </c>
      <c r="B104" s="162" t="s">
        <v>613</v>
      </c>
      <c r="C104" s="162" t="s">
        <v>691</v>
      </c>
      <c r="D104" s="162"/>
      <c r="E104" s="163" t="s">
        <v>692</v>
      </c>
      <c r="F104" s="164">
        <v>2000</v>
      </c>
      <c r="G104" s="163">
        <v>67</v>
      </c>
      <c r="H104" s="164">
        <v>134000</v>
      </c>
      <c r="I104" s="42"/>
    </row>
    <row r="105" spans="1:9" ht="48.6">
      <c r="A105" s="3">
        <v>100</v>
      </c>
      <c r="B105" s="162" t="s">
        <v>613</v>
      </c>
      <c r="C105" s="162" t="s">
        <v>693</v>
      </c>
      <c r="D105" s="162"/>
      <c r="E105" s="163" t="s">
        <v>132</v>
      </c>
      <c r="F105" s="164">
        <v>1000</v>
      </c>
      <c r="G105" s="163">
        <v>67</v>
      </c>
      <c r="H105" s="164">
        <v>67000</v>
      </c>
      <c r="I105" s="105" t="s">
        <v>1257</v>
      </c>
    </row>
    <row r="106" spans="1:9">
      <c r="A106" s="3">
        <v>101</v>
      </c>
      <c r="B106" s="162" t="s">
        <v>613</v>
      </c>
      <c r="C106" s="162" t="s">
        <v>721</v>
      </c>
      <c r="D106" s="162"/>
      <c r="E106" s="163" t="s">
        <v>133</v>
      </c>
      <c r="F106" s="164">
        <v>1000</v>
      </c>
      <c r="G106" s="163">
        <v>67</v>
      </c>
      <c r="H106" s="164">
        <v>67000</v>
      </c>
      <c r="I106" s="42"/>
    </row>
    <row r="107" spans="1:9">
      <c r="A107" s="3">
        <v>102</v>
      </c>
      <c r="B107" s="162" t="s">
        <v>613</v>
      </c>
      <c r="C107" s="162" t="s">
        <v>743</v>
      </c>
      <c r="D107" s="162"/>
      <c r="E107" s="163" t="s">
        <v>133</v>
      </c>
      <c r="F107" s="164">
        <v>5000</v>
      </c>
      <c r="G107" s="163">
        <v>67</v>
      </c>
      <c r="H107" s="164">
        <v>335000</v>
      </c>
      <c r="I107" s="42"/>
    </row>
    <row r="108" spans="1:9">
      <c r="A108" s="3">
        <v>103</v>
      </c>
      <c r="B108" s="162" t="s">
        <v>613</v>
      </c>
      <c r="C108" s="162" t="s">
        <v>671</v>
      </c>
      <c r="D108" s="162"/>
      <c r="E108" s="163" t="s">
        <v>95</v>
      </c>
      <c r="F108" s="164">
        <v>2000</v>
      </c>
      <c r="G108" s="163">
        <v>67</v>
      </c>
      <c r="H108" s="164">
        <v>134000</v>
      </c>
      <c r="I108" s="42"/>
    </row>
    <row r="109" spans="1:9" ht="32.4">
      <c r="A109" s="3">
        <v>104</v>
      </c>
      <c r="B109" s="162" t="s">
        <v>613</v>
      </c>
      <c r="C109" s="162" t="s">
        <v>472</v>
      </c>
      <c r="D109" s="181" t="s">
        <v>1237</v>
      </c>
      <c r="E109" s="163" t="s">
        <v>95</v>
      </c>
      <c r="F109" s="164">
        <v>3000</v>
      </c>
      <c r="G109" s="163">
        <v>67</v>
      </c>
      <c r="H109" s="164">
        <v>201000</v>
      </c>
      <c r="I109" s="42"/>
    </row>
    <row r="110" spans="1:9">
      <c r="A110" s="3">
        <v>105</v>
      </c>
      <c r="B110" s="162" t="s">
        <v>613</v>
      </c>
      <c r="C110" s="162" t="s">
        <v>297</v>
      </c>
      <c r="D110" s="162"/>
      <c r="E110" s="163" t="s">
        <v>95</v>
      </c>
      <c r="F110" s="164">
        <v>5000</v>
      </c>
      <c r="G110" s="163">
        <v>67</v>
      </c>
      <c r="H110" s="164">
        <v>335000</v>
      </c>
      <c r="I110" s="42"/>
    </row>
    <row r="111" spans="1:9">
      <c r="A111" s="3">
        <v>106</v>
      </c>
      <c r="B111" s="162" t="s">
        <v>613</v>
      </c>
      <c r="C111" s="162" t="s">
        <v>737</v>
      </c>
      <c r="D111" s="162"/>
      <c r="E111" s="163" t="s">
        <v>738</v>
      </c>
      <c r="F111" s="164">
        <v>1000</v>
      </c>
      <c r="G111" s="163">
        <v>67</v>
      </c>
      <c r="H111" s="164">
        <v>67000</v>
      </c>
      <c r="I111" s="42"/>
    </row>
    <row r="112" spans="1:9">
      <c r="A112" s="3">
        <v>107</v>
      </c>
      <c r="B112" s="162" t="s">
        <v>613</v>
      </c>
      <c r="C112" s="162" t="s">
        <v>661</v>
      </c>
      <c r="D112" s="162"/>
      <c r="E112" s="163" t="s">
        <v>662</v>
      </c>
      <c r="F112" s="164">
        <v>10000</v>
      </c>
      <c r="G112" s="163">
        <v>67</v>
      </c>
      <c r="H112" s="164">
        <v>670000</v>
      </c>
      <c r="I112" s="42"/>
    </row>
    <row r="113" spans="1:9">
      <c r="A113" s="3">
        <v>108</v>
      </c>
      <c r="B113" s="162" t="s">
        <v>613</v>
      </c>
      <c r="C113" s="162" t="s">
        <v>663</v>
      </c>
      <c r="D113" s="162"/>
      <c r="E113" s="163" t="s">
        <v>662</v>
      </c>
      <c r="F113" s="164">
        <v>1000</v>
      </c>
      <c r="G113" s="163">
        <v>67</v>
      </c>
      <c r="H113" s="164">
        <v>67000</v>
      </c>
      <c r="I113" s="42"/>
    </row>
    <row r="114" spans="1:9">
      <c r="A114" s="3">
        <v>109</v>
      </c>
      <c r="B114" s="162" t="s">
        <v>613</v>
      </c>
      <c r="C114" s="162" t="s">
        <v>670</v>
      </c>
      <c r="D114" s="162"/>
      <c r="E114" s="163" t="s">
        <v>662</v>
      </c>
      <c r="F114" s="164">
        <v>20000</v>
      </c>
      <c r="G114" s="163">
        <v>67</v>
      </c>
      <c r="H114" s="164">
        <v>1340000</v>
      </c>
      <c r="I114" s="42"/>
    </row>
    <row r="115" spans="1:9">
      <c r="A115" s="3">
        <v>110</v>
      </c>
      <c r="B115" s="162" t="s">
        <v>613</v>
      </c>
      <c r="C115" s="162" t="s">
        <v>687</v>
      </c>
      <c r="D115" s="162"/>
      <c r="E115" s="163" t="s">
        <v>662</v>
      </c>
      <c r="F115" s="164">
        <v>10000</v>
      </c>
      <c r="G115" s="163">
        <v>67</v>
      </c>
      <c r="H115" s="164">
        <v>670000</v>
      </c>
      <c r="I115" s="42"/>
    </row>
    <row r="116" spans="1:9">
      <c r="A116" s="3">
        <v>111</v>
      </c>
      <c r="B116" s="162" t="s">
        <v>613</v>
      </c>
      <c r="C116" s="162" t="s">
        <v>709</v>
      </c>
      <c r="D116" s="162"/>
      <c r="E116" s="163" t="s">
        <v>662</v>
      </c>
      <c r="F116" s="164">
        <v>2000</v>
      </c>
      <c r="G116" s="163">
        <v>67</v>
      </c>
      <c r="H116" s="164">
        <v>134000</v>
      </c>
      <c r="I116" s="42"/>
    </row>
    <row r="117" spans="1:9" ht="32.4">
      <c r="A117" s="3">
        <v>112</v>
      </c>
      <c r="B117" s="162" t="s">
        <v>613</v>
      </c>
      <c r="C117" s="162" t="s">
        <v>743</v>
      </c>
      <c r="D117" s="162"/>
      <c r="E117" s="163" t="s">
        <v>662</v>
      </c>
      <c r="F117" s="164">
        <v>5000</v>
      </c>
      <c r="G117" s="163">
        <v>67</v>
      </c>
      <c r="H117" s="164">
        <v>335000</v>
      </c>
      <c r="I117" s="105" t="s">
        <v>1249</v>
      </c>
    </row>
    <row r="118" spans="1:9">
      <c r="A118" s="3">
        <v>113</v>
      </c>
      <c r="B118" s="162" t="s">
        <v>613</v>
      </c>
      <c r="C118" s="162" t="s">
        <v>484</v>
      </c>
      <c r="D118" s="162"/>
      <c r="E118" s="163" t="s">
        <v>2</v>
      </c>
      <c r="F118" s="164">
        <v>4000</v>
      </c>
      <c r="G118" s="163">
        <v>67</v>
      </c>
      <c r="H118" s="164">
        <v>268000</v>
      </c>
      <c r="I118" s="42"/>
    </row>
    <row r="119" spans="1:9">
      <c r="A119" s="3">
        <v>114</v>
      </c>
      <c r="B119" s="162" t="s">
        <v>613</v>
      </c>
      <c r="C119" s="162" t="s">
        <v>702</v>
      </c>
      <c r="D119" s="162"/>
      <c r="E119" s="163" t="s">
        <v>35</v>
      </c>
      <c r="F119" s="164">
        <v>3000</v>
      </c>
      <c r="G119" s="163">
        <v>67</v>
      </c>
      <c r="H119" s="164">
        <v>201000</v>
      </c>
      <c r="I119" s="42"/>
    </row>
    <row r="120" spans="1:9">
      <c r="A120" s="3">
        <v>115</v>
      </c>
      <c r="B120" s="162" t="s">
        <v>613</v>
      </c>
      <c r="C120" s="162" t="s">
        <v>723</v>
      </c>
      <c r="D120" s="162"/>
      <c r="E120" s="163" t="s">
        <v>35</v>
      </c>
      <c r="F120" s="164">
        <v>5000</v>
      </c>
      <c r="G120" s="163">
        <v>67</v>
      </c>
      <c r="H120" s="164">
        <v>335000</v>
      </c>
      <c r="I120" s="42"/>
    </row>
    <row r="121" spans="1:9">
      <c r="A121" s="3">
        <v>116</v>
      </c>
      <c r="B121" s="162" t="s">
        <v>613</v>
      </c>
      <c r="C121" s="162" t="s">
        <v>1261</v>
      </c>
      <c r="D121" s="162"/>
      <c r="E121" s="163" t="s">
        <v>36</v>
      </c>
      <c r="F121" s="164">
        <v>2000</v>
      </c>
      <c r="G121" s="163">
        <v>67</v>
      </c>
      <c r="H121" s="164">
        <v>134000</v>
      </c>
      <c r="I121" s="42"/>
    </row>
    <row r="122" spans="1:9">
      <c r="A122" s="3">
        <v>117</v>
      </c>
      <c r="B122" s="162" t="s">
        <v>613</v>
      </c>
      <c r="C122" s="162" t="s">
        <v>685</v>
      </c>
      <c r="D122" s="162"/>
      <c r="E122" s="163" t="s">
        <v>686</v>
      </c>
      <c r="F122" s="164">
        <v>3000</v>
      </c>
      <c r="G122" s="163">
        <v>67</v>
      </c>
      <c r="H122" s="164">
        <v>201000</v>
      </c>
      <c r="I122" s="42"/>
    </row>
    <row r="123" spans="1:9">
      <c r="A123" s="3">
        <v>118</v>
      </c>
      <c r="B123" s="162" t="s">
        <v>613</v>
      </c>
      <c r="C123" s="162" t="s">
        <v>730</v>
      </c>
      <c r="D123" s="162"/>
      <c r="E123" s="163" t="s">
        <v>686</v>
      </c>
      <c r="F123" s="164">
        <v>3000</v>
      </c>
      <c r="G123" s="163">
        <v>67</v>
      </c>
      <c r="H123" s="164">
        <v>201000</v>
      </c>
      <c r="I123" s="42"/>
    </row>
    <row r="124" spans="1:9">
      <c r="A124" s="3">
        <v>119</v>
      </c>
      <c r="B124" s="162" t="s">
        <v>613</v>
      </c>
      <c r="C124" s="162" t="s">
        <v>750</v>
      </c>
      <c r="D124" s="162"/>
      <c r="E124" s="163" t="s">
        <v>686</v>
      </c>
      <c r="F124" s="164">
        <v>2000</v>
      </c>
      <c r="G124" s="163">
        <v>67</v>
      </c>
      <c r="H124" s="164">
        <v>134000</v>
      </c>
      <c r="I124" s="42"/>
    </row>
    <row r="125" spans="1:9">
      <c r="A125" s="3">
        <v>120</v>
      </c>
      <c r="B125" s="162" t="s">
        <v>613</v>
      </c>
      <c r="C125" s="162" t="s">
        <v>669</v>
      </c>
      <c r="D125" s="162"/>
      <c r="E125" s="163" t="s">
        <v>529</v>
      </c>
      <c r="F125" s="164">
        <v>1000</v>
      </c>
      <c r="G125" s="163">
        <v>67</v>
      </c>
      <c r="H125" s="164">
        <v>67000</v>
      </c>
      <c r="I125" s="42"/>
    </row>
    <row r="126" spans="1:9">
      <c r="A126" s="3">
        <v>121</v>
      </c>
      <c r="B126" s="162" t="s">
        <v>613</v>
      </c>
      <c r="C126" s="162" t="s">
        <v>690</v>
      </c>
      <c r="D126" s="162"/>
      <c r="E126" s="163" t="s">
        <v>529</v>
      </c>
      <c r="F126" s="164">
        <v>5000</v>
      </c>
      <c r="G126" s="163">
        <v>67</v>
      </c>
      <c r="H126" s="164">
        <v>335000</v>
      </c>
      <c r="I126" s="42"/>
    </row>
    <row r="127" spans="1:9">
      <c r="A127" s="3">
        <v>122</v>
      </c>
      <c r="B127" s="162" t="s">
        <v>613</v>
      </c>
      <c r="C127" s="162" t="s">
        <v>697</v>
      </c>
      <c r="D127" s="162"/>
      <c r="E127" s="163" t="s">
        <v>529</v>
      </c>
      <c r="F127" s="164">
        <v>2000</v>
      </c>
      <c r="G127" s="163">
        <v>67</v>
      </c>
      <c r="H127" s="164">
        <v>134000</v>
      </c>
      <c r="I127" s="42"/>
    </row>
    <row r="128" spans="1:9">
      <c r="A128" s="3">
        <v>123</v>
      </c>
      <c r="B128" s="162" t="s">
        <v>613</v>
      </c>
      <c r="C128" s="162" t="s">
        <v>675</v>
      </c>
      <c r="D128" s="162"/>
      <c r="E128" s="163" t="s">
        <v>676</v>
      </c>
      <c r="F128" s="164">
        <v>3000</v>
      </c>
      <c r="G128" s="163">
        <v>67</v>
      </c>
      <c r="H128" s="164">
        <v>201000</v>
      </c>
      <c r="I128" s="42"/>
    </row>
    <row r="129" spans="1:9">
      <c r="A129" s="3">
        <v>124</v>
      </c>
      <c r="B129" s="162" t="s">
        <v>613</v>
      </c>
      <c r="C129" s="162" t="s">
        <v>399</v>
      </c>
      <c r="D129" s="162"/>
      <c r="E129" s="163" t="s">
        <v>676</v>
      </c>
      <c r="F129" s="164">
        <v>6000</v>
      </c>
      <c r="G129" s="163">
        <v>67</v>
      </c>
      <c r="H129" s="164">
        <v>402000</v>
      </c>
      <c r="I129" s="42"/>
    </row>
    <row r="130" spans="1:9">
      <c r="A130" s="3">
        <v>125</v>
      </c>
      <c r="B130" s="162" t="s">
        <v>613</v>
      </c>
      <c r="C130" s="162" t="s">
        <v>697</v>
      </c>
      <c r="D130" s="162"/>
      <c r="E130" s="163" t="s">
        <v>676</v>
      </c>
      <c r="F130" s="164">
        <v>3000</v>
      </c>
      <c r="G130" s="163">
        <v>67</v>
      </c>
      <c r="H130" s="164">
        <v>201000</v>
      </c>
      <c r="I130" s="42"/>
    </row>
    <row r="131" spans="1:9">
      <c r="A131" s="3">
        <v>126</v>
      </c>
      <c r="B131" s="162" t="s">
        <v>613</v>
      </c>
      <c r="C131" s="162" t="s">
        <v>669</v>
      </c>
      <c r="D131" s="162"/>
      <c r="E131" s="163" t="s">
        <v>530</v>
      </c>
      <c r="F131" s="164">
        <v>1000</v>
      </c>
      <c r="G131" s="163">
        <v>67</v>
      </c>
      <c r="H131" s="164">
        <v>67000</v>
      </c>
      <c r="I131" s="42"/>
    </row>
    <row r="132" spans="1:9">
      <c r="A132" s="3">
        <v>127</v>
      </c>
      <c r="B132" s="162" t="s">
        <v>613</v>
      </c>
      <c r="C132" s="162" t="s">
        <v>1275</v>
      </c>
      <c r="D132" s="162"/>
      <c r="E132" s="163" t="s">
        <v>530</v>
      </c>
      <c r="F132" s="164">
        <v>5000</v>
      </c>
      <c r="G132" s="163">
        <v>67</v>
      </c>
      <c r="H132" s="164">
        <v>335000</v>
      </c>
      <c r="I132" s="42"/>
    </row>
    <row r="133" spans="1:9">
      <c r="A133" s="3">
        <v>128</v>
      </c>
      <c r="B133" s="162" t="s">
        <v>613</v>
      </c>
      <c r="C133" s="162" t="s">
        <v>664</v>
      </c>
      <c r="D133" s="162"/>
      <c r="E133" s="163" t="s">
        <v>665</v>
      </c>
      <c r="F133" s="164">
        <v>5000</v>
      </c>
      <c r="G133" s="163">
        <v>67</v>
      </c>
      <c r="H133" s="164">
        <v>335000</v>
      </c>
      <c r="I133" s="42"/>
    </row>
    <row r="134" spans="1:9">
      <c r="A134" s="3">
        <v>129</v>
      </c>
      <c r="B134" s="162" t="s">
        <v>613</v>
      </c>
      <c r="C134" s="162" t="s">
        <v>723</v>
      </c>
      <c r="D134" s="162"/>
      <c r="E134" s="163" t="s">
        <v>665</v>
      </c>
      <c r="F134" s="164">
        <v>5000</v>
      </c>
      <c r="G134" s="163">
        <v>67</v>
      </c>
      <c r="H134" s="164">
        <v>335000</v>
      </c>
      <c r="I134" s="42"/>
    </row>
    <row r="135" spans="1:9" ht="81">
      <c r="A135" s="3">
        <v>130</v>
      </c>
      <c r="B135" s="162" t="s">
        <v>613</v>
      </c>
      <c r="C135" s="162" t="s">
        <v>674</v>
      </c>
      <c r="D135" s="162"/>
      <c r="E135" s="163" t="s">
        <v>96</v>
      </c>
      <c r="F135" s="164">
        <v>20000</v>
      </c>
      <c r="G135" s="163">
        <v>67</v>
      </c>
      <c r="H135" s="164">
        <v>1340000</v>
      </c>
      <c r="I135" s="105" t="s">
        <v>1356</v>
      </c>
    </row>
    <row r="136" spans="1:9">
      <c r="A136" s="3">
        <v>131</v>
      </c>
      <c r="B136" s="162" t="s">
        <v>613</v>
      </c>
      <c r="C136" s="162" t="s">
        <v>707</v>
      </c>
      <c r="D136" s="162"/>
      <c r="E136" s="163" t="s">
        <v>96</v>
      </c>
      <c r="F136" s="164">
        <v>7000</v>
      </c>
      <c r="G136" s="163">
        <v>67</v>
      </c>
      <c r="H136" s="164">
        <v>469000</v>
      </c>
      <c r="I136" s="42"/>
    </row>
    <row r="137" spans="1:9">
      <c r="A137" s="3">
        <v>132</v>
      </c>
      <c r="B137" s="162" t="s">
        <v>613</v>
      </c>
      <c r="C137" s="162" t="s">
        <v>703</v>
      </c>
      <c r="D137" s="162"/>
      <c r="E137" s="163" t="s">
        <v>85</v>
      </c>
      <c r="F137" s="164">
        <v>2000</v>
      </c>
      <c r="G137" s="163">
        <v>67</v>
      </c>
      <c r="H137" s="164">
        <v>134000</v>
      </c>
      <c r="I137" s="42"/>
    </row>
    <row r="138" spans="1:9" ht="64.8">
      <c r="A138" s="3">
        <v>133</v>
      </c>
      <c r="B138" s="162" t="s">
        <v>613</v>
      </c>
      <c r="C138" s="162" t="s">
        <v>729</v>
      </c>
      <c r="D138" s="162"/>
      <c r="E138" s="163" t="s">
        <v>86</v>
      </c>
      <c r="F138" s="164">
        <v>3000</v>
      </c>
      <c r="G138" s="163">
        <v>67</v>
      </c>
      <c r="H138" s="164">
        <v>201000</v>
      </c>
      <c r="I138" s="105" t="s">
        <v>1357</v>
      </c>
    </row>
    <row r="139" spans="1:9">
      <c r="A139" s="3">
        <v>134</v>
      </c>
      <c r="B139" s="162" t="s">
        <v>613</v>
      </c>
      <c r="C139" s="162" t="s">
        <v>728</v>
      </c>
      <c r="D139" s="162"/>
      <c r="E139" s="163" t="s">
        <v>3</v>
      </c>
      <c r="F139" s="164">
        <v>20000</v>
      </c>
      <c r="G139" s="163">
        <v>67</v>
      </c>
      <c r="H139" s="164">
        <v>1340000</v>
      </c>
      <c r="I139" s="42"/>
    </row>
    <row r="140" spans="1:9">
      <c r="A140" s="3">
        <v>135</v>
      </c>
      <c r="B140" s="162" t="s">
        <v>613</v>
      </c>
      <c r="C140" s="162" t="s">
        <v>741</v>
      </c>
      <c r="D140" s="162"/>
      <c r="E140" s="163" t="s">
        <v>742</v>
      </c>
      <c r="F140" s="164">
        <v>2000</v>
      </c>
      <c r="G140" s="163">
        <v>67</v>
      </c>
      <c r="H140" s="164">
        <v>134000</v>
      </c>
      <c r="I140" s="42"/>
    </row>
    <row r="141" spans="1:9">
      <c r="A141" s="3">
        <v>136</v>
      </c>
      <c r="B141" s="162" t="s">
        <v>613</v>
      </c>
      <c r="C141" s="162" t="s">
        <v>696</v>
      </c>
      <c r="D141" s="162"/>
      <c r="E141" s="163" t="s">
        <v>98</v>
      </c>
      <c r="F141" s="164">
        <v>5000</v>
      </c>
      <c r="G141" s="163">
        <v>67</v>
      </c>
      <c r="H141" s="164">
        <v>335000</v>
      </c>
      <c r="I141" s="42"/>
    </row>
    <row r="142" spans="1:9" ht="64.8">
      <c r="A142" s="3">
        <v>137</v>
      </c>
      <c r="B142" s="162" t="s">
        <v>613</v>
      </c>
      <c r="C142" s="162" t="s">
        <v>715</v>
      </c>
      <c r="D142" s="162"/>
      <c r="E142" s="163" t="s">
        <v>98</v>
      </c>
      <c r="F142" s="164">
        <v>5000</v>
      </c>
      <c r="G142" s="163">
        <v>67</v>
      </c>
      <c r="H142" s="164">
        <v>335000</v>
      </c>
      <c r="I142" s="105" t="s">
        <v>1265</v>
      </c>
    </row>
    <row r="143" spans="1:9">
      <c r="A143" s="3">
        <v>138</v>
      </c>
      <c r="B143" s="162" t="s">
        <v>613</v>
      </c>
      <c r="C143" s="162" t="s">
        <v>332</v>
      </c>
      <c r="D143" s="162"/>
      <c r="E143" s="163" t="s">
        <v>98</v>
      </c>
      <c r="F143" s="164">
        <v>10000</v>
      </c>
      <c r="G143" s="163">
        <v>67</v>
      </c>
      <c r="H143" s="164">
        <v>670000</v>
      </c>
      <c r="I143" s="42"/>
    </row>
    <row r="144" spans="1:9" ht="32.4">
      <c r="A144" s="3">
        <v>139</v>
      </c>
      <c r="B144" s="162" t="s">
        <v>613</v>
      </c>
      <c r="C144" s="162" t="s">
        <v>749</v>
      </c>
      <c r="D144" s="182" t="s">
        <v>1283</v>
      </c>
      <c r="E144" s="163" t="s">
        <v>87</v>
      </c>
      <c r="F144" s="164">
        <v>3000</v>
      </c>
      <c r="G144" s="163">
        <v>67</v>
      </c>
      <c r="H144" s="164">
        <v>201000</v>
      </c>
      <c r="I144" s="42"/>
    </row>
    <row r="145" spans="1:9">
      <c r="A145" s="3">
        <v>140</v>
      </c>
      <c r="B145" s="162" t="s">
        <v>613</v>
      </c>
      <c r="C145" s="162" t="s">
        <v>377</v>
      </c>
      <c r="D145" s="162"/>
      <c r="E145" s="163" t="s">
        <v>99</v>
      </c>
      <c r="F145" s="164">
        <v>3000</v>
      </c>
      <c r="G145" s="163">
        <v>67</v>
      </c>
      <c r="H145" s="164">
        <v>201000</v>
      </c>
      <c r="I145" s="42"/>
    </row>
    <row r="146" spans="1:9">
      <c r="A146" s="3">
        <v>141</v>
      </c>
      <c r="B146" s="162" t="s">
        <v>613</v>
      </c>
      <c r="C146" s="162" t="s">
        <v>700</v>
      </c>
      <c r="D146" s="162"/>
      <c r="E146" s="163" t="s">
        <v>99</v>
      </c>
      <c r="F146" s="164">
        <v>5000</v>
      </c>
      <c r="G146" s="163">
        <v>67</v>
      </c>
      <c r="H146" s="164">
        <v>335000</v>
      </c>
      <c r="I146" s="42"/>
    </row>
    <row r="147" spans="1:9">
      <c r="A147" s="3">
        <v>142</v>
      </c>
      <c r="B147" s="162" t="s">
        <v>613</v>
      </c>
      <c r="C147" s="162" t="s">
        <v>734</v>
      </c>
      <c r="D147" s="162"/>
      <c r="E147" s="163" t="s">
        <v>99</v>
      </c>
      <c r="F147" s="164">
        <v>10000</v>
      </c>
      <c r="G147" s="163">
        <v>67</v>
      </c>
      <c r="H147" s="164">
        <v>670000</v>
      </c>
      <c r="I147" s="42"/>
    </row>
    <row r="148" spans="1:9">
      <c r="A148" s="3">
        <v>143</v>
      </c>
      <c r="B148" s="162" t="s">
        <v>613</v>
      </c>
      <c r="C148" s="162" t="s">
        <v>705</v>
      </c>
      <c r="D148" s="162"/>
      <c r="E148" s="163" t="s">
        <v>100</v>
      </c>
      <c r="F148" s="164">
        <v>20000</v>
      </c>
      <c r="G148" s="163">
        <v>67</v>
      </c>
      <c r="H148" s="164">
        <v>1340000</v>
      </c>
      <c r="I148" s="42"/>
    </row>
    <row r="149" spans="1:9">
      <c r="A149" s="3">
        <v>144</v>
      </c>
      <c r="B149" s="162" t="s">
        <v>613</v>
      </c>
      <c r="C149" s="162" t="s">
        <v>250</v>
      </c>
      <c r="D149" s="162"/>
      <c r="E149" s="163" t="s">
        <v>39</v>
      </c>
      <c r="F149" s="164">
        <v>10000</v>
      </c>
      <c r="G149" s="163">
        <v>67</v>
      </c>
      <c r="H149" s="164">
        <v>670000</v>
      </c>
      <c r="I149" s="42"/>
    </row>
    <row r="150" spans="1:9">
      <c r="A150" s="3">
        <v>145</v>
      </c>
      <c r="B150" s="162" t="s">
        <v>613</v>
      </c>
      <c r="C150" s="162" t="s">
        <v>695</v>
      </c>
      <c r="D150" s="162"/>
      <c r="E150" s="163" t="s">
        <v>88</v>
      </c>
      <c r="F150" s="164">
        <v>3000</v>
      </c>
      <c r="G150" s="163">
        <v>67</v>
      </c>
      <c r="H150" s="164">
        <v>201000</v>
      </c>
      <c r="I150" s="42"/>
    </row>
    <row r="151" spans="1:9">
      <c r="A151" s="3">
        <v>146</v>
      </c>
      <c r="B151" s="162" t="s">
        <v>613</v>
      </c>
      <c r="C151" s="162" t="s">
        <v>595</v>
      </c>
      <c r="D151" s="162"/>
      <c r="E151" s="163" t="s">
        <v>88</v>
      </c>
      <c r="F151" s="164">
        <v>3000</v>
      </c>
      <c r="G151" s="163">
        <v>67</v>
      </c>
      <c r="H151" s="164">
        <v>201000</v>
      </c>
      <c r="I151" s="42"/>
    </row>
    <row r="152" spans="1:9" ht="32.4">
      <c r="A152" s="3">
        <v>147</v>
      </c>
      <c r="B152" s="162" t="s">
        <v>613</v>
      </c>
      <c r="C152" s="162" t="s">
        <v>749</v>
      </c>
      <c r="D152" s="182" t="s">
        <v>1283</v>
      </c>
      <c r="E152" s="163" t="s">
        <v>88</v>
      </c>
      <c r="F152" s="164">
        <v>2000</v>
      </c>
      <c r="G152" s="163">
        <v>67</v>
      </c>
      <c r="H152" s="164">
        <v>134000</v>
      </c>
      <c r="I152" s="42"/>
    </row>
    <row r="153" spans="1:9">
      <c r="A153" s="3">
        <v>148</v>
      </c>
      <c r="B153" s="162" t="s">
        <v>613</v>
      </c>
      <c r="C153" s="162" t="s">
        <v>673</v>
      </c>
      <c r="D153" s="162"/>
      <c r="E153" s="163" t="s">
        <v>417</v>
      </c>
      <c r="F153" s="164">
        <v>2000</v>
      </c>
      <c r="G153" s="163">
        <v>67</v>
      </c>
      <c r="H153" s="164">
        <v>134000</v>
      </c>
      <c r="I153" s="42"/>
    </row>
    <row r="154" spans="1:9">
      <c r="A154" s="3">
        <v>149</v>
      </c>
      <c r="B154" s="162" t="s">
        <v>613</v>
      </c>
      <c r="C154" s="162" t="s">
        <v>171</v>
      </c>
      <c r="D154" s="162"/>
      <c r="E154" s="163" t="s">
        <v>417</v>
      </c>
      <c r="F154" s="164">
        <v>4000</v>
      </c>
      <c r="G154" s="163">
        <v>67</v>
      </c>
      <c r="H154" s="164">
        <v>268000</v>
      </c>
      <c r="I154" s="42"/>
    </row>
    <row r="155" spans="1:9">
      <c r="A155" s="3">
        <v>150</v>
      </c>
      <c r="B155" s="162" t="s">
        <v>613</v>
      </c>
      <c r="C155" s="162" t="s">
        <v>230</v>
      </c>
      <c r="D155" s="162"/>
      <c r="E155" s="163" t="s">
        <v>417</v>
      </c>
      <c r="F155" s="164">
        <v>10000</v>
      </c>
      <c r="G155" s="163">
        <v>67</v>
      </c>
      <c r="H155" s="164">
        <v>670000</v>
      </c>
      <c r="I155" s="42"/>
    </row>
    <row r="156" spans="1:9">
      <c r="A156" s="3">
        <v>151</v>
      </c>
      <c r="B156" s="162" t="s">
        <v>613</v>
      </c>
      <c r="C156" s="162" t="s">
        <v>724</v>
      </c>
      <c r="D156" s="162"/>
      <c r="E156" s="163" t="s">
        <v>417</v>
      </c>
      <c r="F156" s="164">
        <v>2000</v>
      </c>
      <c r="G156" s="163">
        <v>67</v>
      </c>
      <c r="H156" s="164">
        <v>134000</v>
      </c>
      <c r="I156" s="42"/>
    </row>
    <row r="157" spans="1:9">
      <c r="A157" s="3">
        <v>152</v>
      </c>
      <c r="B157" s="162" t="s">
        <v>613</v>
      </c>
      <c r="C157" s="162" t="s">
        <v>646</v>
      </c>
      <c r="D157" s="162"/>
      <c r="E157" s="163" t="s">
        <v>417</v>
      </c>
      <c r="F157" s="164">
        <v>2000</v>
      </c>
      <c r="G157" s="163">
        <v>67</v>
      </c>
      <c r="H157" s="164">
        <v>134000</v>
      </c>
      <c r="I157" s="42"/>
    </row>
    <row r="158" spans="1:9">
      <c r="A158" s="3">
        <v>153</v>
      </c>
      <c r="B158" s="162" t="s">
        <v>613</v>
      </c>
      <c r="C158" s="162" t="s">
        <v>308</v>
      </c>
      <c r="D158" s="162"/>
      <c r="E158" s="163" t="s">
        <v>417</v>
      </c>
      <c r="F158" s="164">
        <v>8000</v>
      </c>
      <c r="G158" s="163">
        <v>67</v>
      </c>
      <c r="H158" s="164">
        <v>536000</v>
      </c>
      <c r="I158" s="42"/>
    </row>
    <row r="159" spans="1:9">
      <c r="A159" s="3">
        <v>154</v>
      </c>
      <c r="B159" s="162" t="s">
        <v>613</v>
      </c>
      <c r="C159" s="162" t="s">
        <v>739</v>
      </c>
      <c r="D159" s="162"/>
      <c r="E159" s="163" t="s">
        <v>417</v>
      </c>
      <c r="F159" s="164">
        <v>3000</v>
      </c>
      <c r="G159" s="163">
        <v>67</v>
      </c>
      <c r="H159" s="164">
        <v>201000</v>
      </c>
      <c r="I159" s="42"/>
    </row>
    <row r="160" spans="1:9">
      <c r="A160" s="3">
        <v>155</v>
      </c>
      <c r="B160" s="162" t="s">
        <v>613</v>
      </c>
      <c r="C160" s="162" t="s">
        <v>683</v>
      </c>
      <c r="D160" s="162"/>
      <c r="E160" s="163" t="s">
        <v>113</v>
      </c>
      <c r="F160" s="164">
        <v>5000</v>
      </c>
      <c r="G160" s="163">
        <v>67</v>
      </c>
      <c r="H160" s="164">
        <v>335000</v>
      </c>
      <c r="I160" s="42"/>
    </row>
    <row r="161" spans="1:9">
      <c r="A161" s="3">
        <v>156</v>
      </c>
      <c r="B161" s="162" t="s">
        <v>613</v>
      </c>
      <c r="C161" s="162" t="s">
        <v>1253</v>
      </c>
      <c r="D161" s="162"/>
      <c r="E161" s="163" t="s">
        <v>113</v>
      </c>
      <c r="F161" s="164">
        <v>2000</v>
      </c>
      <c r="G161" s="163">
        <v>67</v>
      </c>
      <c r="H161" s="164">
        <v>134000</v>
      </c>
      <c r="I161" s="42"/>
    </row>
    <row r="162" spans="1:9">
      <c r="A162" s="3">
        <v>157</v>
      </c>
      <c r="B162" s="162" t="s">
        <v>613</v>
      </c>
      <c r="C162" s="162" t="s">
        <v>719</v>
      </c>
      <c r="D162" s="162"/>
      <c r="E162" s="163" t="s">
        <v>113</v>
      </c>
      <c r="F162" s="164">
        <v>2000</v>
      </c>
      <c r="G162" s="163">
        <v>67</v>
      </c>
      <c r="H162" s="164">
        <v>134000</v>
      </c>
      <c r="I162" s="42"/>
    </row>
    <row r="163" spans="1:9">
      <c r="A163" s="3">
        <v>158</v>
      </c>
      <c r="B163" s="162" t="s">
        <v>613</v>
      </c>
      <c r="C163" s="162" t="s">
        <v>722</v>
      </c>
      <c r="D163" s="162"/>
      <c r="E163" s="163" t="s">
        <v>113</v>
      </c>
      <c r="F163" s="164">
        <v>5000</v>
      </c>
      <c r="G163" s="163">
        <v>67</v>
      </c>
      <c r="H163" s="164">
        <v>335000</v>
      </c>
      <c r="I163" s="42"/>
    </row>
    <row r="164" spans="1:9">
      <c r="A164" s="3">
        <v>159</v>
      </c>
      <c r="B164" s="162" t="s">
        <v>613</v>
      </c>
      <c r="C164" s="162" t="s">
        <v>701</v>
      </c>
      <c r="D164" s="162"/>
      <c r="E164" s="163" t="s">
        <v>41</v>
      </c>
      <c r="F164" s="164">
        <v>2000</v>
      </c>
      <c r="G164" s="163">
        <v>67</v>
      </c>
      <c r="H164" s="164">
        <v>134000</v>
      </c>
      <c r="I164" s="42"/>
    </row>
    <row r="165" spans="1:9">
      <c r="A165" s="3">
        <v>160</v>
      </c>
      <c r="B165" s="162" t="s">
        <v>613</v>
      </c>
      <c r="C165" s="162" t="s">
        <v>703</v>
      </c>
      <c r="D165" s="162"/>
      <c r="E165" s="163" t="s">
        <v>41</v>
      </c>
      <c r="F165" s="164">
        <v>3000</v>
      </c>
      <c r="G165" s="163">
        <v>67</v>
      </c>
      <c r="H165" s="164">
        <v>201000</v>
      </c>
      <c r="I165" s="42"/>
    </row>
    <row r="166" spans="1:9">
      <c r="A166" s="3">
        <v>161</v>
      </c>
      <c r="B166" s="162" t="s">
        <v>613</v>
      </c>
      <c r="C166" s="162" t="s">
        <v>163</v>
      </c>
      <c r="D166" s="162"/>
      <c r="E166" s="163" t="s">
        <v>89</v>
      </c>
      <c r="F166" s="164">
        <v>3000</v>
      </c>
      <c r="G166" s="163">
        <v>67</v>
      </c>
      <c r="H166" s="164">
        <v>201000</v>
      </c>
      <c r="I166" s="42"/>
    </row>
    <row r="167" spans="1:9">
      <c r="A167" s="3">
        <v>162</v>
      </c>
      <c r="B167" s="162" t="s">
        <v>613</v>
      </c>
      <c r="C167" s="162" t="s">
        <v>684</v>
      </c>
      <c r="D167" s="162"/>
      <c r="E167" s="163" t="s">
        <v>89</v>
      </c>
      <c r="F167" s="164">
        <v>2000</v>
      </c>
      <c r="G167" s="163">
        <v>67</v>
      </c>
      <c r="H167" s="164">
        <v>134000</v>
      </c>
      <c r="I167" s="42"/>
    </row>
    <row r="168" spans="1:9">
      <c r="A168" s="3">
        <v>163</v>
      </c>
      <c r="B168" s="162" t="s">
        <v>613</v>
      </c>
      <c r="C168" s="162" t="s">
        <v>726</v>
      </c>
      <c r="D168" s="162"/>
      <c r="E168" s="163" t="s">
        <v>89</v>
      </c>
      <c r="F168" s="164">
        <v>1000</v>
      </c>
      <c r="G168" s="163">
        <v>67</v>
      </c>
      <c r="H168" s="164">
        <v>67000</v>
      </c>
      <c r="I168" s="42"/>
    </row>
    <row r="169" spans="1:9">
      <c r="A169" s="3">
        <v>164</v>
      </c>
      <c r="B169" s="162" t="s">
        <v>613</v>
      </c>
      <c r="C169" s="162" t="s">
        <v>1254</v>
      </c>
      <c r="D169" s="162"/>
      <c r="E169" s="163" t="s">
        <v>89</v>
      </c>
      <c r="F169" s="164">
        <v>7000</v>
      </c>
      <c r="G169" s="163">
        <v>67</v>
      </c>
      <c r="H169" s="164">
        <v>469000</v>
      </c>
      <c r="I169" s="42"/>
    </row>
    <row r="170" spans="1:9">
      <c r="A170" s="3">
        <v>165</v>
      </c>
      <c r="B170" s="162" t="s">
        <v>613</v>
      </c>
      <c r="C170" s="162" t="s">
        <v>171</v>
      </c>
      <c r="D170" s="162"/>
      <c r="E170" s="163" t="s">
        <v>42</v>
      </c>
      <c r="F170" s="164">
        <v>5000</v>
      </c>
      <c r="G170" s="163">
        <v>67</v>
      </c>
      <c r="H170" s="164">
        <v>335000</v>
      </c>
      <c r="I170" s="42"/>
    </row>
    <row r="171" spans="1:9">
      <c r="A171" s="3">
        <v>166</v>
      </c>
      <c r="B171" s="162" t="s">
        <v>613</v>
      </c>
      <c r="C171" s="162" t="s">
        <v>699</v>
      </c>
      <c r="D171" s="162"/>
      <c r="E171" s="163" t="s">
        <v>42</v>
      </c>
      <c r="F171" s="164">
        <v>1000</v>
      </c>
      <c r="G171" s="163">
        <v>67</v>
      </c>
      <c r="H171" s="164">
        <v>67000</v>
      </c>
      <c r="I171" s="42"/>
    </row>
    <row r="172" spans="1:9" ht="64.8">
      <c r="A172" s="3">
        <v>167</v>
      </c>
      <c r="B172" s="162" t="s">
        <v>613</v>
      </c>
      <c r="C172" s="162" t="s">
        <v>704</v>
      </c>
      <c r="D172" s="162"/>
      <c r="E172" s="163" t="s">
        <v>42</v>
      </c>
      <c r="F172" s="164">
        <v>3000</v>
      </c>
      <c r="G172" s="163">
        <v>67</v>
      </c>
      <c r="H172" s="164">
        <v>201000</v>
      </c>
      <c r="I172" s="104" t="s">
        <v>1352</v>
      </c>
    </row>
    <row r="173" spans="1:9">
      <c r="A173" s="3">
        <v>168</v>
      </c>
      <c r="B173" s="162" t="s">
        <v>613</v>
      </c>
      <c r="C173" s="162" t="s">
        <v>732</v>
      </c>
      <c r="D173" s="162"/>
      <c r="E173" s="163" t="s">
        <v>42</v>
      </c>
      <c r="F173" s="164">
        <v>6000</v>
      </c>
      <c r="G173" s="163">
        <v>67</v>
      </c>
      <c r="H173" s="164">
        <v>402000</v>
      </c>
      <c r="I173" s="42"/>
    </row>
    <row r="174" spans="1:9">
      <c r="A174" s="3">
        <v>169</v>
      </c>
      <c r="B174" s="162" t="s">
        <v>613</v>
      </c>
      <c r="C174" s="162" t="s">
        <v>295</v>
      </c>
      <c r="D174" s="162"/>
      <c r="E174" s="163" t="s">
        <v>42</v>
      </c>
      <c r="F174" s="164">
        <v>5000</v>
      </c>
      <c r="G174" s="163">
        <v>67</v>
      </c>
      <c r="H174" s="164">
        <v>335000</v>
      </c>
      <c r="I174" s="42"/>
    </row>
    <row r="175" spans="1:9">
      <c r="A175" s="3">
        <v>170</v>
      </c>
      <c r="B175" s="162" t="s">
        <v>613</v>
      </c>
      <c r="C175" s="162" t="s">
        <v>1263</v>
      </c>
      <c r="D175" s="162"/>
      <c r="E175" s="163" t="s">
        <v>42</v>
      </c>
      <c r="F175" s="164">
        <v>3000</v>
      </c>
      <c r="G175" s="163">
        <v>67</v>
      </c>
      <c r="H175" s="164">
        <v>201000</v>
      </c>
      <c r="I175" s="42"/>
    </row>
    <row r="176" spans="1:9" ht="64.8">
      <c r="A176" s="3">
        <v>171</v>
      </c>
      <c r="B176" s="183" t="s">
        <v>613</v>
      </c>
      <c r="C176" s="183" t="s">
        <v>114</v>
      </c>
      <c r="D176" s="183"/>
      <c r="E176" s="184" t="s">
        <v>42</v>
      </c>
      <c r="F176" s="185">
        <v>17000</v>
      </c>
      <c r="G176" s="184">
        <v>67</v>
      </c>
      <c r="H176" s="185">
        <v>1139000</v>
      </c>
      <c r="I176" s="107" t="s">
        <v>1271</v>
      </c>
    </row>
    <row r="177" spans="1:9">
      <c r="A177" s="3">
        <v>172</v>
      </c>
      <c r="B177" s="162" t="s">
        <v>613</v>
      </c>
      <c r="C177" s="162" t="s">
        <v>747</v>
      </c>
      <c r="D177" s="162"/>
      <c r="E177" s="163" t="s">
        <v>42</v>
      </c>
      <c r="F177" s="164">
        <v>10000</v>
      </c>
      <c r="G177" s="163">
        <v>67</v>
      </c>
      <c r="H177" s="164">
        <v>670000</v>
      </c>
      <c r="I177" s="42"/>
    </row>
    <row r="178" spans="1:9">
      <c r="A178" s="46">
        <v>173</v>
      </c>
      <c r="B178" s="186" t="s">
        <v>613</v>
      </c>
      <c r="C178" s="186" t="s">
        <v>666</v>
      </c>
      <c r="D178" s="186"/>
      <c r="E178" s="187" t="s">
        <v>43</v>
      </c>
      <c r="F178" s="188">
        <v>6000</v>
      </c>
      <c r="G178" s="187">
        <v>67</v>
      </c>
      <c r="H178" s="188">
        <v>402000</v>
      </c>
      <c r="I178" s="56" t="s">
        <v>1272</v>
      </c>
    </row>
    <row r="179" spans="1:9">
      <c r="A179" s="46">
        <v>174</v>
      </c>
      <c r="B179" s="186" t="s">
        <v>613</v>
      </c>
      <c r="C179" s="186" t="s">
        <v>668</v>
      </c>
      <c r="D179" s="186"/>
      <c r="E179" s="187" t="s">
        <v>43</v>
      </c>
      <c r="F179" s="188">
        <v>5000</v>
      </c>
      <c r="G179" s="187">
        <v>67</v>
      </c>
      <c r="H179" s="188">
        <v>335000</v>
      </c>
      <c r="I179" s="56" t="s">
        <v>1273</v>
      </c>
    </row>
    <row r="180" spans="1:9" ht="16.8" thickBot="1">
      <c r="A180" s="50">
        <v>175</v>
      </c>
      <c r="B180" s="189" t="s">
        <v>613</v>
      </c>
      <c r="C180" s="189" t="s">
        <v>725</v>
      </c>
      <c r="D180" s="189"/>
      <c r="E180" s="190" t="s">
        <v>43</v>
      </c>
      <c r="F180" s="191">
        <v>1000</v>
      </c>
      <c r="G180" s="190">
        <v>67</v>
      </c>
      <c r="H180" s="191">
        <v>67000</v>
      </c>
      <c r="I180" s="56" t="s">
        <v>1273</v>
      </c>
    </row>
    <row r="181" spans="1:9" ht="16.8" thickBot="1">
      <c r="A181" s="14"/>
      <c r="B181" s="172"/>
      <c r="C181" s="172"/>
      <c r="D181" s="172"/>
      <c r="E181" s="173"/>
      <c r="F181" s="174">
        <f>SUBTOTAL(9,F59:F180)</f>
        <v>552000</v>
      </c>
      <c r="G181" s="177" t="s">
        <v>571</v>
      </c>
      <c r="H181" s="174">
        <f>SUBTOTAL(9,H59:H180)</f>
        <v>36984000</v>
      </c>
      <c r="I181" s="25"/>
    </row>
    <row r="182" spans="1:9">
      <c r="A182" s="10">
        <v>176</v>
      </c>
      <c r="B182" s="159" t="s">
        <v>613</v>
      </c>
      <c r="C182" s="159" t="s">
        <v>1187</v>
      </c>
      <c r="D182" s="159"/>
      <c r="E182" s="160" t="s">
        <v>33</v>
      </c>
      <c r="F182" s="161">
        <v>10000</v>
      </c>
      <c r="G182" s="160">
        <v>68</v>
      </c>
      <c r="H182" s="161">
        <v>680000</v>
      </c>
      <c r="I182" s="41"/>
    </row>
    <row r="183" spans="1:9">
      <c r="A183" s="3">
        <v>177</v>
      </c>
      <c r="B183" s="162" t="s">
        <v>613</v>
      </c>
      <c r="C183" s="162" t="s">
        <v>751</v>
      </c>
      <c r="D183" s="162"/>
      <c r="E183" s="163" t="s">
        <v>93</v>
      </c>
      <c r="F183" s="164">
        <v>1000</v>
      </c>
      <c r="G183" s="163">
        <v>68</v>
      </c>
      <c r="H183" s="164">
        <v>68000</v>
      </c>
      <c r="I183" s="42"/>
    </row>
    <row r="184" spans="1:9">
      <c r="A184" s="3">
        <v>178</v>
      </c>
      <c r="B184" s="162" t="s">
        <v>613</v>
      </c>
      <c r="C184" s="162" t="s">
        <v>754</v>
      </c>
      <c r="D184" s="162"/>
      <c r="E184" s="163" t="s">
        <v>94</v>
      </c>
      <c r="F184" s="164">
        <v>5000</v>
      </c>
      <c r="G184" s="163">
        <v>68</v>
      </c>
      <c r="H184" s="164">
        <v>340000</v>
      </c>
      <c r="I184" s="42"/>
    </row>
    <row r="185" spans="1:9">
      <c r="A185" s="3">
        <v>179</v>
      </c>
      <c r="B185" s="162" t="s">
        <v>613</v>
      </c>
      <c r="C185" s="162" t="s">
        <v>756</v>
      </c>
      <c r="D185" s="162"/>
      <c r="E185" s="163" t="s">
        <v>713</v>
      </c>
      <c r="F185" s="164">
        <v>2000</v>
      </c>
      <c r="G185" s="163">
        <v>68</v>
      </c>
      <c r="H185" s="164">
        <v>136000</v>
      </c>
      <c r="I185" s="42"/>
    </row>
    <row r="186" spans="1:9">
      <c r="A186" s="3">
        <v>180</v>
      </c>
      <c r="B186" s="162" t="s">
        <v>613</v>
      </c>
      <c r="C186" s="162" t="s">
        <v>318</v>
      </c>
      <c r="D186" s="162"/>
      <c r="E186" s="163" t="s">
        <v>665</v>
      </c>
      <c r="F186" s="164">
        <v>5000</v>
      </c>
      <c r="G186" s="163">
        <v>68</v>
      </c>
      <c r="H186" s="164">
        <v>340000</v>
      </c>
      <c r="I186" s="42"/>
    </row>
    <row r="187" spans="1:9">
      <c r="A187" s="3">
        <v>181</v>
      </c>
      <c r="B187" s="162" t="s">
        <v>613</v>
      </c>
      <c r="C187" s="162" t="s">
        <v>755</v>
      </c>
      <c r="D187" s="162"/>
      <c r="E187" s="163" t="s">
        <v>85</v>
      </c>
      <c r="F187" s="164">
        <v>2000</v>
      </c>
      <c r="G187" s="163">
        <v>68</v>
      </c>
      <c r="H187" s="164">
        <v>136000</v>
      </c>
      <c r="I187" s="42"/>
    </row>
    <row r="188" spans="1:9">
      <c r="A188" s="3">
        <v>182</v>
      </c>
      <c r="B188" s="162" t="s">
        <v>613</v>
      </c>
      <c r="C188" s="162" t="s">
        <v>752</v>
      </c>
      <c r="D188" s="162"/>
      <c r="E188" s="163" t="s">
        <v>38</v>
      </c>
      <c r="F188" s="164">
        <v>4000</v>
      </c>
      <c r="G188" s="163">
        <v>68</v>
      </c>
      <c r="H188" s="164">
        <v>272000</v>
      </c>
      <c r="I188" s="42"/>
    </row>
    <row r="189" spans="1:9" ht="16.8" thickBot="1">
      <c r="A189" s="33">
        <v>183</v>
      </c>
      <c r="B189" s="167" t="s">
        <v>613</v>
      </c>
      <c r="C189" s="167" t="s">
        <v>753</v>
      </c>
      <c r="D189" s="167"/>
      <c r="E189" s="171" t="s">
        <v>99</v>
      </c>
      <c r="F189" s="170">
        <v>5000</v>
      </c>
      <c r="G189" s="171">
        <v>68</v>
      </c>
      <c r="H189" s="170">
        <v>340000</v>
      </c>
      <c r="I189" s="43"/>
    </row>
    <row r="190" spans="1:9" ht="16.8" thickBot="1">
      <c r="A190" s="14"/>
      <c r="B190" s="172"/>
      <c r="C190" s="172"/>
      <c r="D190" s="172"/>
      <c r="E190" s="173"/>
      <c r="F190" s="174">
        <f>SUBTOTAL(9,F182:F189)</f>
        <v>34000</v>
      </c>
      <c r="G190" s="177" t="s">
        <v>577</v>
      </c>
      <c r="H190" s="174">
        <f>SUBTOTAL(9,H182:H189)</f>
        <v>2312000</v>
      </c>
      <c r="I190" s="25"/>
    </row>
    <row r="191" spans="1:9">
      <c r="A191" s="10">
        <v>184</v>
      </c>
      <c r="B191" s="159" t="s">
        <v>613</v>
      </c>
      <c r="C191" s="159" t="s">
        <v>783</v>
      </c>
      <c r="D191" s="159"/>
      <c r="E191" s="160" t="s">
        <v>94</v>
      </c>
      <c r="F191" s="161">
        <v>10000</v>
      </c>
      <c r="G191" s="160">
        <v>69</v>
      </c>
      <c r="H191" s="161">
        <v>690000</v>
      </c>
      <c r="I191" s="41"/>
    </row>
    <row r="192" spans="1:9">
      <c r="A192" s="3">
        <v>185</v>
      </c>
      <c r="B192" s="162" t="s">
        <v>613</v>
      </c>
      <c r="C192" s="162" t="s">
        <v>786</v>
      </c>
      <c r="D192" s="162"/>
      <c r="E192" s="163" t="s">
        <v>94</v>
      </c>
      <c r="F192" s="164">
        <v>3000</v>
      </c>
      <c r="G192" s="163">
        <v>69</v>
      </c>
      <c r="H192" s="164">
        <v>207000</v>
      </c>
      <c r="I192" s="42"/>
    </row>
    <row r="193" spans="1:9">
      <c r="A193" s="3">
        <v>186</v>
      </c>
      <c r="B193" s="162" t="s">
        <v>613</v>
      </c>
      <c r="C193" s="162" t="s">
        <v>795</v>
      </c>
      <c r="D193" s="162"/>
      <c r="E193" s="163" t="s">
        <v>538</v>
      </c>
      <c r="F193" s="164">
        <v>1000</v>
      </c>
      <c r="G193" s="163">
        <v>69</v>
      </c>
      <c r="H193" s="164">
        <v>69000</v>
      </c>
      <c r="I193" s="42"/>
    </row>
    <row r="194" spans="1:9">
      <c r="A194" s="3">
        <v>187</v>
      </c>
      <c r="B194" s="162" t="s">
        <v>613</v>
      </c>
      <c r="C194" s="162" t="s">
        <v>792</v>
      </c>
      <c r="D194" s="162"/>
      <c r="E194" s="163" t="s">
        <v>586</v>
      </c>
      <c r="F194" s="164">
        <v>2000</v>
      </c>
      <c r="G194" s="163">
        <v>69</v>
      </c>
      <c r="H194" s="164">
        <v>138000</v>
      </c>
      <c r="I194" s="42"/>
    </row>
    <row r="195" spans="1:9">
      <c r="A195" s="3">
        <v>188</v>
      </c>
      <c r="B195" s="162" t="s">
        <v>613</v>
      </c>
      <c r="C195" s="162" t="s">
        <v>778</v>
      </c>
      <c r="D195" s="162"/>
      <c r="E195" s="163" t="s">
        <v>34</v>
      </c>
      <c r="F195" s="164">
        <v>2000</v>
      </c>
      <c r="G195" s="163">
        <v>69</v>
      </c>
      <c r="H195" s="164">
        <v>138000</v>
      </c>
      <c r="I195" s="42"/>
    </row>
    <row r="196" spans="1:9">
      <c r="A196" s="3">
        <v>189</v>
      </c>
      <c r="B196" s="162" t="s">
        <v>613</v>
      </c>
      <c r="C196" s="162" t="s">
        <v>801</v>
      </c>
      <c r="D196" s="162"/>
      <c r="E196" s="163" t="s">
        <v>34</v>
      </c>
      <c r="F196" s="164">
        <v>1000</v>
      </c>
      <c r="G196" s="163">
        <v>69</v>
      </c>
      <c r="H196" s="164">
        <v>69000</v>
      </c>
      <c r="I196" s="42"/>
    </row>
    <row r="197" spans="1:9">
      <c r="A197" s="3">
        <v>190</v>
      </c>
      <c r="B197" s="162" t="s">
        <v>613</v>
      </c>
      <c r="C197" s="162" t="s">
        <v>802</v>
      </c>
      <c r="D197" s="162"/>
      <c r="E197" s="163" t="s">
        <v>34</v>
      </c>
      <c r="F197" s="164">
        <v>6000</v>
      </c>
      <c r="G197" s="163">
        <v>69</v>
      </c>
      <c r="H197" s="164">
        <v>414000</v>
      </c>
      <c r="I197" s="42"/>
    </row>
    <row r="198" spans="1:9">
      <c r="A198" s="3">
        <v>191</v>
      </c>
      <c r="B198" s="162" t="s">
        <v>613</v>
      </c>
      <c r="C198" s="162" t="s">
        <v>807</v>
      </c>
      <c r="D198" s="162"/>
      <c r="E198" s="163" t="s">
        <v>727</v>
      </c>
      <c r="F198" s="164">
        <v>2000</v>
      </c>
      <c r="G198" s="163">
        <v>69</v>
      </c>
      <c r="H198" s="164">
        <v>138000</v>
      </c>
      <c r="I198" s="42"/>
    </row>
    <row r="199" spans="1:9">
      <c r="A199" s="3">
        <v>192</v>
      </c>
      <c r="B199" s="162" t="s">
        <v>613</v>
      </c>
      <c r="C199" s="162" t="s">
        <v>328</v>
      </c>
      <c r="D199" s="162"/>
      <c r="E199" s="163" t="s">
        <v>712</v>
      </c>
      <c r="F199" s="164">
        <v>1000</v>
      </c>
      <c r="G199" s="163">
        <v>69</v>
      </c>
      <c r="H199" s="164">
        <v>69000</v>
      </c>
      <c r="I199" s="42"/>
    </row>
    <row r="200" spans="1:9">
      <c r="A200" s="3">
        <v>193</v>
      </c>
      <c r="B200" s="162" t="s">
        <v>613</v>
      </c>
      <c r="C200" s="162" t="s">
        <v>808</v>
      </c>
      <c r="D200" s="162"/>
      <c r="E200" s="163" t="s">
        <v>679</v>
      </c>
      <c r="F200" s="164">
        <v>4000</v>
      </c>
      <c r="G200" s="163">
        <v>69</v>
      </c>
      <c r="H200" s="164">
        <v>276000</v>
      </c>
      <c r="I200" s="42"/>
    </row>
    <row r="201" spans="1:9">
      <c r="A201" s="3">
        <v>194</v>
      </c>
      <c r="B201" s="162" t="s">
        <v>613</v>
      </c>
      <c r="C201" s="162" t="s">
        <v>810</v>
      </c>
      <c r="D201" s="162"/>
      <c r="E201" s="163" t="s">
        <v>692</v>
      </c>
      <c r="F201" s="164">
        <v>3000</v>
      </c>
      <c r="G201" s="163">
        <v>69</v>
      </c>
      <c r="H201" s="164">
        <v>207000</v>
      </c>
      <c r="I201" s="42"/>
    </row>
    <row r="202" spans="1:9" ht="32.4">
      <c r="A202" s="3">
        <v>195</v>
      </c>
      <c r="B202" s="162" t="s">
        <v>613</v>
      </c>
      <c r="C202" s="162" t="s">
        <v>765</v>
      </c>
      <c r="D202" s="165" t="s">
        <v>1235</v>
      </c>
      <c r="E202" s="166" t="s">
        <v>132</v>
      </c>
      <c r="F202" s="164">
        <v>6000</v>
      </c>
      <c r="G202" s="163">
        <v>69</v>
      </c>
      <c r="H202" s="164">
        <v>414000</v>
      </c>
      <c r="I202" s="93"/>
    </row>
    <row r="203" spans="1:9" ht="48.6">
      <c r="A203" s="3">
        <v>196</v>
      </c>
      <c r="B203" s="162" t="s">
        <v>613</v>
      </c>
      <c r="C203" s="162" t="s">
        <v>790</v>
      </c>
      <c r="D203" s="162"/>
      <c r="E203" s="166" t="s">
        <v>132</v>
      </c>
      <c r="F203" s="164">
        <v>5000</v>
      </c>
      <c r="G203" s="163">
        <v>69</v>
      </c>
      <c r="H203" s="164">
        <v>345000</v>
      </c>
      <c r="I203" s="105" t="s">
        <v>1250</v>
      </c>
    </row>
    <row r="204" spans="1:9">
      <c r="A204" s="3">
        <v>197</v>
      </c>
      <c r="B204" s="162" t="s">
        <v>613</v>
      </c>
      <c r="C204" s="162" t="s">
        <v>767</v>
      </c>
      <c r="D204" s="162"/>
      <c r="E204" s="166" t="s">
        <v>133</v>
      </c>
      <c r="F204" s="164">
        <v>1000</v>
      </c>
      <c r="G204" s="163">
        <v>69</v>
      </c>
      <c r="H204" s="164">
        <v>69000</v>
      </c>
      <c r="I204" s="42"/>
    </row>
    <row r="205" spans="1:9">
      <c r="A205" s="3">
        <v>198</v>
      </c>
      <c r="B205" s="162" t="s">
        <v>613</v>
      </c>
      <c r="C205" s="162" t="s">
        <v>772</v>
      </c>
      <c r="D205" s="162"/>
      <c r="E205" s="166" t="s">
        <v>133</v>
      </c>
      <c r="F205" s="164">
        <v>2000</v>
      </c>
      <c r="G205" s="163">
        <v>69</v>
      </c>
      <c r="H205" s="164">
        <v>138000</v>
      </c>
      <c r="I205" s="42"/>
    </row>
    <row r="206" spans="1:9">
      <c r="A206" s="3">
        <v>199</v>
      </c>
      <c r="B206" s="162" t="s">
        <v>613</v>
      </c>
      <c r="C206" s="162" t="s">
        <v>785</v>
      </c>
      <c r="D206" s="162"/>
      <c r="E206" s="166" t="s">
        <v>133</v>
      </c>
      <c r="F206" s="164">
        <v>1000</v>
      </c>
      <c r="G206" s="163">
        <v>69</v>
      </c>
      <c r="H206" s="164">
        <v>69000</v>
      </c>
      <c r="I206" s="42"/>
    </row>
    <row r="207" spans="1:9">
      <c r="A207" s="3">
        <v>200</v>
      </c>
      <c r="B207" s="162" t="s">
        <v>613</v>
      </c>
      <c r="C207" s="162" t="s">
        <v>762</v>
      </c>
      <c r="D207" s="162"/>
      <c r="E207" s="166" t="s">
        <v>95</v>
      </c>
      <c r="F207" s="164">
        <v>1000</v>
      </c>
      <c r="G207" s="163">
        <v>69</v>
      </c>
      <c r="H207" s="164">
        <v>69000</v>
      </c>
      <c r="I207" s="42"/>
    </row>
    <row r="208" spans="1:9">
      <c r="A208" s="3">
        <v>201</v>
      </c>
      <c r="B208" s="162" t="s">
        <v>613</v>
      </c>
      <c r="C208" s="162" t="s">
        <v>277</v>
      </c>
      <c r="D208" s="162"/>
      <c r="E208" s="166" t="s">
        <v>95</v>
      </c>
      <c r="F208" s="164">
        <v>1000</v>
      </c>
      <c r="G208" s="163">
        <v>69</v>
      </c>
      <c r="H208" s="164">
        <v>69000</v>
      </c>
      <c r="I208" s="42"/>
    </row>
    <row r="209" spans="1:9" ht="48.6">
      <c r="A209" s="46">
        <v>202</v>
      </c>
      <c r="B209" s="186" t="s">
        <v>613</v>
      </c>
      <c r="C209" s="186" t="s">
        <v>760</v>
      </c>
      <c r="D209" s="218" t="s">
        <v>1280</v>
      </c>
      <c r="E209" s="219" t="s">
        <v>662</v>
      </c>
      <c r="F209" s="188">
        <v>1000</v>
      </c>
      <c r="G209" s="187">
        <v>69</v>
      </c>
      <c r="H209" s="188">
        <v>69000</v>
      </c>
      <c r="I209" s="220" t="s">
        <v>1490</v>
      </c>
    </row>
    <row r="210" spans="1:9">
      <c r="A210" s="3">
        <v>203</v>
      </c>
      <c r="B210" s="162" t="s">
        <v>613</v>
      </c>
      <c r="C210" s="162" t="s">
        <v>787</v>
      </c>
      <c r="D210" s="162"/>
      <c r="E210" s="166" t="s">
        <v>662</v>
      </c>
      <c r="F210" s="164">
        <v>1000</v>
      </c>
      <c r="G210" s="163">
        <v>69</v>
      </c>
      <c r="H210" s="164">
        <v>69000</v>
      </c>
      <c r="I210" s="42"/>
    </row>
    <row r="211" spans="1:9" ht="32.4">
      <c r="A211" s="3">
        <v>204</v>
      </c>
      <c r="B211" s="162" t="s">
        <v>613</v>
      </c>
      <c r="C211" s="162" t="s">
        <v>791</v>
      </c>
      <c r="D211" s="176" t="s">
        <v>1235</v>
      </c>
      <c r="E211" s="166" t="s">
        <v>662</v>
      </c>
      <c r="F211" s="164">
        <v>2000</v>
      </c>
      <c r="G211" s="163">
        <v>69</v>
      </c>
      <c r="H211" s="164">
        <v>138000</v>
      </c>
      <c r="I211" s="93"/>
    </row>
    <row r="212" spans="1:9">
      <c r="A212" s="3">
        <v>205</v>
      </c>
      <c r="B212" s="162" t="s">
        <v>613</v>
      </c>
      <c r="C212" s="162" t="s">
        <v>807</v>
      </c>
      <c r="D212" s="162"/>
      <c r="E212" s="163" t="s">
        <v>662</v>
      </c>
      <c r="F212" s="164">
        <v>8000</v>
      </c>
      <c r="G212" s="163">
        <v>69</v>
      </c>
      <c r="H212" s="164">
        <v>552000</v>
      </c>
      <c r="I212" s="42"/>
    </row>
    <row r="213" spans="1:9">
      <c r="A213" s="3">
        <v>206</v>
      </c>
      <c r="B213" s="162" t="s">
        <v>613</v>
      </c>
      <c r="C213" s="162" t="s">
        <v>759</v>
      </c>
      <c r="D213" s="162"/>
      <c r="E213" s="163" t="s">
        <v>2</v>
      </c>
      <c r="F213" s="164">
        <v>5000</v>
      </c>
      <c r="G213" s="163">
        <v>69</v>
      </c>
      <c r="H213" s="164">
        <v>345000</v>
      </c>
      <c r="I213" s="42"/>
    </row>
    <row r="214" spans="1:9">
      <c r="A214" s="3">
        <v>207</v>
      </c>
      <c r="B214" s="162" t="s">
        <v>613</v>
      </c>
      <c r="C214" s="162" t="s">
        <v>579</v>
      </c>
      <c r="D214" s="162"/>
      <c r="E214" s="163" t="s">
        <v>130</v>
      </c>
      <c r="F214" s="164">
        <v>1000</v>
      </c>
      <c r="G214" s="163">
        <v>69</v>
      </c>
      <c r="H214" s="164">
        <v>69000</v>
      </c>
      <c r="I214" s="42"/>
    </row>
    <row r="215" spans="1:9">
      <c r="A215" s="3">
        <v>208</v>
      </c>
      <c r="B215" s="162" t="s">
        <v>613</v>
      </c>
      <c r="C215" s="162" t="s">
        <v>580</v>
      </c>
      <c r="D215" s="162"/>
      <c r="E215" s="163" t="s">
        <v>130</v>
      </c>
      <c r="F215" s="164">
        <v>1000</v>
      </c>
      <c r="G215" s="163">
        <v>69</v>
      </c>
      <c r="H215" s="164">
        <v>69000</v>
      </c>
      <c r="I215" s="42"/>
    </row>
    <row r="216" spans="1:9">
      <c r="A216" s="3">
        <v>209</v>
      </c>
      <c r="B216" s="162" t="s">
        <v>613</v>
      </c>
      <c r="C216" s="162" t="s">
        <v>776</v>
      </c>
      <c r="D216" s="162"/>
      <c r="E216" s="163" t="s">
        <v>130</v>
      </c>
      <c r="F216" s="164">
        <v>2000</v>
      </c>
      <c r="G216" s="163">
        <v>69</v>
      </c>
      <c r="H216" s="164">
        <v>138000</v>
      </c>
      <c r="I216" s="42"/>
    </row>
    <row r="217" spans="1:9">
      <c r="A217" s="3">
        <v>210</v>
      </c>
      <c r="B217" s="162" t="s">
        <v>613</v>
      </c>
      <c r="C217" s="162" t="s">
        <v>789</v>
      </c>
      <c r="D217" s="162"/>
      <c r="E217" s="163" t="s">
        <v>130</v>
      </c>
      <c r="F217" s="164">
        <v>1000</v>
      </c>
      <c r="G217" s="163">
        <v>69</v>
      </c>
      <c r="H217" s="164">
        <v>69000</v>
      </c>
      <c r="I217" s="42"/>
    </row>
    <row r="218" spans="1:9">
      <c r="A218" s="3">
        <v>211</v>
      </c>
      <c r="B218" s="162" t="s">
        <v>613</v>
      </c>
      <c r="C218" s="162" t="s">
        <v>773</v>
      </c>
      <c r="D218" s="162"/>
      <c r="E218" s="163" t="s">
        <v>35</v>
      </c>
      <c r="F218" s="164">
        <v>3000</v>
      </c>
      <c r="G218" s="163">
        <v>69</v>
      </c>
      <c r="H218" s="164">
        <v>207000</v>
      </c>
      <c r="I218" s="42"/>
    </row>
    <row r="219" spans="1:9">
      <c r="A219" s="3">
        <v>212</v>
      </c>
      <c r="B219" s="162" t="s">
        <v>613</v>
      </c>
      <c r="C219" s="162" t="s">
        <v>803</v>
      </c>
      <c r="D219" s="162"/>
      <c r="E219" s="163" t="s">
        <v>35</v>
      </c>
      <c r="F219" s="164">
        <v>1000</v>
      </c>
      <c r="G219" s="163">
        <v>69</v>
      </c>
      <c r="H219" s="164">
        <v>69000</v>
      </c>
      <c r="I219" s="42"/>
    </row>
    <row r="220" spans="1:9">
      <c r="A220" s="3">
        <v>213</v>
      </c>
      <c r="B220" s="162" t="s">
        <v>613</v>
      </c>
      <c r="C220" s="162" t="s">
        <v>739</v>
      </c>
      <c r="D220" s="162"/>
      <c r="E220" s="163" t="s">
        <v>35</v>
      </c>
      <c r="F220" s="164">
        <v>2000</v>
      </c>
      <c r="G220" s="163">
        <v>69</v>
      </c>
      <c r="H220" s="164">
        <v>138000</v>
      </c>
      <c r="I220" s="42"/>
    </row>
    <row r="221" spans="1:9" ht="81">
      <c r="A221" s="3">
        <v>214</v>
      </c>
      <c r="B221" s="162" t="s">
        <v>613</v>
      </c>
      <c r="C221" s="162" t="s">
        <v>763</v>
      </c>
      <c r="D221" s="162"/>
      <c r="E221" s="163" t="s">
        <v>36</v>
      </c>
      <c r="F221" s="164">
        <v>6000</v>
      </c>
      <c r="G221" s="163">
        <v>69</v>
      </c>
      <c r="H221" s="164">
        <v>414000</v>
      </c>
      <c r="I221" s="105" t="s">
        <v>1258</v>
      </c>
    </row>
    <row r="222" spans="1:9" ht="45">
      <c r="A222" s="3">
        <v>215</v>
      </c>
      <c r="B222" s="162" t="s">
        <v>613</v>
      </c>
      <c r="C222" s="162" t="s">
        <v>770</v>
      </c>
      <c r="D222" s="162"/>
      <c r="E222" s="163" t="s">
        <v>529</v>
      </c>
      <c r="F222" s="164">
        <v>5000</v>
      </c>
      <c r="G222" s="163">
        <v>69</v>
      </c>
      <c r="H222" s="164">
        <v>345000</v>
      </c>
      <c r="I222" s="106" t="s">
        <v>1251</v>
      </c>
    </row>
    <row r="223" spans="1:9">
      <c r="A223" s="3">
        <v>216</v>
      </c>
      <c r="B223" s="162" t="s">
        <v>613</v>
      </c>
      <c r="C223" s="162" t="s">
        <v>601</v>
      </c>
      <c r="D223" s="162"/>
      <c r="E223" s="163" t="s">
        <v>665</v>
      </c>
      <c r="F223" s="164">
        <v>2000</v>
      </c>
      <c r="G223" s="163">
        <v>69</v>
      </c>
      <c r="H223" s="164">
        <v>138000</v>
      </c>
      <c r="I223" s="42"/>
    </row>
    <row r="224" spans="1:9">
      <c r="A224" s="3">
        <v>217</v>
      </c>
      <c r="B224" s="162" t="s">
        <v>613</v>
      </c>
      <c r="C224" s="162" t="s">
        <v>314</v>
      </c>
      <c r="D224" s="162"/>
      <c r="E224" s="163" t="s">
        <v>665</v>
      </c>
      <c r="F224" s="164">
        <v>3000</v>
      </c>
      <c r="G224" s="163">
        <v>69</v>
      </c>
      <c r="H224" s="164">
        <v>207000</v>
      </c>
      <c r="I224" s="42"/>
    </row>
    <row r="225" spans="1:9">
      <c r="A225" s="3">
        <v>218</v>
      </c>
      <c r="B225" s="162" t="s">
        <v>613</v>
      </c>
      <c r="C225" s="162" t="s">
        <v>796</v>
      </c>
      <c r="D225" s="162"/>
      <c r="E225" s="163" t="s">
        <v>797</v>
      </c>
      <c r="F225" s="164">
        <v>1000</v>
      </c>
      <c r="G225" s="163">
        <v>69</v>
      </c>
      <c r="H225" s="164">
        <v>69000</v>
      </c>
      <c r="I225" s="42"/>
    </row>
    <row r="226" spans="1:9">
      <c r="A226" s="3">
        <v>219</v>
      </c>
      <c r="B226" s="162" t="s">
        <v>613</v>
      </c>
      <c r="C226" s="162" t="s">
        <v>800</v>
      </c>
      <c r="D226" s="162"/>
      <c r="E226" s="163" t="s">
        <v>797</v>
      </c>
      <c r="F226" s="164">
        <v>2000</v>
      </c>
      <c r="G226" s="163">
        <v>69</v>
      </c>
      <c r="H226" s="164">
        <v>138000</v>
      </c>
      <c r="I226" s="42"/>
    </row>
    <row r="227" spans="1:9">
      <c r="A227" s="3">
        <v>220</v>
      </c>
      <c r="B227" s="162" t="s">
        <v>613</v>
      </c>
      <c r="C227" s="162" t="s">
        <v>769</v>
      </c>
      <c r="D227" s="162"/>
      <c r="E227" s="163" t="s">
        <v>86</v>
      </c>
      <c r="F227" s="164">
        <v>3000</v>
      </c>
      <c r="G227" s="163">
        <v>69</v>
      </c>
      <c r="H227" s="164">
        <v>207000</v>
      </c>
      <c r="I227" s="42"/>
    </row>
    <row r="228" spans="1:9">
      <c r="A228" s="3">
        <v>221</v>
      </c>
      <c r="B228" s="162" t="s">
        <v>613</v>
      </c>
      <c r="C228" s="162" t="s">
        <v>793</v>
      </c>
      <c r="D228" s="162"/>
      <c r="E228" s="163" t="s">
        <v>86</v>
      </c>
      <c r="F228" s="164">
        <v>2000</v>
      </c>
      <c r="G228" s="163">
        <v>69</v>
      </c>
      <c r="H228" s="164">
        <v>138000</v>
      </c>
      <c r="I228" s="42"/>
    </row>
    <row r="229" spans="1:9" ht="60">
      <c r="A229" s="3">
        <v>222</v>
      </c>
      <c r="B229" s="162" t="s">
        <v>613</v>
      </c>
      <c r="C229" s="162" t="s">
        <v>780</v>
      </c>
      <c r="D229" s="162"/>
      <c r="E229" s="163" t="s">
        <v>781</v>
      </c>
      <c r="F229" s="164">
        <v>20000</v>
      </c>
      <c r="G229" s="163">
        <v>69</v>
      </c>
      <c r="H229" s="164">
        <v>1380000</v>
      </c>
      <c r="I229" s="106" t="s">
        <v>1248</v>
      </c>
    </row>
    <row r="230" spans="1:9">
      <c r="A230" s="3">
        <v>223</v>
      </c>
      <c r="B230" s="162" t="s">
        <v>613</v>
      </c>
      <c r="C230" s="162" t="s">
        <v>813</v>
      </c>
      <c r="D230" s="162"/>
      <c r="E230" s="163" t="s">
        <v>97</v>
      </c>
      <c r="F230" s="164">
        <v>1000</v>
      </c>
      <c r="G230" s="163">
        <v>69</v>
      </c>
      <c r="H230" s="164">
        <v>69000</v>
      </c>
      <c r="I230" s="42"/>
    </row>
    <row r="231" spans="1:9">
      <c r="A231" s="3">
        <v>224</v>
      </c>
      <c r="B231" s="162" t="s">
        <v>613</v>
      </c>
      <c r="C231" s="162" t="s">
        <v>777</v>
      </c>
      <c r="D231" s="162"/>
      <c r="E231" s="163" t="s">
        <v>3</v>
      </c>
      <c r="F231" s="164">
        <v>3000</v>
      </c>
      <c r="G231" s="163">
        <v>69</v>
      </c>
      <c r="H231" s="164">
        <v>207000</v>
      </c>
      <c r="I231" s="42"/>
    </row>
    <row r="232" spans="1:9">
      <c r="A232" s="3">
        <v>225</v>
      </c>
      <c r="B232" s="162" t="s">
        <v>613</v>
      </c>
      <c r="C232" s="162" t="s">
        <v>766</v>
      </c>
      <c r="D232" s="162"/>
      <c r="E232" s="163" t="s">
        <v>742</v>
      </c>
      <c r="F232" s="164">
        <v>1000</v>
      </c>
      <c r="G232" s="163">
        <v>69</v>
      </c>
      <c r="H232" s="164">
        <v>69000</v>
      </c>
      <c r="I232" s="42"/>
    </row>
    <row r="233" spans="1:9">
      <c r="A233" s="3">
        <v>226</v>
      </c>
      <c r="B233" s="162" t="s">
        <v>613</v>
      </c>
      <c r="C233" s="162" t="s">
        <v>768</v>
      </c>
      <c r="D233" s="162"/>
      <c r="E233" s="163" t="s">
        <v>742</v>
      </c>
      <c r="F233" s="164">
        <v>1000</v>
      </c>
      <c r="G233" s="163">
        <v>69</v>
      </c>
      <c r="H233" s="164">
        <v>69000</v>
      </c>
      <c r="I233" s="42"/>
    </row>
    <row r="234" spans="1:9">
      <c r="A234" s="3">
        <v>227</v>
      </c>
      <c r="B234" s="162" t="s">
        <v>613</v>
      </c>
      <c r="C234" s="162" t="s">
        <v>584</v>
      </c>
      <c r="D234" s="162"/>
      <c r="E234" s="163" t="s">
        <v>742</v>
      </c>
      <c r="F234" s="164">
        <v>6000</v>
      </c>
      <c r="G234" s="163">
        <v>69</v>
      </c>
      <c r="H234" s="164">
        <v>414000</v>
      </c>
      <c r="I234" s="42"/>
    </row>
    <row r="235" spans="1:9">
      <c r="A235" s="3">
        <v>228</v>
      </c>
      <c r="B235" s="162" t="s">
        <v>613</v>
      </c>
      <c r="C235" s="162" t="s">
        <v>184</v>
      </c>
      <c r="D235" s="162"/>
      <c r="E235" s="163" t="s">
        <v>742</v>
      </c>
      <c r="F235" s="164">
        <v>2000</v>
      </c>
      <c r="G235" s="163">
        <v>69</v>
      </c>
      <c r="H235" s="164">
        <v>138000</v>
      </c>
      <c r="I235" s="42"/>
    </row>
    <row r="236" spans="1:9">
      <c r="A236" s="3">
        <v>229</v>
      </c>
      <c r="B236" s="162" t="s">
        <v>613</v>
      </c>
      <c r="C236" s="162" t="s">
        <v>771</v>
      </c>
      <c r="D236" s="162"/>
      <c r="E236" s="163" t="s">
        <v>742</v>
      </c>
      <c r="F236" s="164">
        <v>5000</v>
      </c>
      <c r="G236" s="163">
        <v>69</v>
      </c>
      <c r="H236" s="164">
        <v>345000</v>
      </c>
      <c r="I236" s="42"/>
    </row>
    <row r="237" spans="1:9" ht="45">
      <c r="A237" s="46">
        <v>230</v>
      </c>
      <c r="B237" s="186" t="s">
        <v>613</v>
      </c>
      <c r="C237" s="186" t="s">
        <v>809</v>
      </c>
      <c r="D237" s="186"/>
      <c r="E237" s="187" t="s">
        <v>742</v>
      </c>
      <c r="F237" s="188">
        <v>5000</v>
      </c>
      <c r="G237" s="187">
        <v>69</v>
      </c>
      <c r="H237" s="188">
        <v>345000</v>
      </c>
      <c r="I237" s="217" t="s">
        <v>1487</v>
      </c>
    </row>
    <row r="238" spans="1:9">
      <c r="A238" s="3">
        <v>231</v>
      </c>
      <c r="B238" s="162" t="s">
        <v>613</v>
      </c>
      <c r="C238" s="162" t="s">
        <v>812</v>
      </c>
      <c r="D238" s="162"/>
      <c r="E238" s="163" t="s">
        <v>742</v>
      </c>
      <c r="F238" s="164">
        <v>2000</v>
      </c>
      <c r="G238" s="163">
        <v>69</v>
      </c>
      <c r="H238" s="164">
        <v>138000</v>
      </c>
      <c r="I238" s="42"/>
    </row>
    <row r="239" spans="1:9">
      <c r="A239" s="3">
        <v>232</v>
      </c>
      <c r="B239" s="162" t="s">
        <v>613</v>
      </c>
      <c r="C239" s="162" t="s">
        <v>761</v>
      </c>
      <c r="D239" s="162"/>
      <c r="E239" s="163" t="s">
        <v>98</v>
      </c>
      <c r="F239" s="164">
        <v>1000</v>
      </c>
      <c r="G239" s="163">
        <v>69</v>
      </c>
      <c r="H239" s="164">
        <v>69000</v>
      </c>
      <c r="I239" s="42"/>
    </row>
    <row r="240" spans="1:9">
      <c r="A240" s="3">
        <v>233</v>
      </c>
      <c r="B240" s="162" t="s">
        <v>613</v>
      </c>
      <c r="C240" s="162" t="s">
        <v>816</v>
      </c>
      <c r="D240" s="162"/>
      <c r="E240" s="163" t="s">
        <v>817</v>
      </c>
      <c r="F240" s="164">
        <v>2000</v>
      </c>
      <c r="G240" s="163">
        <v>69</v>
      </c>
      <c r="H240" s="164">
        <v>138000</v>
      </c>
      <c r="I240" s="42"/>
    </row>
    <row r="241" spans="1:9">
      <c r="A241" s="3">
        <v>234</v>
      </c>
      <c r="B241" s="162" t="s">
        <v>613</v>
      </c>
      <c r="C241" s="162" t="s">
        <v>820</v>
      </c>
      <c r="D241" s="162"/>
      <c r="E241" s="163" t="s">
        <v>817</v>
      </c>
      <c r="F241" s="164">
        <v>6000</v>
      </c>
      <c r="G241" s="163">
        <v>69</v>
      </c>
      <c r="H241" s="164">
        <v>414000</v>
      </c>
      <c r="I241" s="42"/>
    </row>
    <row r="242" spans="1:9">
      <c r="A242" s="3">
        <v>235</v>
      </c>
      <c r="B242" s="162" t="s">
        <v>613</v>
      </c>
      <c r="C242" s="162" t="s">
        <v>798</v>
      </c>
      <c r="D242" s="162"/>
      <c r="E242" s="163" t="s">
        <v>87</v>
      </c>
      <c r="F242" s="164">
        <v>6000</v>
      </c>
      <c r="G242" s="163">
        <v>69</v>
      </c>
      <c r="H242" s="164">
        <v>414000</v>
      </c>
      <c r="I242" s="42"/>
    </row>
    <row r="243" spans="1:9">
      <c r="A243" s="3">
        <v>236</v>
      </c>
      <c r="B243" s="162" t="s">
        <v>613</v>
      </c>
      <c r="C243" s="162" t="s">
        <v>766</v>
      </c>
      <c r="D243" s="162"/>
      <c r="E243" s="163" t="s">
        <v>99</v>
      </c>
      <c r="F243" s="164">
        <v>1000</v>
      </c>
      <c r="G243" s="163">
        <v>69</v>
      </c>
      <c r="H243" s="164">
        <v>69000</v>
      </c>
      <c r="I243" s="42"/>
    </row>
    <row r="244" spans="1:9">
      <c r="A244" s="3">
        <v>237</v>
      </c>
      <c r="B244" s="162" t="s">
        <v>613</v>
      </c>
      <c r="C244" s="162" t="s">
        <v>784</v>
      </c>
      <c r="D244" s="162"/>
      <c r="E244" s="163" t="s">
        <v>99</v>
      </c>
      <c r="F244" s="164">
        <v>6000</v>
      </c>
      <c r="G244" s="163">
        <v>69</v>
      </c>
      <c r="H244" s="164">
        <v>414000</v>
      </c>
      <c r="I244" s="42"/>
    </row>
    <row r="245" spans="1:9">
      <c r="A245" s="3">
        <v>238</v>
      </c>
      <c r="B245" s="162" t="s">
        <v>613</v>
      </c>
      <c r="C245" s="162" t="s">
        <v>794</v>
      </c>
      <c r="D245" s="162"/>
      <c r="E245" s="163" t="s">
        <v>99</v>
      </c>
      <c r="F245" s="164">
        <v>1000</v>
      </c>
      <c r="G245" s="163">
        <v>69</v>
      </c>
      <c r="H245" s="164">
        <v>69000</v>
      </c>
      <c r="I245" s="42"/>
    </row>
    <row r="246" spans="1:9">
      <c r="A246" s="3">
        <v>239</v>
      </c>
      <c r="B246" s="162" t="s">
        <v>613</v>
      </c>
      <c r="C246" s="162" t="s">
        <v>805</v>
      </c>
      <c r="D246" s="162"/>
      <c r="E246" s="163" t="s">
        <v>99</v>
      </c>
      <c r="F246" s="164">
        <v>1000</v>
      </c>
      <c r="G246" s="163">
        <v>69</v>
      </c>
      <c r="H246" s="164">
        <v>69000</v>
      </c>
      <c r="I246" s="42"/>
    </row>
    <row r="247" spans="1:9">
      <c r="A247" s="3">
        <v>240</v>
      </c>
      <c r="B247" s="162" t="s">
        <v>613</v>
      </c>
      <c r="C247" s="162" t="s">
        <v>764</v>
      </c>
      <c r="D247" s="162"/>
      <c r="E247" s="163" t="s">
        <v>100</v>
      </c>
      <c r="F247" s="164">
        <v>2000</v>
      </c>
      <c r="G247" s="163">
        <v>69</v>
      </c>
      <c r="H247" s="164">
        <v>138000</v>
      </c>
      <c r="I247" s="42"/>
    </row>
    <row r="248" spans="1:9">
      <c r="A248" s="3">
        <v>241</v>
      </c>
      <c r="B248" s="162" t="s">
        <v>613</v>
      </c>
      <c r="C248" s="162" t="s">
        <v>597</v>
      </c>
      <c r="D248" s="162"/>
      <c r="E248" s="163" t="s">
        <v>100</v>
      </c>
      <c r="F248" s="164">
        <v>3000</v>
      </c>
      <c r="G248" s="163">
        <v>69</v>
      </c>
      <c r="H248" s="164">
        <v>207000</v>
      </c>
      <c r="I248" s="42"/>
    </row>
    <row r="249" spans="1:9" ht="45">
      <c r="A249" s="46">
        <v>242</v>
      </c>
      <c r="B249" s="186" t="s">
        <v>613</v>
      </c>
      <c r="C249" s="186" t="s">
        <v>774</v>
      </c>
      <c r="D249" s="186"/>
      <c r="E249" s="187" t="s">
        <v>39</v>
      </c>
      <c r="F249" s="188">
        <v>5000</v>
      </c>
      <c r="G249" s="187">
        <v>69</v>
      </c>
      <c r="H249" s="188">
        <v>345000</v>
      </c>
      <c r="I249" s="217" t="s">
        <v>1488</v>
      </c>
    </row>
    <row r="250" spans="1:9" ht="45">
      <c r="A250" s="46">
        <v>243</v>
      </c>
      <c r="B250" s="186" t="s">
        <v>613</v>
      </c>
      <c r="C250" s="186" t="s">
        <v>597</v>
      </c>
      <c r="D250" s="186"/>
      <c r="E250" s="187" t="s">
        <v>39</v>
      </c>
      <c r="F250" s="188">
        <v>2000</v>
      </c>
      <c r="G250" s="187">
        <v>69</v>
      </c>
      <c r="H250" s="188">
        <v>138000</v>
      </c>
      <c r="I250" s="217" t="s">
        <v>1489</v>
      </c>
    </row>
    <row r="251" spans="1:9">
      <c r="A251" s="3">
        <v>244</v>
      </c>
      <c r="B251" s="162" t="s">
        <v>613</v>
      </c>
      <c r="C251" s="162" t="s">
        <v>811</v>
      </c>
      <c r="D251" s="162"/>
      <c r="E251" s="163" t="s">
        <v>39</v>
      </c>
      <c r="F251" s="164">
        <v>6000</v>
      </c>
      <c r="G251" s="163">
        <v>69</v>
      </c>
      <c r="H251" s="164">
        <v>414000</v>
      </c>
      <c r="I251" s="42"/>
    </row>
    <row r="252" spans="1:9">
      <c r="A252" s="3">
        <v>245</v>
      </c>
      <c r="B252" s="162" t="s">
        <v>613</v>
      </c>
      <c r="C252" s="162" t="s">
        <v>775</v>
      </c>
      <c r="D252" s="162"/>
      <c r="E252" s="163" t="s">
        <v>88</v>
      </c>
      <c r="F252" s="164">
        <v>2000</v>
      </c>
      <c r="G252" s="163">
        <v>69</v>
      </c>
      <c r="H252" s="164">
        <v>138000</v>
      </c>
      <c r="I252" s="42"/>
    </row>
    <row r="253" spans="1:9">
      <c r="A253" s="3">
        <v>246</v>
      </c>
      <c r="B253" s="162" t="s">
        <v>613</v>
      </c>
      <c r="C253" s="162" t="s">
        <v>788</v>
      </c>
      <c r="D253" s="162"/>
      <c r="E253" s="163" t="s">
        <v>88</v>
      </c>
      <c r="F253" s="164">
        <v>2000</v>
      </c>
      <c r="G253" s="163">
        <v>69</v>
      </c>
      <c r="H253" s="164">
        <v>138000</v>
      </c>
      <c r="I253" s="42"/>
    </row>
    <row r="254" spans="1:9">
      <c r="A254" s="3">
        <v>247</v>
      </c>
      <c r="B254" s="162" t="s">
        <v>613</v>
      </c>
      <c r="C254" s="162" t="s">
        <v>815</v>
      </c>
      <c r="D254" s="162"/>
      <c r="E254" s="163" t="s">
        <v>88</v>
      </c>
      <c r="F254" s="164">
        <v>10000</v>
      </c>
      <c r="G254" s="163">
        <v>69</v>
      </c>
      <c r="H254" s="164">
        <v>690000</v>
      </c>
      <c r="I254" s="42"/>
    </row>
    <row r="255" spans="1:9">
      <c r="A255" s="3">
        <v>248</v>
      </c>
      <c r="B255" s="162" t="s">
        <v>613</v>
      </c>
      <c r="C255" s="162" t="s">
        <v>818</v>
      </c>
      <c r="D255" s="162"/>
      <c r="E255" s="163" t="s">
        <v>88</v>
      </c>
      <c r="F255" s="164">
        <v>1000</v>
      </c>
      <c r="G255" s="163">
        <v>69</v>
      </c>
      <c r="H255" s="164">
        <v>69000</v>
      </c>
      <c r="I255" s="42"/>
    </row>
    <row r="256" spans="1:9">
      <c r="A256" s="3">
        <v>249</v>
      </c>
      <c r="B256" s="162" t="s">
        <v>613</v>
      </c>
      <c r="C256" s="162" t="s">
        <v>819</v>
      </c>
      <c r="D256" s="162"/>
      <c r="E256" s="163" t="s">
        <v>88</v>
      </c>
      <c r="F256" s="164">
        <v>1000</v>
      </c>
      <c r="G256" s="163">
        <v>69</v>
      </c>
      <c r="H256" s="164">
        <v>69000</v>
      </c>
      <c r="I256" s="42"/>
    </row>
    <row r="257" spans="1:9">
      <c r="A257" s="3">
        <v>250</v>
      </c>
      <c r="B257" s="162" t="s">
        <v>613</v>
      </c>
      <c r="C257" s="162" t="s">
        <v>806</v>
      </c>
      <c r="D257" s="162"/>
      <c r="E257" s="163" t="s">
        <v>417</v>
      </c>
      <c r="F257" s="164">
        <v>2000</v>
      </c>
      <c r="G257" s="163">
        <v>69</v>
      </c>
      <c r="H257" s="164">
        <v>138000</v>
      </c>
      <c r="I257" s="42"/>
    </row>
    <row r="258" spans="1:9">
      <c r="A258" s="3">
        <v>251</v>
      </c>
      <c r="B258" s="162" t="s">
        <v>613</v>
      </c>
      <c r="C258" s="162" t="s">
        <v>757</v>
      </c>
      <c r="D258" s="162"/>
      <c r="E258" s="163" t="s">
        <v>113</v>
      </c>
      <c r="F258" s="164">
        <v>2000</v>
      </c>
      <c r="G258" s="163">
        <v>69</v>
      </c>
      <c r="H258" s="164">
        <v>138000</v>
      </c>
      <c r="I258" s="42"/>
    </row>
    <row r="259" spans="1:9">
      <c r="A259" s="3">
        <v>252</v>
      </c>
      <c r="B259" s="162" t="s">
        <v>613</v>
      </c>
      <c r="C259" s="162" t="s">
        <v>758</v>
      </c>
      <c r="D259" s="162"/>
      <c r="E259" s="163" t="s">
        <v>113</v>
      </c>
      <c r="F259" s="164">
        <v>2000</v>
      </c>
      <c r="G259" s="163">
        <v>69</v>
      </c>
      <c r="H259" s="164">
        <v>138000</v>
      </c>
      <c r="I259" s="42"/>
    </row>
    <row r="260" spans="1:9">
      <c r="A260" s="3">
        <v>253</v>
      </c>
      <c r="B260" s="162" t="s">
        <v>613</v>
      </c>
      <c r="C260" s="162" t="s">
        <v>777</v>
      </c>
      <c r="D260" s="162"/>
      <c r="E260" s="163" t="s">
        <v>113</v>
      </c>
      <c r="F260" s="164">
        <v>5000</v>
      </c>
      <c r="G260" s="163">
        <v>69</v>
      </c>
      <c r="H260" s="164">
        <v>345000</v>
      </c>
      <c r="I260" s="42"/>
    </row>
    <row r="261" spans="1:9">
      <c r="A261" s="3">
        <v>254</v>
      </c>
      <c r="B261" s="162" t="s">
        <v>613</v>
      </c>
      <c r="C261" s="162" t="s">
        <v>814</v>
      </c>
      <c r="D261" s="162"/>
      <c r="E261" s="163" t="s">
        <v>113</v>
      </c>
      <c r="F261" s="164">
        <v>10000</v>
      </c>
      <c r="G261" s="163">
        <v>69</v>
      </c>
      <c r="H261" s="164">
        <v>690000</v>
      </c>
      <c r="I261" s="42"/>
    </row>
    <row r="262" spans="1:9">
      <c r="A262" s="3">
        <v>255</v>
      </c>
      <c r="B262" s="162" t="s">
        <v>613</v>
      </c>
      <c r="C262" s="162" t="s">
        <v>783</v>
      </c>
      <c r="D262" s="162"/>
      <c r="E262" s="163" t="s">
        <v>40</v>
      </c>
      <c r="F262" s="164">
        <v>10000</v>
      </c>
      <c r="G262" s="163">
        <v>69</v>
      </c>
      <c r="H262" s="164">
        <v>690000</v>
      </c>
      <c r="I262" s="42"/>
    </row>
    <row r="263" spans="1:9">
      <c r="A263" s="3">
        <v>256</v>
      </c>
      <c r="B263" s="162" t="s">
        <v>613</v>
      </c>
      <c r="C263" s="162" t="s">
        <v>782</v>
      </c>
      <c r="D263" s="162"/>
      <c r="E263" s="163" t="s">
        <v>41</v>
      </c>
      <c r="F263" s="164">
        <v>3000</v>
      </c>
      <c r="G263" s="163">
        <v>69</v>
      </c>
      <c r="H263" s="164">
        <v>207000</v>
      </c>
      <c r="I263" s="42"/>
    </row>
    <row r="264" spans="1:9">
      <c r="A264" s="3">
        <v>257</v>
      </c>
      <c r="B264" s="162" t="s">
        <v>613</v>
      </c>
      <c r="C264" s="162" t="s">
        <v>799</v>
      </c>
      <c r="D264" s="162"/>
      <c r="E264" s="163" t="s">
        <v>41</v>
      </c>
      <c r="F264" s="164">
        <v>1000</v>
      </c>
      <c r="G264" s="163">
        <v>69</v>
      </c>
      <c r="H264" s="164">
        <v>69000</v>
      </c>
      <c r="I264" s="42"/>
    </row>
    <row r="265" spans="1:9">
      <c r="A265" s="3">
        <v>258</v>
      </c>
      <c r="B265" s="162" t="s">
        <v>613</v>
      </c>
      <c r="C265" s="162" t="s">
        <v>804</v>
      </c>
      <c r="D265" s="162"/>
      <c r="E265" s="163" t="s">
        <v>41</v>
      </c>
      <c r="F265" s="164">
        <v>2000</v>
      </c>
      <c r="G265" s="163">
        <v>69</v>
      </c>
      <c r="H265" s="164">
        <v>138000</v>
      </c>
      <c r="I265" s="42"/>
    </row>
    <row r="266" spans="1:9" ht="16.8" thickBot="1">
      <c r="A266" s="33">
        <v>259</v>
      </c>
      <c r="B266" s="167" t="s">
        <v>613</v>
      </c>
      <c r="C266" s="167" t="s">
        <v>779</v>
      </c>
      <c r="D266" s="167"/>
      <c r="E266" s="171" t="s">
        <v>89</v>
      </c>
      <c r="F266" s="170">
        <v>1000</v>
      </c>
      <c r="G266" s="171">
        <v>69</v>
      </c>
      <c r="H266" s="170">
        <v>69000</v>
      </c>
      <c r="I266" s="43"/>
    </row>
    <row r="267" spans="1:9" ht="16.8" thickBot="1">
      <c r="A267" s="14"/>
      <c r="B267" s="32"/>
      <c r="C267" s="32"/>
      <c r="D267" s="32"/>
      <c r="E267" s="28"/>
      <c r="F267" s="29">
        <f>SUBTOTAL(9,F191:F266)</f>
        <v>246000</v>
      </c>
      <c r="G267" s="35" t="s">
        <v>611</v>
      </c>
      <c r="H267" s="29">
        <f>SUBTOTAL(9,H191:H266)</f>
        <v>16974000</v>
      </c>
      <c r="I267" s="25"/>
    </row>
    <row r="268" spans="1:9" ht="16.8" thickBot="1">
      <c r="A268" s="14"/>
      <c r="B268" s="32"/>
      <c r="C268" s="32"/>
      <c r="D268" s="300" t="s">
        <v>1491</v>
      </c>
      <c r="E268" s="301"/>
      <c r="F268" s="29">
        <f>SUM(F13,F56,F58,F181,F190,F267)</f>
        <v>1008000</v>
      </c>
      <c r="G268" s="15"/>
      <c r="H268" s="29">
        <f>SUM(H13,H56,H58,H181,H190,H267)</f>
        <v>67365000</v>
      </c>
      <c r="I268" s="25"/>
    </row>
    <row r="269" spans="1:9" ht="19.8" customHeight="1">
      <c r="A269" s="62" t="s">
        <v>824</v>
      </c>
      <c r="B269" s="63" t="s">
        <v>1360</v>
      </c>
      <c r="C269" s="64"/>
      <c r="D269" s="64"/>
      <c r="E269" s="65"/>
      <c r="F269" s="65"/>
      <c r="G269" s="65"/>
      <c r="H269" s="65"/>
      <c r="I269" s="65"/>
    </row>
    <row r="270" spans="1:9" ht="51" customHeight="1">
      <c r="A270" s="60" t="s">
        <v>823</v>
      </c>
      <c r="B270" s="324" t="s">
        <v>1564</v>
      </c>
      <c r="C270" s="324"/>
      <c r="D270" s="324"/>
      <c r="E270" s="324"/>
      <c r="F270" s="324"/>
      <c r="G270" s="324"/>
      <c r="H270" s="324"/>
      <c r="I270" s="324"/>
    </row>
    <row r="271" spans="1:9" ht="167.4" customHeight="1">
      <c r="A271" s="156" t="s">
        <v>1240</v>
      </c>
      <c r="B271" s="285" t="s">
        <v>1565</v>
      </c>
      <c r="C271" s="285"/>
      <c r="D271" s="285"/>
      <c r="E271" s="285"/>
      <c r="F271" s="285"/>
      <c r="G271" s="285"/>
      <c r="H271" s="285"/>
      <c r="I271" s="285"/>
    </row>
    <row r="272" spans="1:9">
      <c r="B272" s="58"/>
      <c r="C272" s="58"/>
      <c r="D272" s="58"/>
      <c r="E272" s="59"/>
      <c r="F272" s="59"/>
      <c r="G272" s="59"/>
      <c r="H272" s="59"/>
      <c r="I272" s="59"/>
    </row>
  </sheetData>
  <autoFilter ref="A2:I270"/>
  <sortState ref="C3:I269">
    <sortCondition ref="G3:G269"/>
    <sortCondition ref="E3:E269"/>
  </sortState>
  <mergeCells count="3">
    <mergeCell ref="B270:I270"/>
    <mergeCell ref="B271:I271"/>
    <mergeCell ref="D268:E268"/>
  </mergeCells>
  <phoneticPr fontId="1" type="noConversion"/>
  <pageMargins left="0.70866141732283472" right="0.39370078740157483" top="0.6692913385826772" bottom="0.51" header="0.31496062992125984" footer="0.31496062992125984"/>
  <pageSetup paperSize="9" scale="79" fitToHeight="27" orientation="portrait" r:id="rId1"/>
  <headerFooter>
    <oddFooter>&amp;C&amp;P</oddFooter>
  </headerFooter>
</worksheet>
</file>

<file path=xl/worksheets/sheet7.xml><?xml version="1.0" encoding="utf-8"?>
<worksheet xmlns="http://schemas.openxmlformats.org/spreadsheetml/2006/main" xmlns:r="http://schemas.openxmlformats.org/officeDocument/2006/relationships">
  <dimension ref="A1:I100"/>
  <sheetViews>
    <sheetView zoomScale="80" zoomScaleNormal="80" workbookViewId="0">
      <selection activeCell="F94" sqref="F94"/>
    </sheetView>
  </sheetViews>
  <sheetFormatPr defaultRowHeight="16.2"/>
  <cols>
    <col min="1" max="1" width="6.88671875" customWidth="1"/>
    <col min="2" max="2" width="10.5546875" bestFit="1" customWidth="1"/>
    <col min="3" max="3" width="10.6640625" customWidth="1"/>
    <col min="4" max="4" width="8.33203125" bestFit="1" customWidth="1"/>
    <col min="5" max="5" width="10.5546875" bestFit="1" customWidth="1"/>
    <col min="6" max="6" width="12.109375" style="102" bestFit="1" customWidth="1"/>
    <col min="7" max="7" width="10.5546875" bestFit="1" customWidth="1"/>
    <col min="8" max="8" width="13.21875" style="102" bestFit="1" customWidth="1"/>
    <col min="9" max="9" width="19.88671875" bestFit="1" customWidth="1"/>
  </cols>
  <sheetData>
    <row r="1" spans="1:9" ht="16.8" thickBot="1">
      <c r="A1" s="195" t="s">
        <v>1566</v>
      </c>
    </row>
    <row r="2" spans="1:9" s="192" customFormat="1" ht="16.8" thickBot="1">
      <c r="A2" s="22" t="s">
        <v>16</v>
      </c>
      <c r="B2" s="23" t="s">
        <v>1361</v>
      </c>
      <c r="C2" s="23" t="s">
        <v>19</v>
      </c>
      <c r="D2" s="23" t="s">
        <v>1234</v>
      </c>
      <c r="E2" s="23" t="s">
        <v>1362</v>
      </c>
      <c r="F2" s="196" t="s">
        <v>21</v>
      </c>
      <c r="G2" s="23" t="s">
        <v>22</v>
      </c>
      <c r="H2" s="196" t="s">
        <v>23</v>
      </c>
      <c r="I2" s="24" t="s">
        <v>1367</v>
      </c>
    </row>
    <row r="3" spans="1:9">
      <c r="A3" s="10">
        <v>1</v>
      </c>
      <c r="B3" s="200" t="s">
        <v>1444</v>
      </c>
      <c r="C3" s="200" t="s">
        <v>1482</v>
      </c>
      <c r="D3" s="200"/>
      <c r="E3" s="200" t="s">
        <v>1481</v>
      </c>
      <c r="F3" s="201">
        <v>1000</v>
      </c>
      <c r="G3" s="200">
        <v>65</v>
      </c>
      <c r="H3" s="201">
        <f t="shared" ref="H3:H50" si="0">F3*G3</f>
        <v>65000</v>
      </c>
      <c r="I3" s="154" t="s">
        <v>1483</v>
      </c>
    </row>
    <row r="4" spans="1:9">
      <c r="A4" s="3">
        <v>2</v>
      </c>
      <c r="B4" s="193" t="s">
        <v>1444</v>
      </c>
      <c r="C4" s="193" t="s">
        <v>1460</v>
      </c>
      <c r="D4" s="193" t="s">
        <v>1407</v>
      </c>
      <c r="E4" s="193" t="s">
        <v>1466</v>
      </c>
      <c r="F4" s="194">
        <v>2000</v>
      </c>
      <c r="G4" s="193">
        <v>65</v>
      </c>
      <c r="H4" s="194">
        <f t="shared" si="0"/>
        <v>130000</v>
      </c>
      <c r="I4" s="149" t="s">
        <v>1468</v>
      </c>
    </row>
    <row r="5" spans="1:9">
      <c r="A5" s="3">
        <v>3</v>
      </c>
      <c r="B5" s="193" t="s">
        <v>1444</v>
      </c>
      <c r="C5" s="193" t="s">
        <v>1469</v>
      </c>
      <c r="D5" s="193" t="s">
        <v>1473</v>
      </c>
      <c r="E5" s="193" t="s">
        <v>1467</v>
      </c>
      <c r="F5" s="194">
        <v>3000</v>
      </c>
      <c r="G5" s="193">
        <v>60</v>
      </c>
      <c r="H5" s="194">
        <f t="shared" si="0"/>
        <v>180000</v>
      </c>
      <c r="I5" s="149" t="s">
        <v>1468</v>
      </c>
    </row>
    <row r="6" spans="1:9">
      <c r="A6" s="3">
        <v>4</v>
      </c>
      <c r="B6" s="193" t="s">
        <v>1444</v>
      </c>
      <c r="C6" s="193" t="s">
        <v>1470</v>
      </c>
      <c r="D6" s="193" t="s">
        <v>1407</v>
      </c>
      <c r="E6" s="193" t="s">
        <v>1471</v>
      </c>
      <c r="F6" s="194">
        <v>1000</v>
      </c>
      <c r="G6" s="193">
        <v>65</v>
      </c>
      <c r="H6" s="194">
        <f t="shared" si="0"/>
        <v>65000</v>
      </c>
      <c r="I6" s="149" t="s">
        <v>1468</v>
      </c>
    </row>
    <row r="7" spans="1:9">
      <c r="A7" s="3">
        <v>5</v>
      </c>
      <c r="B7" s="193" t="s">
        <v>1444</v>
      </c>
      <c r="C7" s="193" t="s">
        <v>1470</v>
      </c>
      <c r="D7" s="193" t="s">
        <v>1407</v>
      </c>
      <c r="E7" s="193" t="s">
        <v>1471</v>
      </c>
      <c r="F7" s="194">
        <v>1000</v>
      </c>
      <c r="G7" s="193">
        <v>45</v>
      </c>
      <c r="H7" s="194">
        <f t="shared" si="0"/>
        <v>45000</v>
      </c>
      <c r="I7" s="149" t="s">
        <v>1468</v>
      </c>
    </row>
    <row r="8" spans="1:9">
      <c r="A8" s="3">
        <v>6</v>
      </c>
      <c r="B8" s="193" t="s">
        <v>1444</v>
      </c>
      <c r="C8" s="193" t="s">
        <v>1472</v>
      </c>
      <c r="D8" s="193" t="s">
        <v>1473</v>
      </c>
      <c r="E8" s="193" t="s">
        <v>1474</v>
      </c>
      <c r="F8" s="194">
        <v>2000</v>
      </c>
      <c r="G8" s="193">
        <v>65</v>
      </c>
      <c r="H8" s="194">
        <f t="shared" si="0"/>
        <v>130000</v>
      </c>
      <c r="I8" s="149" t="s">
        <v>1468</v>
      </c>
    </row>
    <row r="9" spans="1:9">
      <c r="A9" s="3">
        <v>7</v>
      </c>
      <c r="B9" s="193" t="s">
        <v>1444</v>
      </c>
      <c r="C9" s="193" t="s">
        <v>1476</v>
      </c>
      <c r="D9" s="193"/>
      <c r="E9" s="193" t="s">
        <v>1475</v>
      </c>
      <c r="F9" s="194">
        <v>3000</v>
      </c>
      <c r="G9" s="193">
        <v>65</v>
      </c>
      <c r="H9" s="194">
        <f t="shared" si="0"/>
        <v>195000</v>
      </c>
      <c r="I9" s="149" t="s">
        <v>1468</v>
      </c>
    </row>
    <row r="10" spans="1:9">
      <c r="A10" s="3">
        <v>8</v>
      </c>
      <c r="B10" s="193" t="s">
        <v>1444</v>
      </c>
      <c r="C10" s="193" t="s">
        <v>1393</v>
      </c>
      <c r="D10" s="193"/>
      <c r="E10" s="193" t="s">
        <v>403</v>
      </c>
      <c r="F10" s="194">
        <v>4000</v>
      </c>
      <c r="G10" s="193">
        <v>65</v>
      </c>
      <c r="H10" s="194">
        <f t="shared" si="0"/>
        <v>260000</v>
      </c>
      <c r="I10" s="149" t="s">
        <v>1468</v>
      </c>
    </row>
    <row r="11" spans="1:9">
      <c r="A11" s="3">
        <v>9</v>
      </c>
      <c r="B11" s="193" t="s">
        <v>1444</v>
      </c>
      <c r="C11" s="193" t="s">
        <v>1393</v>
      </c>
      <c r="D11" s="193"/>
      <c r="E11" s="193" t="s">
        <v>403</v>
      </c>
      <c r="F11" s="194">
        <v>1000</v>
      </c>
      <c r="G11" s="193">
        <v>35</v>
      </c>
      <c r="H11" s="194">
        <f t="shared" si="0"/>
        <v>35000</v>
      </c>
      <c r="I11" s="149" t="s">
        <v>1468</v>
      </c>
    </row>
    <row r="12" spans="1:9">
      <c r="A12" s="3">
        <v>10</v>
      </c>
      <c r="B12" s="193" t="s">
        <v>1444</v>
      </c>
      <c r="C12" s="193" t="s">
        <v>1477</v>
      </c>
      <c r="D12" s="193"/>
      <c r="E12" s="193" t="s">
        <v>403</v>
      </c>
      <c r="F12" s="194">
        <v>1000</v>
      </c>
      <c r="G12" s="193">
        <v>65</v>
      </c>
      <c r="H12" s="194">
        <f t="shared" si="0"/>
        <v>65000</v>
      </c>
      <c r="I12" s="149" t="s">
        <v>1468</v>
      </c>
    </row>
    <row r="13" spans="1:9">
      <c r="A13" s="3">
        <v>11</v>
      </c>
      <c r="B13" s="193" t="s">
        <v>1444</v>
      </c>
      <c r="C13" s="193" t="s">
        <v>1478</v>
      </c>
      <c r="D13" s="193" t="s">
        <v>1407</v>
      </c>
      <c r="E13" s="193" t="s">
        <v>403</v>
      </c>
      <c r="F13" s="194">
        <v>5000</v>
      </c>
      <c r="G13" s="193">
        <v>65</v>
      </c>
      <c r="H13" s="194">
        <f t="shared" si="0"/>
        <v>325000</v>
      </c>
      <c r="I13" s="149" t="s">
        <v>1468</v>
      </c>
    </row>
    <row r="14" spans="1:9">
      <c r="A14" s="3">
        <v>12</v>
      </c>
      <c r="B14" s="193" t="s">
        <v>1444</v>
      </c>
      <c r="C14" s="193" t="s">
        <v>1478</v>
      </c>
      <c r="D14" s="193" t="s">
        <v>1407</v>
      </c>
      <c r="E14" s="193" t="s">
        <v>403</v>
      </c>
      <c r="F14" s="194">
        <v>1000</v>
      </c>
      <c r="G14" s="193">
        <v>35</v>
      </c>
      <c r="H14" s="194">
        <f t="shared" si="0"/>
        <v>35000</v>
      </c>
      <c r="I14" s="149" t="s">
        <v>1468</v>
      </c>
    </row>
    <row r="15" spans="1:9">
      <c r="A15" s="3">
        <v>13</v>
      </c>
      <c r="B15" s="193" t="s">
        <v>1444</v>
      </c>
      <c r="C15" s="193" t="s">
        <v>1480</v>
      </c>
      <c r="D15" s="193"/>
      <c r="E15" s="193" t="s">
        <v>1479</v>
      </c>
      <c r="F15" s="194">
        <v>3000</v>
      </c>
      <c r="G15" s="193">
        <v>65</v>
      </c>
      <c r="H15" s="194">
        <f t="shared" si="0"/>
        <v>195000</v>
      </c>
      <c r="I15" s="149" t="s">
        <v>1468</v>
      </c>
    </row>
    <row r="16" spans="1:9">
      <c r="A16" s="3">
        <v>14</v>
      </c>
      <c r="B16" s="193" t="s">
        <v>1444</v>
      </c>
      <c r="C16" s="193" t="s">
        <v>1453</v>
      </c>
      <c r="D16" s="193"/>
      <c r="E16" s="193" t="s">
        <v>1452</v>
      </c>
      <c r="F16" s="194">
        <v>10000</v>
      </c>
      <c r="G16" s="193">
        <v>65</v>
      </c>
      <c r="H16" s="194">
        <f t="shared" si="0"/>
        <v>650000</v>
      </c>
      <c r="I16" s="149" t="s">
        <v>1461</v>
      </c>
    </row>
    <row r="17" spans="1:9">
      <c r="A17" s="3">
        <v>15</v>
      </c>
      <c r="B17" s="193" t="s">
        <v>1444</v>
      </c>
      <c r="C17" s="193" t="s">
        <v>1453</v>
      </c>
      <c r="D17" s="193"/>
      <c r="E17" s="193" t="s">
        <v>1452</v>
      </c>
      <c r="F17" s="194">
        <v>2000</v>
      </c>
      <c r="G17" s="193">
        <v>35</v>
      </c>
      <c r="H17" s="194">
        <f t="shared" si="0"/>
        <v>70000</v>
      </c>
      <c r="I17" s="149" t="s">
        <v>1461</v>
      </c>
    </row>
    <row r="18" spans="1:9">
      <c r="A18" s="3">
        <v>16</v>
      </c>
      <c r="B18" s="193" t="s">
        <v>1444</v>
      </c>
      <c r="C18" s="193" t="s">
        <v>1454</v>
      </c>
      <c r="D18" s="193"/>
      <c r="E18" s="193" t="s">
        <v>1452</v>
      </c>
      <c r="F18" s="194">
        <v>5000</v>
      </c>
      <c r="G18" s="193">
        <v>65</v>
      </c>
      <c r="H18" s="194">
        <f t="shared" si="0"/>
        <v>325000</v>
      </c>
      <c r="I18" s="149" t="s">
        <v>1461</v>
      </c>
    </row>
    <row r="19" spans="1:9">
      <c r="A19" s="3">
        <v>17</v>
      </c>
      <c r="B19" s="193" t="s">
        <v>1444</v>
      </c>
      <c r="C19" s="193" t="s">
        <v>1454</v>
      </c>
      <c r="D19" s="193"/>
      <c r="E19" s="193" t="s">
        <v>1452</v>
      </c>
      <c r="F19" s="194">
        <v>1000</v>
      </c>
      <c r="G19" s="193">
        <v>35</v>
      </c>
      <c r="H19" s="194">
        <f t="shared" si="0"/>
        <v>35000</v>
      </c>
      <c r="I19" s="149" t="s">
        <v>1461</v>
      </c>
    </row>
    <row r="20" spans="1:9">
      <c r="A20" s="3">
        <v>18</v>
      </c>
      <c r="B20" s="193" t="s">
        <v>1444</v>
      </c>
      <c r="C20" s="193" t="s">
        <v>1455</v>
      </c>
      <c r="D20" s="193"/>
      <c r="E20" s="193" t="s">
        <v>1452</v>
      </c>
      <c r="F20" s="194">
        <v>5000</v>
      </c>
      <c r="G20" s="193">
        <v>65</v>
      </c>
      <c r="H20" s="194">
        <f t="shared" si="0"/>
        <v>325000</v>
      </c>
      <c r="I20" s="149" t="s">
        <v>1461</v>
      </c>
    </row>
    <row r="21" spans="1:9">
      <c r="A21" s="3">
        <v>19</v>
      </c>
      <c r="B21" s="193" t="s">
        <v>1444</v>
      </c>
      <c r="C21" s="193" t="s">
        <v>1455</v>
      </c>
      <c r="D21" s="193"/>
      <c r="E21" s="193" t="s">
        <v>1452</v>
      </c>
      <c r="F21" s="194">
        <v>1000</v>
      </c>
      <c r="G21" s="193">
        <v>35</v>
      </c>
      <c r="H21" s="194">
        <f t="shared" si="0"/>
        <v>35000</v>
      </c>
      <c r="I21" s="149" t="s">
        <v>1461</v>
      </c>
    </row>
    <row r="22" spans="1:9">
      <c r="A22" s="3">
        <v>20</v>
      </c>
      <c r="B22" s="193" t="s">
        <v>1444</v>
      </c>
      <c r="C22" s="193" t="s">
        <v>1456</v>
      </c>
      <c r="D22" s="193"/>
      <c r="E22" s="193" t="s">
        <v>1457</v>
      </c>
      <c r="F22" s="194">
        <v>5000</v>
      </c>
      <c r="G22" s="193">
        <v>65</v>
      </c>
      <c r="H22" s="194">
        <f t="shared" si="0"/>
        <v>325000</v>
      </c>
      <c r="I22" s="149" t="s">
        <v>1461</v>
      </c>
    </row>
    <row r="23" spans="1:9">
      <c r="A23" s="3">
        <v>21</v>
      </c>
      <c r="B23" s="193" t="s">
        <v>1444</v>
      </c>
      <c r="C23" s="193" t="s">
        <v>1456</v>
      </c>
      <c r="D23" s="193"/>
      <c r="E23" s="193" t="s">
        <v>1457</v>
      </c>
      <c r="F23" s="194">
        <v>1000</v>
      </c>
      <c r="G23" s="193">
        <v>35</v>
      </c>
      <c r="H23" s="194">
        <f t="shared" si="0"/>
        <v>35000</v>
      </c>
      <c r="I23" s="149" t="s">
        <v>1461</v>
      </c>
    </row>
    <row r="24" spans="1:9">
      <c r="A24" s="3">
        <v>22</v>
      </c>
      <c r="B24" s="193" t="s">
        <v>1444</v>
      </c>
      <c r="C24" s="193" t="s">
        <v>1458</v>
      </c>
      <c r="D24" s="193"/>
      <c r="E24" s="193" t="s">
        <v>1462</v>
      </c>
      <c r="F24" s="194">
        <v>2000</v>
      </c>
      <c r="G24" s="193">
        <v>65</v>
      </c>
      <c r="H24" s="194">
        <f t="shared" si="0"/>
        <v>130000</v>
      </c>
      <c r="I24" s="149" t="s">
        <v>1461</v>
      </c>
    </row>
    <row r="25" spans="1:9">
      <c r="A25" s="3">
        <v>23</v>
      </c>
      <c r="B25" s="193" t="s">
        <v>1444</v>
      </c>
      <c r="C25" s="193" t="s">
        <v>1459</v>
      </c>
      <c r="D25" s="193"/>
      <c r="E25" s="193" t="s">
        <v>1463</v>
      </c>
      <c r="F25" s="194">
        <v>5000</v>
      </c>
      <c r="G25" s="193">
        <v>65</v>
      </c>
      <c r="H25" s="194">
        <f t="shared" si="0"/>
        <v>325000</v>
      </c>
      <c r="I25" s="149" t="s">
        <v>1461</v>
      </c>
    </row>
    <row r="26" spans="1:9">
      <c r="A26" s="3">
        <v>24</v>
      </c>
      <c r="B26" s="193" t="s">
        <v>1444</v>
      </c>
      <c r="C26" s="193" t="s">
        <v>1459</v>
      </c>
      <c r="D26" s="193"/>
      <c r="E26" s="193" t="s">
        <v>1463</v>
      </c>
      <c r="F26" s="194">
        <v>1000</v>
      </c>
      <c r="G26" s="193">
        <v>35</v>
      </c>
      <c r="H26" s="194">
        <f t="shared" si="0"/>
        <v>35000</v>
      </c>
      <c r="I26" s="149" t="s">
        <v>1461</v>
      </c>
    </row>
    <row r="27" spans="1:9">
      <c r="A27" s="3">
        <v>25</v>
      </c>
      <c r="B27" s="193" t="s">
        <v>1444</v>
      </c>
      <c r="C27" s="193" t="s">
        <v>1460</v>
      </c>
      <c r="D27" s="193" t="s">
        <v>1407</v>
      </c>
      <c r="E27" s="193" t="s">
        <v>1463</v>
      </c>
      <c r="F27" s="194">
        <v>8000</v>
      </c>
      <c r="G27" s="193">
        <v>65</v>
      </c>
      <c r="H27" s="194">
        <f t="shared" si="0"/>
        <v>520000</v>
      </c>
      <c r="I27" s="149" t="s">
        <v>1461</v>
      </c>
    </row>
    <row r="28" spans="1:9">
      <c r="A28" s="3">
        <v>26</v>
      </c>
      <c r="B28" s="193" t="s">
        <v>1444</v>
      </c>
      <c r="C28" s="193" t="s">
        <v>1460</v>
      </c>
      <c r="D28" s="193" t="s">
        <v>1407</v>
      </c>
      <c r="E28" s="193" t="s">
        <v>1463</v>
      </c>
      <c r="F28" s="194">
        <v>2000</v>
      </c>
      <c r="G28" s="193">
        <v>35</v>
      </c>
      <c r="H28" s="194">
        <f t="shared" si="0"/>
        <v>70000</v>
      </c>
      <c r="I28" s="149" t="s">
        <v>1461</v>
      </c>
    </row>
    <row r="29" spans="1:9">
      <c r="A29" s="3">
        <v>27</v>
      </c>
      <c r="B29" s="193" t="s">
        <v>1444</v>
      </c>
      <c r="C29" s="193" t="s">
        <v>1446</v>
      </c>
      <c r="D29" s="193" t="s">
        <v>1407</v>
      </c>
      <c r="E29" s="193" t="s">
        <v>1464</v>
      </c>
      <c r="F29" s="194">
        <v>5000</v>
      </c>
      <c r="G29" s="193">
        <v>65</v>
      </c>
      <c r="H29" s="194">
        <f t="shared" si="0"/>
        <v>325000</v>
      </c>
      <c r="I29" s="149" t="s">
        <v>1461</v>
      </c>
    </row>
    <row r="30" spans="1:9">
      <c r="A30" s="3">
        <v>28</v>
      </c>
      <c r="B30" s="193" t="s">
        <v>1444</v>
      </c>
      <c r="C30" s="193" t="s">
        <v>1446</v>
      </c>
      <c r="D30" s="193" t="s">
        <v>1407</v>
      </c>
      <c r="E30" s="193" t="s">
        <v>1464</v>
      </c>
      <c r="F30" s="194">
        <v>1000</v>
      </c>
      <c r="G30" s="193">
        <v>35</v>
      </c>
      <c r="H30" s="194">
        <f t="shared" si="0"/>
        <v>35000</v>
      </c>
      <c r="I30" s="149" t="s">
        <v>1461</v>
      </c>
    </row>
    <row r="31" spans="1:9">
      <c r="A31" s="3">
        <v>29</v>
      </c>
      <c r="B31" s="193" t="s">
        <v>1444</v>
      </c>
      <c r="C31" s="193" t="s">
        <v>1450</v>
      </c>
      <c r="D31" s="193" t="s">
        <v>1407</v>
      </c>
      <c r="E31" s="193" t="s">
        <v>1465</v>
      </c>
      <c r="F31" s="194">
        <v>3000</v>
      </c>
      <c r="G31" s="193">
        <v>65</v>
      </c>
      <c r="H31" s="194">
        <f t="shared" si="0"/>
        <v>195000</v>
      </c>
      <c r="I31" s="149" t="s">
        <v>1461</v>
      </c>
    </row>
    <row r="32" spans="1:9">
      <c r="A32" s="3">
        <v>30</v>
      </c>
      <c r="B32" s="193" t="s">
        <v>1444</v>
      </c>
      <c r="C32" s="193" t="s">
        <v>1432</v>
      </c>
      <c r="D32" s="193"/>
      <c r="E32" s="193" t="s">
        <v>1443</v>
      </c>
      <c r="F32" s="194">
        <v>1000</v>
      </c>
      <c r="G32" s="193">
        <v>65</v>
      </c>
      <c r="H32" s="194">
        <f t="shared" si="0"/>
        <v>65000</v>
      </c>
      <c r="I32" s="149" t="s">
        <v>1442</v>
      </c>
    </row>
    <row r="33" spans="1:9">
      <c r="A33" s="3">
        <v>31</v>
      </c>
      <c r="B33" s="193" t="s">
        <v>1444</v>
      </c>
      <c r="C33" s="193" t="s">
        <v>1446</v>
      </c>
      <c r="D33" s="193" t="s">
        <v>1407</v>
      </c>
      <c r="E33" s="193" t="s">
        <v>1445</v>
      </c>
      <c r="F33" s="194">
        <v>10000</v>
      </c>
      <c r="G33" s="193">
        <v>65</v>
      </c>
      <c r="H33" s="194">
        <f t="shared" si="0"/>
        <v>650000</v>
      </c>
      <c r="I33" s="149" t="s">
        <v>1451</v>
      </c>
    </row>
    <row r="34" spans="1:9">
      <c r="A34" s="3">
        <v>32</v>
      </c>
      <c r="B34" s="193" t="s">
        <v>1444</v>
      </c>
      <c r="C34" s="193" t="s">
        <v>1446</v>
      </c>
      <c r="D34" s="193" t="s">
        <v>1407</v>
      </c>
      <c r="E34" s="193" t="s">
        <v>1445</v>
      </c>
      <c r="F34" s="194">
        <v>2000</v>
      </c>
      <c r="G34" s="193">
        <v>35</v>
      </c>
      <c r="H34" s="194">
        <f t="shared" si="0"/>
        <v>70000</v>
      </c>
      <c r="I34" s="149" t="s">
        <v>1451</v>
      </c>
    </row>
    <row r="35" spans="1:9">
      <c r="A35" s="3">
        <v>33</v>
      </c>
      <c r="B35" s="193" t="s">
        <v>1444</v>
      </c>
      <c r="C35" s="193" t="s">
        <v>1447</v>
      </c>
      <c r="D35" s="193" t="s">
        <v>1407</v>
      </c>
      <c r="E35" s="193" t="s">
        <v>1445</v>
      </c>
      <c r="F35" s="194">
        <v>10000</v>
      </c>
      <c r="G35" s="193">
        <v>65</v>
      </c>
      <c r="H35" s="194">
        <f t="shared" si="0"/>
        <v>650000</v>
      </c>
      <c r="I35" s="149" t="s">
        <v>1451</v>
      </c>
    </row>
    <row r="36" spans="1:9">
      <c r="A36" s="3">
        <v>34</v>
      </c>
      <c r="B36" s="193" t="s">
        <v>1444</v>
      </c>
      <c r="C36" s="193" t="s">
        <v>1447</v>
      </c>
      <c r="D36" s="193" t="s">
        <v>1407</v>
      </c>
      <c r="E36" s="193" t="s">
        <v>1445</v>
      </c>
      <c r="F36" s="194">
        <v>2000</v>
      </c>
      <c r="G36" s="193">
        <v>35</v>
      </c>
      <c r="H36" s="194">
        <f t="shared" si="0"/>
        <v>70000</v>
      </c>
      <c r="I36" s="149" t="s">
        <v>1451</v>
      </c>
    </row>
    <row r="37" spans="1:9">
      <c r="A37" s="3">
        <v>35</v>
      </c>
      <c r="B37" s="193" t="s">
        <v>1444</v>
      </c>
      <c r="C37" s="193" t="s">
        <v>1448</v>
      </c>
      <c r="D37" s="193"/>
      <c r="E37" s="193" t="s">
        <v>1449</v>
      </c>
      <c r="F37" s="194">
        <v>2000</v>
      </c>
      <c r="G37" s="193">
        <v>65</v>
      </c>
      <c r="H37" s="194">
        <f t="shared" si="0"/>
        <v>130000</v>
      </c>
      <c r="I37" s="149" t="s">
        <v>1451</v>
      </c>
    </row>
    <row r="38" spans="1:9">
      <c r="A38" s="3">
        <v>36</v>
      </c>
      <c r="B38" s="193" t="s">
        <v>1444</v>
      </c>
      <c r="C38" s="193" t="s">
        <v>1450</v>
      </c>
      <c r="D38" s="193" t="s">
        <v>1407</v>
      </c>
      <c r="E38" s="193" t="s">
        <v>1449</v>
      </c>
      <c r="F38" s="194">
        <v>1000</v>
      </c>
      <c r="G38" s="193">
        <v>65</v>
      </c>
      <c r="H38" s="194">
        <f t="shared" si="0"/>
        <v>65000</v>
      </c>
      <c r="I38" s="149" t="s">
        <v>1451</v>
      </c>
    </row>
    <row r="39" spans="1:9">
      <c r="A39" s="3">
        <v>37</v>
      </c>
      <c r="B39" s="193" t="s">
        <v>1368</v>
      </c>
      <c r="C39" s="193" t="s">
        <v>1431</v>
      </c>
      <c r="D39" s="193" t="s">
        <v>1427</v>
      </c>
      <c r="E39" s="193" t="s">
        <v>1430</v>
      </c>
      <c r="F39" s="194">
        <v>1000</v>
      </c>
      <c r="G39" s="193">
        <v>65</v>
      </c>
      <c r="H39" s="194">
        <f t="shared" si="0"/>
        <v>65000</v>
      </c>
      <c r="I39" s="149" t="s">
        <v>1441</v>
      </c>
    </row>
    <row r="40" spans="1:9">
      <c r="A40" s="3">
        <v>38</v>
      </c>
      <c r="B40" s="193" t="s">
        <v>1368</v>
      </c>
      <c r="C40" s="193" t="s">
        <v>1432</v>
      </c>
      <c r="D40" s="193"/>
      <c r="E40" s="193" t="s">
        <v>1433</v>
      </c>
      <c r="F40" s="194">
        <v>4000</v>
      </c>
      <c r="G40" s="193">
        <v>65</v>
      </c>
      <c r="H40" s="194">
        <f t="shared" si="0"/>
        <v>260000</v>
      </c>
      <c r="I40" s="149" t="s">
        <v>1441</v>
      </c>
    </row>
    <row r="41" spans="1:9">
      <c r="A41" s="3">
        <v>39</v>
      </c>
      <c r="B41" s="193" t="s">
        <v>1368</v>
      </c>
      <c r="C41" s="193" t="s">
        <v>1432</v>
      </c>
      <c r="D41" s="193"/>
      <c r="E41" s="193" t="s">
        <v>1433</v>
      </c>
      <c r="F41" s="194">
        <v>1000</v>
      </c>
      <c r="G41" s="193">
        <v>35</v>
      </c>
      <c r="H41" s="194">
        <f t="shared" si="0"/>
        <v>35000</v>
      </c>
      <c r="I41" s="149" t="s">
        <v>1441</v>
      </c>
    </row>
    <row r="42" spans="1:9">
      <c r="A42" s="3">
        <v>40</v>
      </c>
      <c r="B42" s="193" t="s">
        <v>1368</v>
      </c>
      <c r="C42" s="193" t="s">
        <v>1434</v>
      </c>
      <c r="D42" s="193"/>
      <c r="E42" s="193" t="s">
        <v>1435</v>
      </c>
      <c r="F42" s="194">
        <v>1000</v>
      </c>
      <c r="G42" s="193">
        <v>65</v>
      </c>
      <c r="H42" s="194">
        <f t="shared" si="0"/>
        <v>65000</v>
      </c>
      <c r="I42" s="149" t="s">
        <v>1441</v>
      </c>
    </row>
    <row r="43" spans="1:9">
      <c r="A43" s="3">
        <v>41</v>
      </c>
      <c r="B43" s="193" t="s">
        <v>1368</v>
      </c>
      <c r="C43" s="193" t="s">
        <v>1412</v>
      </c>
      <c r="D43" s="193"/>
      <c r="E43" s="193" t="s">
        <v>1435</v>
      </c>
      <c r="F43" s="194">
        <v>5000</v>
      </c>
      <c r="G43" s="193">
        <v>65</v>
      </c>
      <c r="H43" s="194">
        <f t="shared" si="0"/>
        <v>325000</v>
      </c>
      <c r="I43" s="149" t="s">
        <v>1441</v>
      </c>
    </row>
    <row r="44" spans="1:9">
      <c r="A44" s="3">
        <v>42</v>
      </c>
      <c r="B44" s="193" t="s">
        <v>1368</v>
      </c>
      <c r="C44" s="193" t="s">
        <v>1412</v>
      </c>
      <c r="D44" s="193"/>
      <c r="E44" s="193" t="s">
        <v>1435</v>
      </c>
      <c r="F44" s="194">
        <v>1000</v>
      </c>
      <c r="G44" s="193">
        <v>35</v>
      </c>
      <c r="H44" s="194">
        <f t="shared" si="0"/>
        <v>35000</v>
      </c>
      <c r="I44" s="149" t="s">
        <v>1441</v>
      </c>
    </row>
    <row r="45" spans="1:9">
      <c r="A45" s="3">
        <v>43</v>
      </c>
      <c r="B45" s="193" t="s">
        <v>1368</v>
      </c>
      <c r="C45" s="193" t="s">
        <v>1431</v>
      </c>
      <c r="D45" s="193" t="s">
        <v>1427</v>
      </c>
      <c r="E45" s="193" t="s">
        <v>1435</v>
      </c>
      <c r="F45" s="194">
        <v>9000</v>
      </c>
      <c r="G45" s="193">
        <v>65</v>
      </c>
      <c r="H45" s="194">
        <f t="shared" si="0"/>
        <v>585000</v>
      </c>
      <c r="I45" s="149" t="s">
        <v>1441</v>
      </c>
    </row>
    <row r="46" spans="1:9">
      <c r="A46" s="3">
        <v>44</v>
      </c>
      <c r="B46" s="193" t="s">
        <v>1368</v>
      </c>
      <c r="C46" s="193" t="s">
        <v>1431</v>
      </c>
      <c r="D46" s="193" t="s">
        <v>1427</v>
      </c>
      <c r="E46" s="193" t="s">
        <v>1435</v>
      </c>
      <c r="F46" s="194">
        <v>2000</v>
      </c>
      <c r="G46" s="193">
        <v>35</v>
      </c>
      <c r="H46" s="194">
        <f t="shared" si="0"/>
        <v>70000</v>
      </c>
      <c r="I46" s="149" t="s">
        <v>1441</v>
      </c>
    </row>
    <row r="47" spans="1:9">
      <c r="A47" s="3">
        <v>45</v>
      </c>
      <c r="B47" s="193" t="s">
        <v>1368</v>
      </c>
      <c r="C47" s="193" t="s">
        <v>1436</v>
      </c>
      <c r="D47" s="193"/>
      <c r="E47" s="193" t="s">
        <v>1437</v>
      </c>
      <c r="F47" s="194">
        <v>2000</v>
      </c>
      <c r="G47" s="193">
        <v>65</v>
      </c>
      <c r="H47" s="194">
        <f t="shared" si="0"/>
        <v>130000</v>
      </c>
      <c r="I47" s="149" t="s">
        <v>1441</v>
      </c>
    </row>
    <row r="48" spans="1:9">
      <c r="A48" s="3">
        <v>46</v>
      </c>
      <c r="B48" s="193" t="s">
        <v>1368</v>
      </c>
      <c r="C48" s="193" t="s">
        <v>1409</v>
      </c>
      <c r="D48" s="193"/>
      <c r="E48" s="193" t="s">
        <v>1411</v>
      </c>
      <c r="F48" s="194">
        <v>1000</v>
      </c>
      <c r="G48" s="193">
        <v>68</v>
      </c>
      <c r="H48" s="194">
        <f t="shared" si="0"/>
        <v>68000</v>
      </c>
      <c r="I48" s="149" t="s">
        <v>1413</v>
      </c>
    </row>
    <row r="49" spans="1:9">
      <c r="A49" s="3">
        <v>47</v>
      </c>
      <c r="B49" s="202" t="s">
        <v>1368</v>
      </c>
      <c r="C49" s="202" t="s">
        <v>1416</v>
      </c>
      <c r="D49" s="202"/>
      <c r="E49" s="202" t="s">
        <v>1417</v>
      </c>
      <c r="F49" s="203">
        <v>2000</v>
      </c>
      <c r="G49" s="202">
        <v>68</v>
      </c>
      <c r="H49" s="203">
        <f t="shared" si="0"/>
        <v>136000</v>
      </c>
      <c r="I49" s="204" t="s">
        <v>1413</v>
      </c>
    </row>
    <row r="50" spans="1:9" ht="16.8" thickBot="1">
      <c r="A50" s="3">
        <v>48</v>
      </c>
      <c r="B50" s="193" t="s">
        <v>1368</v>
      </c>
      <c r="C50" s="193" t="s">
        <v>1418</v>
      </c>
      <c r="D50" s="193" t="s">
        <v>1407</v>
      </c>
      <c r="E50" s="193" t="s">
        <v>1419</v>
      </c>
      <c r="F50" s="194">
        <v>1000</v>
      </c>
      <c r="G50" s="193">
        <v>68</v>
      </c>
      <c r="H50" s="194">
        <f t="shared" si="0"/>
        <v>68000</v>
      </c>
      <c r="I50" s="149" t="s">
        <v>1413</v>
      </c>
    </row>
    <row r="51" spans="1:9" ht="16.8" thickBot="1">
      <c r="A51" s="14"/>
      <c r="B51" s="302" t="s">
        <v>1484</v>
      </c>
      <c r="C51" s="303"/>
      <c r="D51" s="304"/>
      <c r="E51" s="15"/>
      <c r="F51" s="197">
        <f>SUM(F3:F50)</f>
        <v>143000</v>
      </c>
      <c r="G51" s="15"/>
      <c r="H51" s="197">
        <f>SUM(H3:H50)</f>
        <v>8702000</v>
      </c>
      <c r="I51" s="198"/>
    </row>
    <row r="52" spans="1:9">
      <c r="A52" s="10">
        <v>49</v>
      </c>
      <c r="B52" s="200" t="s">
        <v>1438</v>
      </c>
      <c r="C52" s="200" t="s">
        <v>1439</v>
      </c>
      <c r="D52" s="200"/>
      <c r="E52" s="200" t="s">
        <v>1440</v>
      </c>
      <c r="F52" s="201">
        <v>3000</v>
      </c>
      <c r="G52" s="200">
        <v>67</v>
      </c>
      <c r="H52" s="201">
        <f t="shared" ref="H52:H92" si="1">F52*G52</f>
        <v>201000</v>
      </c>
      <c r="I52" s="154" t="s">
        <v>1441</v>
      </c>
    </row>
    <row r="53" spans="1:9">
      <c r="A53" s="3">
        <v>50</v>
      </c>
      <c r="B53" s="193" t="s">
        <v>1438</v>
      </c>
      <c r="C53" s="193" t="s">
        <v>1439</v>
      </c>
      <c r="D53" s="193"/>
      <c r="E53" s="193" t="s">
        <v>1440</v>
      </c>
      <c r="F53" s="194">
        <v>1000</v>
      </c>
      <c r="G53" s="193">
        <v>35</v>
      </c>
      <c r="H53" s="194">
        <f t="shared" si="1"/>
        <v>35000</v>
      </c>
      <c r="I53" s="149" t="s">
        <v>1441</v>
      </c>
    </row>
    <row r="54" spans="1:9">
      <c r="A54" s="3">
        <v>51</v>
      </c>
      <c r="B54" s="193" t="s">
        <v>1371</v>
      </c>
      <c r="C54" s="193" t="s">
        <v>1412</v>
      </c>
      <c r="D54" s="193"/>
      <c r="E54" s="193" t="s">
        <v>1411</v>
      </c>
      <c r="F54" s="194">
        <v>3000</v>
      </c>
      <c r="G54" s="193">
        <v>67</v>
      </c>
      <c r="H54" s="194">
        <f t="shared" si="1"/>
        <v>201000</v>
      </c>
      <c r="I54" s="149" t="s">
        <v>1413</v>
      </c>
    </row>
    <row r="55" spans="1:9">
      <c r="A55" s="3">
        <v>52</v>
      </c>
      <c r="B55" s="193" t="s">
        <v>1371</v>
      </c>
      <c r="C55" s="193" t="s">
        <v>1412</v>
      </c>
      <c r="D55" s="193"/>
      <c r="E55" s="193" t="s">
        <v>1411</v>
      </c>
      <c r="F55" s="194">
        <v>1000</v>
      </c>
      <c r="G55" s="193">
        <v>35</v>
      </c>
      <c r="H55" s="194">
        <f t="shared" si="1"/>
        <v>35000</v>
      </c>
      <c r="I55" s="149" t="s">
        <v>1413</v>
      </c>
    </row>
    <row r="56" spans="1:9">
      <c r="A56" s="3">
        <v>53</v>
      </c>
      <c r="B56" s="193" t="s">
        <v>1371</v>
      </c>
      <c r="C56" s="193" t="s">
        <v>1414</v>
      </c>
      <c r="D56" s="193"/>
      <c r="E56" s="193" t="s">
        <v>1415</v>
      </c>
      <c r="F56" s="194">
        <v>1000</v>
      </c>
      <c r="G56" s="193">
        <v>67</v>
      </c>
      <c r="H56" s="194">
        <f t="shared" si="1"/>
        <v>67000</v>
      </c>
      <c r="I56" s="149" t="s">
        <v>1413</v>
      </c>
    </row>
    <row r="57" spans="1:9">
      <c r="A57" s="3">
        <v>54</v>
      </c>
      <c r="B57" s="193" t="s">
        <v>1371</v>
      </c>
      <c r="C57" s="193" t="s">
        <v>1421</v>
      </c>
      <c r="D57" s="193"/>
      <c r="E57" s="193" t="s">
        <v>1420</v>
      </c>
      <c r="F57" s="194">
        <v>2000</v>
      </c>
      <c r="G57" s="193">
        <v>67</v>
      </c>
      <c r="H57" s="194">
        <f t="shared" si="1"/>
        <v>134000</v>
      </c>
      <c r="I57" s="149" t="s">
        <v>1413</v>
      </c>
    </row>
    <row r="58" spans="1:9">
      <c r="A58" s="3">
        <v>55</v>
      </c>
      <c r="B58" s="193" t="s">
        <v>1371</v>
      </c>
      <c r="C58" s="193" t="s">
        <v>1422</v>
      </c>
      <c r="D58" s="193"/>
      <c r="E58" s="193" t="s">
        <v>1420</v>
      </c>
      <c r="F58" s="194">
        <v>3000</v>
      </c>
      <c r="G58" s="193">
        <v>67</v>
      </c>
      <c r="H58" s="194">
        <f t="shared" si="1"/>
        <v>201000</v>
      </c>
      <c r="I58" s="149" t="s">
        <v>1413</v>
      </c>
    </row>
    <row r="59" spans="1:9">
      <c r="A59" s="3">
        <v>56</v>
      </c>
      <c r="B59" s="193" t="s">
        <v>1371</v>
      </c>
      <c r="C59" s="193" t="s">
        <v>1422</v>
      </c>
      <c r="D59" s="193"/>
      <c r="E59" s="193" t="s">
        <v>1420</v>
      </c>
      <c r="F59" s="194">
        <v>1000</v>
      </c>
      <c r="G59" s="193">
        <v>35</v>
      </c>
      <c r="H59" s="194">
        <f t="shared" si="1"/>
        <v>35000</v>
      </c>
      <c r="I59" s="149" t="s">
        <v>1413</v>
      </c>
    </row>
    <row r="60" spans="1:9">
      <c r="A60" s="3">
        <v>57</v>
      </c>
      <c r="B60" s="193" t="s">
        <v>1371</v>
      </c>
      <c r="C60" s="193" t="s">
        <v>1424</v>
      </c>
      <c r="D60" s="193"/>
      <c r="E60" s="193" t="s">
        <v>1423</v>
      </c>
      <c r="F60" s="194">
        <v>2000</v>
      </c>
      <c r="G60" s="193">
        <v>67</v>
      </c>
      <c r="H60" s="194">
        <f t="shared" si="1"/>
        <v>134000</v>
      </c>
      <c r="I60" s="149" t="s">
        <v>1413</v>
      </c>
    </row>
    <row r="61" spans="1:9">
      <c r="A61" s="3">
        <v>58</v>
      </c>
      <c r="B61" s="193" t="s">
        <v>1371</v>
      </c>
      <c r="C61" s="193" t="s">
        <v>1425</v>
      </c>
      <c r="D61" s="193" t="s">
        <v>1427</v>
      </c>
      <c r="E61" s="193" t="s">
        <v>1426</v>
      </c>
      <c r="F61" s="194">
        <v>3000</v>
      </c>
      <c r="G61" s="193">
        <v>67</v>
      </c>
      <c r="H61" s="194">
        <f t="shared" si="1"/>
        <v>201000</v>
      </c>
      <c r="I61" s="149" t="s">
        <v>1413</v>
      </c>
    </row>
    <row r="62" spans="1:9">
      <c r="A62" s="3">
        <v>59</v>
      </c>
      <c r="B62" s="193" t="s">
        <v>1371</v>
      </c>
      <c r="C62" s="193" t="s">
        <v>1425</v>
      </c>
      <c r="D62" s="193" t="s">
        <v>1427</v>
      </c>
      <c r="E62" s="193" t="s">
        <v>1426</v>
      </c>
      <c r="F62" s="194">
        <v>1000</v>
      </c>
      <c r="G62" s="193">
        <v>35</v>
      </c>
      <c r="H62" s="194">
        <f t="shared" si="1"/>
        <v>35000</v>
      </c>
      <c r="I62" s="149" t="s">
        <v>1413</v>
      </c>
    </row>
    <row r="63" spans="1:9">
      <c r="A63" s="3">
        <v>60</v>
      </c>
      <c r="B63" s="193" t="s">
        <v>1371</v>
      </c>
      <c r="C63" s="193" t="s">
        <v>1429</v>
      </c>
      <c r="D63" s="193"/>
      <c r="E63" s="193" t="s">
        <v>1428</v>
      </c>
      <c r="F63" s="194">
        <v>1000</v>
      </c>
      <c r="G63" s="193">
        <v>67</v>
      </c>
      <c r="H63" s="194">
        <f t="shared" si="1"/>
        <v>67000</v>
      </c>
      <c r="I63" s="149" t="s">
        <v>1413</v>
      </c>
    </row>
    <row r="64" spans="1:9">
      <c r="A64" s="3">
        <v>61</v>
      </c>
      <c r="B64" s="193" t="s">
        <v>1371</v>
      </c>
      <c r="C64" s="193" t="s">
        <v>1399</v>
      </c>
      <c r="D64" s="193"/>
      <c r="E64" s="193" t="s">
        <v>1428</v>
      </c>
      <c r="F64" s="194">
        <v>3000</v>
      </c>
      <c r="G64" s="193">
        <v>67</v>
      </c>
      <c r="H64" s="194">
        <f t="shared" si="1"/>
        <v>201000</v>
      </c>
      <c r="I64" s="149" t="s">
        <v>1413</v>
      </c>
    </row>
    <row r="65" spans="1:9">
      <c r="A65" s="3">
        <v>62</v>
      </c>
      <c r="B65" s="193" t="s">
        <v>1371</v>
      </c>
      <c r="C65" s="193" t="s">
        <v>1399</v>
      </c>
      <c r="D65" s="193"/>
      <c r="E65" s="193" t="s">
        <v>1428</v>
      </c>
      <c r="F65" s="194">
        <v>1000</v>
      </c>
      <c r="G65" s="193">
        <v>35</v>
      </c>
      <c r="H65" s="194">
        <f t="shared" si="1"/>
        <v>35000</v>
      </c>
      <c r="I65" s="149" t="s">
        <v>1413</v>
      </c>
    </row>
    <row r="66" spans="1:9">
      <c r="A66" s="3">
        <v>63</v>
      </c>
      <c r="B66" s="193" t="s">
        <v>1371</v>
      </c>
      <c r="C66" s="193" t="s">
        <v>1399</v>
      </c>
      <c r="D66" s="193"/>
      <c r="E66" s="193" t="s">
        <v>1400</v>
      </c>
      <c r="F66" s="194">
        <v>2000</v>
      </c>
      <c r="G66" s="193">
        <v>67</v>
      </c>
      <c r="H66" s="194">
        <f t="shared" si="1"/>
        <v>134000</v>
      </c>
      <c r="I66" s="149" t="s">
        <v>1401</v>
      </c>
    </row>
    <row r="67" spans="1:9">
      <c r="A67" s="3">
        <v>64</v>
      </c>
      <c r="B67" s="193" t="s">
        <v>1371</v>
      </c>
      <c r="C67" s="193" t="s">
        <v>1402</v>
      </c>
      <c r="D67" s="193"/>
      <c r="E67" s="193" t="s">
        <v>1405</v>
      </c>
      <c r="F67" s="194">
        <v>1000</v>
      </c>
      <c r="G67" s="193">
        <v>67</v>
      </c>
      <c r="H67" s="194">
        <f t="shared" si="1"/>
        <v>67000</v>
      </c>
      <c r="I67" s="149" t="s">
        <v>1401</v>
      </c>
    </row>
    <row r="68" spans="1:9">
      <c r="A68" s="3">
        <v>65</v>
      </c>
      <c r="B68" s="193" t="s">
        <v>1371</v>
      </c>
      <c r="C68" s="193" t="s">
        <v>1403</v>
      </c>
      <c r="D68" s="193"/>
      <c r="E68" s="193" t="s">
        <v>1406</v>
      </c>
      <c r="F68" s="194">
        <v>3000</v>
      </c>
      <c r="G68" s="193">
        <v>67</v>
      </c>
      <c r="H68" s="194">
        <f t="shared" si="1"/>
        <v>201000</v>
      </c>
      <c r="I68" s="149" t="s">
        <v>1401</v>
      </c>
    </row>
    <row r="69" spans="1:9">
      <c r="A69" s="3">
        <v>66</v>
      </c>
      <c r="B69" s="193" t="s">
        <v>1371</v>
      </c>
      <c r="C69" s="193" t="s">
        <v>1403</v>
      </c>
      <c r="D69" s="193"/>
      <c r="E69" s="193" t="s">
        <v>1406</v>
      </c>
      <c r="F69" s="194">
        <v>1000</v>
      </c>
      <c r="G69" s="193">
        <v>35</v>
      </c>
      <c r="H69" s="194">
        <f t="shared" si="1"/>
        <v>35000</v>
      </c>
      <c r="I69" s="149" t="s">
        <v>1401</v>
      </c>
    </row>
    <row r="70" spans="1:9">
      <c r="A70" s="3">
        <v>67</v>
      </c>
      <c r="B70" s="193" t="s">
        <v>1371</v>
      </c>
      <c r="C70" s="193" t="s">
        <v>1404</v>
      </c>
      <c r="D70" s="193" t="s">
        <v>1408</v>
      </c>
      <c r="E70" s="193" t="s">
        <v>1410</v>
      </c>
      <c r="F70" s="194">
        <v>3000</v>
      </c>
      <c r="G70" s="193">
        <v>67</v>
      </c>
      <c r="H70" s="194">
        <f t="shared" si="1"/>
        <v>201000</v>
      </c>
      <c r="I70" s="149" t="s">
        <v>1401</v>
      </c>
    </row>
    <row r="71" spans="1:9">
      <c r="A71" s="3">
        <v>68</v>
      </c>
      <c r="B71" s="193" t="s">
        <v>1371</v>
      </c>
      <c r="C71" s="193" t="s">
        <v>1404</v>
      </c>
      <c r="D71" s="193" t="s">
        <v>1408</v>
      </c>
      <c r="E71" s="193" t="s">
        <v>1410</v>
      </c>
      <c r="F71" s="194">
        <v>1000</v>
      </c>
      <c r="G71" s="193">
        <v>35</v>
      </c>
      <c r="H71" s="194">
        <f t="shared" si="1"/>
        <v>35000</v>
      </c>
      <c r="I71" s="149" t="s">
        <v>1401</v>
      </c>
    </row>
    <row r="72" spans="1:9">
      <c r="A72" s="3">
        <v>69</v>
      </c>
      <c r="B72" s="193" t="s">
        <v>1371</v>
      </c>
      <c r="C72" s="193" t="s">
        <v>1391</v>
      </c>
      <c r="D72" s="193"/>
      <c r="E72" s="193" t="s">
        <v>1395</v>
      </c>
      <c r="F72" s="194">
        <v>1000</v>
      </c>
      <c r="G72" s="193">
        <v>67</v>
      </c>
      <c r="H72" s="194">
        <f t="shared" si="1"/>
        <v>67000</v>
      </c>
      <c r="I72" s="149" t="s">
        <v>1398</v>
      </c>
    </row>
    <row r="73" spans="1:9">
      <c r="A73" s="3">
        <v>70</v>
      </c>
      <c r="B73" s="193" t="s">
        <v>1371</v>
      </c>
      <c r="C73" s="193" t="s">
        <v>1392</v>
      </c>
      <c r="D73" s="193"/>
      <c r="E73" s="193" t="s">
        <v>1395</v>
      </c>
      <c r="F73" s="194">
        <v>3000</v>
      </c>
      <c r="G73" s="193">
        <v>67</v>
      </c>
      <c r="H73" s="194">
        <f t="shared" si="1"/>
        <v>201000</v>
      </c>
      <c r="I73" s="149" t="s">
        <v>1398</v>
      </c>
    </row>
    <row r="74" spans="1:9">
      <c r="A74" s="3">
        <v>71</v>
      </c>
      <c r="B74" s="193" t="s">
        <v>1371</v>
      </c>
      <c r="C74" s="193" t="s">
        <v>1392</v>
      </c>
      <c r="D74" s="193"/>
      <c r="E74" s="193" t="s">
        <v>1395</v>
      </c>
      <c r="F74" s="194">
        <v>1000</v>
      </c>
      <c r="G74" s="193">
        <v>35</v>
      </c>
      <c r="H74" s="194">
        <f t="shared" si="1"/>
        <v>35000</v>
      </c>
      <c r="I74" s="149" t="s">
        <v>1398</v>
      </c>
    </row>
    <row r="75" spans="1:9">
      <c r="A75" s="3">
        <v>72</v>
      </c>
      <c r="B75" s="193" t="s">
        <v>1371</v>
      </c>
      <c r="C75" s="193" t="s">
        <v>1393</v>
      </c>
      <c r="D75" s="193"/>
      <c r="E75" s="193" t="s">
        <v>1396</v>
      </c>
      <c r="F75" s="194">
        <v>2000</v>
      </c>
      <c r="G75" s="193">
        <v>67</v>
      </c>
      <c r="H75" s="194">
        <f t="shared" si="1"/>
        <v>134000</v>
      </c>
      <c r="I75" s="149" t="s">
        <v>1398</v>
      </c>
    </row>
    <row r="76" spans="1:9">
      <c r="A76" s="3">
        <v>73</v>
      </c>
      <c r="B76" s="193" t="s">
        <v>1371</v>
      </c>
      <c r="C76" s="193" t="s">
        <v>1394</v>
      </c>
      <c r="D76" s="193"/>
      <c r="E76" s="193" t="s">
        <v>1397</v>
      </c>
      <c r="F76" s="194">
        <v>2000</v>
      </c>
      <c r="G76" s="193">
        <v>67</v>
      </c>
      <c r="H76" s="194">
        <f t="shared" si="1"/>
        <v>134000</v>
      </c>
      <c r="I76" s="149" t="s">
        <v>1398</v>
      </c>
    </row>
    <row r="77" spans="1:9">
      <c r="A77" s="3">
        <v>74</v>
      </c>
      <c r="B77" s="193" t="s">
        <v>1371</v>
      </c>
      <c r="C77" s="193" t="s">
        <v>1384</v>
      </c>
      <c r="D77" s="193" t="s">
        <v>1383</v>
      </c>
      <c r="E77" s="193" t="s">
        <v>1385</v>
      </c>
      <c r="F77" s="194">
        <v>3000</v>
      </c>
      <c r="G77" s="193">
        <v>67</v>
      </c>
      <c r="H77" s="194">
        <f t="shared" si="1"/>
        <v>201000</v>
      </c>
      <c r="I77" s="149" t="s">
        <v>1386</v>
      </c>
    </row>
    <row r="78" spans="1:9">
      <c r="A78" s="3">
        <v>75</v>
      </c>
      <c r="B78" s="193" t="s">
        <v>1371</v>
      </c>
      <c r="C78" s="193" t="s">
        <v>1384</v>
      </c>
      <c r="D78" s="193" t="s">
        <v>1383</v>
      </c>
      <c r="E78" s="193" t="s">
        <v>1385</v>
      </c>
      <c r="F78" s="194">
        <v>1000</v>
      </c>
      <c r="G78" s="193">
        <v>35</v>
      </c>
      <c r="H78" s="194">
        <f t="shared" si="1"/>
        <v>35000</v>
      </c>
      <c r="I78" s="149" t="s">
        <v>1386</v>
      </c>
    </row>
    <row r="79" spans="1:9">
      <c r="A79" s="3">
        <v>76</v>
      </c>
      <c r="B79" s="193" t="s">
        <v>1371</v>
      </c>
      <c r="C79" s="193" t="s">
        <v>1376</v>
      </c>
      <c r="D79" s="193"/>
      <c r="E79" s="193" t="s">
        <v>1385</v>
      </c>
      <c r="F79" s="194">
        <v>1000</v>
      </c>
      <c r="G79" s="193">
        <v>67</v>
      </c>
      <c r="H79" s="194">
        <f t="shared" si="1"/>
        <v>67000</v>
      </c>
      <c r="I79" s="149" t="s">
        <v>1386</v>
      </c>
    </row>
    <row r="80" spans="1:9">
      <c r="A80" s="3">
        <v>77</v>
      </c>
      <c r="B80" s="193" t="s">
        <v>1371</v>
      </c>
      <c r="C80" s="193" t="s">
        <v>1387</v>
      </c>
      <c r="D80" s="193"/>
      <c r="E80" s="193" t="s">
        <v>1388</v>
      </c>
      <c r="F80" s="194">
        <v>1000</v>
      </c>
      <c r="G80" s="193">
        <v>67</v>
      </c>
      <c r="H80" s="194">
        <f t="shared" si="1"/>
        <v>67000</v>
      </c>
      <c r="I80" s="149" t="s">
        <v>1386</v>
      </c>
    </row>
    <row r="81" spans="1:9">
      <c r="A81" s="3">
        <v>78</v>
      </c>
      <c r="B81" s="193" t="s">
        <v>1371</v>
      </c>
      <c r="C81" s="193" t="s">
        <v>1387</v>
      </c>
      <c r="D81" s="193"/>
      <c r="E81" s="193" t="s">
        <v>1388</v>
      </c>
      <c r="F81" s="194">
        <v>1000</v>
      </c>
      <c r="G81" s="193">
        <v>35</v>
      </c>
      <c r="H81" s="194">
        <f t="shared" si="1"/>
        <v>35000</v>
      </c>
      <c r="I81" s="149" t="s">
        <v>1386</v>
      </c>
    </row>
    <row r="82" spans="1:9">
      <c r="A82" s="3">
        <v>79</v>
      </c>
      <c r="B82" s="193" t="s">
        <v>1371</v>
      </c>
      <c r="C82" s="193" t="s">
        <v>1389</v>
      </c>
      <c r="D82" s="193"/>
      <c r="E82" s="193" t="s">
        <v>1390</v>
      </c>
      <c r="F82" s="194">
        <v>1000</v>
      </c>
      <c r="G82" s="193">
        <v>67</v>
      </c>
      <c r="H82" s="194">
        <f t="shared" si="1"/>
        <v>67000</v>
      </c>
      <c r="I82" s="149" t="s">
        <v>1386</v>
      </c>
    </row>
    <row r="83" spans="1:9">
      <c r="A83" s="3">
        <v>80</v>
      </c>
      <c r="B83" s="193" t="s">
        <v>1371</v>
      </c>
      <c r="C83" s="193" t="s">
        <v>1389</v>
      </c>
      <c r="D83" s="193"/>
      <c r="E83" s="193" t="s">
        <v>1390</v>
      </c>
      <c r="F83" s="194">
        <v>1000</v>
      </c>
      <c r="G83" s="193">
        <v>35</v>
      </c>
      <c r="H83" s="194">
        <f t="shared" si="1"/>
        <v>35000</v>
      </c>
      <c r="I83" s="149" t="s">
        <v>1386</v>
      </c>
    </row>
    <row r="84" spans="1:9">
      <c r="A84" s="3">
        <v>81</v>
      </c>
      <c r="B84" s="193" t="s">
        <v>1371</v>
      </c>
      <c r="C84" s="193" t="s">
        <v>1372</v>
      </c>
      <c r="D84" s="193"/>
      <c r="E84" s="193" t="s">
        <v>1374</v>
      </c>
      <c r="F84" s="194">
        <v>3000</v>
      </c>
      <c r="G84" s="193">
        <v>67</v>
      </c>
      <c r="H84" s="194">
        <f t="shared" si="1"/>
        <v>201000</v>
      </c>
      <c r="I84" s="149" t="s">
        <v>1373</v>
      </c>
    </row>
    <row r="85" spans="1:9">
      <c r="A85" s="3">
        <v>82</v>
      </c>
      <c r="B85" s="193" t="s">
        <v>1371</v>
      </c>
      <c r="C85" s="193" t="s">
        <v>1372</v>
      </c>
      <c r="D85" s="193"/>
      <c r="E85" s="193" t="s">
        <v>1374</v>
      </c>
      <c r="F85" s="194">
        <v>1000</v>
      </c>
      <c r="G85" s="193">
        <v>35</v>
      </c>
      <c r="H85" s="194">
        <f t="shared" si="1"/>
        <v>35000</v>
      </c>
      <c r="I85" s="149" t="s">
        <v>1373</v>
      </c>
    </row>
    <row r="86" spans="1:9">
      <c r="A86" s="3">
        <v>83</v>
      </c>
      <c r="B86" s="193" t="s">
        <v>1371</v>
      </c>
      <c r="C86" s="193" t="s">
        <v>1376</v>
      </c>
      <c r="D86" s="193"/>
      <c r="E86" s="193" t="s">
        <v>1375</v>
      </c>
      <c r="F86" s="194">
        <v>5000</v>
      </c>
      <c r="G86" s="193">
        <v>67</v>
      </c>
      <c r="H86" s="194">
        <f t="shared" si="1"/>
        <v>335000</v>
      </c>
      <c r="I86" s="149" t="s">
        <v>1373</v>
      </c>
    </row>
    <row r="87" spans="1:9">
      <c r="A87" s="3">
        <v>84</v>
      </c>
      <c r="B87" s="193" t="s">
        <v>1371</v>
      </c>
      <c r="C87" s="193" t="s">
        <v>1376</v>
      </c>
      <c r="D87" s="193"/>
      <c r="E87" s="193" t="s">
        <v>1375</v>
      </c>
      <c r="F87" s="194">
        <v>2000</v>
      </c>
      <c r="G87" s="193">
        <v>35</v>
      </c>
      <c r="H87" s="194">
        <f t="shared" si="1"/>
        <v>70000</v>
      </c>
      <c r="I87" s="149" t="s">
        <v>1373</v>
      </c>
    </row>
    <row r="88" spans="1:9">
      <c r="A88" s="3">
        <v>85</v>
      </c>
      <c r="B88" s="193" t="s">
        <v>1371</v>
      </c>
      <c r="C88" s="193" t="s">
        <v>1377</v>
      </c>
      <c r="D88" s="193"/>
      <c r="E88" s="193" t="s">
        <v>1379</v>
      </c>
      <c r="F88" s="194">
        <v>1000</v>
      </c>
      <c r="G88" s="193">
        <v>67</v>
      </c>
      <c r="H88" s="194">
        <f t="shared" si="1"/>
        <v>67000</v>
      </c>
      <c r="I88" s="149" t="s">
        <v>1373</v>
      </c>
    </row>
    <row r="89" spans="1:9">
      <c r="A89" s="3">
        <v>86</v>
      </c>
      <c r="B89" s="193" t="s">
        <v>1371</v>
      </c>
      <c r="C89" s="193" t="s">
        <v>1378</v>
      </c>
      <c r="D89" s="193" t="s">
        <v>1383</v>
      </c>
      <c r="E89" s="193" t="s">
        <v>1380</v>
      </c>
      <c r="F89" s="194">
        <v>3000</v>
      </c>
      <c r="G89" s="193">
        <v>67</v>
      </c>
      <c r="H89" s="194">
        <f t="shared" si="1"/>
        <v>201000</v>
      </c>
      <c r="I89" s="149" t="s">
        <v>1373</v>
      </c>
    </row>
    <row r="90" spans="1:9">
      <c r="A90" s="3">
        <v>87</v>
      </c>
      <c r="B90" s="193" t="s">
        <v>1371</v>
      </c>
      <c r="C90" s="193" t="s">
        <v>1378</v>
      </c>
      <c r="D90" s="193" t="s">
        <v>1383</v>
      </c>
      <c r="E90" s="193" t="s">
        <v>1380</v>
      </c>
      <c r="F90" s="194">
        <v>1000</v>
      </c>
      <c r="G90" s="193">
        <v>35</v>
      </c>
      <c r="H90" s="194">
        <f t="shared" si="1"/>
        <v>35000</v>
      </c>
      <c r="I90" s="149" t="s">
        <v>1373</v>
      </c>
    </row>
    <row r="91" spans="1:9">
      <c r="A91" s="3">
        <v>88</v>
      </c>
      <c r="B91" s="193" t="s">
        <v>1371</v>
      </c>
      <c r="C91" s="193" t="s">
        <v>1381</v>
      </c>
      <c r="D91" s="193"/>
      <c r="E91" s="193" t="s">
        <v>1382</v>
      </c>
      <c r="F91" s="194">
        <v>3000</v>
      </c>
      <c r="G91" s="193">
        <v>67</v>
      </c>
      <c r="H91" s="194">
        <f t="shared" si="1"/>
        <v>201000</v>
      </c>
      <c r="I91" s="149" t="s">
        <v>1373</v>
      </c>
    </row>
    <row r="92" spans="1:9" ht="16.8" thickBot="1">
      <c r="A92" s="3">
        <v>89</v>
      </c>
      <c r="B92" s="193" t="s">
        <v>1371</v>
      </c>
      <c r="C92" s="193" t="s">
        <v>1381</v>
      </c>
      <c r="D92" s="193"/>
      <c r="E92" s="193" t="s">
        <v>1382</v>
      </c>
      <c r="F92" s="194">
        <v>1000</v>
      </c>
      <c r="G92" s="193">
        <v>35</v>
      </c>
      <c r="H92" s="194">
        <f t="shared" si="1"/>
        <v>35000</v>
      </c>
      <c r="I92" s="149" t="s">
        <v>1373</v>
      </c>
    </row>
    <row r="93" spans="1:9" ht="16.8" thickBot="1">
      <c r="A93" s="14"/>
      <c r="B93" s="302" t="s">
        <v>1484</v>
      </c>
      <c r="C93" s="303"/>
      <c r="D93" s="304"/>
      <c r="E93" s="15"/>
      <c r="F93" s="197">
        <f>SUM(F52:F92)</f>
        <v>75000</v>
      </c>
      <c r="G93" s="15"/>
      <c r="H93" s="197">
        <f>SUM(H52:H92)</f>
        <v>4513000</v>
      </c>
      <c r="I93" s="198"/>
    </row>
    <row r="94" spans="1:9" ht="16.8" thickBot="1">
      <c r="A94" s="36"/>
      <c r="B94" s="309" t="s">
        <v>1486</v>
      </c>
      <c r="C94" s="310"/>
      <c r="D94" s="311"/>
      <c r="E94" s="206"/>
      <c r="F94" s="197">
        <f>F51+F93</f>
        <v>218000</v>
      </c>
      <c r="G94" s="207"/>
      <c r="H94" s="197">
        <f>H51+H93</f>
        <v>13215000</v>
      </c>
      <c r="I94" s="208"/>
    </row>
    <row r="95" spans="1:9">
      <c r="A95" s="211"/>
      <c r="B95" s="305" t="s">
        <v>1485</v>
      </c>
      <c r="C95" s="305"/>
      <c r="D95" s="305"/>
      <c r="E95" s="206"/>
      <c r="F95" s="209">
        <v>218000</v>
      </c>
      <c r="G95" s="207">
        <v>24</v>
      </c>
      <c r="H95" s="199">
        <f>F95*G95</f>
        <v>5232000</v>
      </c>
      <c r="I95" s="208"/>
    </row>
    <row r="96" spans="1:9">
      <c r="A96" s="3"/>
      <c r="B96" s="306" t="s">
        <v>1363</v>
      </c>
      <c r="C96" s="306"/>
      <c r="D96" s="306"/>
      <c r="E96" s="193"/>
      <c r="F96" s="194"/>
      <c r="G96" s="193"/>
      <c r="H96" s="194">
        <f>H94-H95</f>
        <v>7983000</v>
      </c>
      <c r="I96" s="149"/>
    </row>
    <row r="97" spans="1:9">
      <c r="A97" s="10"/>
      <c r="B97" s="307" t="s">
        <v>1364</v>
      </c>
      <c r="C97" s="307"/>
      <c r="D97" s="307"/>
      <c r="E97" s="200"/>
      <c r="F97" s="201"/>
      <c r="G97" s="200"/>
      <c r="H97" s="201">
        <f>H94*0.003</f>
        <v>39645</v>
      </c>
      <c r="I97" s="154"/>
    </row>
    <row r="98" spans="1:9" ht="16.8" thickBot="1">
      <c r="A98" s="5"/>
      <c r="B98" s="313" t="s">
        <v>1365</v>
      </c>
      <c r="C98" s="313"/>
      <c r="D98" s="313"/>
      <c r="E98" s="212"/>
      <c r="F98" s="210"/>
      <c r="G98" s="213"/>
      <c r="H98" s="214">
        <f>(H96-H97)*0.15</f>
        <v>1191503.25</v>
      </c>
      <c r="I98" s="215"/>
    </row>
    <row r="99" spans="1:9" ht="16.8" thickBot="1">
      <c r="A99" s="205"/>
      <c r="B99" s="308" t="s">
        <v>1366</v>
      </c>
      <c r="C99" s="308"/>
      <c r="D99" s="308"/>
      <c r="E99" s="308"/>
      <c r="F99" s="308"/>
      <c r="G99" s="308"/>
      <c r="H99" s="197">
        <f>H96-H97-H98</f>
        <v>6751851.75</v>
      </c>
      <c r="I99" s="198"/>
    </row>
    <row r="100" spans="1:9" ht="34.200000000000003" customHeight="1">
      <c r="A100" s="216" t="s">
        <v>824</v>
      </c>
      <c r="B100" s="312" t="s">
        <v>1567</v>
      </c>
      <c r="C100" s="312"/>
      <c r="D100" s="312"/>
      <c r="E100" s="312"/>
      <c r="F100" s="312"/>
      <c r="G100" s="312"/>
      <c r="H100" s="312"/>
      <c r="I100" s="312"/>
    </row>
  </sheetData>
  <sortState ref="A3:I91">
    <sortCondition ref="B3:B91"/>
    <sortCondition ref="E3:E91"/>
  </sortState>
  <mergeCells count="10">
    <mergeCell ref="E99:G99"/>
    <mergeCell ref="B94:D94"/>
    <mergeCell ref="B100:I100"/>
    <mergeCell ref="B98:D98"/>
    <mergeCell ref="B99:D99"/>
    <mergeCell ref="B51:D51"/>
    <mergeCell ref="B93:D93"/>
    <mergeCell ref="B95:D95"/>
    <mergeCell ref="B96:D96"/>
    <mergeCell ref="B97:D97"/>
  </mergeCells>
  <phoneticPr fontId="1" type="noConversion"/>
  <pageMargins left="0.55118110236220474" right="0.47244094488188981" top="0.74803149606299213" bottom="0.74803149606299213" header="0.31496062992125984" footer="0.31496062992125984"/>
  <pageSetup paperSize="9" scale="85" fitToHeight="100" orientation="portrait" r:id="rId1"/>
  <headerFooter>
    <oddFooter>&amp;C&amp;P</oddFooter>
  </headerFooter>
</worksheet>
</file>

<file path=xl/worksheets/sheet8.xml><?xml version="1.0" encoding="utf-8"?>
<worksheet xmlns="http://schemas.openxmlformats.org/spreadsheetml/2006/main" xmlns:r="http://schemas.openxmlformats.org/officeDocument/2006/relationships">
  <sheetPr>
    <pageSetUpPr fitToPage="1"/>
  </sheetPr>
  <dimension ref="A1:H150"/>
  <sheetViews>
    <sheetView topLeftCell="A2" zoomScale="80" zoomScaleNormal="80" workbookViewId="0">
      <selection activeCell="C18" sqref="C18"/>
    </sheetView>
  </sheetViews>
  <sheetFormatPr defaultRowHeight="16.2"/>
  <cols>
    <col min="2" max="2" width="11" style="37" customWidth="1"/>
    <col min="3" max="3" width="10.6640625" style="37" customWidth="1"/>
    <col min="4" max="4" width="12.6640625" customWidth="1"/>
    <col min="5" max="5" width="10.5546875" bestFit="1" customWidth="1"/>
    <col min="6" max="7" width="13.6640625" customWidth="1"/>
    <col min="8" max="8" width="23.88671875" customWidth="1"/>
  </cols>
  <sheetData>
    <row r="1" spans="1:8" ht="25.2" customHeight="1" thickBot="1">
      <c r="A1" t="s">
        <v>1568</v>
      </c>
    </row>
    <row r="2" spans="1:8" ht="16.8" thickBot="1">
      <c r="A2" s="22" t="s">
        <v>16</v>
      </c>
      <c r="B2" s="23" t="s">
        <v>18</v>
      </c>
      <c r="C2" s="23" t="s">
        <v>19</v>
      </c>
      <c r="D2" s="23" t="s">
        <v>20</v>
      </c>
      <c r="E2" s="23" t="s">
        <v>21</v>
      </c>
      <c r="F2" s="23" t="s">
        <v>22</v>
      </c>
      <c r="G2" s="23" t="s">
        <v>23</v>
      </c>
      <c r="H2" s="40" t="s">
        <v>821</v>
      </c>
    </row>
    <row r="3" spans="1:8">
      <c r="A3" s="10">
        <v>1</v>
      </c>
      <c r="B3" s="19" t="s">
        <v>106</v>
      </c>
      <c r="C3" s="19" t="s">
        <v>868</v>
      </c>
      <c r="D3" s="11" t="s">
        <v>269</v>
      </c>
      <c r="E3" s="12">
        <v>1000</v>
      </c>
      <c r="F3" s="11">
        <v>25</v>
      </c>
      <c r="G3" s="12">
        <v>25000</v>
      </c>
      <c r="H3" s="41"/>
    </row>
    <row r="4" spans="1:8">
      <c r="A4" s="3">
        <v>2</v>
      </c>
      <c r="B4" s="21" t="s">
        <v>106</v>
      </c>
      <c r="C4" s="21" t="s">
        <v>837</v>
      </c>
      <c r="D4" s="1" t="s">
        <v>214</v>
      </c>
      <c r="E4" s="2">
        <v>3000</v>
      </c>
      <c r="F4" s="1">
        <v>25</v>
      </c>
      <c r="G4" s="2">
        <v>75000</v>
      </c>
      <c r="H4" s="42"/>
    </row>
    <row r="5" spans="1:8">
      <c r="A5" s="10">
        <v>3</v>
      </c>
      <c r="B5" s="21" t="s">
        <v>826</v>
      </c>
      <c r="C5" s="21" t="s">
        <v>825</v>
      </c>
      <c r="D5" s="1" t="s">
        <v>79</v>
      </c>
      <c r="E5" s="2">
        <v>1000</v>
      </c>
      <c r="F5" s="1">
        <v>25</v>
      </c>
      <c r="G5" s="2">
        <v>25000</v>
      </c>
      <c r="H5" s="42"/>
    </row>
    <row r="6" spans="1:8">
      <c r="A6" s="3">
        <v>4</v>
      </c>
      <c r="B6" s="21" t="s">
        <v>106</v>
      </c>
      <c r="C6" s="21" t="s">
        <v>843</v>
      </c>
      <c r="D6" s="1" t="s">
        <v>79</v>
      </c>
      <c r="E6" s="2">
        <v>1000</v>
      </c>
      <c r="F6" s="1">
        <v>25</v>
      </c>
      <c r="G6" s="2">
        <v>25000</v>
      </c>
      <c r="H6" s="42"/>
    </row>
    <row r="7" spans="1:8">
      <c r="A7" s="10">
        <v>5</v>
      </c>
      <c r="B7" s="21" t="s">
        <v>106</v>
      </c>
      <c r="C7" s="21" t="s">
        <v>861</v>
      </c>
      <c r="D7" s="1" t="s">
        <v>79</v>
      </c>
      <c r="E7" s="2">
        <v>1000</v>
      </c>
      <c r="F7" s="1">
        <v>25</v>
      </c>
      <c r="G7" s="2">
        <v>25000</v>
      </c>
      <c r="H7" s="42"/>
    </row>
    <row r="8" spans="1:8">
      <c r="A8" s="3">
        <v>6</v>
      </c>
      <c r="B8" s="21" t="s">
        <v>106</v>
      </c>
      <c r="C8" s="21" t="s">
        <v>862</v>
      </c>
      <c r="D8" s="1" t="s">
        <v>79</v>
      </c>
      <c r="E8" s="2">
        <v>2000</v>
      </c>
      <c r="F8" s="1">
        <v>25</v>
      </c>
      <c r="G8" s="2">
        <v>50000</v>
      </c>
      <c r="H8" s="42"/>
    </row>
    <row r="9" spans="1:8">
      <c r="A9" s="10">
        <v>7</v>
      </c>
      <c r="B9" s="21" t="s">
        <v>106</v>
      </c>
      <c r="C9" s="21" t="s">
        <v>540</v>
      </c>
      <c r="D9" s="1" t="s">
        <v>79</v>
      </c>
      <c r="E9" s="2">
        <v>1000</v>
      </c>
      <c r="F9" s="1">
        <v>25</v>
      </c>
      <c r="G9" s="2">
        <v>25000</v>
      </c>
      <c r="H9" s="42"/>
    </row>
    <row r="10" spans="1:8">
      <c r="A10" s="3">
        <v>8</v>
      </c>
      <c r="B10" s="21" t="s">
        <v>106</v>
      </c>
      <c r="C10" s="21" t="s">
        <v>825</v>
      </c>
      <c r="D10" s="1" t="s">
        <v>111</v>
      </c>
      <c r="E10" s="2">
        <v>1000</v>
      </c>
      <c r="F10" s="1">
        <v>25</v>
      </c>
      <c r="G10" s="2">
        <v>25000</v>
      </c>
      <c r="H10" s="42"/>
    </row>
    <row r="11" spans="1:8">
      <c r="A11" s="10">
        <v>9</v>
      </c>
      <c r="B11" s="21" t="s">
        <v>106</v>
      </c>
      <c r="C11" s="21" t="s">
        <v>833</v>
      </c>
      <c r="D11" s="1" t="s">
        <v>111</v>
      </c>
      <c r="E11" s="2">
        <v>20000</v>
      </c>
      <c r="F11" s="1">
        <v>25</v>
      </c>
      <c r="G11" s="2">
        <v>500000</v>
      </c>
      <c r="H11" s="42"/>
    </row>
    <row r="12" spans="1:8">
      <c r="A12" s="3">
        <v>10</v>
      </c>
      <c r="B12" s="21" t="s">
        <v>106</v>
      </c>
      <c r="C12" s="21" t="s">
        <v>836</v>
      </c>
      <c r="D12" s="1" t="s">
        <v>111</v>
      </c>
      <c r="E12" s="2">
        <v>5000</v>
      </c>
      <c r="F12" s="1">
        <v>25</v>
      </c>
      <c r="G12" s="2">
        <v>125000</v>
      </c>
      <c r="H12" s="42"/>
    </row>
    <row r="13" spans="1:8">
      <c r="A13" s="10">
        <v>11</v>
      </c>
      <c r="B13" s="21" t="s">
        <v>106</v>
      </c>
      <c r="C13" s="21" t="s">
        <v>849</v>
      </c>
      <c r="D13" s="1" t="s">
        <v>111</v>
      </c>
      <c r="E13" s="2">
        <v>15000</v>
      </c>
      <c r="F13" s="1">
        <v>25</v>
      </c>
      <c r="G13" s="2">
        <v>375000</v>
      </c>
      <c r="H13" s="42"/>
    </row>
    <row r="14" spans="1:8">
      <c r="A14" s="3">
        <v>12</v>
      </c>
      <c r="B14" s="21" t="s">
        <v>106</v>
      </c>
      <c r="C14" s="21" t="s">
        <v>486</v>
      </c>
      <c r="D14" s="1" t="s">
        <v>111</v>
      </c>
      <c r="E14" s="2">
        <v>8000</v>
      </c>
      <c r="F14" s="1">
        <v>25</v>
      </c>
      <c r="G14" s="2">
        <v>200000</v>
      </c>
      <c r="H14" s="42"/>
    </row>
    <row r="15" spans="1:8">
      <c r="A15" s="10">
        <v>13</v>
      </c>
      <c r="B15" s="21" t="s">
        <v>106</v>
      </c>
      <c r="C15" s="21" t="s">
        <v>854</v>
      </c>
      <c r="D15" s="1" t="s">
        <v>111</v>
      </c>
      <c r="E15" s="2">
        <v>1000</v>
      </c>
      <c r="F15" s="1">
        <v>25</v>
      </c>
      <c r="G15" s="2">
        <v>25000</v>
      </c>
      <c r="H15" s="42"/>
    </row>
    <row r="16" spans="1:8">
      <c r="A16" s="3">
        <v>14</v>
      </c>
      <c r="B16" s="21" t="s">
        <v>106</v>
      </c>
      <c r="C16" s="21" t="s">
        <v>869</v>
      </c>
      <c r="D16" s="1" t="s">
        <v>111</v>
      </c>
      <c r="E16" s="2">
        <v>5000</v>
      </c>
      <c r="F16" s="1">
        <v>25</v>
      </c>
      <c r="G16" s="2">
        <v>125000</v>
      </c>
      <c r="H16" s="42"/>
    </row>
    <row r="17" spans="1:8">
      <c r="A17" s="10">
        <v>15</v>
      </c>
      <c r="B17" s="21" t="s">
        <v>106</v>
      </c>
      <c r="C17" s="21" t="s">
        <v>870</v>
      </c>
      <c r="D17" s="1" t="s">
        <v>111</v>
      </c>
      <c r="E17" s="2">
        <v>5000</v>
      </c>
      <c r="F17" s="1">
        <v>25</v>
      </c>
      <c r="G17" s="2">
        <v>125000</v>
      </c>
      <c r="H17" s="42"/>
    </row>
    <row r="18" spans="1:8">
      <c r="A18" s="3">
        <v>16</v>
      </c>
      <c r="B18" s="21" t="s">
        <v>106</v>
      </c>
      <c r="C18" s="21" t="s">
        <v>1903</v>
      </c>
      <c r="D18" s="1" t="s">
        <v>290</v>
      </c>
      <c r="E18" s="2">
        <v>3000</v>
      </c>
      <c r="F18" s="1">
        <v>25</v>
      </c>
      <c r="G18" s="2">
        <v>75000</v>
      </c>
      <c r="H18" s="42"/>
    </row>
    <row r="19" spans="1:8">
      <c r="A19" s="10">
        <v>17</v>
      </c>
      <c r="B19" s="21" t="s">
        <v>106</v>
      </c>
      <c r="C19" s="21" t="s">
        <v>847</v>
      </c>
      <c r="D19" s="1" t="s">
        <v>290</v>
      </c>
      <c r="E19" s="2">
        <v>2000</v>
      </c>
      <c r="F19" s="1">
        <v>25</v>
      </c>
      <c r="G19" s="2">
        <v>50000</v>
      </c>
      <c r="H19" s="42"/>
    </row>
    <row r="20" spans="1:8">
      <c r="A20" s="3">
        <v>18</v>
      </c>
      <c r="B20" s="21" t="s">
        <v>106</v>
      </c>
      <c r="C20" s="21" t="s">
        <v>828</v>
      </c>
      <c r="D20" s="1" t="s">
        <v>144</v>
      </c>
      <c r="E20" s="2">
        <v>3000</v>
      </c>
      <c r="F20" s="1">
        <v>25</v>
      </c>
      <c r="G20" s="2">
        <v>75000</v>
      </c>
      <c r="H20" s="42"/>
    </row>
    <row r="21" spans="1:8">
      <c r="A21" s="10">
        <v>19</v>
      </c>
      <c r="B21" s="21" t="s">
        <v>106</v>
      </c>
      <c r="C21" s="21" t="s">
        <v>840</v>
      </c>
      <c r="D21" s="1" t="s">
        <v>144</v>
      </c>
      <c r="E21" s="2">
        <v>1000</v>
      </c>
      <c r="F21" s="1">
        <v>25</v>
      </c>
      <c r="G21" s="2">
        <v>25000</v>
      </c>
      <c r="H21" s="42"/>
    </row>
    <row r="22" spans="1:8">
      <c r="A22" s="3">
        <v>20</v>
      </c>
      <c r="B22" s="21" t="s">
        <v>106</v>
      </c>
      <c r="C22" s="21" t="s">
        <v>863</v>
      </c>
      <c r="D22" s="1" t="s">
        <v>144</v>
      </c>
      <c r="E22" s="2">
        <v>5000</v>
      </c>
      <c r="F22" s="1">
        <v>25</v>
      </c>
      <c r="G22" s="2">
        <v>125000</v>
      </c>
      <c r="H22" s="42"/>
    </row>
    <row r="23" spans="1:8">
      <c r="A23" s="10">
        <v>21</v>
      </c>
      <c r="B23" s="21" t="s">
        <v>106</v>
      </c>
      <c r="C23" s="21" t="s">
        <v>865</v>
      </c>
      <c r="D23" s="1" t="s">
        <v>144</v>
      </c>
      <c r="E23" s="2">
        <v>3000</v>
      </c>
      <c r="F23" s="1">
        <v>25</v>
      </c>
      <c r="G23" s="2">
        <v>75000</v>
      </c>
      <c r="H23" s="42"/>
    </row>
    <row r="24" spans="1:8">
      <c r="A24" s="3">
        <v>22</v>
      </c>
      <c r="B24" s="21" t="s">
        <v>106</v>
      </c>
      <c r="C24" s="21" t="s">
        <v>864</v>
      </c>
      <c r="D24" s="1" t="s">
        <v>239</v>
      </c>
      <c r="E24" s="2">
        <v>2000</v>
      </c>
      <c r="F24" s="1">
        <v>25</v>
      </c>
      <c r="G24" s="2">
        <v>50000</v>
      </c>
      <c r="H24" s="42"/>
    </row>
    <row r="25" spans="1:8">
      <c r="A25" s="10">
        <v>23</v>
      </c>
      <c r="B25" s="21" t="s">
        <v>106</v>
      </c>
      <c r="C25" s="21" t="s">
        <v>853</v>
      </c>
      <c r="D25" s="1" t="s">
        <v>155</v>
      </c>
      <c r="E25" s="2">
        <v>2000</v>
      </c>
      <c r="F25" s="1">
        <v>25</v>
      </c>
      <c r="G25" s="2">
        <v>50000</v>
      </c>
      <c r="H25" s="42"/>
    </row>
    <row r="26" spans="1:8">
      <c r="A26" s="3">
        <v>24</v>
      </c>
      <c r="B26" s="21" t="s">
        <v>106</v>
      </c>
      <c r="C26" s="21" t="s">
        <v>860</v>
      </c>
      <c r="D26" s="1" t="s">
        <v>155</v>
      </c>
      <c r="E26" s="2">
        <v>4000</v>
      </c>
      <c r="F26" s="1">
        <v>25</v>
      </c>
      <c r="G26" s="2">
        <v>100000</v>
      </c>
      <c r="H26" s="42"/>
    </row>
    <row r="27" spans="1:8">
      <c r="A27" s="10">
        <v>25</v>
      </c>
      <c r="B27" s="21" t="s">
        <v>106</v>
      </c>
      <c r="C27" s="21" t="s">
        <v>830</v>
      </c>
      <c r="D27" s="1" t="s">
        <v>140</v>
      </c>
      <c r="E27" s="2">
        <v>6000</v>
      </c>
      <c r="F27" s="1">
        <v>25</v>
      </c>
      <c r="G27" s="2">
        <v>150000</v>
      </c>
      <c r="H27" s="42"/>
    </row>
    <row r="28" spans="1:8">
      <c r="A28" s="3">
        <v>26</v>
      </c>
      <c r="B28" s="21" t="s">
        <v>106</v>
      </c>
      <c r="C28" s="21" t="s">
        <v>839</v>
      </c>
      <c r="D28" s="1" t="s">
        <v>210</v>
      </c>
      <c r="E28" s="2">
        <v>2000</v>
      </c>
      <c r="F28" s="1">
        <v>25</v>
      </c>
      <c r="G28" s="2">
        <v>50000</v>
      </c>
      <c r="H28" s="42"/>
    </row>
    <row r="29" spans="1:8">
      <c r="A29" s="10">
        <v>27</v>
      </c>
      <c r="B29" s="21" t="s">
        <v>106</v>
      </c>
      <c r="C29" s="21" t="s">
        <v>852</v>
      </c>
      <c r="D29" s="1" t="s">
        <v>210</v>
      </c>
      <c r="E29" s="2">
        <v>1000</v>
      </c>
      <c r="F29" s="1">
        <v>25</v>
      </c>
      <c r="G29" s="2">
        <v>25000</v>
      </c>
      <c r="H29" s="42"/>
    </row>
    <row r="30" spans="1:8">
      <c r="A30" s="3">
        <v>28</v>
      </c>
      <c r="B30" s="21" t="s">
        <v>106</v>
      </c>
      <c r="C30" s="21" t="s">
        <v>866</v>
      </c>
      <c r="D30" s="1" t="s">
        <v>210</v>
      </c>
      <c r="E30" s="2">
        <v>4000</v>
      </c>
      <c r="F30" s="1">
        <v>25</v>
      </c>
      <c r="G30" s="2">
        <v>100000</v>
      </c>
      <c r="H30" s="42"/>
    </row>
    <row r="31" spans="1:8">
      <c r="A31" s="10">
        <v>29</v>
      </c>
      <c r="B31" s="21" t="s">
        <v>106</v>
      </c>
      <c r="C31" s="21" t="s">
        <v>845</v>
      </c>
      <c r="D31" s="1" t="s">
        <v>80</v>
      </c>
      <c r="E31" s="2">
        <v>10000</v>
      </c>
      <c r="F31" s="1">
        <v>25</v>
      </c>
      <c r="G31" s="2">
        <v>250000</v>
      </c>
      <c r="H31" s="42"/>
    </row>
    <row r="32" spans="1:8">
      <c r="A32" s="3">
        <v>30</v>
      </c>
      <c r="B32" s="21" t="s">
        <v>106</v>
      </c>
      <c r="C32" s="21" t="s">
        <v>834</v>
      </c>
      <c r="D32" s="1" t="s">
        <v>413</v>
      </c>
      <c r="E32" s="2">
        <v>2000</v>
      </c>
      <c r="F32" s="1">
        <v>25</v>
      </c>
      <c r="G32" s="2">
        <v>50000</v>
      </c>
      <c r="H32" s="42"/>
    </row>
    <row r="33" spans="1:8">
      <c r="A33" s="10">
        <v>31</v>
      </c>
      <c r="B33" s="21" t="s">
        <v>106</v>
      </c>
      <c r="C33" s="21" t="s">
        <v>855</v>
      </c>
      <c r="D33" s="1" t="s">
        <v>413</v>
      </c>
      <c r="E33" s="2">
        <v>1000</v>
      </c>
      <c r="F33" s="1">
        <v>25</v>
      </c>
      <c r="G33" s="2">
        <v>25000</v>
      </c>
      <c r="H33" s="42"/>
    </row>
    <row r="34" spans="1:8">
      <c r="A34" s="3">
        <v>32</v>
      </c>
      <c r="B34" s="21" t="s">
        <v>106</v>
      </c>
      <c r="C34" s="21" t="s">
        <v>859</v>
      </c>
      <c r="D34" s="1" t="s">
        <v>413</v>
      </c>
      <c r="E34" s="2">
        <v>5000</v>
      </c>
      <c r="F34" s="1">
        <v>25</v>
      </c>
      <c r="G34" s="2">
        <v>125000</v>
      </c>
      <c r="H34" s="42"/>
    </row>
    <row r="35" spans="1:8">
      <c r="A35" s="10">
        <v>33</v>
      </c>
      <c r="B35" s="21" t="s">
        <v>106</v>
      </c>
      <c r="C35" s="21" t="s">
        <v>834</v>
      </c>
      <c r="D35" s="1" t="s">
        <v>200</v>
      </c>
      <c r="E35" s="2">
        <v>2000</v>
      </c>
      <c r="F35" s="1">
        <v>25</v>
      </c>
      <c r="G35" s="2">
        <v>50000</v>
      </c>
      <c r="H35" s="42"/>
    </row>
    <row r="36" spans="1:8">
      <c r="A36" s="3">
        <v>34</v>
      </c>
      <c r="B36" s="21" t="s">
        <v>106</v>
      </c>
      <c r="C36" s="21" t="s">
        <v>846</v>
      </c>
      <c r="D36" s="1" t="s">
        <v>236</v>
      </c>
      <c r="E36" s="2">
        <v>1000</v>
      </c>
      <c r="F36" s="1">
        <v>25</v>
      </c>
      <c r="G36" s="2">
        <v>25000</v>
      </c>
      <c r="H36" s="42"/>
    </row>
    <row r="37" spans="1:8">
      <c r="A37" s="10">
        <v>35</v>
      </c>
      <c r="B37" s="21" t="s">
        <v>106</v>
      </c>
      <c r="C37" s="21" t="s">
        <v>827</v>
      </c>
      <c r="D37" s="1" t="s">
        <v>387</v>
      </c>
      <c r="E37" s="2">
        <v>1000</v>
      </c>
      <c r="F37" s="1">
        <v>25</v>
      </c>
      <c r="G37" s="2">
        <v>25000</v>
      </c>
      <c r="H37" s="42"/>
    </row>
    <row r="38" spans="1:8">
      <c r="A38" s="3">
        <v>36</v>
      </c>
      <c r="B38" s="21" t="s">
        <v>106</v>
      </c>
      <c r="C38" s="21" t="s">
        <v>287</v>
      </c>
      <c r="D38" s="1" t="s">
        <v>387</v>
      </c>
      <c r="E38" s="2">
        <v>2000</v>
      </c>
      <c r="F38" s="1">
        <v>25</v>
      </c>
      <c r="G38" s="2">
        <v>50000</v>
      </c>
      <c r="H38" s="42"/>
    </row>
    <row r="39" spans="1:8">
      <c r="A39" s="10">
        <v>37</v>
      </c>
      <c r="B39" s="21" t="s">
        <v>106</v>
      </c>
      <c r="C39" s="21" t="s">
        <v>841</v>
      </c>
      <c r="D39" s="1" t="s">
        <v>12</v>
      </c>
      <c r="E39" s="2">
        <v>5000</v>
      </c>
      <c r="F39" s="1">
        <v>25</v>
      </c>
      <c r="G39" s="2">
        <v>125000</v>
      </c>
      <c r="H39" s="42"/>
    </row>
    <row r="40" spans="1:8">
      <c r="A40" s="3">
        <v>38</v>
      </c>
      <c r="B40" s="21" t="s">
        <v>106</v>
      </c>
      <c r="C40" s="21" t="s">
        <v>844</v>
      </c>
      <c r="D40" s="1" t="s">
        <v>205</v>
      </c>
      <c r="E40" s="2">
        <v>5000</v>
      </c>
      <c r="F40" s="1">
        <v>25</v>
      </c>
      <c r="G40" s="2">
        <v>125000</v>
      </c>
      <c r="H40" s="42"/>
    </row>
    <row r="41" spans="1:8">
      <c r="A41" s="10">
        <v>39</v>
      </c>
      <c r="B41" s="21" t="s">
        <v>106</v>
      </c>
      <c r="C41" s="21" t="s">
        <v>846</v>
      </c>
      <c r="D41" s="1" t="s">
        <v>205</v>
      </c>
      <c r="E41" s="2">
        <v>1000</v>
      </c>
      <c r="F41" s="1">
        <v>25</v>
      </c>
      <c r="G41" s="2">
        <v>25000</v>
      </c>
      <c r="H41" s="42"/>
    </row>
    <row r="42" spans="1:8">
      <c r="A42" s="3">
        <v>40</v>
      </c>
      <c r="B42" s="21" t="s">
        <v>106</v>
      </c>
      <c r="C42" s="21" t="s">
        <v>848</v>
      </c>
      <c r="D42" s="1" t="s">
        <v>205</v>
      </c>
      <c r="E42" s="2">
        <v>1000</v>
      </c>
      <c r="F42" s="1">
        <v>25</v>
      </c>
      <c r="G42" s="2">
        <v>25000</v>
      </c>
      <c r="H42" s="42"/>
    </row>
    <row r="43" spans="1:8">
      <c r="A43" s="10">
        <v>41</v>
      </c>
      <c r="B43" s="21" t="s">
        <v>106</v>
      </c>
      <c r="C43" s="21" t="s">
        <v>829</v>
      </c>
      <c r="D43" s="1" t="s">
        <v>82</v>
      </c>
      <c r="E43" s="2">
        <v>1000</v>
      </c>
      <c r="F43" s="1">
        <v>25</v>
      </c>
      <c r="G43" s="2">
        <v>25000</v>
      </c>
      <c r="H43" s="42"/>
    </row>
    <row r="44" spans="1:8">
      <c r="A44" s="3">
        <v>42</v>
      </c>
      <c r="B44" s="21" t="s">
        <v>106</v>
      </c>
      <c r="C44" s="21" t="s">
        <v>842</v>
      </c>
      <c r="D44" s="1" t="s">
        <v>82</v>
      </c>
      <c r="E44" s="2">
        <v>1000</v>
      </c>
      <c r="F44" s="1">
        <v>25</v>
      </c>
      <c r="G44" s="2">
        <v>25000</v>
      </c>
      <c r="H44" s="42"/>
    </row>
    <row r="45" spans="1:8" ht="97.2">
      <c r="A45" s="10">
        <v>43</v>
      </c>
      <c r="B45" s="21" t="s">
        <v>106</v>
      </c>
      <c r="C45" s="21" t="s">
        <v>850</v>
      </c>
      <c r="D45" s="1" t="s">
        <v>82</v>
      </c>
      <c r="E45" s="2">
        <v>20000</v>
      </c>
      <c r="F45" s="1">
        <v>25</v>
      </c>
      <c r="G45" s="2">
        <v>500000</v>
      </c>
      <c r="H45" s="105" t="s">
        <v>1281</v>
      </c>
    </row>
    <row r="46" spans="1:8">
      <c r="A46" s="3">
        <v>44</v>
      </c>
      <c r="B46" s="21" t="s">
        <v>106</v>
      </c>
      <c r="C46" s="21" t="s">
        <v>851</v>
      </c>
      <c r="D46" s="1" t="s">
        <v>82</v>
      </c>
      <c r="E46" s="2">
        <v>1000</v>
      </c>
      <c r="F46" s="1">
        <v>25</v>
      </c>
      <c r="G46" s="2">
        <v>25000</v>
      </c>
      <c r="H46" s="42"/>
    </row>
    <row r="47" spans="1:8">
      <c r="A47" s="10">
        <v>45</v>
      </c>
      <c r="B47" s="21" t="s">
        <v>106</v>
      </c>
      <c r="C47" s="21" t="s">
        <v>857</v>
      </c>
      <c r="D47" s="1" t="s">
        <v>82</v>
      </c>
      <c r="E47" s="2">
        <v>2000</v>
      </c>
      <c r="F47" s="1">
        <v>25</v>
      </c>
      <c r="G47" s="2">
        <v>50000</v>
      </c>
      <c r="H47" s="42"/>
    </row>
    <row r="48" spans="1:8">
      <c r="A48" s="3">
        <v>46</v>
      </c>
      <c r="B48" s="21" t="s">
        <v>106</v>
      </c>
      <c r="C48" s="21" t="s">
        <v>831</v>
      </c>
      <c r="D48" s="1" t="s">
        <v>13</v>
      </c>
      <c r="E48" s="2">
        <v>3000</v>
      </c>
      <c r="F48" s="1">
        <v>25</v>
      </c>
      <c r="G48" s="2">
        <v>75000</v>
      </c>
      <c r="H48" s="42"/>
    </row>
    <row r="49" spans="1:8">
      <c r="A49" s="10">
        <v>47</v>
      </c>
      <c r="B49" s="21" t="s">
        <v>106</v>
      </c>
      <c r="C49" s="21" t="s">
        <v>832</v>
      </c>
      <c r="D49" s="1" t="s">
        <v>13</v>
      </c>
      <c r="E49" s="2">
        <v>2000</v>
      </c>
      <c r="F49" s="1">
        <v>25</v>
      </c>
      <c r="G49" s="2">
        <v>50000</v>
      </c>
      <c r="H49" s="42"/>
    </row>
    <row r="50" spans="1:8">
      <c r="A50" s="3">
        <v>48</v>
      </c>
      <c r="B50" s="21" t="s">
        <v>106</v>
      </c>
      <c r="C50" s="21" t="s">
        <v>867</v>
      </c>
      <c r="D50" s="1" t="s">
        <v>13</v>
      </c>
      <c r="E50" s="2">
        <v>3000</v>
      </c>
      <c r="F50" s="1">
        <v>25</v>
      </c>
      <c r="G50" s="2">
        <v>75000</v>
      </c>
      <c r="H50" s="42"/>
    </row>
    <row r="51" spans="1:8">
      <c r="A51" s="10">
        <v>49</v>
      </c>
      <c r="B51" s="21" t="s">
        <v>106</v>
      </c>
      <c r="C51" s="21" t="s">
        <v>835</v>
      </c>
      <c r="D51" s="1" t="s">
        <v>288</v>
      </c>
      <c r="E51" s="2">
        <v>10000</v>
      </c>
      <c r="F51" s="1">
        <v>25</v>
      </c>
      <c r="G51" s="2">
        <v>250000</v>
      </c>
      <c r="H51" s="42"/>
    </row>
    <row r="52" spans="1:8">
      <c r="A52" s="3">
        <v>50</v>
      </c>
      <c r="B52" s="21" t="s">
        <v>106</v>
      </c>
      <c r="C52" s="21" t="s">
        <v>845</v>
      </c>
      <c r="D52" s="1" t="s">
        <v>288</v>
      </c>
      <c r="E52" s="2">
        <v>10000</v>
      </c>
      <c r="F52" s="1">
        <v>25</v>
      </c>
      <c r="G52" s="2">
        <v>250000</v>
      </c>
      <c r="H52" s="42"/>
    </row>
    <row r="53" spans="1:8">
      <c r="A53" s="10">
        <v>51</v>
      </c>
      <c r="B53" s="21" t="s">
        <v>106</v>
      </c>
      <c r="C53" s="21" t="s">
        <v>850</v>
      </c>
      <c r="D53" s="1" t="s">
        <v>288</v>
      </c>
      <c r="E53" s="2">
        <v>20000</v>
      </c>
      <c r="F53" s="1">
        <v>25</v>
      </c>
      <c r="G53" s="2">
        <v>500000</v>
      </c>
      <c r="H53" s="42"/>
    </row>
    <row r="54" spans="1:8">
      <c r="A54" s="3">
        <v>52</v>
      </c>
      <c r="B54" s="21" t="s">
        <v>106</v>
      </c>
      <c r="C54" s="21" t="s">
        <v>856</v>
      </c>
      <c r="D54" s="1" t="s">
        <v>288</v>
      </c>
      <c r="E54" s="2">
        <v>20000</v>
      </c>
      <c r="F54" s="1">
        <v>25</v>
      </c>
      <c r="G54" s="2">
        <v>500000</v>
      </c>
      <c r="H54" s="42"/>
    </row>
    <row r="55" spans="1:8">
      <c r="A55" s="10">
        <v>53</v>
      </c>
      <c r="B55" s="21" t="s">
        <v>106</v>
      </c>
      <c r="C55" s="21" t="s">
        <v>858</v>
      </c>
      <c r="D55" s="1" t="s">
        <v>288</v>
      </c>
      <c r="E55" s="2">
        <v>10000</v>
      </c>
      <c r="F55" s="1">
        <v>25</v>
      </c>
      <c r="G55" s="2">
        <v>250000</v>
      </c>
      <c r="H55" s="42"/>
    </row>
    <row r="56" spans="1:8" ht="16.8" thickBot="1">
      <c r="A56" s="3">
        <v>54</v>
      </c>
      <c r="B56" s="38" t="s">
        <v>826</v>
      </c>
      <c r="C56" s="38" t="s">
        <v>871</v>
      </c>
      <c r="D56" s="26" t="s">
        <v>15</v>
      </c>
      <c r="E56" s="27">
        <v>4000</v>
      </c>
      <c r="F56" s="26">
        <v>25</v>
      </c>
      <c r="G56" s="27">
        <v>100000</v>
      </c>
      <c r="H56" s="43"/>
    </row>
    <row r="57" spans="1:8" ht="16.8" thickBot="1">
      <c r="A57" s="14"/>
      <c r="B57" s="32"/>
      <c r="C57" s="32"/>
      <c r="D57" s="28"/>
      <c r="E57" s="29">
        <f>SUBTOTAL(9,E3:E56)</f>
        <v>251000</v>
      </c>
      <c r="F57" s="34" t="s">
        <v>352</v>
      </c>
      <c r="G57" s="29">
        <f>SUBTOTAL(9,G3:G56)</f>
        <v>6275000</v>
      </c>
      <c r="H57" s="25"/>
    </row>
    <row r="58" spans="1:8">
      <c r="A58" s="10">
        <v>55</v>
      </c>
      <c r="B58" s="19" t="s">
        <v>106</v>
      </c>
      <c r="C58" s="19" t="s">
        <v>902</v>
      </c>
      <c r="D58" s="11" t="s">
        <v>107</v>
      </c>
      <c r="E58" s="12">
        <v>10000</v>
      </c>
      <c r="F58" s="11">
        <v>67</v>
      </c>
      <c r="G58" s="12">
        <v>670000</v>
      </c>
      <c r="H58" s="41"/>
    </row>
    <row r="59" spans="1:8">
      <c r="A59" s="3">
        <v>56</v>
      </c>
      <c r="B59" s="21" t="s">
        <v>106</v>
      </c>
      <c r="C59" s="21" t="s">
        <v>877</v>
      </c>
      <c r="D59" s="1" t="s">
        <v>67</v>
      </c>
      <c r="E59" s="2">
        <v>5000</v>
      </c>
      <c r="F59" s="1">
        <v>67</v>
      </c>
      <c r="G59" s="2">
        <v>335000</v>
      </c>
      <c r="H59" s="42"/>
    </row>
    <row r="60" spans="1:8">
      <c r="A60" s="10">
        <v>57</v>
      </c>
      <c r="B60" s="21" t="s">
        <v>106</v>
      </c>
      <c r="C60" s="21" t="s">
        <v>880</v>
      </c>
      <c r="D60" s="1" t="s">
        <v>108</v>
      </c>
      <c r="E60" s="2">
        <v>2000</v>
      </c>
      <c r="F60" s="1">
        <v>67</v>
      </c>
      <c r="G60" s="2">
        <v>134000</v>
      </c>
      <c r="H60" s="42"/>
    </row>
    <row r="61" spans="1:8">
      <c r="A61" s="3">
        <v>58</v>
      </c>
      <c r="B61" s="21" t="s">
        <v>106</v>
      </c>
      <c r="C61" s="21" t="s">
        <v>883</v>
      </c>
      <c r="D61" s="1" t="s">
        <v>108</v>
      </c>
      <c r="E61" s="2">
        <v>2000</v>
      </c>
      <c r="F61" s="1">
        <v>67</v>
      </c>
      <c r="G61" s="2">
        <v>134000</v>
      </c>
      <c r="H61" s="42"/>
    </row>
    <row r="62" spans="1:8">
      <c r="A62" s="10">
        <v>59</v>
      </c>
      <c r="B62" s="21" t="s">
        <v>106</v>
      </c>
      <c r="C62" s="21" t="s">
        <v>885</v>
      </c>
      <c r="D62" s="1" t="s">
        <v>108</v>
      </c>
      <c r="E62" s="2">
        <v>2000</v>
      </c>
      <c r="F62" s="1">
        <v>67</v>
      </c>
      <c r="G62" s="2">
        <v>134000</v>
      </c>
      <c r="H62" s="42"/>
    </row>
    <row r="63" spans="1:8">
      <c r="A63" s="3">
        <v>60</v>
      </c>
      <c r="B63" s="21" t="s">
        <v>106</v>
      </c>
      <c r="C63" s="21" t="s">
        <v>872</v>
      </c>
      <c r="D63" s="1" t="s">
        <v>70</v>
      </c>
      <c r="E63" s="2">
        <v>1000</v>
      </c>
      <c r="F63" s="1">
        <v>67</v>
      </c>
      <c r="G63" s="2">
        <v>67000</v>
      </c>
      <c r="H63" s="42"/>
    </row>
    <row r="64" spans="1:8">
      <c r="A64" s="10">
        <v>61</v>
      </c>
      <c r="B64" s="21" t="s">
        <v>106</v>
      </c>
      <c r="C64" s="21" t="s">
        <v>874</v>
      </c>
      <c r="D64" s="1" t="s">
        <v>70</v>
      </c>
      <c r="E64" s="2">
        <v>1000</v>
      </c>
      <c r="F64" s="1">
        <v>67</v>
      </c>
      <c r="G64" s="2">
        <v>67000</v>
      </c>
      <c r="H64" s="42"/>
    </row>
    <row r="65" spans="1:8">
      <c r="A65" s="3">
        <v>62</v>
      </c>
      <c r="B65" s="21" t="s">
        <v>106</v>
      </c>
      <c r="C65" s="21" t="s">
        <v>875</v>
      </c>
      <c r="D65" s="1" t="s">
        <v>70</v>
      </c>
      <c r="E65" s="2">
        <v>1000</v>
      </c>
      <c r="F65" s="1">
        <v>67</v>
      </c>
      <c r="G65" s="2">
        <v>67000</v>
      </c>
      <c r="H65" s="42"/>
    </row>
    <row r="66" spans="1:8">
      <c r="A66" s="10">
        <v>63</v>
      </c>
      <c r="B66" s="21" t="s">
        <v>106</v>
      </c>
      <c r="C66" s="21" t="s">
        <v>881</v>
      </c>
      <c r="D66" s="1" t="s">
        <v>70</v>
      </c>
      <c r="E66" s="2">
        <v>1000</v>
      </c>
      <c r="F66" s="1">
        <v>67</v>
      </c>
      <c r="G66" s="2">
        <v>67000</v>
      </c>
      <c r="H66" s="42"/>
    </row>
    <row r="67" spans="1:8">
      <c r="A67" s="3">
        <v>64</v>
      </c>
      <c r="B67" s="21" t="s">
        <v>106</v>
      </c>
      <c r="C67" s="21" t="s">
        <v>891</v>
      </c>
      <c r="D67" s="1" t="s">
        <v>70</v>
      </c>
      <c r="E67" s="2">
        <v>3000</v>
      </c>
      <c r="F67" s="1">
        <v>67</v>
      </c>
      <c r="G67" s="2">
        <v>201000</v>
      </c>
      <c r="H67" s="42"/>
    </row>
    <row r="68" spans="1:8">
      <c r="A68" s="10">
        <v>65</v>
      </c>
      <c r="B68" s="21" t="s">
        <v>106</v>
      </c>
      <c r="C68" s="21" t="s">
        <v>892</v>
      </c>
      <c r="D68" s="1" t="s">
        <v>70</v>
      </c>
      <c r="E68" s="2">
        <v>1000</v>
      </c>
      <c r="F68" s="1">
        <v>67</v>
      </c>
      <c r="G68" s="2">
        <v>67000</v>
      </c>
      <c r="H68" s="42"/>
    </row>
    <row r="69" spans="1:8">
      <c r="A69" s="3">
        <v>66</v>
      </c>
      <c r="B69" s="21" t="s">
        <v>106</v>
      </c>
      <c r="C69" s="21" t="s">
        <v>896</v>
      </c>
      <c r="D69" s="1" t="s">
        <v>70</v>
      </c>
      <c r="E69" s="2">
        <v>10000</v>
      </c>
      <c r="F69" s="1">
        <v>67</v>
      </c>
      <c r="G69" s="2">
        <v>670000</v>
      </c>
      <c r="H69" s="42"/>
    </row>
    <row r="70" spans="1:8">
      <c r="A70" s="10">
        <v>67</v>
      </c>
      <c r="B70" s="21" t="s">
        <v>106</v>
      </c>
      <c r="C70" s="21" t="s">
        <v>853</v>
      </c>
      <c r="D70" s="1" t="s">
        <v>70</v>
      </c>
      <c r="E70" s="2">
        <v>2000</v>
      </c>
      <c r="F70" s="1">
        <v>67</v>
      </c>
      <c r="G70" s="2">
        <v>134000</v>
      </c>
      <c r="H70" s="42"/>
    </row>
    <row r="71" spans="1:8">
      <c r="A71" s="3">
        <v>68</v>
      </c>
      <c r="B71" s="21" t="s">
        <v>106</v>
      </c>
      <c r="C71" s="21" t="s">
        <v>897</v>
      </c>
      <c r="D71" s="1" t="s">
        <v>70</v>
      </c>
      <c r="E71" s="2">
        <v>2000</v>
      </c>
      <c r="F71" s="1">
        <v>67</v>
      </c>
      <c r="G71" s="2">
        <v>134000</v>
      </c>
      <c r="H71" s="42"/>
    </row>
    <row r="72" spans="1:8">
      <c r="A72" s="10">
        <v>69</v>
      </c>
      <c r="B72" s="21" t="s">
        <v>106</v>
      </c>
      <c r="C72" s="21" t="s">
        <v>863</v>
      </c>
      <c r="D72" s="1" t="s">
        <v>70</v>
      </c>
      <c r="E72" s="2">
        <v>5000</v>
      </c>
      <c r="F72" s="1">
        <v>67</v>
      </c>
      <c r="G72" s="2">
        <v>335000</v>
      </c>
      <c r="H72" s="42"/>
    </row>
    <row r="73" spans="1:8">
      <c r="A73" s="3">
        <v>70</v>
      </c>
      <c r="B73" s="21" t="s">
        <v>106</v>
      </c>
      <c r="C73" s="21" t="s">
        <v>869</v>
      </c>
      <c r="D73" s="1" t="s">
        <v>70</v>
      </c>
      <c r="E73" s="2">
        <v>5000</v>
      </c>
      <c r="F73" s="1">
        <v>67</v>
      </c>
      <c r="G73" s="2">
        <v>335000</v>
      </c>
      <c r="H73" s="42"/>
    </row>
    <row r="74" spans="1:8">
      <c r="A74" s="10">
        <v>71</v>
      </c>
      <c r="B74" s="21" t="s">
        <v>106</v>
      </c>
      <c r="C74" s="21" t="s">
        <v>903</v>
      </c>
      <c r="D74" s="1" t="s">
        <v>70</v>
      </c>
      <c r="E74" s="2">
        <v>1000</v>
      </c>
      <c r="F74" s="1">
        <v>67</v>
      </c>
      <c r="G74" s="2">
        <v>67000</v>
      </c>
      <c r="H74" s="42"/>
    </row>
    <row r="75" spans="1:8">
      <c r="A75" s="3">
        <v>72</v>
      </c>
      <c r="B75" s="21" t="s">
        <v>106</v>
      </c>
      <c r="C75" s="21" t="s">
        <v>904</v>
      </c>
      <c r="D75" s="1" t="s">
        <v>70</v>
      </c>
      <c r="E75" s="2">
        <v>5000</v>
      </c>
      <c r="F75" s="1">
        <v>67</v>
      </c>
      <c r="G75" s="2">
        <v>335000</v>
      </c>
      <c r="H75" s="42"/>
    </row>
    <row r="76" spans="1:8">
      <c r="A76" s="10">
        <v>73</v>
      </c>
      <c r="B76" s="21" t="s">
        <v>106</v>
      </c>
      <c r="C76" s="21" t="s">
        <v>905</v>
      </c>
      <c r="D76" s="1" t="s">
        <v>70</v>
      </c>
      <c r="E76" s="2">
        <v>2000</v>
      </c>
      <c r="F76" s="1">
        <v>67</v>
      </c>
      <c r="G76" s="2">
        <v>134000</v>
      </c>
      <c r="H76" s="42"/>
    </row>
    <row r="77" spans="1:8">
      <c r="A77" s="3">
        <v>74</v>
      </c>
      <c r="B77" s="21" t="s">
        <v>106</v>
      </c>
      <c r="C77" s="21" t="s">
        <v>854</v>
      </c>
      <c r="D77" s="1" t="s">
        <v>71</v>
      </c>
      <c r="E77" s="2">
        <v>1000</v>
      </c>
      <c r="F77" s="1">
        <v>67</v>
      </c>
      <c r="G77" s="2">
        <v>67000</v>
      </c>
      <c r="H77" s="42"/>
    </row>
    <row r="78" spans="1:8">
      <c r="A78" s="10">
        <v>75</v>
      </c>
      <c r="B78" s="21" t="s">
        <v>106</v>
      </c>
      <c r="C78" s="21" t="s">
        <v>835</v>
      </c>
      <c r="D78" s="1" t="s">
        <v>151</v>
      </c>
      <c r="E78" s="2">
        <v>3000</v>
      </c>
      <c r="F78" s="1">
        <v>67</v>
      </c>
      <c r="G78" s="2">
        <v>201000</v>
      </c>
      <c r="H78" s="42"/>
    </row>
    <row r="79" spans="1:8">
      <c r="A79" s="3">
        <v>76</v>
      </c>
      <c r="B79" s="21" t="s">
        <v>106</v>
      </c>
      <c r="C79" s="21" t="s">
        <v>836</v>
      </c>
      <c r="D79" s="1" t="s">
        <v>151</v>
      </c>
      <c r="E79" s="2">
        <v>5000</v>
      </c>
      <c r="F79" s="1">
        <v>67</v>
      </c>
      <c r="G79" s="2">
        <v>335000</v>
      </c>
      <c r="H79" s="42"/>
    </row>
    <row r="80" spans="1:8">
      <c r="A80" s="10">
        <v>77</v>
      </c>
      <c r="B80" s="21" t="s">
        <v>106</v>
      </c>
      <c r="C80" s="21" t="s">
        <v>884</v>
      </c>
      <c r="D80" s="1" t="s">
        <v>151</v>
      </c>
      <c r="E80" s="2">
        <v>3000</v>
      </c>
      <c r="F80" s="1">
        <v>67</v>
      </c>
      <c r="G80" s="2">
        <v>201000</v>
      </c>
      <c r="H80" s="42"/>
    </row>
    <row r="81" spans="1:8">
      <c r="A81" s="3">
        <v>78</v>
      </c>
      <c r="B81" s="21" t="s">
        <v>106</v>
      </c>
      <c r="C81" s="21" t="s">
        <v>860</v>
      </c>
      <c r="D81" s="1" t="s">
        <v>151</v>
      </c>
      <c r="E81" s="2">
        <v>2000</v>
      </c>
      <c r="F81" s="1">
        <v>67</v>
      </c>
      <c r="G81" s="2">
        <v>134000</v>
      </c>
      <c r="H81" s="42"/>
    </row>
    <row r="82" spans="1:8">
      <c r="A82" s="10">
        <v>79</v>
      </c>
      <c r="B82" s="21" t="s">
        <v>106</v>
      </c>
      <c r="C82" s="21" t="s">
        <v>865</v>
      </c>
      <c r="D82" s="1" t="s">
        <v>151</v>
      </c>
      <c r="E82" s="2">
        <v>3000</v>
      </c>
      <c r="F82" s="1">
        <v>67</v>
      </c>
      <c r="G82" s="2">
        <v>201000</v>
      </c>
      <c r="H82" s="42"/>
    </row>
    <row r="83" spans="1:8">
      <c r="A83" s="3">
        <v>80</v>
      </c>
      <c r="B83" s="21" t="s">
        <v>106</v>
      </c>
      <c r="C83" s="21" t="s">
        <v>870</v>
      </c>
      <c r="D83" s="1" t="s">
        <v>151</v>
      </c>
      <c r="E83" s="2">
        <v>5000</v>
      </c>
      <c r="F83" s="1">
        <v>67</v>
      </c>
      <c r="G83" s="2">
        <v>335000</v>
      </c>
      <c r="H83" s="42"/>
    </row>
    <row r="84" spans="1:8">
      <c r="A84" s="10">
        <v>81</v>
      </c>
      <c r="B84" s="21" t="s">
        <v>106</v>
      </c>
      <c r="C84" s="21" t="s">
        <v>898</v>
      </c>
      <c r="D84" s="1" t="s">
        <v>217</v>
      </c>
      <c r="E84" s="2">
        <v>2000</v>
      </c>
      <c r="F84" s="1">
        <v>67</v>
      </c>
      <c r="G84" s="2">
        <v>134000</v>
      </c>
      <c r="H84" s="42"/>
    </row>
    <row r="85" spans="1:8">
      <c r="A85" s="3">
        <v>82</v>
      </c>
      <c r="B85" s="21" t="s">
        <v>106</v>
      </c>
      <c r="C85" s="21" t="s">
        <v>835</v>
      </c>
      <c r="D85" s="1" t="s">
        <v>75</v>
      </c>
      <c r="E85" s="2">
        <v>7000</v>
      </c>
      <c r="F85" s="1">
        <v>67</v>
      </c>
      <c r="G85" s="2">
        <v>469000</v>
      </c>
      <c r="H85" s="42"/>
    </row>
    <row r="86" spans="1:8">
      <c r="A86" s="10">
        <v>83</v>
      </c>
      <c r="B86" s="21" t="s">
        <v>106</v>
      </c>
      <c r="C86" s="21" t="s">
        <v>893</v>
      </c>
      <c r="D86" s="1" t="s">
        <v>75</v>
      </c>
      <c r="E86" s="2">
        <v>1000</v>
      </c>
      <c r="F86" s="1">
        <v>67</v>
      </c>
      <c r="G86" s="2">
        <v>67000</v>
      </c>
      <c r="H86" s="42"/>
    </row>
    <row r="87" spans="1:8">
      <c r="A87" s="3">
        <v>84</v>
      </c>
      <c r="B87" s="21" t="s">
        <v>106</v>
      </c>
      <c r="C87" s="21" t="s">
        <v>486</v>
      </c>
      <c r="D87" s="1" t="s">
        <v>402</v>
      </c>
      <c r="E87" s="2">
        <v>5000</v>
      </c>
      <c r="F87" s="1">
        <v>67</v>
      </c>
      <c r="G87" s="2">
        <v>335000</v>
      </c>
      <c r="H87" s="42"/>
    </row>
    <row r="88" spans="1:8">
      <c r="A88" s="10">
        <v>85</v>
      </c>
      <c r="B88" s="21" t="s">
        <v>106</v>
      </c>
      <c r="C88" s="21" t="s">
        <v>901</v>
      </c>
      <c r="D88" s="1" t="s">
        <v>402</v>
      </c>
      <c r="E88" s="2">
        <v>1000</v>
      </c>
      <c r="F88" s="1">
        <v>67</v>
      </c>
      <c r="G88" s="2">
        <v>67000</v>
      </c>
      <c r="H88" s="42"/>
    </row>
    <row r="89" spans="1:8">
      <c r="A89" s="3">
        <v>86</v>
      </c>
      <c r="B89" s="21" t="s">
        <v>106</v>
      </c>
      <c r="C89" s="21" t="s">
        <v>906</v>
      </c>
      <c r="D89" s="1" t="s">
        <v>402</v>
      </c>
      <c r="E89" s="2">
        <v>3000</v>
      </c>
      <c r="F89" s="1">
        <v>67</v>
      </c>
      <c r="G89" s="2">
        <v>201000</v>
      </c>
      <c r="H89" s="42"/>
    </row>
    <row r="90" spans="1:8">
      <c r="A90" s="10">
        <v>87</v>
      </c>
      <c r="B90" s="21" t="s">
        <v>106</v>
      </c>
      <c r="C90" s="21" t="s">
        <v>881</v>
      </c>
      <c r="D90" s="1" t="s">
        <v>77</v>
      </c>
      <c r="E90" s="2">
        <v>2000</v>
      </c>
      <c r="F90" s="1">
        <v>67</v>
      </c>
      <c r="G90" s="2">
        <v>134000</v>
      </c>
      <c r="H90" s="42"/>
    </row>
    <row r="91" spans="1:8">
      <c r="A91" s="3">
        <v>88</v>
      </c>
      <c r="B91" s="21" t="s">
        <v>106</v>
      </c>
      <c r="C91" s="21" t="s">
        <v>860</v>
      </c>
      <c r="D91" s="1" t="s">
        <v>77</v>
      </c>
      <c r="E91" s="2">
        <v>2000</v>
      </c>
      <c r="F91" s="1">
        <v>67</v>
      </c>
      <c r="G91" s="2">
        <v>134000</v>
      </c>
      <c r="H91" s="42"/>
    </row>
    <row r="92" spans="1:8">
      <c r="A92" s="10">
        <v>89</v>
      </c>
      <c r="B92" s="21" t="s">
        <v>106</v>
      </c>
      <c r="C92" s="21" t="s">
        <v>862</v>
      </c>
      <c r="D92" s="1" t="s">
        <v>77</v>
      </c>
      <c r="E92" s="2">
        <v>2000</v>
      </c>
      <c r="F92" s="1">
        <v>67</v>
      </c>
      <c r="G92" s="2">
        <v>134000</v>
      </c>
      <c r="H92" s="42"/>
    </row>
    <row r="93" spans="1:8">
      <c r="A93" s="3">
        <v>90</v>
      </c>
      <c r="B93" s="21" t="s">
        <v>106</v>
      </c>
      <c r="C93" s="21" t="s">
        <v>833</v>
      </c>
      <c r="D93" s="1" t="s">
        <v>110</v>
      </c>
      <c r="E93" s="2">
        <v>20000</v>
      </c>
      <c r="F93" s="1">
        <v>67</v>
      </c>
      <c r="G93" s="2">
        <v>1340000</v>
      </c>
      <c r="H93" s="42"/>
    </row>
    <row r="94" spans="1:8">
      <c r="A94" s="10">
        <v>91</v>
      </c>
      <c r="B94" s="21" t="s">
        <v>106</v>
      </c>
      <c r="C94" s="21" t="s">
        <v>876</v>
      </c>
      <c r="D94" s="1" t="s">
        <v>11</v>
      </c>
      <c r="E94" s="2">
        <v>10000</v>
      </c>
      <c r="F94" s="1">
        <v>67</v>
      </c>
      <c r="G94" s="2">
        <v>670000</v>
      </c>
      <c r="H94" s="42"/>
    </row>
    <row r="95" spans="1:8">
      <c r="A95" s="3">
        <v>92</v>
      </c>
      <c r="B95" s="21" t="s">
        <v>106</v>
      </c>
      <c r="C95" s="21" t="s">
        <v>868</v>
      </c>
      <c r="D95" s="1" t="s">
        <v>11</v>
      </c>
      <c r="E95" s="2">
        <v>1000</v>
      </c>
      <c r="F95" s="1">
        <v>67</v>
      </c>
      <c r="G95" s="2">
        <v>67000</v>
      </c>
      <c r="H95" s="42"/>
    </row>
    <row r="96" spans="1:8">
      <c r="A96" s="10">
        <v>93</v>
      </c>
      <c r="B96" s="21" t="s">
        <v>106</v>
      </c>
      <c r="C96" s="21" t="s">
        <v>887</v>
      </c>
      <c r="D96" s="1" t="s">
        <v>267</v>
      </c>
      <c r="E96" s="2">
        <v>1000</v>
      </c>
      <c r="F96" s="1">
        <v>67</v>
      </c>
      <c r="G96" s="2">
        <v>67000</v>
      </c>
      <c r="H96" s="42"/>
    </row>
    <row r="97" spans="1:8">
      <c r="A97" s="3">
        <v>94</v>
      </c>
      <c r="B97" s="21" t="s">
        <v>106</v>
      </c>
      <c r="C97" s="21" t="s">
        <v>900</v>
      </c>
      <c r="D97" s="1" t="s">
        <v>267</v>
      </c>
      <c r="E97" s="2">
        <v>10000</v>
      </c>
      <c r="F97" s="1">
        <v>67</v>
      </c>
      <c r="G97" s="2">
        <v>670000</v>
      </c>
      <c r="H97" s="42"/>
    </row>
    <row r="98" spans="1:8">
      <c r="A98" s="10">
        <v>95</v>
      </c>
      <c r="B98" s="21" t="s">
        <v>106</v>
      </c>
      <c r="C98" s="21" t="s">
        <v>886</v>
      </c>
      <c r="D98" s="1" t="s">
        <v>269</v>
      </c>
      <c r="E98" s="2">
        <v>1000</v>
      </c>
      <c r="F98" s="1">
        <v>67</v>
      </c>
      <c r="G98" s="2">
        <v>67000</v>
      </c>
      <c r="H98" s="42"/>
    </row>
    <row r="99" spans="1:8">
      <c r="A99" s="3">
        <v>96</v>
      </c>
      <c r="B99" s="21" t="s">
        <v>106</v>
      </c>
      <c r="C99" s="21" t="s">
        <v>866</v>
      </c>
      <c r="D99" s="1" t="s">
        <v>269</v>
      </c>
      <c r="E99" s="2">
        <v>4000</v>
      </c>
      <c r="F99" s="1">
        <v>67</v>
      </c>
      <c r="G99" s="2">
        <v>268000</v>
      </c>
      <c r="H99" s="42"/>
    </row>
    <row r="100" spans="1:8">
      <c r="A100" s="10">
        <v>97</v>
      </c>
      <c r="B100" s="21" t="s">
        <v>106</v>
      </c>
      <c r="C100" s="21" t="s">
        <v>837</v>
      </c>
      <c r="D100" s="1" t="s">
        <v>214</v>
      </c>
      <c r="E100" s="2">
        <v>3000</v>
      </c>
      <c r="F100" s="1">
        <v>67</v>
      </c>
      <c r="G100" s="2">
        <v>201000</v>
      </c>
      <c r="H100" s="42"/>
    </row>
    <row r="101" spans="1:8">
      <c r="A101" s="3">
        <v>98</v>
      </c>
      <c r="B101" s="21" t="s">
        <v>106</v>
      </c>
      <c r="C101" s="21" t="s">
        <v>835</v>
      </c>
      <c r="D101" s="1" t="s">
        <v>79</v>
      </c>
      <c r="E101" s="2">
        <v>5000</v>
      </c>
      <c r="F101" s="1">
        <v>67</v>
      </c>
      <c r="G101" s="2">
        <v>335000</v>
      </c>
      <c r="H101" s="42"/>
    </row>
    <row r="102" spans="1:8">
      <c r="A102" s="10">
        <v>99</v>
      </c>
      <c r="B102" s="21" t="s">
        <v>106</v>
      </c>
      <c r="C102" s="21" t="s">
        <v>890</v>
      </c>
      <c r="D102" s="1" t="s">
        <v>79</v>
      </c>
      <c r="E102" s="2">
        <v>5000</v>
      </c>
      <c r="F102" s="1">
        <v>67</v>
      </c>
      <c r="G102" s="2">
        <v>335000</v>
      </c>
      <c r="H102" s="42"/>
    </row>
    <row r="103" spans="1:8">
      <c r="A103" s="3">
        <v>100</v>
      </c>
      <c r="B103" s="21" t="s">
        <v>106</v>
      </c>
      <c r="C103" s="21" t="s">
        <v>878</v>
      </c>
      <c r="D103" s="1" t="s">
        <v>111</v>
      </c>
      <c r="E103" s="2">
        <v>2000</v>
      </c>
      <c r="F103" s="1">
        <v>67</v>
      </c>
      <c r="G103" s="2">
        <v>134000</v>
      </c>
      <c r="H103" s="42"/>
    </row>
    <row r="104" spans="1:8">
      <c r="A104" s="10">
        <v>101</v>
      </c>
      <c r="B104" s="21" t="s">
        <v>106</v>
      </c>
      <c r="C104" s="21" t="s">
        <v>889</v>
      </c>
      <c r="D104" s="1" t="s">
        <v>111</v>
      </c>
      <c r="E104" s="2">
        <v>2000</v>
      </c>
      <c r="F104" s="1">
        <v>67</v>
      </c>
      <c r="G104" s="2">
        <v>134000</v>
      </c>
      <c r="H104" s="42"/>
    </row>
    <row r="105" spans="1:8">
      <c r="A105" s="3">
        <v>102</v>
      </c>
      <c r="B105" s="21" t="s">
        <v>106</v>
      </c>
      <c r="C105" s="21" t="s">
        <v>486</v>
      </c>
      <c r="D105" s="1" t="s">
        <v>111</v>
      </c>
      <c r="E105" s="2">
        <v>2000</v>
      </c>
      <c r="F105" s="1">
        <v>67</v>
      </c>
      <c r="G105" s="2">
        <v>134000</v>
      </c>
      <c r="H105" s="42"/>
    </row>
    <row r="106" spans="1:8">
      <c r="A106" s="10">
        <v>103</v>
      </c>
      <c r="B106" s="21" t="s">
        <v>106</v>
      </c>
      <c r="C106" s="21" t="s">
        <v>895</v>
      </c>
      <c r="D106" s="1" t="s">
        <v>111</v>
      </c>
      <c r="E106" s="2">
        <v>1000</v>
      </c>
      <c r="F106" s="1">
        <v>67</v>
      </c>
      <c r="G106" s="2">
        <v>67000</v>
      </c>
      <c r="H106" s="42"/>
    </row>
    <row r="107" spans="1:8">
      <c r="A107" s="3">
        <v>104</v>
      </c>
      <c r="B107" s="21" t="s">
        <v>106</v>
      </c>
      <c r="C107" s="21" t="s">
        <v>830</v>
      </c>
      <c r="D107" s="1" t="s">
        <v>290</v>
      </c>
      <c r="E107" s="2">
        <v>6000</v>
      </c>
      <c r="F107" s="1">
        <v>67</v>
      </c>
      <c r="G107" s="2">
        <v>402000</v>
      </c>
      <c r="H107" s="42"/>
    </row>
    <row r="108" spans="1:8">
      <c r="A108" s="10">
        <v>105</v>
      </c>
      <c r="B108" s="21" t="s">
        <v>106</v>
      </c>
      <c r="C108" s="21" t="s">
        <v>838</v>
      </c>
      <c r="D108" s="1" t="s">
        <v>290</v>
      </c>
      <c r="E108" s="2">
        <v>3000</v>
      </c>
      <c r="F108" s="1">
        <v>67</v>
      </c>
      <c r="G108" s="2">
        <v>201000</v>
      </c>
      <c r="H108" s="42"/>
    </row>
    <row r="109" spans="1:8">
      <c r="A109" s="3">
        <v>106</v>
      </c>
      <c r="B109" s="21" t="s">
        <v>106</v>
      </c>
      <c r="C109" s="21" t="s">
        <v>847</v>
      </c>
      <c r="D109" s="1" t="s">
        <v>290</v>
      </c>
      <c r="E109" s="2">
        <v>2000</v>
      </c>
      <c r="F109" s="1">
        <v>67</v>
      </c>
      <c r="G109" s="2">
        <v>134000</v>
      </c>
      <c r="H109" s="42"/>
    </row>
    <row r="110" spans="1:8">
      <c r="A110" s="10">
        <v>107</v>
      </c>
      <c r="B110" s="21" t="s">
        <v>106</v>
      </c>
      <c r="C110" s="21" t="s">
        <v>828</v>
      </c>
      <c r="D110" s="1" t="s">
        <v>144</v>
      </c>
      <c r="E110" s="2">
        <v>3000</v>
      </c>
      <c r="F110" s="1">
        <v>67</v>
      </c>
      <c r="G110" s="2">
        <v>201000</v>
      </c>
      <c r="H110" s="42"/>
    </row>
    <row r="111" spans="1:8">
      <c r="A111" s="3">
        <v>108</v>
      </c>
      <c r="B111" s="21" t="s">
        <v>106</v>
      </c>
      <c r="C111" s="21" t="s">
        <v>839</v>
      </c>
      <c r="D111" s="1" t="s">
        <v>144</v>
      </c>
      <c r="E111" s="2">
        <v>2000</v>
      </c>
      <c r="F111" s="1">
        <v>67</v>
      </c>
      <c r="G111" s="2">
        <v>134000</v>
      </c>
      <c r="H111" s="42"/>
    </row>
    <row r="112" spans="1:8">
      <c r="A112" s="10">
        <v>109</v>
      </c>
      <c r="B112" s="21" t="s">
        <v>106</v>
      </c>
      <c r="C112" s="21" t="s">
        <v>840</v>
      </c>
      <c r="D112" s="1" t="s">
        <v>144</v>
      </c>
      <c r="E112" s="2">
        <v>1000</v>
      </c>
      <c r="F112" s="1">
        <v>67</v>
      </c>
      <c r="G112" s="2">
        <v>67000</v>
      </c>
      <c r="H112" s="42"/>
    </row>
    <row r="113" spans="1:8">
      <c r="A113" s="3">
        <v>110</v>
      </c>
      <c r="B113" s="21" t="s">
        <v>106</v>
      </c>
      <c r="C113" s="21" t="s">
        <v>894</v>
      </c>
      <c r="D113" s="1" t="s">
        <v>144</v>
      </c>
      <c r="E113" s="2">
        <v>2000</v>
      </c>
      <c r="F113" s="1">
        <v>67</v>
      </c>
      <c r="G113" s="2">
        <v>134000</v>
      </c>
      <c r="H113" s="42"/>
    </row>
    <row r="114" spans="1:8">
      <c r="A114" s="10">
        <v>111</v>
      </c>
      <c r="B114" s="21" t="s">
        <v>106</v>
      </c>
      <c r="C114" s="21" t="s">
        <v>864</v>
      </c>
      <c r="D114" s="1" t="s">
        <v>239</v>
      </c>
      <c r="E114" s="2">
        <v>2000</v>
      </c>
      <c r="F114" s="1">
        <v>67</v>
      </c>
      <c r="G114" s="2">
        <v>134000</v>
      </c>
      <c r="H114" s="42"/>
    </row>
    <row r="115" spans="1:8">
      <c r="A115" s="3">
        <v>112</v>
      </c>
      <c r="B115" s="21" t="s">
        <v>106</v>
      </c>
      <c r="C115" s="21" t="s">
        <v>873</v>
      </c>
      <c r="D115" s="1" t="s">
        <v>140</v>
      </c>
      <c r="E115" s="2">
        <v>6000</v>
      </c>
      <c r="F115" s="1">
        <v>67</v>
      </c>
      <c r="G115" s="2">
        <v>402000</v>
      </c>
      <c r="H115" s="42"/>
    </row>
    <row r="116" spans="1:8">
      <c r="A116" s="10">
        <v>113</v>
      </c>
      <c r="B116" s="21" t="s">
        <v>106</v>
      </c>
      <c r="C116" s="21" t="s">
        <v>832</v>
      </c>
      <c r="D116" s="1" t="s">
        <v>140</v>
      </c>
      <c r="E116" s="2">
        <v>2000</v>
      </c>
      <c r="F116" s="1">
        <v>67</v>
      </c>
      <c r="G116" s="2">
        <v>134000</v>
      </c>
      <c r="H116" s="42"/>
    </row>
    <row r="117" spans="1:8">
      <c r="A117" s="3">
        <v>114</v>
      </c>
      <c r="B117" s="21" t="s">
        <v>106</v>
      </c>
      <c r="C117" s="21" t="s">
        <v>852</v>
      </c>
      <c r="D117" s="1" t="s">
        <v>210</v>
      </c>
      <c r="E117" s="2">
        <v>1000</v>
      </c>
      <c r="F117" s="1">
        <v>67</v>
      </c>
      <c r="G117" s="2">
        <v>67000</v>
      </c>
      <c r="H117" s="42"/>
    </row>
    <row r="118" spans="1:8">
      <c r="A118" s="10">
        <v>115</v>
      </c>
      <c r="B118" s="21" t="s">
        <v>106</v>
      </c>
      <c r="C118" s="21" t="s">
        <v>845</v>
      </c>
      <c r="D118" s="1" t="s">
        <v>80</v>
      </c>
      <c r="E118" s="2">
        <v>10000</v>
      </c>
      <c r="F118" s="1">
        <v>67</v>
      </c>
      <c r="G118" s="2">
        <v>670000</v>
      </c>
      <c r="H118" s="42"/>
    </row>
    <row r="119" spans="1:8">
      <c r="A119" s="3">
        <v>116</v>
      </c>
      <c r="B119" s="21" t="s">
        <v>106</v>
      </c>
      <c r="C119" s="21" t="s">
        <v>834</v>
      </c>
      <c r="D119" s="1" t="s">
        <v>413</v>
      </c>
      <c r="E119" s="2">
        <v>2000</v>
      </c>
      <c r="F119" s="1">
        <v>67</v>
      </c>
      <c r="G119" s="2">
        <v>134000</v>
      </c>
      <c r="H119" s="42"/>
    </row>
    <row r="120" spans="1:8">
      <c r="A120" s="10">
        <v>117</v>
      </c>
      <c r="B120" s="21" t="s">
        <v>106</v>
      </c>
      <c r="C120" s="21" t="s">
        <v>855</v>
      </c>
      <c r="D120" s="1" t="s">
        <v>413</v>
      </c>
      <c r="E120" s="2">
        <v>1000</v>
      </c>
      <c r="F120" s="1">
        <v>67</v>
      </c>
      <c r="G120" s="2">
        <v>67000</v>
      </c>
      <c r="H120" s="42"/>
    </row>
    <row r="121" spans="1:8">
      <c r="A121" s="3">
        <v>118</v>
      </c>
      <c r="B121" s="21" t="s">
        <v>106</v>
      </c>
      <c r="C121" s="21" t="s">
        <v>859</v>
      </c>
      <c r="D121" s="1" t="s">
        <v>413</v>
      </c>
      <c r="E121" s="2">
        <v>5000</v>
      </c>
      <c r="F121" s="1">
        <v>67</v>
      </c>
      <c r="G121" s="2">
        <v>335000</v>
      </c>
      <c r="H121" s="42"/>
    </row>
    <row r="122" spans="1:8">
      <c r="A122" s="10">
        <v>119</v>
      </c>
      <c r="B122" s="21" t="s">
        <v>106</v>
      </c>
      <c r="C122" s="21" t="s">
        <v>834</v>
      </c>
      <c r="D122" s="1" t="s">
        <v>200</v>
      </c>
      <c r="E122" s="2">
        <v>2000</v>
      </c>
      <c r="F122" s="1">
        <v>67</v>
      </c>
      <c r="G122" s="2">
        <v>134000</v>
      </c>
      <c r="H122" s="42"/>
    </row>
    <row r="123" spans="1:8">
      <c r="A123" s="3">
        <v>120</v>
      </c>
      <c r="B123" s="21" t="s">
        <v>106</v>
      </c>
      <c r="C123" s="21" t="s">
        <v>846</v>
      </c>
      <c r="D123" s="1" t="s">
        <v>236</v>
      </c>
      <c r="E123" s="2">
        <v>1000</v>
      </c>
      <c r="F123" s="1">
        <v>67</v>
      </c>
      <c r="G123" s="2">
        <v>67000</v>
      </c>
      <c r="H123" s="42"/>
    </row>
    <row r="124" spans="1:8">
      <c r="A124" s="10">
        <v>121</v>
      </c>
      <c r="B124" s="21" t="s">
        <v>106</v>
      </c>
      <c r="C124" s="21" t="s">
        <v>858</v>
      </c>
      <c r="D124" s="1" t="s">
        <v>236</v>
      </c>
      <c r="E124" s="2">
        <v>10000</v>
      </c>
      <c r="F124" s="1">
        <v>67</v>
      </c>
      <c r="G124" s="2">
        <v>670000</v>
      </c>
      <c r="H124" s="42"/>
    </row>
    <row r="125" spans="1:8">
      <c r="A125" s="3">
        <v>122</v>
      </c>
      <c r="B125" s="21" t="s">
        <v>106</v>
      </c>
      <c r="C125" s="21" t="s">
        <v>827</v>
      </c>
      <c r="D125" s="1" t="s">
        <v>387</v>
      </c>
      <c r="E125" s="2">
        <v>2000</v>
      </c>
      <c r="F125" s="1">
        <v>67</v>
      </c>
      <c r="G125" s="2">
        <v>134000</v>
      </c>
      <c r="H125" s="42"/>
    </row>
    <row r="126" spans="1:8">
      <c r="A126" s="10">
        <v>123</v>
      </c>
      <c r="B126" s="21" t="s">
        <v>106</v>
      </c>
      <c r="C126" s="21" t="s">
        <v>879</v>
      </c>
      <c r="D126" s="1" t="s">
        <v>387</v>
      </c>
      <c r="E126" s="2">
        <v>1000</v>
      </c>
      <c r="F126" s="1">
        <v>67</v>
      </c>
      <c r="G126" s="2">
        <v>67000</v>
      </c>
      <c r="H126" s="42"/>
    </row>
    <row r="127" spans="1:8">
      <c r="A127" s="3">
        <v>124</v>
      </c>
      <c r="B127" s="21" t="s">
        <v>106</v>
      </c>
      <c r="C127" s="21" t="s">
        <v>888</v>
      </c>
      <c r="D127" s="1" t="s">
        <v>387</v>
      </c>
      <c r="E127" s="2">
        <v>1000</v>
      </c>
      <c r="F127" s="1">
        <v>67</v>
      </c>
      <c r="G127" s="2">
        <v>67000</v>
      </c>
      <c r="H127" s="42"/>
    </row>
    <row r="128" spans="1:8">
      <c r="A128" s="10">
        <v>125</v>
      </c>
      <c r="B128" s="21" t="s">
        <v>106</v>
      </c>
      <c r="C128" s="21" t="s">
        <v>287</v>
      </c>
      <c r="D128" s="1" t="s">
        <v>387</v>
      </c>
      <c r="E128" s="2">
        <v>2000</v>
      </c>
      <c r="F128" s="1">
        <v>67</v>
      </c>
      <c r="G128" s="2">
        <v>134000</v>
      </c>
      <c r="H128" s="42"/>
    </row>
    <row r="129" spans="1:8">
      <c r="A129" s="3">
        <v>126</v>
      </c>
      <c r="B129" s="21" t="s">
        <v>106</v>
      </c>
      <c r="C129" s="21" t="s">
        <v>841</v>
      </c>
      <c r="D129" s="1" t="s">
        <v>12</v>
      </c>
      <c r="E129" s="2">
        <v>5000</v>
      </c>
      <c r="F129" s="1">
        <v>67</v>
      </c>
      <c r="G129" s="2">
        <v>335000</v>
      </c>
      <c r="H129" s="42"/>
    </row>
    <row r="130" spans="1:8">
      <c r="A130" s="10">
        <v>127</v>
      </c>
      <c r="B130" s="21" t="s">
        <v>106</v>
      </c>
      <c r="C130" s="21" t="s">
        <v>844</v>
      </c>
      <c r="D130" s="1" t="s">
        <v>205</v>
      </c>
      <c r="E130" s="2">
        <v>5000</v>
      </c>
      <c r="F130" s="1">
        <v>67</v>
      </c>
      <c r="G130" s="2">
        <v>335000</v>
      </c>
      <c r="H130" s="42"/>
    </row>
    <row r="131" spans="1:8">
      <c r="A131" s="3">
        <v>128</v>
      </c>
      <c r="B131" s="21" t="s">
        <v>106</v>
      </c>
      <c r="C131" s="21" t="s">
        <v>846</v>
      </c>
      <c r="D131" s="1" t="s">
        <v>205</v>
      </c>
      <c r="E131" s="2">
        <v>1000</v>
      </c>
      <c r="F131" s="1">
        <v>67</v>
      </c>
      <c r="G131" s="2">
        <v>67000</v>
      </c>
      <c r="H131" s="42"/>
    </row>
    <row r="132" spans="1:8">
      <c r="A132" s="10">
        <v>129</v>
      </c>
      <c r="B132" s="21" t="s">
        <v>106</v>
      </c>
      <c r="C132" s="21" t="s">
        <v>848</v>
      </c>
      <c r="D132" s="1" t="s">
        <v>205</v>
      </c>
      <c r="E132" s="2">
        <v>1000</v>
      </c>
      <c r="F132" s="1">
        <v>67</v>
      </c>
      <c r="G132" s="2">
        <v>67000</v>
      </c>
      <c r="H132" s="42"/>
    </row>
    <row r="133" spans="1:8">
      <c r="A133" s="3">
        <v>130</v>
      </c>
      <c r="B133" s="21" t="s">
        <v>106</v>
      </c>
      <c r="C133" s="21" t="s">
        <v>899</v>
      </c>
      <c r="D133" s="1" t="s">
        <v>205</v>
      </c>
      <c r="E133" s="2">
        <v>1000</v>
      </c>
      <c r="F133" s="1">
        <v>67</v>
      </c>
      <c r="G133" s="2">
        <v>67000</v>
      </c>
      <c r="H133" s="42"/>
    </row>
    <row r="134" spans="1:8">
      <c r="A134" s="10">
        <v>131</v>
      </c>
      <c r="B134" s="21" t="s">
        <v>106</v>
      </c>
      <c r="C134" s="21" t="s">
        <v>907</v>
      </c>
      <c r="D134" s="1" t="s">
        <v>205</v>
      </c>
      <c r="E134" s="2">
        <v>10000</v>
      </c>
      <c r="F134" s="1">
        <v>67</v>
      </c>
      <c r="G134" s="2">
        <v>670000</v>
      </c>
      <c r="H134" s="42"/>
    </row>
    <row r="135" spans="1:8">
      <c r="A135" s="3">
        <v>132</v>
      </c>
      <c r="B135" s="21" t="s">
        <v>106</v>
      </c>
      <c r="C135" s="21" t="s">
        <v>829</v>
      </c>
      <c r="D135" s="1" t="s">
        <v>82</v>
      </c>
      <c r="E135" s="2">
        <v>1000</v>
      </c>
      <c r="F135" s="1">
        <v>67</v>
      </c>
      <c r="G135" s="2">
        <v>67000</v>
      </c>
      <c r="H135" s="42"/>
    </row>
    <row r="136" spans="1:8">
      <c r="A136" s="10">
        <v>133</v>
      </c>
      <c r="B136" s="21" t="s">
        <v>106</v>
      </c>
      <c r="C136" s="21" t="s">
        <v>842</v>
      </c>
      <c r="D136" s="1" t="s">
        <v>82</v>
      </c>
      <c r="E136" s="2">
        <v>1000</v>
      </c>
      <c r="F136" s="1">
        <v>67</v>
      </c>
      <c r="G136" s="2">
        <v>67000</v>
      </c>
      <c r="H136" s="42"/>
    </row>
    <row r="137" spans="1:8" ht="97.2">
      <c r="A137" s="3">
        <v>134</v>
      </c>
      <c r="B137" s="21" t="s">
        <v>106</v>
      </c>
      <c r="C137" s="21" t="s">
        <v>850</v>
      </c>
      <c r="D137" s="1" t="s">
        <v>82</v>
      </c>
      <c r="E137" s="2">
        <v>20000</v>
      </c>
      <c r="F137" s="1">
        <v>67</v>
      </c>
      <c r="G137" s="2">
        <v>1340000</v>
      </c>
      <c r="H137" s="105" t="s">
        <v>1282</v>
      </c>
    </row>
    <row r="138" spans="1:8">
      <c r="A138" s="10">
        <v>135</v>
      </c>
      <c r="B138" s="21" t="s">
        <v>106</v>
      </c>
      <c r="C138" s="21" t="s">
        <v>851</v>
      </c>
      <c r="D138" s="1" t="s">
        <v>82</v>
      </c>
      <c r="E138" s="2">
        <v>1000</v>
      </c>
      <c r="F138" s="1">
        <v>67</v>
      </c>
      <c r="G138" s="2">
        <v>67000</v>
      </c>
      <c r="H138" s="42"/>
    </row>
    <row r="139" spans="1:8">
      <c r="A139" s="3">
        <v>136</v>
      </c>
      <c r="B139" s="21" t="s">
        <v>106</v>
      </c>
      <c r="C139" s="21" t="s">
        <v>857</v>
      </c>
      <c r="D139" s="1" t="s">
        <v>82</v>
      </c>
      <c r="E139" s="2">
        <v>2000</v>
      </c>
      <c r="F139" s="1">
        <v>67</v>
      </c>
      <c r="G139" s="2">
        <v>134000</v>
      </c>
      <c r="H139" s="42"/>
    </row>
    <row r="140" spans="1:8">
      <c r="A140" s="10">
        <v>137</v>
      </c>
      <c r="B140" s="21" t="s">
        <v>106</v>
      </c>
      <c r="C140" s="21" t="s">
        <v>831</v>
      </c>
      <c r="D140" s="1" t="s">
        <v>13</v>
      </c>
      <c r="E140" s="2">
        <v>3000</v>
      </c>
      <c r="F140" s="1">
        <v>67</v>
      </c>
      <c r="G140" s="2">
        <v>201000</v>
      </c>
      <c r="H140" s="42"/>
    </row>
    <row r="141" spans="1:8">
      <c r="A141" s="3">
        <v>138</v>
      </c>
      <c r="B141" s="21" t="s">
        <v>106</v>
      </c>
      <c r="C141" s="21" t="s">
        <v>867</v>
      </c>
      <c r="D141" s="1" t="s">
        <v>13</v>
      </c>
      <c r="E141" s="2">
        <v>3000</v>
      </c>
      <c r="F141" s="1">
        <v>67</v>
      </c>
      <c r="G141" s="2">
        <v>201000</v>
      </c>
      <c r="H141" s="42"/>
    </row>
    <row r="142" spans="1:8">
      <c r="A142" s="10">
        <v>139</v>
      </c>
      <c r="B142" s="21" t="s">
        <v>106</v>
      </c>
      <c r="C142" s="21" t="s">
        <v>882</v>
      </c>
      <c r="D142" s="1" t="s">
        <v>288</v>
      </c>
      <c r="E142" s="2">
        <v>1000</v>
      </c>
      <c r="F142" s="1">
        <v>67</v>
      </c>
      <c r="G142" s="2">
        <v>67000</v>
      </c>
      <c r="H142" s="42"/>
    </row>
    <row r="143" spans="1:8">
      <c r="A143" s="3">
        <v>140</v>
      </c>
      <c r="B143" s="21" t="s">
        <v>106</v>
      </c>
      <c r="C143" s="21" t="s">
        <v>845</v>
      </c>
      <c r="D143" s="1" t="s">
        <v>288</v>
      </c>
      <c r="E143" s="2">
        <v>10000</v>
      </c>
      <c r="F143" s="1">
        <v>67</v>
      </c>
      <c r="G143" s="2">
        <v>670000</v>
      </c>
      <c r="H143" s="42"/>
    </row>
    <row r="144" spans="1:8">
      <c r="A144" s="10">
        <v>141</v>
      </c>
      <c r="B144" s="21" t="s">
        <v>106</v>
      </c>
      <c r="C144" s="21" t="s">
        <v>850</v>
      </c>
      <c r="D144" s="1" t="s">
        <v>288</v>
      </c>
      <c r="E144" s="2">
        <v>20000</v>
      </c>
      <c r="F144" s="1">
        <v>67</v>
      </c>
      <c r="G144" s="2">
        <v>1340000</v>
      </c>
      <c r="H144" s="42"/>
    </row>
    <row r="145" spans="1:8">
      <c r="A145" s="3">
        <v>142</v>
      </c>
      <c r="B145" s="21" t="s">
        <v>106</v>
      </c>
      <c r="C145" s="21" t="s">
        <v>856</v>
      </c>
      <c r="D145" s="1" t="s">
        <v>288</v>
      </c>
      <c r="E145" s="2">
        <v>20000</v>
      </c>
      <c r="F145" s="1">
        <v>67</v>
      </c>
      <c r="G145" s="2">
        <v>1340000</v>
      </c>
      <c r="H145" s="42"/>
    </row>
    <row r="146" spans="1:8" ht="16.8" thickBot="1">
      <c r="A146" s="10">
        <v>143</v>
      </c>
      <c r="B146" s="38" t="s">
        <v>826</v>
      </c>
      <c r="C146" s="38" t="s">
        <v>871</v>
      </c>
      <c r="D146" s="26" t="s">
        <v>15</v>
      </c>
      <c r="E146" s="27">
        <v>6000</v>
      </c>
      <c r="F146" s="26">
        <v>67</v>
      </c>
      <c r="G146" s="27">
        <v>402000</v>
      </c>
      <c r="H146" s="43"/>
    </row>
    <row r="147" spans="1:8" ht="16.8" thickBot="1">
      <c r="A147" s="14"/>
      <c r="B147" s="32"/>
      <c r="C147" s="32"/>
      <c r="D147" s="28"/>
      <c r="E147" s="29">
        <f>SUBTOTAL(9,E58:E146)</f>
        <v>353000</v>
      </c>
      <c r="F147" s="35" t="s">
        <v>571</v>
      </c>
      <c r="G147" s="29">
        <f>SUBTOTAL(9,G58:G146)</f>
        <v>23651000</v>
      </c>
      <c r="H147" s="25"/>
    </row>
    <row r="148" spans="1:8" ht="16.8" thickBot="1">
      <c r="A148" s="14"/>
      <c r="B148" s="32"/>
      <c r="C148" s="32"/>
      <c r="D148" s="28"/>
      <c r="E148" s="29">
        <f>SUBTOTAL(9,E3:E146)</f>
        <v>604000</v>
      </c>
      <c r="F148" s="45" t="s">
        <v>1498</v>
      </c>
      <c r="G148" s="29">
        <f>SUBTOTAL(9,G3:G146)</f>
        <v>29926000</v>
      </c>
      <c r="H148" s="25"/>
    </row>
    <row r="149" spans="1:8">
      <c r="A149" s="57" t="s">
        <v>1495</v>
      </c>
      <c r="B149" s="61" t="s">
        <v>1499</v>
      </c>
    </row>
    <row r="150" spans="1:8" ht="70.2" customHeight="1">
      <c r="A150" s="60" t="s">
        <v>1238</v>
      </c>
      <c r="B150" s="285" t="s">
        <v>1569</v>
      </c>
      <c r="C150" s="285"/>
      <c r="D150" s="285"/>
      <c r="E150" s="285"/>
      <c r="F150" s="285"/>
      <c r="G150" s="285"/>
      <c r="H150" s="285"/>
    </row>
  </sheetData>
  <autoFilter ref="A2:H149"/>
  <sortState ref="A3:G148">
    <sortCondition ref="F3:F148"/>
    <sortCondition ref="D3:D148"/>
  </sortState>
  <mergeCells count="1">
    <mergeCell ref="B150:H150"/>
  </mergeCells>
  <phoneticPr fontId="1" type="noConversion"/>
  <pageMargins left="0.70866141732283472" right="0.70866141732283472" top="0.74803149606299213" bottom="0.55118110236220474" header="0.31496062992125984" footer="0.31496062992125984"/>
  <pageSetup paperSize="9" scale="83" fitToHeight="5" orientation="portrait" r:id="rId1"/>
  <headerFooter>
    <oddFooter>&amp;C&amp;P</oddFooter>
  </headerFooter>
</worksheet>
</file>

<file path=xl/worksheets/sheet9.xml><?xml version="1.0" encoding="utf-8"?>
<worksheet xmlns="http://schemas.openxmlformats.org/spreadsheetml/2006/main" xmlns:r="http://schemas.openxmlformats.org/officeDocument/2006/relationships">
  <dimension ref="A1:H94"/>
  <sheetViews>
    <sheetView topLeftCell="A64" zoomScaleNormal="100" workbookViewId="0">
      <selection activeCell="F78" sqref="F78"/>
    </sheetView>
  </sheetViews>
  <sheetFormatPr defaultRowHeight="16.2"/>
  <cols>
    <col min="1" max="1" width="6.5546875" customWidth="1"/>
    <col min="2" max="2" width="13.33203125" customWidth="1"/>
    <col min="3" max="3" width="6" bestFit="1" customWidth="1"/>
    <col min="4" max="4" width="13.33203125" customWidth="1"/>
    <col min="5" max="5" width="6" bestFit="1" customWidth="1"/>
    <col min="6" max="6" width="13.33203125" customWidth="1"/>
    <col min="7" max="7" width="6" bestFit="1" customWidth="1"/>
    <col min="8" max="8" width="13.33203125" customWidth="1"/>
    <col min="9" max="9" width="6" bestFit="1" customWidth="1"/>
    <col min="10" max="10" width="12.88671875" bestFit="1" customWidth="1"/>
    <col min="11" max="11" width="6" bestFit="1" customWidth="1"/>
    <col min="12" max="12" width="12.88671875" bestFit="1" customWidth="1"/>
    <col min="13" max="13" width="6" bestFit="1" customWidth="1"/>
    <col min="14" max="14" width="12.88671875" bestFit="1" customWidth="1"/>
    <col min="15" max="15" width="6" bestFit="1" customWidth="1"/>
    <col min="16" max="16" width="12.88671875" bestFit="1" customWidth="1"/>
  </cols>
  <sheetData>
    <row r="1" spans="1:8">
      <c r="A1" s="103" t="s">
        <v>1878</v>
      </c>
    </row>
    <row r="2" spans="1:8">
      <c r="A2" s="193" t="s">
        <v>16</v>
      </c>
      <c r="B2" s="193" t="s">
        <v>1879</v>
      </c>
      <c r="C2" s="193" t="s">
        <v>16</v>
      </c>
      <c r="D2" s="193" t="s">
        <v>1879</v>
      </c>
      <c r="E2" s="193" t="s">
        <v>16</v>
      </c>
      <c r="F2" s="193" t="s">
        <v>1879</v>
      </c>
      <c r="G2" s="193" t="s">
        <v>16</v>
      </c>
      <c r="H2" s="193" t="s">
        <v>1879</v>
      </c>
    </row>
    <row r="3" spans="1:8">
      <c r="A3" s="193">
        <v>1</v>
      </c>
      <c r="B3" s="245" t="s">
        <v>1877</v>
      </c>
      <c r="C3" s="193">
        <v>45</v>
      </c>
      <c r="D3" s="245" t="s">
        <v>623</v>
      </c>
      <c r="E3" s="193">
        <v>89</v>
      </c>
      <c r="F3" s="245" t="s">
        <v>502</v>
      </c>
      <c r="G3" s="193">
        <v>133</v>
      </c>
      <c r="H3" s="245" t="s">
        <v>294</v>
      </c>
    </row>
    <row r="4" spans="1:8">
      <c r="A4" s="193">
        <v>2</v>
      </c>
      <c r="B4" s="245" t="s">
        <v>1335</v>
      </c>
      <c r="C4" s="193">
        <v>46</v>
      </c>
      <c r="D4" s="245" t="s">
        <v>754</v>
      </c>
      <c r="E4" s="193">
        <v>90</v>
      </c>
      <c r="F4" s="245" t="s">
        <v>694</v>
      </c>
      <c r="G4" s="193">
        <v>134</v>
      </c>
      <c r="H4" s="245" t="s">
        <v>702</v>
      </c>
    </row>
    <row r="5" spans="1:8">
      <c r="A5" s="193">
        <v>3</v>
      </c>
      <c r="B5" s="245" t="s">
        <v>295</v>
      </c>
      <c r="C5" s="193">
        <v>47</v>
      </c>
      <c r="D5" s="245" t="s">
        <v>707</v>
      </c>
      <c r="E5" s="193">
        <v>91</v>
      </c>
      <c r="F5" s="245" t="s">
        <v>537</v>
      </c>
      <c r="G5" s="193">
        <v>135</v>
      </c>
      <c r="H5" s="245" t="s">
        <v>635</v>
      </c>
    </row>
    <row r="6" spans="1:8">
      <c r="A6" s="193">
        <v>4</v>
      </c>
      <c r="B6" s="245" t="s">
        <v>757</v>
      </c>
      <c r="C6" s="193">
        <v>48</v>
      </c>
      <c r="D6" s="245" t="s">
        <v>152</v>
      </c>
      <c r="E6" s="193">
        <v>92</v>
      </c>
      <c r="F6" s="245" t="s">
        <v>733</v>
      </c>
      <c r="G6" s="193">
        <v>136</v>
      </c>
      <c r="H6" s="245" t="s">
        <v>732</v>
      </c>
    </row>
    <row r="7" spans="1:8">
      <c r="A7" s="193">
        <v>5</v>
      </c>
      <c r="B7" s="245" t="s">
        <v>581</v>
      </c>
      <c r="C7" s="193">
        <v>49</v>
      </c>
      <c r="D7" s="245" t="s">
        <v>1843</v>
      </c>
      <c r="E7" s="193">
        <v>93</v>
      </c>
      <c r="F7" s="245" t="s">
        <v>747</v>
      </c>
      <c r="G7" s="193">
        <v>137</v>
      </c>
      <c r="H7" s="245" t="s">
        <v>173</v>
      </c>
    </row>
    <row r="8" spans="1:8">
      <c r="A8" s="193">
        <v>6</v>
      </c>
      <c r="B8" s="245" t="s">
        <v>788</v>
      </c>
      <c r="C8" s="193">
        <v>50</v>
      </c>
      <c r="D8" s="245" t="s">
        <v>158</v>
      </c>
      <c r="E8" s="193">
        <v>94</v>
      </c>
      <c r="F8" s="245" t="s">
        <v>380</v>
      </c>
      <c r="G8" s="193">
        <v>138</v>
      </c>
      <c r="H8" s="245" t="s">
        <v>752</v>
      </c>
    </row>
    <row r="9" spans="1:8">
      <c r="A9" s="193">
        <v>7</v>
      </c>
      <c r="B9" s="245" t="s">
        <v>1834</v>
      </c>
      <c r="C9" s="193">
        <v>51</v>
      </c>
      <c r="D9" s="245" t="s">
        <v>1328</v>
      </c>
      <c r="E9" s="193">
        <v>95</v>
      </c>
      <c r="F9" s="245" t="s">
        <v>291</v>
      </c>
      <c r="G9" s="193">
        <v>139</v>
      </c>
      <c r="H9" s="245" t="s">
        <v>725</v>
      </c>
    </row>
    <row r="10" spans="1:8">
      <c r="A10" s="193">
        <v>8</v>
      </c>
      <c r="B10" s="245" t="s">
        <v>772</v>
      </c>
      <c r="C10" s="193">
        <v>52</v>
      </c>
      <c r="D10" s="245" t="s">
        <v>412</v>
      </c>
      <c r="E10" s="193">
        <v>96</v>
      </c>
      <c r="F10" s="245" t="s">
        <v>282</v>
      </c>
      <c r="G10" s="193">
        <v>140</v>
      </c>
      <c r="H10" s="245" t="s">
        <v>1324</v>
      </c>
    </row>
    <row r="11" spans="1:8">
      <c r="A11" s="193">
        <v>9</v>
      </c>
      <c r="B11" s="245" t="s">
        <v>1835</v>
      </c>
      <c r="C11" s="193">
        <v>53</v>
      </c>
      <c r="D11" s="246" t="s">
        <v>1894</v>
      </c>
      <c r="E11" s="193">
        <v>97</v>
      </c>
      <c r="F11" s="245" t="s">
        <v>608</v>
      </c>
      <c r="G11" s="193">
        <v>141</v>
      </c>
      <c r="H11" s="245" t="s">
        <v>216</v>
      </c>
    </row>
    <row r="12" spans="1:8">
      <c r="A12" s="193">
        <v>10</v>
      </c>
      <c r="B12" s="245" t="s">
        <v>241</v>
      </c>
      <c r="C12" s="193">
        <v>54</v>
      </c>
      <c r="D12" s="245" t="s">
        <v>203</v>
      </c>
      <c r="E12" s="193">
        <v>98</v>
      </c>
      <c r="F12" s="245" t="s">
        <v>650</v>
      </c>
      <c r="G12" s="193">
        <v>142</v>
      </c>
      <c r="H12" s="245" t="s">
        <v>1852</v>
      </c>
    </row>
    <row r="13" spans="1:8">
      <c r="A13" s="193">
        <v>11</v>
      </c>
      <c r="B13" s="245" t="s">
        <v>755</v>
      </c>
      <c r="C13" s="193">
        <v>55</v>
      </c>
      <c r="D13" s="245" t="s">
        <v>176</v>
      </c>
      <c r="E13" s="193">
        <v>99</v>
      </c>
      <c r="F13" s="245" t="s">
        <v>629</v>
      </c>
      <c r="G13" s="193">
        <v>143</v>
      </c>
      <c r="H13" s="245" t="s">
        <v>531</v>
      </c>
    </row>
    <row r="14" spans="1:8">
      <c r="A14" s="193">
        <v>12</v>
      </c>
      <c r="B14" s="245" t="s">
        <v>29</v>
      </c>
      <c r="C14" s="193">
        <v>56</v>
      </c>
      <c r="D14" s="245" t="s">
        <v>1844</v>
      </c>
      <c r="E14" s="193">
        <v>100</v>
      </c>
      <c r="F14" s="245" t="s">
        <v>1846</v>
      </c>
      <c r="G14" s="193">
        <v>144</v>
      </c>
      <c r="H14" s="245" t="s">
        <v>746</v>
      </c>
    </row>
    <row r="15" spans="1:8">
      <c r="A15" s="193">
        <v>13</v>
      </c>
      <c r="B15" s="245" t="s">
        <v>426</v>
      </c>
      <c r="C15" s="193">
        <v>57</v>
      </c>
      <c r="D15" s="245" t="s">
        <v>750</v>
      </c>
      <c r="E15" s="193">
        <v>101</v>
      </c>
      <c r="F15" s="245" t="s">
        <v>777</v>
      </c>
      <c r="G15" s="193">
        <v>145</v>
      </c>
      <c r="H15" s="245" t="s">
        <v>803</v>
      </c>
    </row>
    <row r="16" spans="1:8">
      <c r="A16" s="193">
        <v>14</v>
      </c>
      <c r="B16" s="245" t="s">
        <v>520</v>
      </c>
      <c r="C16" s="193">
        <v>58</v>
      </c>
      <c r="D16" s="245" t="s">
        <v>284</v>
      </c>
      <c r="E16" s="193">
        <v>102</v>
      </c>
      <c r="F16" s="245" t="s">
        <v>570</v>
      </c>
      <c r="G16" s="193">
        <v>146</v>
      </c>
      <c r="H16" s="245" t="s">
        <v>315</v>
      </c>
    </row>
    <row r="17" spans="1:8">
      <c r="A17" s="193">
        <v>15</v>
      </c>
      <c r="B17" s="245" t="s">
        <v>451</v>
      </c>
      <c r="C17" s="193">
        <v>59</v>
      </c>
      <c r="D17" s="245" t="s">
        <v>764</v>
      </c>
      <c r="E17" s="193">
        <v>103</v>
      </c>
      <c r="F17" s="245" t="s">
        <v>1319</v>
      </c>
      <c r="G17" s="193">
        <v>147</v>
      </c>
      <c r="H17" s="245" t="s">
        <v>741</v>
      </c>
    </row>
    <row r="18" spans="1:8">
      <c r="A18" s="193">
        <v>16</v>
      </c>
      <c r="B18" s="245" t="s">
        <v>355</v>
      </c>
      <c r="C18" s="193">
        <v>60</v>
      </c>
      <c r="D18" s="245" t="s">
        <v>670</v>
      </c>
      <c r="E18" s="193">
        <v>104</v>
      </c>
      <c r="F18" s="245" t="s">
        <v>188</v>
      </c>
      <c r="G18" s="193">
        <v>148</v>
      </c>
      <c r="H18" s="245" t="s">
        <v>289</v>
      </c>
    </row>
    <row r="19" spans="1:8">
      <c r="A19" s="193">
        <v>17</v>
      </c>
      <c r="B19" s="245" t="s">
        <v>450</v>
      </c>
      <c r="C19" s="193">
        <v>61</v>
      </c>
      <c r="D19" s="245" t="s">
        <v>419</v>
      </c>
      <c r="E19" s="193">
        <v>105</v>
      </c>
      <c r="F19" s="245" t="s">
        <v>753</v>
      </c>
      <c r="G19" s="193">
        <v>149</v>
      </c>
      <c r="H19" s="245" t="s">
        <v>475</v>
      </c>
    </row>
    <row r="20" spans="1:8">
      <c r="A20" s="193">
        <v>18</v>
      </c>
      <c r="B20" s="245" t="s">
        <v>735</v>
      </c>
      <c r="C20" s="193">
        <v>62</v>
      </c>
      <c r="D20" s="245" t="s">
        <v>314</v>
      </c>
      <c r="E20" s="193">
        <v>106</v>
      </c>
      <c r="F20" s="245" t="s">
        <v>279</v>
      </c>
      <c r="G20" s="193">
        <v>150</v>
      </c>
      <c r="H20" s="245" t="s">
        <v>1853</v>
      </c>
    </row>
    <row r="21" spans="1:8">
      <c r="A21" s="193">
        <v>19</v>
      </c>
      <c r="B21" s="245" t="s">
        <v>1836</v>
      </c>
      <c r="C21" s="193">
        <v>63</v>
      </c>
      <c r="D21" s="245" t="s">
        <v>344</v>
      </c>
      <c r="E21" s="193">
        <v>107</v>
      </c>
      <c r="F21" s="245" t="s">
        <v>1847</v>
      </c>
      <c r="G21" s="193">
        <v>151</v>
      </c>
      <c r="H21" s="245" t="s">
        <v>647</v>
      </c>
    </row>
    <row r="22" spans="1:8">
      <c r="A22" s="193">
        <v>20</v>
      </c>
      <c r="B22" s="245" t="s">
        <v>695</v>
      </c>
      <c r="C22" s="193">
        <v>64</v>
      </c>
      <c r="D22" s="245" t="s">
        <v>448</v>
      </c>
      <c r="E22" s="193">
        <v>108</v>
      </c>
      <c r="F22" s="245" t="s">
        <v>664</v>
      </c>
      <c r="G22" s="193">
        <v>152</v>
      </c>
      <c r="H22" s="245" t="s">
        <v>791</v>
      </c>
    </row>
    <row r="23" spans="1:8">
      <c r="A23" s="193">
        <v>21</v>
      </c>
      <c r="B23" s="245" t="s">
        <v>1837</v>
      </c>
      <c r="C23" s="193">
        <v>65</v>
      </c>
      <c r="D23" s="245" t="s">
        <v>442</v>
      </c>
      <c r="E23" s="193">
        <v>109</v>
      </c>
      <c r="F23" s="245" t="s">
        <v>274</v>
      </c>
      <c r="G23" s="193">
        <v>153</v>
      </c>
      <c r="H23" s="245" t="s">
        <v>255</v>
      </c>
    </row>
    <row r="24" spans="1:8">
      <c r="A24" s="193">
        <v>22</v>
      </c>
      <c r="B24" s="245" t="s">
        <v>706</v>
      </c>
      <c r="C24" s="193">
        <v>66</v>
      </c>
      <c r="D24" s="245" t="s">
        <v>366</v>
      </c>
      <c r="E24" s="193">
        <v>110</v>
      </c>
      <c r="F24" s="245" t="s">
        <v>796</v>
      </c>
      <c r="G24" s="193">
        <v>154</v>
      </c>
      <c r="H24" s="245" t="s">
        <v>256</v>
      </c>
    </row>
    <row r="25" spans="1:8">
      <c r="A25" s="193">
        <v>23</v>
      </c>
      <c r="B25" s="245" t="s">
        <v>749</v>
      </c>
      <c r="C25" s="193">
        <v>67</v>
      </c>
      <c r="D25" s="245" t="s">
        <v>1845</v>
      </c>
      <c r="E25" s="193">
        <v>111</v>
      </c>
      <c r="F25" s="245" t="s">
        <v>1848</v>
      </c>
      <c r="G25" s="193">
        <v>155</v>
      </c>
      <c r="H25" s="245" t="s">
        <v>204</v>
      </c>
    </row>
    <row r="26" spans="1:8">
      <c r="A26" s="193">
        <v>24</v>
      </c>
      <c r="B26" s="245" t="s">
        <v>275</v>
      </c>
      <c r="C26" s="193">
        <v>68</v>
      </c>
      <c r="D26" s="245" t="s">
        <v>656</v>
      </c>
      <c r="E26" s="193">
        <v>112</v>
      </c>
      <c r="F26" s="245" t="s">
        <v>1849</v>
      </c>
      <c r="G26" s="193">
        <v>156</v>
      </c>
      <c r="H26" s="245" t="s">
        <v>156</v>
      </c>
    </row>
    <row r="27" spans="1:8">
      <c r="A27" s="193">
        <v>25</v>
      </c>
      <c r="B27" s="245" t="s">
        <v>252</v>
      </c>
      <c r="C27" s="193">
        <v>69</v>
      </c>
      <c r="D27" s="245" t="s">
        <v>785</v>
      </c>
      <c r="E27" s="193">
        <v>113</v>
      </c>
      <c r="F27" s="245" t="s">
        <v>745</v>
      </c>
      <c r="G27" s="193">
        <v>157</v>
      </c>
      <c r="H27" s="245" t="s">
        <v>636</v>
      </c>
    </row>
    <row r="28" spans="1:8">
      <c r="A28" s="193">
        <v>26</v>
      </c>
      <c r="B28" s="245" t="s">
        <v>231</v>
      </c>
      <c r="C28" s="193">
        <v>70</v>
      </c>
      <c r="D28" s="245" t="s">
        <v>487</v>
      </c>
      <c r="E28" s="193">
        <v>114</v>
      </c>
      <c r="F28" s="245" t="s">
        <v>560</v>
      </c>
      <c r="G28" s="193">
        <v>158</v>
      </c>
      <c r="H28" s="245" t="s">
        <v>653</v>
      </c>
    </row>
    <row r="29" spans="1:8">
      <c r="A29" s="193">
        <v>27</v>
      </c>
      <c r="B29" s="245" t="s">
        <v>237</v>
      </c>
      <c r="C29" s="193">
        <v>71</v>
      </c>
      <c r="D29" s="245" t="s">
        <v>159</v>
      </c>
      <c r="E29" s="193">
        <v>115</v>
      </c>
      <c r="F29" s="245" t="s">
        <v>175</v>
      </c>
      <c r="G29" s="193">
        <v>159</v>
      </c>
      <c r="H29" s="245" t="s">
        <v>632</v>
      </c>
    </row>
    <row r="30" spans="1:8">
      <c r="A30" s="193">
        <v>28</v>
      </c>
      <c r="B30" s="246" t="s">
        <v>1880</v>
      </c>
      <c r="C30" s="193">
        <v>72</v>
      </c>
      <c r="D30" s="245" t="s">
        <v>783</v>
      </c>
      <c r="E30" s="193">
        <v>116</v>
      </c>
      <c r="F30" s="245" t="s">
        <v>685</v>
      </c>
      <c r="G30" s="193">
        <v>160</v>
      </c>
      <c r="H30" s="245" t="s">
        <v>333</v>
      </c>
    </row>
    <row r="31" spans="1:8">
      <c r="A31" s="193">
        <v>29</v>
      </c>
      <c r="B31" s="245" t="s">
        <v>271</v>
      </c>
      <c r="C31" s="193">
        <v>73</v>
      </c>
      <c r="D31" s="245" t="s">
        <v>223</v>
      </c>
      <c r="E31" s="193">
        <v>117</v>
      </c>
      <c r="F31" s="245" t="s">
        <v>370</v>
      </c>
      <c r="G31" s="193">
        <v>161</v>
      </c>
      <c r="H31" s="245" t="s">
        <v>722</v>
      </c>
    </row>
    <row r="32" spans="1:8">
      <c r="A32" s="193">
        <v>30</v>
      </c>
      <c r="B32" s="245" t="s">
        <v>1838</v>
      </c>
      <c r="C32" s="193">
        <v>74</v>
      </c>
      <c r="D32" s="245" t="s">
        <v>1255</v>
      </c>
      <c r="E32" s="193">
        <v>118</v>
      </c>
      <c r="F32" s="245" t="s">
        <v>784</v>
      </c>
      <c r="G32" s="193">
        <v>162</v>
      </c>
      <c r="H32" s="245" t="s">
        <v>652</v>
      </c>
    </row>
    <row r="33" spans="1:8">
      <c r="A33" s="193">
        <v>31</v>
      </c>
      <c r="B33" s="245" t="s">
        <v>286</v>
      </c>
      <c r="C33" s="193">
        <v>75</v>
      </c>
      <c r="D33" s="245" t="s">
        <v>668</v>
      </c>
      <c r="E33" s="193">
        <v>119</v>
      </c>
      <c r="F33" s="245" t="s">
        <v>1850</v>
      </c>
      <c r="G33" s="193">
        <v>163</v>
      </c>
      <c r="H33" s="245" t="s">
        <v>1854</v>
      </c>
    </row>
    <row r="34" spans="1:8">
      <c r="A34" s="193">
        <v>32</v>
      </c>
      <c r="B34" s="245" t="s">
        <v>659</v>
      </c>
      <c r="C34" s="193">
        <v>76</v>
      </c>
      <c r="D34" s="245" t="s">
        <v>230</v>
      </c>
      <c r="E34" s="193">
        <v>120</v>
      </c>
      <c r="F34" s="245" t="s">
        <v>789</v>
      </c>
      <c r="G34" s="193">
        <v>164</v>
      </c>
      <c r="H34" s="245" t="s">
        <v>250</v>
      </c>
    </row>
    <row r="35" spans="1:8">
      <c r="A35" s="193">
        <v>33</v>
      </c>
      <c r="B35" s="245" t="s">
        <v>310</v>
      </c>
      <c r="C35" s="193">
        <v>77</v>
      </c>
      <c r="D35" s="245" t="s">
        <v>391</v>
      </c>
      <c r="E35" s="193">
        <v>121</v>
      </c>
      <c r="F35" s="245" t="s">
        <v>1851</v>
      </c>
      <c r="G35" s="193">
        <v>165</v>
      </c>
      <c r="H35" s="245" t="s">
        <v>619</v>
      </c>
    </row>
    <row r="36" spans="1:8">
      <c r="A36" s="193">
        <v>34</v>
      </c>
      <c r="B36" s="245" t="s">
        <v>739</v>
      </c>
      <c r="C36" s="193">
        <v>78</v>
      </c>
      <c r="D36" s="245" t="s">
        <v>378</v>
      </c>
      <c r="E36" s="193">
        <v>122</v>
      </c>
      <c r="F36" s="245" t="s">
        <v>787</v>
      </c>
      <c r="G36" s="193">
        <v>166</v>
      </c>
      <c r="H36" s="245" t="s">
        <v>228</v>
      </c>
    </row>
    <row r="37" spans="1:8">
      <c r="A37" s="193">
        <v>35</v>
      </c>
      <c r="B37" s="245" t="s">
        <v>171</v>
      </c>
      <c r="C37" s="193">
        <v>79</v>
      </c>
      <c r="D37" s="245" t="s">
        <v>312</v>
      </c>
      <c r="E37" s="193">
        <v>123</v>
      </c>
      <c r="F37" s="245" t="s">
        <v>588</v>
      </c>
      <c r="G37" s="193">
        <v>167</v>
      </c>
      <c r="H37" s="245" t="s">
        <v>1338</v>
      </c>
    </row>
    <row r="38" spans="1:8">
      <c r="A38" s="193">
        <v>36</v>
      </c>
      <c r="B38" s="245" t="s">
        <v>816</v>
      </c>
      <c r="C38" s="193">
        <v>80</v>
      </c>
      <c r="D38" s="245" t="s">
        <v>283</v>
      </c>
      <c r="E38" s="193">
        <v>124</v>
      </c>
      <c r="F38" s="245" t="s">
        <v>762</v>
      </c>
      <c r="G38" s="193">
        <v>168</v>
      </c>
      <c r="H38" s="245" t="s">
        <v>150</v>
      </c>
    </row>
    <row r="39" spans="1:8">
      <c r="A39" s="193">
        <v>37</v>
      </c>
      <c r="B39" s="245" t="s">
        <v>1839</v>
      </c>
      <c r="C39" s="193">
        <v>81</v>
      </c>
      <c r="D39" s="245" t="s">
        <v>523</v>
      </c>
      <c r="E39" s="193">
        <v>125</v>
      </c>
      <c r="F39" s="245" t="s">
        <v>484</v>
      </c>
      <c r="G39" s="193">
        <v>169</v>
      </c>
      <c r="H39" s="245" t="s">
        <v>1855</v>
      </c>
    </row>
    <row r="40" spans="1:8">
      <c r="A40" s="193">
        <v>38</v>
      </c>
      <c r="B40" s="245" t="s">
        <v>1840</v>
      </c>
      <c r="C40" s="193">
        <v>82</v>
      </c>
      <c r="D40" s="245" t="s">
        <v>208</v>
      </c>
      <c r="E40" s="193">
        <v>126</v>
      </c>
      <c r="F40" s="245" t="s">
        <v>684</v>
      </c>
      <c r="G40" s="193">
        <v>170</v>
      </c>
      <c r="H40" s="245" t="s">
        <v>1856</v>
      </c>
    </row>
    <row r="41" spans="1:8">
      <c r="A41" s="193">
        <v>39</v>
      </c>
      <c r="B41" s="245" t="s">
        <v>1841</v>
      </c>
      <c r="C41" s="193">
        <v>83</v>
      </c>
      <c r="D41" s="245" t="s">
        <v>332</v>
      </c>
      <c r="E41" s="193">
        <v>127</v>
      </c>
      <c r="F41" s="245" t="s">
        <v>212</v>
      </c>
      <c r="G41" s="193">
        <v>171</v>
      </c>
      <c r="H41" s="245" t="s">
        <v>737</v>
      </c>
    </row>
    <row r="42" spans="1:8">
      <c r="A42" s="193">
        <v>40</v>
      </c>
      <c r="B42" s="245" t="s">
        <v>377</v>
      </c>
      <c r="C42" s="193">
        <v>84</v>
      </c>
      <c r="D42" s="245" t="s">
        <v>306</v>
      </c>
      <c r="E42" s="193">
        <v>128</v>
      </c>
      <c r="F42" s="245" t="s">
        <v>557</v>
      </c>
      <c r="G42" s="193">
        <v>172</v>
      </c>
      <c r="H42" s="245" t="s">
        <v>163</v>
      </c>
    </row>
    <row r="43" spans="1:8">
      <c r="A43" s="193">
        <v>41</v>
      </c>
      <c r="B43" s="245" t="s">
        <v>1842</v>
      </c>
      <c r="C43" s="193">
        <v>85</v>
      </c>
      <c r="D43" s="245" t="s">
        <v>813</v>
      </c>
      <c r="E43" s="193">
        <v>129</v>
      </c>
      <c r="F43" s="245" t="s">
        <v>199</v>
      </c>
      <c r="G43" s="193">
        <v>173</v>
      </c>
      <c r="H43" s="245" t="s">
        <v>1857</v>
      </c>
    </row>
    <row r="44" spans="1:8">
      <c r="A44" s="193">
        <v>42</v>
      </c>
      <c r="B44" s="245" t="s">
        <v>696</v>
      </c>
      <c r="C44" s="193">
        <v>86</v>
      </c>
      <c r="D44" s="245" t="s">
        <v>624</v>
      </c>
      <c r="E44" s="193">
        <v>130</v>
      </c>
      <c r="F44" s="245" t="s">
        <v>535</v>
      </c>
      <c r="G44" s="193">
        <v>174</v>
      </c>
      <c r="H44" s="245" t="s">
        <v>766</v>
      </c>
    </row>
    <row r="45" spans="1:8">
      <c r="A45" s="193">
        <v>43</v>
      </c>
      <c r="B45" s="245" t="s">
        <v>705</v>
      </c>
      <c r="C45" s="193">
        <v>87</v>
      </c>
      <c r="D45" s="245" t="s">
        <v>436</v>
      </c>
      <c r="E45" s="193">
        <v>131</v>
      </c>
      <c r="F45" s="245" t="s">
        <v>802</v>
      </c>
      <c r="G45" s="193">
        <v>175</v>
      </c>
      <c r="H45" s="245" t="s">
        <v>166</v>
      </c>
    </row>
    <row r="46" spans="1:8">
      <c r="A46" s="193">
        <v>44</v>
      </c>
      <c r="B46" s="246" t="s">
        <v>1895</v>
      </c>
      <c r="C46" s="193">
        <v>88</v>
      </c>
      <c r="D46" s="245" t="s">
        <v>305</v>
      </c>
      <c r="E46" s="193">
        <v>132</v>
      </c>
      <c r="F46" s="245" t="s">
        <v>461</v>
      </c>
      <c r="G46" s="193">
        <v>176</v>
      </c>
      <c r="H46" s="245" t="s">
        <v>578</v>
      </c>
    </row>
    <row r="47" spans="1:8">
      <c r="B47" s="244"/>
      <c r="D47" s="243"/>
      <c r="F47" s="243"/>
      <c r="H47" s="243"/>
    </row>
    <row r="48" spans="1:8">
      <c r="A48" s="193" t="s">
        <v>16</v>
      </c>
      <c r="B48" s="193" t="s">
        <v>1879</v>
      </c>
      <c r="C48" s="193" t="s">
        <v>16</v>
      </c>
      <c r="D48" s="193" t="s">
        <v>1879</v>
      </c>
      <c r="E48" s="193" t="s">
        <v>16</v>
      </c>
      <c r="F48" s="193" t="s">
        <v>1879</v>
      </c>
      <c r="G48" s="193" t="s">
        <v>16</v>
      </c>
      <c r="H48" s="193" t="s">
        <v>1879</v>
      </c>
    </row>
    <row r="49" spans="1:8">
      <c r="A49" s="193">
        <v>177</v>
      </c>
      <c r="B49" s="245" t="s">
        <v>545</v>
      </c>
      <c r="C49" s="193">
        <v>223</v>
      </c>
      <c r="D49" s="245" t="s">
        <v>218</v>
      </c>
      <c r="E49" s="193">
        <v>269</v>
      </c>
      <c r="F49" s="245" t="s">
        <v>544</v>
      </c>
      <c r="G49" s="193">
        <v>315</v>
      </c>
      <c r="H49" s="245" t="s">
        <v>246</v>
      </c>
    </row>
    <row r="50" spans="1:8">
      <c r="A50" s="193">
        <v>178</v>
      </c>
      <c r="B50" s="245" t="s">
        <v>1858</v>
      </c>
      <c r="C50" s="193">
        <v>224</v>
      </c>
      <c r="D50" s="246" t="s">
        <v>1896</v>
      </c>
      <c r="E50" s="193">
        <v>270</v>
      </c>
      <c r="F50" s="245" t="s">
        <v>620</v>
      </c>
      <c r="G50" s="193">
        <v>316</v>
      </c>
      <c r="H50" s="245" t="s">
        <v>245</v>
      </c>
    </row>
    <row r="51" spans="1:8">
      <c r="A51" s="193">
        <v>179</v>
      </c>
      <c r="B51" s="245" t="s">
        <v>328</v>
      </c>
      <c r="C51" s="193">
        <v>225</v>
      </c>
      <c r="D51" s="245" t="s">
        <v>723</v>
      </c>
      <c r="E51" s="193">
        <v>271</v>
      </c>
      <c r="F51" s="245" t="s">
        <v>194</v>
      </c>
      <c r="G51" s="193">
        <v>317</v>
      </c>
      <c r="H51" s="245" t="s">
        <v>704</v>
      </c>
    </row>
    <row r="52" spans="1:8">
      <c r="A52" s="193">
        <v>180</v>
      </c>
      <c r="B52" s="245" t="s">
        <v>471</v>
      </c>
      <c r="C52" s="193">
        <v>226</v>
      </c>
      <c r="D52" s="245" t="s">
        <v>435</v>
      </c>
      <c r="E52" s="193">
        <v>272</v>
      </c>
      <c r="F52" s="245" t="s">
        <v>690</v>
      </c>
      <c r="G52" s="193">
        <v>318</v>
      </c>
      <c r="H52" s="245" t="s">
        <v>272</v>
      </c>
    </row>
    <row r="53" spans="1:8">
      <c r="A53" s="193">
        <v>181</v>
      </c>
      <c r="B53" s="245" t="s">
        <v>1341</v>
      </c>
      <c r="C53" s="193">
        <v>227</v>
      </c>
      <c r="D53" s="245" t="s">
        <v>207</v>
      </c>
      <c r="E53" s="193">
        <v>273</v>
      </c>
      <c r="F53" s="245" t="s">
        <v>697</v>
      </c>
      <c r="G53" s="193">
        <v>319</v>
      </c>
      <c r="H53" s="245" t="s">
        <v>1339</v>
      </c>
    </row>
    <row r="54" spans="1:8">
      <c r="A54" s="193">
        <v>182</v>
      </c>
      <c r="B54" s="245" t="s">
        <v>800</v>
      </c>
      <c r="C54" s="193">
        <v>228</v>
      </c>
      <c r="D54" s="245" t="s">
        <v>481</v>
      </c>
      <c r="E54" s="193">
        <v>274</v>
      </c>
      <c r="F54" s="245" t="s">
        <v>1869</v>
      </c>
      <c r="G54" s="193">
        <v>320</v>
      </c>
      <c r="H54" s="245" t="s">
        <v>227</v>
      </c>
    </row>
    <row r="55" spans="1:8">
      <c r="A55" s="193">
        <v>183</v>
      </c>
      <c r="B55" s="245" t="s">
        <v>298</v>
      </c>
      <c r="C55" s="193">
        <v>229</v>
      </c>
      <c r="D55" s="245" t="s">
        <v>184</v>
      </c>
      <c r="E55" s="193">
        <v>275</v>
      </c>
      <c r="F55" s="245" t="s">
        <v>318</v>
      </c>
      <c r="G55" s="193">
        <v>321</v>
      </c>
      <c r="H55" s="245" t="s">
        <v>677</v>
      </c>
    </row>
    <row r="56" spans="1:8">
      <c r="A56" s="193">
        <v>184</v>
      </c>
      <c r="B56" s="245" t="s">
        <v>729</v>
      </c>
      <c r="C56" s="193">
        <v>230</v>
      </c>
      <c r="D56" s="245" t="s">
        <v>191</v>
      </c>
      <c r="E56" s="193">
        <v>276</v>
      </c>
      <c r="F56" s="245" t="s">
        <v>445</v>
      </c>
      <c r="G56" s="193">
        <v>322</v>
      </c>
      <c r="H56" s="245" t="s">
        <v>709</v>
      </c>
    </row>
    <row r="57" spans="1:8">
      <c r="A57" s="193">
        <v>185</v>
      </c>
      <c r="B57" s="245" t="s">
        <v>277</v>
      </c>
      <c r="C57" s="193">
        <v>231</v>
      </c>
      <c r="D57" s="245" t="s">
        <v>667</v>
      </c>
      <c r="E57" s="193">
        <v>277</v>
      </c>
      <c r="F57" s="245" t="s">
        <v>592</v>
      </c>
      <c r="G57" s="193">
        <v>323</v>
      </c>
      <c r="H57" s="245" t="s">
        <v>594</v>
      </c>
    </row>
    <row r="58" spans="1:8">
      <c r="A58" s="193">
        <v>186</v>
      </c>
      <c r="B58" s="245" t="s">
        <v>313</v>
      </c>
      <c r="C58" s="193">
        <v>232</v>
      </c>
      <c r="D58" s="245" t="s">
        <v>253</v>
      </c>
      <c r="E58" s="193">
        <v>278</v>
      </c>
      <c r="F58" s="245" t="s">
        <v>634</v>
      </c>
      <c r="G58" s="193">
        <v>324</v>
      </c>
      <c r="H58" s="246" t="s">
        <v>1897</v>
      </c>
    </row>
    <row r="59" spans="1:8">
      <c r="A59" s="193">
        <v>187</v>
      </c>
      <c r="B59" s="245" t="s">
        <v>293</v>
      </c>
      <c r="C59" s="193">
        <v>233</v>
      </c>
      <c r="D59" s="245" t="s">
        <v>162</v>
      </c>
      <c r="E59" s="193">
        <v>279</v>
      </c>
      <c r="F59" s="245" t="s">
        <v>815</v>
      </c>
      <c r="G59" s="193">
        <v>325</v>
      </c>
      <c r="H59" s="245" t="s">
        <v>716</v>
      </c>
    </row>
    <row r="60" spans="1:8">
      <c r="A60" s="193">
        <v>188</v>
      </c>
      <c r="B60" s="245" t="s">
        <v>751</v>
      </c>
      <c r="C60" s="193">
        <v>234</v>
      </c>
      <c r="D60" s="245" t="s">
        <v>499</v>
      </c>
      <c r="E60" s="193">
        <v>280</v>
      </c>
      <c r="F60" s="245" t="s">
        <v>759</v>
      </c>
      <c r="G60" s="193">
        <v>326</v>
      </c>
      <c r="H60" s="245" t="s">
        <v>488</v>
      </c>
    </row>
    <row r="61" spans="1:8">
      <c r="A61" s="193">
        <v>189</v>
      </c>
      <c r="B61" s="245" t="s">
        <v>773</v>
      </c>
      <c r="C61" s="193">
        <v>235</v>
      </c>
      <c r="D61" s="245" t="s">
        <v>225</v>
      </c>
      <c r="E61" s="193">
        <v>281</v>
      </c>
      <c r="F61" s="245" t="s">
        <v>308</v>
      </c>
      <c r="G61" s="193">
        <v>327</v>
      </c>
      <c r="H61" s="245" t="s">
        <v>466</v>
      </c>
    </row>
    <row r="62" spans="1:8">
      <c r="A62" s="193">
        <v>190</v>
      </c>
      <c r="B62" s="245" t="s">
        <v>335</v>
      </c>
      <c r="C62" s="193">
        <v>236</v>
      </c>
      <c r="D62" s="245" t="s">
        <v>137</v>
      </c>
      <c r="E62" s="193">
        <v>282</v>
      </c>
      <c r="F62" s="245" t="s">
        <v>533</v>
      </c>
      <c r="G62" s="193">
        <v>328</v>
      </c>
      <c r="H62" s="245" t="s">
        <v>687</v>
      </c>
    </row>
    <row r="63" spans="1:8">
      <c r="A63" s="193">
        <v>191</v>
      </c>
      <c r="B63" s="245" t="s">
        <v>597</v>
      </c>
      <c r="C63" s="193">
        <v>237</v>
      </c>
      <c r="D63" s="245" t="s">
        <v>324</v>
      </c>
      <c r="E63" s="193">
        <v>283</v>
      </c>
      <c r="F63" s="245" t="s">
        <v>148</v>
      </c>
      <c r="G63" s="193">
        <v>329</v>
      </c>
      <c r="H63" s="245" t="s">
        <v>249</v>
      </c>
    </row>
    <row r="64" spans="1:8">
      <c r="A64" s="193">
        <v>192</v>
      </c>
      <c r="B64" s="245" t="s">
        <v>1859</v>
      </c>
      <c r="C64" s="193">
        <v>238</v>
      </c>
      <c r="D64" s="245" t="s">
        <v>809</v>
      </c>
      <c r="E64" s="193">
        <v>284</v>
      </c>
      <c r="F64" s="245" t="s">
        <v>1326</v>
      </c>
      <c r="G64" s="193">
        <v>330</v>
      </c>
      <c r="H64" s="245" t="s">
        <v>464</v>
      </c>
    </row>
    <row r="65" spans="1:8">
      <c r="A65" s="193">
        <v>193</v>
      </c>
      <c r="B65" s="245" t="s">
        <v>661</v>
      </c>
      <c r="C65" s="193">
        <v>239</v>
      </c>
      <c r="D65" s="245" t="s">
        <v>1862</v>
      </c>
      <c r="E65" s="193">
        <v>285</v>
      </c>
      <c r="F65" s="245" t="s">
        <v>794</v>
      </c>
      <c r="G65" s="193">
        <v>331</v>
      </c>
      <c r="H65" s="245" t="s">
        <v>1330</v>
      </c>
    </row>
    <row r="66" spans="1:8">
      <c r="A66" s="193">
        <v>194</v>
      </c>
      <c r="B66" s="245" t="s">
        <v>734</v>
      </c>
      <c r="C66" s="193">
        <v>240</v>
      </c>
      <c r="D66" s="245" t="s">
        <v>334</v>
      </c>
      <c r="E66" s="193">
        <v>286</v>
      </c>
      <c r="F66" s="245" t="s">
        <v>666</v>
      </c>
      <c r="G66" s="193">
        <v>332</v>
      </c>
      <c r="H66" s="245" t="s">
        <v>644</v>
      </c>
    </row>
    <row r="67" spans="1:8">
      <c r="A67" s="193">
        <v>195</v>
      </c>
      <c r="B67" s="245" t="s">
        <v>138</v>
      </c>
      <c r="C67" s="193">
        <v>241</v>
      </c>
      <c r="D67" s="245" t="s">
        <v>1863</v>
      </c>
      <c r="E67" s="193">
        <v>287</v>
      </c>
      <c r="F67" s="245" t="s">
        <v>198</v>
      </c>
      <c r="G67" s="193">
        <v>333</v>
      </c>
      <c r="H67" s="245" t="s">
        <v>322</v>
      </c>
    </row>
    <row r="68" spans="1:8">
      <c r="A68" s="193">
        <v>196</v>
      </c>
      <c r="B68" s="245" t="s">
        <v>462</v>
      </c>
      <c r="C68" s="193">
        <v>242</v>
      </c>
      <c r="D68" s="245" t="s">
        <v>778</v>
      </c>
      <c r="E68" s="193">
        <v>288</v>
      </c>
      <c r="F68" s="245" t="s">
        <v>182</v>
      </c>
      <c r="G68" s="193">
        <v>334</v>
      </c>
      <c r="H68" s="245" t="s">
        <v>731</v>
      </c>
    </row>
    <row r="69" spans="1:8">
      <c r="A69" s="193">
        <v>197</v>
      </c>
      <c r="B69" s="245" t="s">
        <v>498</v>
      </c>
      <c r="C69" s="193">
        <v>243</v>
      </c>
      <c r="D69" s="245" t="s">
        <v>622</v>
      </c>
      <c r="E69" s="193">
        <v>289</v>
      </c>
      <c r="F69" s="245" t="s">
        <v>728</v>
      </c>
      <c r="G69" s="193">
        <v>335</v>
      </c>
      <c r="H69" s="245" t="s">
        <v>438</v>
      </c>
    </row>
    <row r="70" spans="1:8">
      <c r="A70" s="193">
        <v>198</v>
      </c>
      <c r="B70" s="245" t="s">
        <v>330</v>
      </c>
      <c r="C70" s="193">
        <v>244</v>
      </c>
      <c r="D70" s="245" t="s">
        <v>242</v>
      </c>
      <c r="E70" s="193">
        <v>290</v>
      </c>
      <c r="F70" s="245" t="s">
        <v>297</v>
      </c>
      <c r="G70" s="193">
        <v>336</v>
      </c>
      <c r="H70" s="245" t="s">
        <v>172</v>
      </c>
    </row>
    <row r="71" spans="1:8">
      <c r="A71" s="193">
        <v>199</v>
      </c>
      <c r="B71" s="245" t="s">
        <v>270</v>
      </c>
      <c r="C71" s="193">
        <v>245</v>
      </c>
      <c r="D71" s="245" t="s">
        <v>388</v>
      </c>
      <c r="E71" s="193">
        <v>291</v>
      </c>
      <c r="F71" s="245" t="s">
        <v>782</v>
      </c>
      <c r="G71" s="193">
        <v>337</v>
      </c>
      <c r="H71" s="245" t="s">
        <v>317</v>
      </c>
    </row>
    <row r="72" spans="1:8">
      <c r="A72" s="193">
        <v>200</v>
      </c>
      <c r="B72" s="245" t="s">
        <v>1860</v>
      </c>
      <c r="C72" s="193">
        <v>246</v>
      </c>
      <c r="D72" s="245" t="s">
        <v>1864</v>
      </c>
      <c r="E72" s="193">
        <v>292</v>
      </c>
      <c r="F72" s="245" t="s">
        <v>1340</v>
      </c>
      <c r="G72" s="193">
        <v>338</v>
      </c>
      <c r="H72" s="245" t="s">
        <v>195</v>
      </c>
    </row>
    <row r="73" spans="1:8">
      <c r="A73" s="193">
        <v>201</v>
      </c>
      <c r="B73" s="245" t="s">
        <v>470</v>
      </c>
      <c r="C73" s="193">
        <v>247</v>
      </c>
      <c r="D73" s="245" t="s">
        <v>234</v>
      </c>
      <c r="E73" s="193">
        <v>293</v>
      </c>
      <c r="F73" s="245" t="s">
        <v>740</v>
      </c>
      <c r="G73" s="193">
        <v>339</v>
      </c>
      <c r="H73" s="245" t="s">
        <v>143</v>
      </c>
    </row>
    <row r="74" spans="1:8">
      <c r="A74" s="193">
        <v>202</v>
      </c>
      <c r="B74" s="245" t="s">
        <v>472</v>
      </c>
      <c r="C74" s="193">
        <v>248</v>
      </c>
      <c r="D74" s="245" t="s">
        <v>617</v>
      </c>
      <c r="E74" s="193">
        <v>294</v>
      </c>
      <c r="F74" s="245" t="s">
        <v>183</v>
      </c>
      <c r="G74" s="193">
        <v>340</v>
      </c>
      <c r="H74" s="245" t="s">
        <v>456</v>
      </c>
    </row>
    <row r="75" spans="1:8">
      <c r="A75" s="193">
        <v>203</v>
      </c>
      <c r="B75" s="245" t="s">
        <v>607</v>
      </c>
      <c r="C75" s="193">
        <v>249</v>
      </c>
      <c r="D75" s="245" t="s">
        <v>546</v>
      </c>
      <c r="E75" s="193">
        <v>295</v>
      </c>
      <c r="F75" s="245" t="s">
        <v>672</v>
      </c>
      <c r="G75" s="193">
        <v>341</v>
      </c>
      <c r="H75" s="245" t="s">
        <v>357</v>
      </c>
    </row>
    <row r="76" spans="1:8">
      <c r="A76" s="193">
        <v>204</v>
      </c>
      <c r="B76" s="245" t="s">
        <v>189</v>
      </c>
      <c r="C76" s="193">
        <v>250</v>
      </c>
      <c r="D76" s="245" t="s">
        <v>678</v>
      </c>
      <c r="E76" s="193">
        <v>296</v>
      </c>
      <c r="F76" s="245" t="s">
        <v>765</v>
      </c>
      <c r="G76" s="193">
        <v>342</v>
      </c>
      <c r="H76" s="245" t="s">
        <v>641</v>
      </c>
    </row>
    <row r="77" spans="1:8">
      <c r="A77" s="193">
        <v>205</v>
      </c>
      <c r="B77" s="245" t="s">
        <v>601</v>
      </c>
      <c r="C77" s="193">
        <v>251</v>
      </c>
      <c r="D77" s="245" t="s">
        <v>610</v>
      </c>
      <c r="E77" s="193">
        <v>297</v>
      </c>
      <c r="F77" s="245" t="s">
        <v>643</v>
      </c>
      <c r="G77" s="193">
        <v>343</v>
      </c>
      <c r="H77" s="245" t="s">
        <v>146</v>
      </c>
    </row>
    <row r="78" spans="1:8">
      <c r="A78" s="193">
        <v>206</v>
      </c>
      <c r="B78" s="245" t="s">
        <v>799</v>
      </c>
      <c r="C78" s="193">
        <v>252</v>
      </c>
      <c r="D78" s="245" t="s">
        <v>240</v>
      </c>
      <c r="E78" s="193">
        <v>298</v>
      </c>
      <c r="F78" s="245" t="s">
        <v>579</v>
      </c>
      <c r="G78" s="193">
        <v>344</v>
      </c>
      <c r="H78" s="245" t="s">
        <v>337</v>
      </c>
    </row>
    <row r="79" spans="1:8">
      <c r="A79" s="193">
        <v>207</v>
      </c>
      <c r="B79" s="245" t="s">
        <v>331</v>
      </c>
      <c r="C79" s="193">
        <v>253</v>
      </c>
      <c r="D79" s="245" t="s">
        <v>238</v>
      </c>
      <c r="E79" s="193">
        <v>299</v>
      </c>
      <c r="F79" s="245" t="s">
        <v>580</v>
      </c>
      <c r="G79" s="193">
        <v>345</v>
      </c>
      <c r="H79" s="245" t="s">
        <v>680</v>
      </c>
    </row>
    <row r="80" spans="1:8">
      <c r="A80" s="193">
        <v>208</v>
      </c>
      <c r="B80" s="245" t="s">
        <v>700</v>
      </c>
      <c r="C80" s="193">
        <v>254</v>
      </c>
      <c r="D80" s="245" t="s">
        <v>811</v>
      </c>
      <c r="E80" s="193">
        <v>300</v>
      </c>
      <c r="F80" s="245" t="s">
        <v>1870</v>
      </c>
      <c r="G80" s="193">
        <v>346</v>
      </c>
      <c r="H80" s="245" t="s">
        <v>1882</v>
      </c>
    </row>
    <row r="81" spans="1:8">
      <c r="A81" s="193">
        <v>209</v>
      </c>
      <c r="B81" s="245" t="s">
        <v>211</v>
      </c>
      <c r="C81" s="193">
        <v>255</v>
      </c>
      <c r="D81" s="245" t="s">
        <v>536</v>
      </c>
      <c r="E81" s="193">
        <v>301</v>
      </c>
      <c r="F81" s="245" t="s">
        <v>744</v>
      </c>
      <c r="G81" s="193">
        <v>347</v>
      </c>
      <c r="H81" s="245" t="s">
        <v>1883</v>
      </c>
    </row>
    <row r="82" spans="1:8">
      <c r="A82" s="193">
        <v>210</v>
      </c>
      <c r="B82" s="245" t="s">
        <v>400</v>
      </c>
      <c r="C82" s="193">
        <v>256</v>
      </c>
      <c r="D82" s="245" t="s">
        <v>319</v>
      </c>
      <c r="E82" s="193">
        <v>302</v>
      </c>
      <c r="F82" s="245" t="s">
        <v>655</v>
      </c>
      <c r="G82" s="193">
        <v>348</v>
      </c>
      <c r="H82" s="245" t="s">
        <v>1884</v>
      </c>
    </row>
    <row r="83" spans="1:8">
      <c r="A83" s="193">
        <v>211</v>
      </c>
      <c r="B83" s="245" t="s">
        <v>584</v>
      </c>
      <c r="C83" s="193">
        <v>257</v>
      </c>
      <c r="D83" s="245" t="s">
        <v>810</v>
      </c>
      <c r="E83" s="193">
        <v>303</v>
      </c>
      <c r="F83" s="245" t="s">
        <v>714</v>
      </c>
      <c r="G83" s="193">
        <v>349</v>
      </c>
      <c r="H83" s="245" t="s">
        <v>1904</v>
      </c>
    </row>
    <row r="84" spans="1:8">
      <c r="A84" s="193">
        <v>212</v>
      </c>
      <c r="B84" s="245" t="s">
        <v>215</v>
      </c>
      <c r="C84" s="193">
        <v>258</v>
      </c>
      <c r="D84" s="245" t="s">
        <v>145</v>
      </c>
      <c r="E84" s="193">
        <v>304</v>
      </c>
      <c r="F84" s="245" t="s">
        <v>1871</v>
      </c>
      <c r="G84" s="193">
        <v>350</v>
      </c>
      <c r="H84" s="245" t="s">
        <v>1885</v>
      </c>
    </row>
    <row r="85" spans="1:8">
      <c r="A85" s="193">
        <v>213</v>
      </c>
      <c r="B85" s="245" t="s">
        <v>621</v>
      </c>
      <c r="C85" s="193">
        <v>259</v>
      </c>
      <c r="D85" s="245" t="s">
        <v>1865</v>
      </c>
      <c r="E85" s="193">
        <v>305</v>
      </c>
      <c r="F85" s="245" t="s">
        <v>1872</v>
      </c>
      <c r="G85" s="193">
        <v>351</v>
      </c>
      <c r="H85" s="245" t="s">
        <v>1886</v>
      </c>
    </row>
    <row r="86" spans="1:8">
      <c r="A86" s="193">
        <v>214</v>
      </c>
      <c r="B86" s="245" t="s">
        <v>711</v>
      </c>
      <c r="C86" s="193">
        <v>260</v>
      </c>
      <c r="D86" s="245" t="s">
        <v>1343</v>
      </c>
      <c r="E86" s="193">
        <v>306</v>
      </c>
      <c r="F86" s="245" t="s">
        <v>1873</v>
      </c>
      <c r="G86" s="193">
        <v>352</v>
      </c>
      <c r="H86" s="245" t="s">
        <v>1887</v>
      </c>
    </row>
    <row r="87" spans="1:8">
      <c r="A87" s="193">
        <v>215</v>
      </c>
      <c r="B87" s="245" t="s">
        <v>1861</v>
      </c>
      <c r="C87" s="193">
        <v>261</v>
      </c>
      <c r="D87" s="245" t="s">
        <v>1866</v>
      </c>
      <c r="E87" s="193">
        <v>307</v>
      </c>
      <c r="F87" s="245" t="s">
        <v>605</v>
      </c>
      <c r="G87" s="193">
        <v>353</v>
      </c>
      <c r="H87" s="245" t="s">
        <v>1888</v>
      </c>
    </row>
    <row r="88" spans="1:8">
      <c r="A88" s="193">
        <v>216</v>
      </c>
      <c r="B88" s="245" t="s">
        <v>698</v>
      </c>
      <c r="C88" s="193">
        <v>262</v>
      </c>
      <c r="D88" s="245" t="s">
        <v>616</v>
      </c>
      <c r="E88" s="193">
        <v>308</v>
      </c>
      <c r="F88" s="245" t="s">
        <v>812</v>
      </c>
      <c r="G88" s="193">
        <v>354</v>
      </c>
      <c r="H88" s="245" t="s">
        <v>1889</v>
      </c>
    </row>
    <row r="89" spans="1:8">
      <c r="A89" s="193">
        <v>217</v>
      </c>
      <c r="B89" s="245" t="s">
        <v>631</v>
      </c>
      <c r="C89" s="193">
        <v>263</v>
      </c>
      <c r="D89" s="245" t="s">
        <v>767</v>
      </c>
      <c r="E89" s="193">
        <v>309</v>
      </c>
      <c r="F89" s="245" t="s">
        <v>1874</v>
      </c>
      <c r="G89" s="193">
        <v>355</v>
      </c>
      <c r="H89" s="245" t="s">
        <v>1890</v>
      </c>
    </row>
    <row r="90" spans="1:8">
      <c r="A90" s="193">
        <v>218</v>
      </c>
      <c r="B90" s="245" t="s">
        <v>414</v>
      </c>
      <c r="C90" s="193">
        <v>264</v>
      </c>
      <c r="D90" s="245" t="s">
        <v>721</v>
      </c>
      <c r="E90" s="193">
        <v>310</v>
      </c>
      <c r="F90" s="245" t="s">
        <v>399</v>
      </c>
      <c r="G90" s="193">
        <v>356</v>
      </c>
      <c r="H90" s="245" t="s">
        <v>1891</v>
      </c>
    </row>
    <row r="91" spans="1:8">
      <c r="A91" s="193">
        <v>219</v>
      </c>
      <c r="B91" s="245" t="s">
        <v>165</v>
      </c>
      <c r="C91" s="193">
        <v>265</v>
      </c>
      <c r="D91" s="245" t="s">
        <v>691</v>
      </c>
      <c r="E91" s="193">
        <v>311</v>
      </c>
      <c r="F91" s="245" t="s">
        <v>1875</v>
      </c>
      <c r="G91" s="193">
        <v>357</v>
      </c>
      <c r="H91" s="245" t="s">
        <v>1369</v>
      </c>
    </row>
    <row r="92" spans="1:8">
      <c r="A92" s="193">
        <v>220</v>
      </c>
      <c r="B92" s="245" t="s">
        <v>574</v>
      </c>
      <c r="C92" s="193">
        <v>266</v>
      </c>
      <c r="D92" s="245" t="s">
        <v>1867</v>
      </c>
      <c r="E92" s="193">
        <v>312</v>
      </c>
      <c r="F92" s="245" t="s">
        <v>526</v>
      </c>
      <c r="G92" s="193">
        <v>358</v>
      </c>
      <c r="H92" s="245" t="s">
        <v>1892</v>
      </c>
    </row>
    <row r="93" spans="1:8">
      <c r="A93" s="193">
        <v>221</v>
      </c>
      <c r="B93" s="245" t="s">
        <v>511</v>
      </c>
      <c r="C93" s="193">
        <v>267</v>
      </c>
      <c r="D93" s="245" t="s">
        <v>1868</v>
      </c>
      <c r="E93" s="193">
        <v>313</v>
      </c>
      <c r="F93" s="245" t="s">
        <v>1876</v>
      </c>
      <c r="G93" s="193"/>
      <c r="H93" s="193"/>
    </row>
    <row r="94" spans="1:8">
      <c r="A94" s="193">
        <v>222</v>
      </c>
      <c r="B94" s="245" t="s">
        <v>646</v>
      </c>
      <c r="C94" s="193">
        <v>268</v>
      </c>
      <c r="D94" s="245" t="s">
        <v>262</v>
      </c>
      <c r="E94" s="193">
        <v>314</v>
      </c>
      <c r="F94" s="245" t="s">
        <v>244</v>
      </c>
      <c r="G94" s="193"/>
      <c r="H94" s="193"/>
    </row>
  </sheetData>
  <phoneticPr fontId="1" type="noConversion"/>
  <pageMargins left="0.70866141732283472" right="0.70866141732283472" top="0.74803149606299213" bottom="0.62992125984251968" header="0.31496062992125984" footer="0.31496062992125984"/>
  <pageSetup paperSize="9" orientation="portrait" r:id="rId1"/>
  <headerFooter>
    <oddFooter>&amp;C&amp;P</oddFooter>
  </headerFooter>
</worksheet>
</file>

<file path=xl/worksheets/sheet10.xml><?xml version="1.0" encoding="utf-8"?>
<worksheet xmlns="http://schemas.openxmlformats.org/spreadsheetml/2006/main" xmlns:r="http://schemas.openxmlformats.org/officeDocument/2006/relationships">
  <dimension ref="A1:B131"/>
  <sheetViews>
    <sheetView topLeftCell="A103" zoomScale="90" zoomScaleNormal="90" workbookViewId="0">
      <selection activeCell="C10" sqref="C10"/>
    </sheetView>
  </sheetViews>
  <sheetFormatPr defaultRowHeight="16.2"/>
  <cols>
    <col min="1" max="1" width="8.88671875" style="240"/>
    <col min="2" max="2" width="74" style="240" customWidth="1"/>
    <col min="3" max="16384" width="8.88671875" style="240"/>
  </cols>
  <sheetData>
    <row r="1" spans="1:2" ht="18" customHeight="1">
      <c r="A1" s="240" t="s">
        <v>1699</v>
      </c>
    </row>
    <row r="2" spans="1:2">
      <c r="A2" s="241" t="s">
        <v>1573</v>
      </c>
      <c r="B2" s="241" t="s">
        <v>1574</v>
      </c>
    </row>
    <row r="3" spans="1:2">
      <c r="A3" s="241" t="s">
        <v>1575</v>
      </c>
      <c r="B3" s="242" t="s">
        <v>1576</v>
      </c>
    </row>
    <row r="4" spans="1:2">
      <c r="A4" s="241" t="s">
        <v>1577</v>
      </c>
      <c r="B4" s="242" t="s">
        <v>1578</v>
      </c>
    </row>
    <row r="5" spans="1:2">
      <c r="A5" s="241" t="s">
        <v>1579</v>
      </c>
      <c r="B5" s="242" t="s">
        <v>1580</v>
      </c>
    </row>
    <row r="6" spans="1:2">
      <c r="A6" s="241" t="s">
        <v>1581</v>
      </c>
      <c r="B6" s="242" t="s">
        <v>1582</v>
      </c>
    </row>
    <row r="7" spans="1:2">
      <c r="A7" s="241" t="s">
        <v>1583</v>
      </c>
      <c r="B7" s="242" t="s">
        <v>1584</v>
      </c>
    </row>
    <row r="8" spans="1:2">
      <c r="A8" s="241" t="s">
        <v>1585</v>
      </c>
      <c r="B8" s="242" t="s">
        <v>1586</v>
      </c>
    </row>
    <row r="9" spans="1:2">
      <c r="A9" s="241" t="s">
        <v>1587</v>
      </c>
      <c r="B9" s="242" t="s">
        <v>1588</v>
      </c>
    </row>
    <row r="10" spans="1:2">
      <c r="A10" s="241" t="s">
        <v>1589</v>
      </c>
      <c r="B10" s="242" t="s">
        <v>1590</v>
      </c>
    </row>
    <row r="11" spans="1:2">
      <c r="A11" s="241" t="s">
        <v>1591</v>
      </c>
      <c r="B11" s="242" t="s">
        <v>1592</v>
      </c>
    </row>
    <row r="12" spans="1:2">
      <c r="A12" s="241" t="s">
        <v>1593</v>
      </c>
      <c r="B12" s="242" t="s">
        <v>1594</v>
      </c>
    </row>
    <row r="13" spans="1:2">
      <c r="A13" s="241" t="s">
        <v>1595</v>
      </c>
      <c r="B13" s="242" t="s">
        <v>1596</v>
      </c>
    </row>
    <row r="14" spans="1:2">
      <c r="A14" s="241" t="s">
        <v>1597</v>
      </c>
      <c r="B14" s="242" t="s">
        <v>1598</v>
      </c>
    </row>
    <row r="15" spans="1:2">
      <c r="A15" s="241" t="s">
        <v>1599</v>
      </c>
      <c r="B15" s="242" t="s">
        <v>1600</v>
      </c>
    </row>
    <row r="16" spans="1:2">
      <c r="A16" s="241" t="s">
        <v>1601</v>
      </c>
      <c r="B16" s="242" t="s">
        <v>1602</v>
      </c>
    </row>
    <row r="17" spans="1:2">
      <c r="A17" s="241" t="s">
        <v>1603</v>
      </c>
      <c r="B17" s="242" t="s">
        <v>1604</v>
      </c>
    </row>
    <row r="18" spans="1:2">
      <c r="A18" s="241" t="s">
        <v>1605</v>
      </c>
      <c r="B18" s="242" t="s">
        <v>1606</v>
      </c>
    </row>
    <row r="19" spans="1:2">
      <c r="A19" s="241" t="s">
        <v>1607</v>
      </c>
      <c r="B19" s="242" t="s">
        <v>1608</v>
      </c>
    </row>
    <row r="20" spans="1:2">
      <c r="A20" s="241" t="s">
        <v>1609</v>
      </c>
      <c r="B20" s="242" t="s">
        <v>1610</v>
      </c>
    </row>
    <row r="21" spans="1:2">
      <c r="A21" s="241" t="s">
        <v>1611</v>
      </c>
      <c r="B21" s="242" t="s">
        <v>1612</v>
      </c>
    </row>
    <row r="22" spans="1:2">
      <c r="A22" s="241" t="s">
        <v>1613</v>
      </c>
      <c r="B22" s="242" t="s">
        <v>1614</v>
      </c>
    </row>
    <row r="23" spans="1:2">
      <c r="A23" s="241" t="s">
        <v>1615</v>
      </c>
      <c r="B23" s="242" t="s">
        <v>1616</v>
      </c>
    </row>
    <row r="24" spans="1:2">
      <c r="A24" s="241" t="s">
        <v>1617</v>
      </c>
      <c r="B24" s="242" t="s">
        <v>1618</v>
      </c>
    </row>
    <row r="25" spans="1:2">
      <c r="A25" s="241" t="s">
        <v>1619</v>
      </c>
      <c r="B25" s="242" t="s">
        <v>1620</v>
      </c>
    </row>
    <row r="26" spans="1:2">
      <c r="A26" s="241" t="s">
        <v>1621</v>
      </c>
      <c r="B26" s="242" t="s">
        <v>1622</v>
      </c>
    </row>
    <row r="27" spans="1:2">
      <c r="A27" s="241" t="s">
        <v>1623</v>
      </c>
      <c r="B27" s="242" t="s">
        <v>1624</v>
      </c>
    </row>
    <row r="28" spans="1:2">
      <c r="A28" s="241" t="s">
        <v>1625</v>
      </c>
      <c r="B28" s="242" t="s">
        <v>1626</v>
      </c>
    </row>
    <row r="29" spans="1:2">
      <c r="A29" s="241" t="s">
        <v>1627</v>
      </c>
      <c r="B29" s="242" t="s">
        <v>1628</v>
      </c>
    </row>
    <row r="30" spans="1:2">
      <c r="A30" s="241" t="s">
        <v>1629</v>
      </c>
      <c r="B30" s="242" t="s">
        <v>1630</v>
      </c>
    </row>
    <row r="31" spans="1:2">
      <c r="A31" s="241" t="s">
        <v>1631</v>
      </c>
      <c r="B31" s="242" t="s">
        <v>1632</v>
      </c>
    </row>
    <row r="32" spans="1:2">
      <c r="A32" s="241" t="s">
        <v>1633</v>
      </c>
      <c r="B32" s="242" t="s">
        <v>1634</v>
      </c>
    </row>
    <row r="33" spans="1:2">
      <c r="A33" s="241" t="s">
        <v>1635</v>
      </c>
      <c r="B33" s="242" t="s">
        <v>1636</v>
      </c>
    </row>
    <row r="34" spans="1:2">
      <c r="A34" s="241" t="s">
        <v>1637</v>
      </c>
      <c r="B34" s="242" t="s">
        <v>1638</v>
      </c>
    </row>
    <row r="35" spans="1:2">
      <c r="A35" s="241" t="s">
        <v>1639</v>
      </c>
      <c r="B35" s="242" t="s">
        <v>1640</v>
      </c>
    </row>
    <row r="36" spans="1:2">
      <c r="A36" s="241" t="s">
        <v>1641</v>
      </c>
      <c r="B36" s="242" t="s">
        <v>1642</v>
      </c>
    </row>
    <row r="37" spans="1:2">
      <c r="A37" s="241" t="s">
        <v>1643</v>
      </c>
      <c r="B37" s="242" t="s">
        <v>1644</v>
      </c>
    </row>
    <row r="38" spans="1:2">
      <c r="A38" s="241" t="s">
        <v>1645</v>
      </c>
      <c r="B38" s="242" t="s">
        <v>1646</v>
      </c>
    </row>
    <row r="39" spans="1:2">
      <c r="A39" s="241" t="s">
        <v>1647</v>
      </c>
      <c r="B39" s="242" t="s">
        <v>1648</v>
      </c>
    </row>
    <row r="40" spans="1:2">
      <c r="A40" s="241" t="s">
        <v>1649</v>
      </c>
      <c r="B40" s="242" t="s">
        <v>1650</v>
      </c>
    </row>
    <row r="41" spans="1:2">
      <c r="A41" s="241" t="s">
        <v>1651</v>
      </c>
      <c r="B41" s="242" t="s">
        <v>1652</v>
      </c>
    </row>
    <row r="42" spans="1:2">
      <c r="A42" s="241" t="s">
        <v>1653</v>
      </c>
      <c r="B42" s="242" t="s">
        <v>1654</v>
      </c>
    </row>
    <row r="43" spans="1:2">
      <c r="A43" s="241" t="s">
        <v>1655</v>
      </c>
      <c r="B43" s="242" t="s">
        <v>1656</v>
      </c>
    </row>
    <row r="44" spans="1:2">
      <c r="A44" s="241" t="s">
        <v>1657</v>
      </c>
      <c r="B44" s="242" t="s">
        <v>1658</v>
      </c>
    </row>
    <row r="45" spans="1:2">
      <c r="A45" s="241" t="s">
        <v>1659</v>
      </c>
      <c r="B45" s="242" t="s">
        <v>1660</v>
      </c>
    </row>
    <row r="46" spans="1:2">
      <c r="A46" s="241" t="s">
        <v>1661</v>
      </c>
      <c r="B46" s="242" t="s">
        <v>1662</v>
      </c>
    </row>
    <row r="47" spans="1:2">
      <c r="A47" s="241" t="s">
        <v>1663</v>
      </c>
      <c r="B47" s="242" t="s">
        <v>1664</v>
      </c>
    </row>
    <row r="48" spans="1:2">
      <c r="A48" s="241" t="s">
        <v>1665</v>
      </c>
      <c r="B48" s="242" t="s">
        <v>1666</v>
      </c>
    </row>
    <row r="49" spans="1:2">
      <c r="A49" s="241" t="s">
        <v>1667</v>
      </c>
      <c r="B49" s="242" t="s">
        <v>1668</v>
      </c>
    </row>
    <row r="50" spans="1:2">
      <c r="A50" s="241" t="s">
        <v>1669</v>
      </c>
      <c r="B50" s="242" t="s">
        <v>1670</v>
      </c>
    </row>
    <row r="51" spans="1:2">
      <c r="A51" s="241" t="s">
        <v>1671</v>
      </c>
      <c r="B51" s="242" t="s">
        <v>1672</v>
      </c>
    </row>
    <row r="52" spans="1:2">
      <c r="A52" s="241" t="s">
        <v>1673</v>
      </c>
      <c r="B52" s="242" t="s">
        <v>1674</v>
      </c>
    </row>
    <row r="53" spans="1:2">
      <c r="A53" s="241" t="s">
        <v>1675</v>
      </c>
      <c r="B53" s="242" t="s">
        <v>1676</v>
      </c>
    </row>
    <row r="54" spans="1:2">
      <c r="A54" s="241" t="s">
        <v>1677</v>
      </c>
      <c r="B54" s="242" t="s">
        <v>1678</v>
      </c>
    </row>
    <row r="55" spans="1:2">
      <c r="A55" s="241" t="s">
        <v>1679</v>
      </c>
      <c r="B55" s="242" t="s">
        <v>1680</v>
      </c>
    </row>
    <row r="56" spans="1:2">
      <c r="A56" s="241" t="s">
        <v>1681</v>
      </c>
      <c r="B56" s="242" t="s">
        <v>1682</v>
      </c>
    </row>
    <row r="57" spans="1:2">
      <c r="A57" s="241" t="s">
        <v>1683</v>
      </c>
      <c r="B57" s="242" t="s">
        <v>1684</v>
      </c>
    </row>
    <row r="58" spans="1:2">
      <c r="A58" s="241" t="s">
        <v>1685</v>
      </c>
      <c r="B58" s="242" t="s">
        <v>1686</v>
      </c>
    </row>
    <row r="59" spans="1:2">
      <c r="A59" s="241" t="s">
        <v>1687</v>
      </c>
      <c r="B59" s="242" t="s">
        <v>1688</v>
      </c>
    </row>
    <row r="60" spans="1:2">
      <c r="A60" s="241" t="s">
        <v>1689</v>
      </c>
      <c r="B60" s="242" t="s">
        <v>1690</v>
      </c>
    </row>
    <row r="61" spans="1:2">
      <c r="A61" s="241" t="s">
        <v>1691</v>
      </c>
      <c r="B61" s="242" t="s">
        <v>1692</v>
      </c>
    </row>
    <row r="62" spans="1:2">
      <c r="A62" s="241" t="s">
        <v>1693</v>
      </c>
      <c r="B62" s="242" t="s">
        <v>1694</v>
      </c>
    </row>
    <row r="63" spans="1:2">
      <c r="A63" s="241" t="s">
        <v>1695</v>
      </c>
      <c r="B63" s="242" t="s">
        <v>1696</v>
      </c>
    </row>
    <row r="64" spans="1:2">
      <c r="A64" s="241" t="s">
        <v>1697</v>
      </c>
      <c r="B64" s="242" t="s">
        <v>1698</v>
      </c>
    </row>
    <row r="65" spans="1:2">
      <c r="A65" s="241" t="s">
        <v>1700</v>
      </c>
      <c r="B65" s="242" t="s">
        <v>1701</v>
      </c>
    </row>
    <row r="66" spans="1:2">
      <c r="A66" s="241" t="s">
        <v>1702</v>
      </c>
      <c r="B66" s="242" t="s">
        <v>1703</v>
      </c>
    </row>
    <row r="67" spans="1:2">
      <c r="A67" s="241" t="s">
        <v>1704</v>
      </c>
      <c r="B67" s="242" t="s">
        <v>1705</v>
      </c>
    </row>
    <row r="68" spans="1:2" ht="32.4">
      <c r="A68" s="241" t="s">
        <v>1706</v>
      </c>
      <c r="B68" s="242" t="s">
        <v>1707</v>
      </c>
    </row>
    <row r="69" spans="1:2">
      <c r="A69" s="241" t="s">
        <v>1708</v>
      </c>
      <c r="B69" s="242" t="s">
        <v>1709</v>
      </c>
    </row>
    <row r="70" spans="1:2">
      <c r="A70" s="241" t="s">
        <v>1710</v>
      </c>
      <c r="B70" s="242" t="s">
        <v>1711</v>
      </c>
    </row>
    <row r="71" spans="1:2">
      <c r="A71" s="241" t="s">
        <v>1712</v>
      </c>
      <c r="B71" s="242" t="s">
        <v>1713</v>
      </c>
    </row>
    <row r="72" spans="1:2">
      <c r="A72" s="241" t="s">
        <v>1714</v>
      </c>
      <c r="B72" s="242" t="s">
        <v>1715</v>
      </c>
    </row>
    <row r="73" spans="1:2">
      <c r="A73" s="241" t="s">
        <v>1716</v>
      </c>
      <c r="B73" s="242" t="s">
        <v>1717</v>
      </c>
    </row>
    <row r="74" spans="1:2">
      <c r="A74" s="241" t="s">
        <v>1718</v>
      </c>
      <c r="B74" s="242" t="s">
        <v>1719</v>
      </c>
    </row>
    <row r="75" spans="1:2">
      <c r="A75" s="241" t="s">
        <v>1720</v>
      </c>
      <c r="B75" s="242" t="s">
        <v>1721</v>
      </c>
    </row>
    <row r="76" spans="1:2">
      <c r="A76" s="241" t="s">
        <v>1722</v>
      </c>
      <c r="B76" s="242" t="s">
        <v>1723</v>
      </c>
    </row>
    <row r="77" spans="1:2">
      <c r="A77" s="241" t="s">
        <v>1724</v>
      </c>
      <c r="B77" s="242" t="s">
        <v>1725</v>
      </c>
    </row>
    <row r="78" spans="1:2">
      <c r="A78" s="241" t="s">
        <v>1726</v>
      </c>
      <c r="B78" s="242" t="s">
        <v>1727</v>
      </c>
    </row>
    <row r="79" spans="1:2">
      <c r="A79" s="241" t="s">
        <v>1728</v>
      </c>
      <c r="B79" s="242" t="s">
        <v>1729</v>
      </c>
    </row>
    <row r="80" spans="1:2">
      <c r="A80" s="241" t="s">
        <v>1730</v>
      </c>
      <c r="B80" s="242" t="s">
        <v>1731</v>
      </c>
    </row>
    <row r="81" spans="1:2">
      <c r="A81" s="241" t="s">
        <v>1732</v>
      </c>
      <c r="B81" s="242" t="s">
        <v>1733</v>
      </c>
    </row>
    <row r="82" spans="1:2">
      <c r="A82" s="241" t="s">
        <v>1734</v>
      </c>
      <c r="B82" s="242" t="s">
        <v>1735</v>
      </c>
    </row>
    <row r="83" spans="1:2">
      <c r="A83" s="241" t="s">
        <v>1736</v>
      </c>
      <c r="B83" s="242" t="s">
        <v>1737</v>
      </c>
    </row>
    <row r="84" spans="1:2">
      <c r="A84" s="241" t="s">
        <v>1738</v>
      </c>
      <c r="B84" s="242" t="s">
        <v>1739</v>
      </c>
    </row>
    <row r="85" spans="1:2">
      <c r="A85" s="241" t="s">
        <v>1740</v>
      </c>
      <c r="B85" s="242" t="s">
        <v>1741</v>
      </c>
    </row>
    <row r="86" spans="1:2">
      <c r="A86" s="241" t="s">
        <v>1742</v>
      </c>
      <c r="B86" s="242" t="s">
        <v>1743</v>
      </c>
    </row>
    <row r="87" spans="1:2">
      <c r="A87" s="241" t="s">
        <v>1744</v>
      </c>
      <c r="B87" s="242" t="s">
        <v>1745</v>
      </c>
    </row>
    <row r="88" spans="1:2">
      <c r="A88" s="241" t="s">
        <v>1746</v>
      </c>
      <c r="B88" s="242" t="s">
        <v>1747</v>
      </c>
    </row>
    <row r="89" spans="1:2">
      <c r="A89" s="241" t="s">
        <v>1748</v>
      </c>
      <c r="B89" s="242" t="s">
        <v>1749</v>
      </c>
    </row>
    <row r="90" spans="1:2">
      <c r="A90" s="241" t="s">
        <v>1750</v>
      </c>
      <c r="B90" s="242" t="s">
        <v>1751</v>
      </c>
    </row>
    <row r="91" spans="1:2">
      <c r="A91" s="241" t="s">
        <v>1752</v>
      </c>
      <c r="B91" s="242" t="s">
        <v>1753</v>
      </c>
    </row>
    <row r="92" spans="1:2">
      <c r="A92" s="241" t="s">
        <v>1754</v>
      </c>
      <c r="B92" s="242" t="s">
        <v>1755</v>
      </c>
    </row>
    <row r="93" spans="1:2">
      <c r="A93" s="241" t="s">
        <v>1756</v>
      </c>
      <c r="B93" s="242" t="s">
        <v>1757</v>
      </c>
    </row>
    <row r="94" spans="1:2">
      <c r="A94" s="241" t="s">
        <v>1758</v>
      </c>
      <c r="B94" s="242" t="s">
        <v>1759</v>
      </c>
    </row>
    <row r="95" spans="1:2">
      <c r="A95" s="241" t="s">
        <v>1760</v>
      </c>
      <c r="B95" s="242" t="s">
        <v>1761</v>
      </c>
    </row>
    <row r="96" spans="1:2">
      <c r="A96" s="241" t="s">
        <v>1762</v>
      </c>
      <c r="B96" s="242" t="s">
        <v>1763</v>
      </c>
    </row>
    <row r="97" spans="1:2">
      <c r="A97" s="241" t="s">
        <v>1764</v>
      </c>
      <c r="B97" s="242" t="s">
        <v>1765</v>
      </c>
    </row>
    <row r="98" spans="1:2">
      <c r="A98" s="241" t="s">
        <v>1766</v>
      </c>
      <c r="B98" s="242" t="s">
        <v>1767</v>
      </c>
    </row>
    <row r="99" spans="1:2">
      <c r="A99" s="241" t="s">
        <v>1768</v>
      </c>
      <c r="B99" s="242" t="s">
        <v>1769</v>
      </c>
    </row>
    <row r="100" spans="1:2">
      <c r="A100" s="241" t="s">
        <v>1770</v>
      </c>
      <c r="B100" s="242" t="s">
        <v>1771</v>
      </c>
    </row>
    <row r="101" spans="1:2">
      <c r="A101" s="241" t="s">
        <v>1772</v>
      </c>
      <c r="B101" s="242" t="s">
        <v>1773</v>
      </c>
    </row>
    <row r="102" spans="1:2">
      <c r="A102" s="241" t="s">
        <v>1774</v>
      </c>
      <c r="B102" s="242" t="s">
        <v>1775</v>
      </c>
    </row>
    <row r="103" spans="1:2">
      <c r="A103" s="241" t="s">
        <v>1776</v>
      </c>
      <c r="B103" s="242" t="s">
        <v>1777</v>
      </c>
    </row>
    <row r="104" spans="1:2">
      <c r="A104" s="241" t="s">
        <v>1778</v>
      </c>
      <c r="B104" s="242" t="s">
        <v>1779</v>
      </c>
    </row>
    <row r="105" spans="1:2">
      <c r="A105" s="241" t="s">
        <v>1780</v>
      </c>
      <c r="B105" s="242" t="s">
        <v>1781</v>
      </c>
    </row>
    <row r="106" spans="1:2">
      <c r="A106" s="241" t="s">
        <v>1782</v>
      </c>
      <c r="B106" s="242" t="s">
        <v>1783</v>
      </c>
    </row>
    <row r="107" spans="1:2">
      <c r="A107" s="241" t="s">
        <v>1784</v>
      </c>
      <c r="B107" s="242" t="s">
        <v>1785</v>
      </c>
    </row>
    <row r="108" spans="1:2">
      <c r="A108" s="241" t="s">
        <v>1786</v>
      </c>
      <c r="B108" s="242" t="s">
        <v>1787</v>
      </c>
    </row>
    <row r="109" spans="1:2">
      <c r="A109" s="241" t="s">
        <v>1788</v>
      </c>
      <c r="B109" s="242" t="s">
        <v>1789</v>
      </c>
    </row>
    <row r="110" spans="1:2">
      <c r="A110" s="241" t="s">
        <v>1790</v>
      </c>
      <c r="B110" s="242" t="s">
        <v>1791</v>
      </c>
    </row>
    <row r="111" spans="1:2">
      <c r="A111" s="241" t="s">
        <v>1792</v>
      </c>
      <c r="B111" s="242" t="s">
        <v>1793</v>
      </c>
    </row>
    <row r="112" spans="1:2">
      <c r="A112" s="241" t="s">
        <v>1794</v>
      </c>
      <c r="B112" s="242" t="s">
        <v>1795</v>
      </c>
    </row>
    <row r="113" spans="1:2">
      <c r="A113" s="241" t="s">
        <v>1796</v>
      </c>
      <c r="B113" s="242" t="s">
        <v>1797</v>
      </c>
    </row>
    <row r="114" spans="1:2">
      <c r="A114" s="241" t="s">
        <v>1798</v>
      </c>
      <c r="B114" s="242" t="s">
        <v>1799</v>
      </c>
    </row>
    <row r="115" spans="1:2">
      <c r="A115" s="241" t="s">
        <v>1800</v>
      </c>
      <c r="B115" s="242" t="s">
        <v>1801</v>
      </c>
    </row>
    <row r="116" spans="1:2">
      <c r="A116" s="241" t="s">
        <v>1802</v>
      </c>
      <c r="B116" s="242" t="s">
        <v>1803</v>
      </c>
    </row>
    <row r="117" spans="1:2">
      <c r="A117" s="241" t="s">
        <v>1804</v>
      </c>
      <c r="B117" s="242" t="s">
        <v>1805</v>
      </c>
    </row>
    <row r="118" spans="1:2">
      <c r="A118" s="241" t="s">
        <v>1806</v>
      </c>
      <c r="B118" s="242" t="s">
        <v>1807</v>
      </c>
    </row>
    <row r="119" spans="1:2">
      <c r="A119" s="241" t="s">
        <v>1808</v>
      </c>
      <c r="B119" s="242" t="s">
        <v>1809</v>
      </c>
    </row>
    <row r="120" spans="1:2">
      <c r="A120" s="241" t="s">
        <v>1810</v>
      </c>
      <c r="B120" s="242" t="s">
        <v>1811</v>
      </c>
    </row>
    <row r="121" spans="1:2">
      <c r="A121" s="241" t="s">
        <v>1812</v>
      </c>
      <c r="B121" s="242" t="s">
        <v>1813</v>
      </c>
    </row>
    <row r="122" spans="1:2">
      <c r="A122" s="241" t="s">
        <v>1814</v>
      </c>
      <c r="B122" s="242" t="s">
        <v>1815</v>
      </c>
    </row>
    <row r="123" spans="1:2">
      <c r="A123" s="241" t="s">
        <v>1816</v>
      </c>
      <c r="B123" s="242" t="s">
        <v>1817</v>
      </c>
    </row>
    <row r="124" spans="1:2">
      <c r="A124" s="241" t="s">
        <v>1818</v>
      </c>
      <c r="B124" s="242" t="s">
        <v>1819</v>
      </c>
    </row>
    <row r="125" spans="1:2">
      <c r="A125" s="241" t="s">
        <v>1820</v>
      </c>
      <c r="B125" s="242" t="s">
        <v>1821</v>
      </c>
    </row>
    <row r="126" spans="1:2">
      <c r="A126" s="241" t="s">
        <v>1822</v>
      </c>
      <c r="B126" s="242" t="s">
        <v>1823</v>
      </c>
    </row>
    <row r="127" spans="1:2">
      <c r="A127" s="241" t="s">
        <v>1824</v>
      </c>
      <c r="B127" s="242" t="s">
        <v>1825</v>
      </c>
    </row>
    <row r="128" spans="1:2">
      <c r="A128" s="241" t="s">
        <v>1826</v>
      </c>
      <c r="B128" s="242" t="s">
        <v>1827</v>
      </c>
    </row>
    <row r="129" spans="1:2">
      <c r="A129" s="241" t="s">
        <v>1828</v>
      </c>
      <c r="B129" s="242" t="s">
        <v>1829</v>
      </c>
    </row>
    <row r="130" spans="1:2">
      <c r="A130" s="241" t="s">
        <v>1830</v>
      </c>
      <c r="B130" s="242" t="s">
        <v>1831</v>
      </c>
    </row>
    <row r="131" spans="1:2">
      <c r="A131" s="241" t="s">
        <v>1832</v>
      </c>
      <c r="B131" s="242" t="s">
        <v>1833</v>
      </c>
    </row>
  </sheetData>
  <phoneticPr fontId="1" type="noConversion"/>
  <pageMargins left="0.70866141732283472" right="0.70866141732283472" top="0.74803149606299213" bottom="0.74803149606299213" header="0.31496062992125984" footer="0.31496062992125984"/>
  <pageSetup paperSize="9" orientation="portrait" r:id="rId1"/>
  <headerFooter>
    <oddFooter>&amp;C&amp;P</oddFooter>
  </headerFooter>
</worksheet>
</file>

<file path=xl/worksheets/sheet11.xml><?xml version="1.0" encoding="utf-8"?>
<worksheet xmlns="http://schemas.openxmlformats.org/spreadsheetml/2006/main" xmlns:r="http://schemas.openxmlformats.org/officeDocument/2006/relationships">
  <dimension ref="A1:E78"/>
  <sheetViews>
    <sheetView zoomScale="80" zoomScaleNormal="80" workbookViewId="0">
      <selection activeCell="C17" sqref="C17"/>
    </sheetView>
  </sheetViews>
  <sheetFormatPr defaultRowHeight="16.2"/>
  <cols>
    <col min="1" max="1" width="17" customWidth="1"/>
    <col min="2" max="2" width="19.21875" style="102" bestFit="1" customWidth="1"/>
    <col min="3" max="3" width="14.44140625" style="126" customWidth="1"/>
    <col min="4" max="4" width="18.21875" customWidth="1"/>
    <col min="5" max="5" width="19.77734375" customWidth="1"/>
  </cols>
  <sheetData>
    <row r="1" spans="1:5" ht="16.8" thickBot="1">
      <c r="A1" t="s">
        <v>1902</v>
      </c>
    </row>
    <row r="2" spans="1:5" ht="16.8" thickBot="1">
      <c r="A2" s="22" t="s">
        <v>1545</v>
      </c>
      <c r="B2" s="196" t="s">
        <v>1542</v>
      </c>
      <c r="C2" s="127" t="s">
        <v>1523</v>
      </c>
      <c r="D2" s="318" t="s">
        <v>821</v>
      </c>
      <c r="E2" s="319"/>
    </row>
    <row r="3" spans="1:5">
      <c r="A3" s="10" t="s">
        <v>1522</v>
      </c>
      <c r="B3" s="201">
        <v>0</v>
      </c>
      <c r="C3" s="238"/>
      <c r="D3" s="320"/>
      <c r="E3" s="321"/>
    </row>
    <row r="4" spans="1:5">
      <c r="A4" s="3" t="s">
        <v>1521</v>
      </c>
      <c r="B4" s="194">
        <v>0</v>
      </c>
      <c r="C4" s="223"/>
      <c r="D4" s="314"/>
      <c r="E4" s="315"/>
    </row>
    <row r="5" spans="1:5">
      <c r="A5" s="3" t="s">
        <v>1520</v>
      </c>
      <c r="B5" s="194">
        <v>0</v>
      </c>
      <c r="C5" s="223"/>
      <c r="D5" s="314"/>
      <c r="E5" s="315"/>
    </row>
    <row r="6" spans="1:5">
      <c r="A6" s="3" t="s">
        <v>1519</v>
      </c>
      <c r="B6" s="194">
        <v>0</v>
      </c>
      <c r="C6" s="223"/>
      <c r="D6" s="314"/>
      <c r="E6" s="315"/>
    </row>
    <row r="7" spans="1:5">
      <c r="A7" s="3" t="s">
        <v>1518</v>
      </c>
      <c r="B7" s="194">
        <v>0</v>
      </c>
      <c r="C7" s="223"/>
      <c r="D7" s="314"/>
      <c r="E7" s="315"/>
    </row>
    <row r="8" spans="1:5">
      <c r="A8" s="3" t="s">
        <v>1517</v>
      </c>
      <c r="B8" s="194">
        <v>0</v>
      </c>
      <c r="C8" s="223"/>
      <c r="D8" s="314"/>
      <c r="E8" s="315"/>
    </row>
    <row r="9" spans="1:5">
      <c r="A9" s="3" t="s">
        <v>1516</v>
      </c>
      <c r="B9" s="194">
        <v>0</v>
      </c>
      <c r="C9" s="223"/>
      <c r="D9" s="314"/>
      <c r="E9" s="315"/>
    </row>
    <row r="10" spans="1:5">
      <c r="A10" s="3" t="s">
        <v>1515</v>
      </c>
      <c r="B10" s="194">
        <v>61905</v>
      </c>
      <c r="C10" s="223"/>
      <c r="D10" s="314"/>
      <c r="E10" s="315"/>
    </row>
    <row r="11" spans="1:5">
      <c r="A11" s="3" t="s">
        <v>1514</v>
      </c>
      <c r="B11" s="194">
        <v>0</v>
      </c>
      <c r="C11" s="223"/>
      <c r="D11" s="314"/>
      <c r="E11" s="315"/>
    </row>
    <row r="12" spans="1:5">
      <c r="A12" s="3" t="s">
        <v>1513</v>
      </c>
      <c r="B12" s="194">
        <v>0</v>
      </c>
      <c r="C12" s="223"/>
      <c r="D12" s="314"/>
      <c r="E12" s="315"/>
    </row>
    <row r="13" spans="1:5">
      <c r="A13" s="3" t="s">
        <v>1512</v>
      </c>
      <c r="B13" s="194">
        <v>0</v>
      </c>
      <c r="C13" s="223"/>
      <c r="D13" s="314"/>
      <c r="E13" s="315"/>
    </row>
    <row r="14" spans="1:5">
      <c r="A14" s="3" t="s">
        <v>1511</v>
      </c>
      <c r="B14" s="194">
        <v>0</v>
      </c>
      <c r="C14" s="223"/>
      <c r="D14" s="314"/>
      <c r="E14" s="315"/>
    </row>
    <row r="15" spans="1:5">
      <c r="A15" s="3" t="s">
        <v>1510</v>
      </c>
      <c r="B15" s="194">
        <v>0</v>
      </c>
      <c r="C15" s="223"/>
      <c r="D15" s="314"/>
      <c r="E15" s="315"/>
    </row>
    <row r="16" spans="1:5" ht="59.4" customHeight="1">
      <c r="A16" s="3" t="s">
        <v>1509</v>
      </c>
      <c r="B16" s="194">
        <v>10357143</v>
      </c>
      <c r="C16" s="223"/>
      <c r="D16" s="314" t="s">
        <v>1548</v>
      </c>
      <c r="E16" s="315"/>
    </row>
    <row r="17" spans="1:5" ht="59.4" customHeight="1">
      <c r="A17" s="3" t="s">
        <v>1508</v>
      </c>
      <c r="B17" s="194">
        <v>9619048</v>
      </c>
      <c r="C17" s="223"/>
      <c r="D17" s="314" t="s">
        <v>1549</v>
      </c>
      <c r="E17" s="315"/>
    </row>
    <row r="18" spans="1:5" ht="59.4" customHeight="1">
      <c r="A18" s="3" t="s">
        <v>1507</v>
      </c>
      <c r="B18" s="194">
        <v>12380953</v>
      </c>
      <c r="C18" s="223"/>
      <c r="D18" s="314" t="s">
        <v>1550</v>
      </c>
      <c r="E18" s="315"/>
    </row>
    <row r="19" spans="1:5" ht="59.4" customHeight="1">
      <c r="A19" s="3" t="s">
        <v>1506</v>
      </c>
      <c r="B19" s="194">
        <v>17619047</v>
      </c>
      <c r="C19" s="223"/>
      <c r="D19" s="314" t="s">
        <v>1551</v>
      </c>
      <c r="E19" s="315"/>
    </row>
    <row r="20" spans="1:5" ht="59.4" customHeight="1">
      <c r="A20" s="3" t="s">
        <v>1505</v>
      </c>
      <c r="B20" s="194">
        <v>8448781</v>
      </c>
      <c r="C20" s="223"/>
      <c r="D20" s="314" t="s">
        <v>1552</v>
      </c>
      <c r="E20" s="315"/>
    </row>
    <row r="21" spans="1:5">
      <c r="A21" s="3" t="s">
        <v>1504</v>
      </c>
      <c r="B21" s="194">
        <v>145238</v>
      </c>
      <c r="C21" s="223"/>
      <c r="D21" s="314"/>
      <c r="E21" s="315"/>
    </row>
    <row r="22" spans="1:5">
      <c r="A22" s="3" t="s">
        <v>1503</v>
      </c>
      <c r="B22" s="194">
        <v>702500</v>
      </c>
      <c r="C22" s="223">
        <v>-6482691</v>
      </c>
      <c r="D22" s="314"/>
      <c r="E22" s="315"/>
    </row>
    <row r="23" spans="1:5">
      <c r="A23" s="3" t="s">
        <v>1502</v>
      </c>
      <c r="B23" s="194">
        <v>0</v>
      </c>
      <c r="C23" s="223">
        <v>-43367001</v>
      </c>
      <c r="D23" s="314"/>
      <c r="E23" s="315"/>
    </row>
    <row r="24" spans="1:5" ht="16.8" thickBot="1">
      <c r="A24" s="5" t="s">
        <v>1501</v>
      </c>
      <c r="B24" s="214">
        <v>1460008</v>
      </c>
      <c r="C24" s="237"/>
      <c r="D24" s="316"/>
      <c r="E24" s="317"/>
    </row>
    <row r="25" spans="1:5">
      <c r="A25" t="s">
        <v>1541</v>
      </c>
    </row>
    <row r="26" spans="1:5">
      <c r="A26" t="s">
        <v>1553</v>
      </c>
    </row>
    <row r="27" spans="1:5">
      <c r="A27" s="193" t="s">
        <v>1545</v>
      </c>
      <c r="B27" s="193" t="s">
        <v>1543</v>
      </c>
      <c r="C27" s="194" t="s">
        <v>1524</v>
      </c>
      <c r="D27" s="225" t="s">
        <v>1540</v>
      </c>
      <c r="E27" s="194" t="s">
        <v>1539</v>
      </c>
    </row>
    <row r="28" spans="1:5">
      <c r="A28" s="193" t="s">
        <v>1538</v>
      </c>
      <c r="B28" s="221" t="s">
        <v>1544</v>
      </c>
      <c r="C28" s="194">
        <v>2000000</v>
      </c>
      <c r="D28" s="225">
        <v>100000</v>
      </c>
      <c r="E28" s="194">
        <f>C28+D28</f>
        <v>2100000</v>
      </c>
    </row>
    <row r="29" spans="1:5">
      <c r="A29" s="193" t="s">
        <v>1538</v>
      </c>
      <c r="B29" s="221" t="s">
        <v>1537</v>
      </c>
      <c r="C29" s="194">
        <v>2000000</v>
      </c>
      <c r="D29" s="225">
        <v>100000</v>
      </c>
      <c r="E29" s="194">
        <f>C29+D29</f>
        <v>2100000</v>
      </c>
    </row>
    <row r="30" spans="1:5">
      <c r="A30" s="193" t="s">
        <v>1538</v>
      </c>
      <c r="B30" s="221" t="s">
        <v>1537</v>
      </c>
      <c r="C30" s="194">
        <v>2500000</v>
      </c>
      <c r="D30" s="225">
        <v>125000</v>
      </c>
      <c r="E30" s="194">
        <f>C30+D30</f>
        <v>2625000</v>
      </c>
    </row>
    <row r="31" spans="1:5">
      <c r="A31" s="193" t="s">
        <v>1536</v>
      </c>
      <c r="B31" s="224" t="s">
        <v>1529</v>
      </c>
      <c r="C31" s="194">
        <v>2857143</v>
      </c>
      <c r="D31" s="225">
        <v>142857</v>
      </c>
      <c r="E31" s="194">
        <f>C31+D31</f>
        <v>3000000</v>
      </c>
    </row>
    <row r="32" spans="1:5" ht="16.8" thickBot="1">
      <c r="A32" s="226" t="s">
        <v>1370</v>
      </c>
      <c r="B32" s="227"/>
      <c r="C32" s="228">
        <f>SUM(C28:C31)</f>
        <v>9357143</v>
      </c>
      <c r="D32" s="228">
        <f t="shared" ref="D32:E32" si="0">SUM(D28:D31)</f>
        <v>467857</v>
      </c>
      <c r="E32" s="228">
        <f t="shared" si="0"/>
        <v>9825000</v>
      </c>
    </row>
    <row r="33" spans="1:5" ht="17.399999999999999" thickTop="1" thickBot="1">
      <c r="A33" s="229" t="s">
        <v>1547</v>
      </c>
      <c r="B33" s="230"/>
      <c r="C33" s="231">
        <f>C32/B16</f>
        <v>0.90344827719381682</v>
      </c>
      <c r="D33" s="232"/>
      <c r="E33" s="232"/>
    </row>
    <row r="34" spans="1:5" ht="16.8" thickTop="1">
      <c r="A34" t="s">
        <v>1554</v>
      </c>
    </row>
    <row r="35" spans="1:5">
      <c r="A35" s="193" t="s">
        <v>1545</v>
      </c>
      <c r="B35" s="193" t="s">
        <v>1543</v>
      </c>
      <c r="C35" s="194" t="s">
        <v>1524</v>
      </c>
      <c r="D35" s="225" t="s">
        <v>1540</v>
      </c>
      <c r="E35" s="194" t="s">
        <v>1539</v>
      </c>
    </row>
    <row r="36" spans="1:5">
      <c r="A36" s="193" t="s">
        <v>1535</v>
      </c>
      <c r="B36" s="194" t="s">
        <v>1529</v>
      </c>
      <c r="C36" s="194">
        <v>2857143</v>
      </c>
      <c r="D36" s="194">
        <v>142857</v>
      </c>
      <c r="E36" s="194">
        <f>C36+D36</f>
        <v>3000000</v>
      </c>
    </row>
    <row r="37" spans="1:5">
      <c r="A37" s="193" t="s">
        <v>1534</v>
      </c>
      <c r="B37" s="194" t="s">
        <v>1529</v>
      </c>
      <c r="C37" s="194">
        <v>2952381</v>
      </c>
      <c r="D37" s="194">
        <v>147619</v>
      </c>
      <c r="E37" s="194">
        <f>C37+D37</f>
        <v>3100000</v>
      </c>
    </row>
    <row r="38" spans="1:5">
      <c r="A38" s="193" t="s">
        <v>1534</v>
      </c>
      <c r="B38" s="194" t="s">
        <v>1529</v>
      </c>
      <c r="C38" s="194">
        <v>3809524</v>
      </c>
      <c r="D38" s="194">
        <v>190476</v>
      </c>
      <c r="E38" s="194">
        <f>C38+D38</f>
        <v>4000000</v>
      </c>
    </row>
    <row r="39" spans="1:5" ht="16.8" thickBot="1">
      <c r="A39" s="226" t="s">
        <v>1370</v>
      </c>
      <c r="B39" s="227"/>
      <c r="C39" s="228">
        <f>SUM(C36:C38)</f>
        <v>9619048</v>
      </c>
      <c r="D39" s="228">
        <f t="shared" ref="D39" si="1">SUM(D35:D38)</f>
        <v>480952</v>
      </c>
      <c r="E39" s="228">
        <f t="shared" ref="E39" si="2">SUM(E35:E38)</f>
        <v>10100000</v>
      </c>
    </row>
    <row r="40" spans="1:5" ht="17.399999999999999" thickTop="1" thickBot="1">
      <c r="A40" s="233" t="s">
        <v>1547</v>
      </c>
      <c r="B40" s="234"/>
      <c r="C40" s="235">
        <f>C39/B17</f>
        <v>1</v>
      </c>
      <c r="D40" s="236"/>
      <c r="E40" s="236"/>
    </row>
    <row r="41" spans="1:5" ht="16.8" thickTop="1">
      <c r="A41" t="s">
        <v>1555</v>
      </c>
    </row>
    <row r="42" spans="1:5">
      <c r="A42" s="193" t="s">
        <v>1545</v>
      </c>
      <c r="B42" s="193" t="s">
        <v>1543</v>
      </c>
      <c r="C42" s="194" t="s">
        <v>1524</v>
      </c>
      <c r="D42" s="225" t="s">
        <v>1540</v>
      </c>
      <c r="E42" s="194" t="s">
        <v>1539</v>
      </c>
    </row>
    <row r="43" spans="1:5">
      <c r="A43" s="193" t="s">
        <v>1533</v>
      </c>
      <c r="B43" s="194" t="s">
        <v>1529</v>
      </c>
      <c r="C43" s="194">
        <v>3809524</v>
      </c>
      <c r="D43" s="194">
        <v>190476</v>
      </c>
      <c r="E43" s="194">
        <f>C43+D43</f>
        <v>4000000</v>
      </c>
    </row>
    <row r="44" spans="1:5">
      <c r="A44" s="193" t="s">
        <v>1532</v>
      </c>
      <c r="B44" s="194" t="s">
        <v>1529</v>
      </c>
      <c r="C44" s="194">
        <v>3809524</v>
      </c>
      <c r="D44" s="194">
        <v>190476</v>
      </c>
      <c r="E44" s="194">
        <f>C44+D44</f>
        <v>4000000</v>
      </c>
    </row>
    <row r="45" spans="1:5">
      <c r="A45" s="193" t="s">
        <v>1532</v>
      </c>
      <c r="B45" s="194" t="s">
        <v>1529</v>
      </c>
      <c r="C45" s="194">
        <v>4761905</v>
      </c>
      <c r="D45" s="194">
        <v>238095</v>
      </c>
      <c r="E45" s="194">
        <f>C45+D45</f>
        <v>5000000</v>
      </c>
    </row>
    <row r="46" spans="1:5" ht="16.8" thickBot="1">
      <c r="A46" s="226" t="s">
        <v>1370</v>
      </c>
      <c r="B46" s="227"/>
      <c r="C46" s="228">
        <f>SUM(C43:C45)</f>
        <v>12380953</v>
      </c>
      <c r="D46" s="228">
        <f t="shared" ref="D46" si="3">SUM(D42:D45)</f>
        <v>619047</v>
      </c>
      <c r="E46" s="228">
        <f t="shared" ref="E46" si="4">SUM(E42:E45)</f>
        <v>13000000</v>
      </c>
    </row>
    <row r="47" spans="1:5" ht="17.399999999999999" thickTop="1" thickBot="1">
      <c r="A47" s="233" t="s">
        <v>1546</v>
      </c>
      <c r="B47" s="234"/>
      <c r="C47" s="235">
        <f>C46/B18</f>
        <v>1</v>
      </c>
      <c r="D47" s="236"/>
      <c r="E47" s="236"/>
    </row>
    <row r="48" spans="1:5" ht="16.8" thickTop="1">
      <c r="A48" s="239" t="s">
        <v>1556</v>
      </c>
    </row>
    <row r="49" spans="1:5">
      <c r="A49" s="193" t="s">
        <v>1545</v>
      </c>
      <c r="B49" s="193" t="s">
        <v>1543</v>
      </c>
      <c r="C49" s="194" t="s">
        <v>1524</v>
      </c>
      <c r="D49" s="225" t="s">
        <v>1540</v>
      </c>
      <c r="E49" s="194" t="s">
        <v>1539</v>
      </c>
    </row>
    <row r="50" spans="1:5">
      <c r="A50" s="193" t="s">
        <v>1531</v>
      </c>
      <c r="B50" s="194" t="s">
        <v>1529</v>
      </c>
      <c r="C50" s="194">
        <v>1142857</v>
      </c>
      <c r="D50" s="194">
        <v>57143</v>
      </c>
      <c r="E50" s="194">
        <f t="shared" ref="E50:E61" si="5">C50+D50</f>
        <v>1200000</v>
      </c>
    </row>
    <row r="51" spans="1:5">
      <c r="A51" s="193" t="s">
        <v>1531</v>
      </c>
      <c r="B51" s="194" t="s">
        <v>1529</v>
      </c>
      <c r="C51" s="194">
        <v>1428571</v>
      </c>
      <c r="D51" s="194">
        <v>71429</v>
      </c>
      <c r="E51" s="194">
        <f t="shared" si="5"/>
        <v>1500000</v>
      </c>
    </row>
    <row r="52" spans="1:5">
      <c r="A52" s="193" t="s">
        <v>1531</v>
      </c>
      <c r="B52" s="194" t="s">
        <v>1529</v>
      </c>
      <c r="C52" s="194">
        <v>952381</v>
      </c>
      <c r="D52" s="194">
        <v>47619</v>
      </c>
      <c r="E52" s="194">
        <f t="shared" si="5"/>
        <v>1000000</v>
      </c>
    </row>
    <row r="53" spans="1:5">
      <c r="A53" s="193" t="s">
        <v>1531</v>
      </c>
      <c r="B53" s="194" t="s">
        <v>1529</v>
      </c>
      <c r="C53" s="194">
        <v>1857143</v>
      </c>
      <c r="D53" s="194">
        <v>92857</v>
      </c>
      <c r="E53" s="194">
        <f t="shared" si="5"/>
        <v>1950000</v>
      </c>
    </row>
    <row r="54" spans="1:5">
      <c r="A54" s="193" t="s">
        <v>1531</v>
      </c>
      <c r="B54" s="194" t="s">
        <v>1529</v>
      </c>
      <c r="C54" s="194">
        <v>1285714</v>
      </c>
      <c r="D54" s="194">
        <v>64286</v>
      </c>
      <c r="E54" s="194">
        <f t="shared" si="5"/>
        <v>1350000</v>
      </c>
    </row>
    <row r="55" spans="1:5">
      <c r="A55" s="193" t="s">
        <v>1530</v>
      </c>
      <c r="B55" s="194" t="s">
        <v>1529</v>
      </c>
      <c r="C55" s="194">
        <v>1809524</v>
      </c>
      <c r="D55" s="194">
        <v>90476</v>
      </c>
      <c r="E55" s="194">
        <f t="shared" si="5"/>
        <v>1900000</v>
      </c>
    </row>
    <row r="56" spans="1:5">
      <c r="A56" s="193" t="s">
        <v>1530</v>
      </c>
      <c r="B56" s="194" t="s">
        <v>1529</v>
      </c>
      <c r="C56" s="194">
        <v>1523810</v>
      </c>
      <c r="D56" s="194">
        <v>76190</v>
      </c>
      <c r="E56" s="194">
        <f t="shared" si="5"/>
        <v>1600000</v>
      </c>
    </row>
    <row r="57" spans="1:5">
      <c r="A57" s="193" t="s">
        <v>1528</v>
      </c>
      <c r="B57" s="194" t="s">
        <v>1526</v>
      </c>
      <c r="C57" s="194">
        <v>1523810</v>
      </c>
      <c r="D57" s="194">
        <v>76190</v>
      </c>
      <c r="E57" s="194">
        <f t="shared" si="5"/>
        <v>1600000</v>
      </c>
    </row>
    <row r="58" spans="1:5">
      <c r="A58" s="193" t="s">
        <v>1528</v>
      </c>
      <c r="B58" s="194" t="s">
        <v>1526</v>
      </c>
      <c r="C58" s="194">
        <v>1742857</v>
      </c>
      <c r="D58" s="194">
        <v>87143</v>
      </c>
      <c r="E58" s="194">
        <f t="shared" si="5"/>
        <v>1830000</v>
      </c>
    </row>
    <row r="59" spans="1:5">
      <c r="A59" s="193" t="s">
        <v>1528</v>
      </c>
      <c r="B59" s="194" t="s">
        <v>1526</v>
      </c>
      <c r="C59" s="194">
        <v>1638095</v>
      </c>
      <c r="D59" s="194">
        <v>81905</v>
      </c>
      <c r="E59" s="194">
        <f t="shared" si="5"/>
        <v>1720000</v>
      </c>
    </row>
    <row r="60" spans="1:5">
      <c r="A60" s="193" t="s">
        <v>1528</v>
      </c>
      <c r="B60" s="194" t="s">
        <v>1526</v>
      </c>
      <c r="C60" s="194">
        <v>1285714</v>
      </c>
      <c r="D60" s="194">
        <v>64286</v>
      </c>
      <c r="E60" s="194">
        <f t="shared" si="5"/>
        <v>1350000</v>
      </c>
    </row>
    <row r="61" spans="1:5">
      <c r="A61" s="193" t="s">
        <v>1528</v>
      </c>
      <c r="B61" s="194" t="s">
        <v>1526</v>
      </c>
      <c r="C61" s="194">
        <v>1428571</v>
      </c>
      <c r="D61" s="194">
        <v>71429</v>
      </c>
      <c r="E61" s="194">
        <f t="shared" si="5"/>
        <v>1500000</v>
      </c>
    </row>
    <row r="62" spans="1:5" ht="16.8" thickBot="1">
      <c r="A62" s="226" t="s">
        <v>1370</v>
      </c>
      <c r="B62" s="227"/>
      <c r="C62" s="228">
        <f>SUM(C50:C61)</f>
        <v>17619047</v>
      </c>
      <c r="D62" s="228">
        <f t="shared" ref="D62" si="6">SUM(D58:D61)</f>
        <v>304763</v>
      </c>
      <c r="E62" s="228">
        <f t="shared" ref="E62" si="7">SUM(E58:E61)</f>
        <v>6400000</v>
      </c>
    </row>
    <row r="63" spans="1:5" ht="17.399999999999999" thickTop="1" thickBot="1">
      <c r="A63" s="233" t="s">
        <v>1546</v>
      </c>
      <c r="B63" s="234"/>
      <c r="C63" s="235">
        <f>C62/B19</f>
        <v>1</v>
      </c>
      <c r="D63" s="236"/>
      <c r="E63" s="236"/>
    </row>
    <row r="64" spans="1:5" ht="16.8" thickTop="1">
      <c r="A64" t="s">
        <v>1557</v>
      </c>
    </row>
    <row r="65" spans="1:5">
      <c r="A65" s="193" t="s">
        <v>1545</v>
      </c>
      <c r="B65" s="193" t="s">
        <v>1543</v>
      </c>
      <c r="C65" s="194" t="s">
        <v>1524</v>
      </c>
      <c r="D65" s="225" t="s">
        <v>1540</v>
      </c>
      <c r="E65" s="194" t="s">
        <v>1539</v>
      </c>
    </row>
    <row r="66" spans="1:5">
      <c r="A66" s="193" t="s">
        <v>1527</v>
      </c>
      <c r="B66" s="194" t="s">
        <v>1526</v>
      </c>
      <c r="C66" s="194">
        <v>763070</v>
      </c>
      <c r="D66" s="194">
        <v>38153</v>
      </c>
      <c r="E66" s="194">
        <f t="shared" ref="E66:E75" si="8">C66+D66</f>
        <v>801223</v>
      </c>
    </row>
    <row r="67" spans="1:5">
      <c r="A67" s="193" t="s">
        <v>1527</v>
      </c>
      <c r="B67" s="194" t="s">
        <v>1526</v>
      </c>
      <c r="C67" s="194">
        <v>741565</v>
      </c>
      <c r="D67" s="194">
        <v>37078</v>
      </c>
      <c r="E67" s="194">
        <f t="shared" si="8"/>
        <v>778643</v>
      </c>
    </row>
    <row r="68" spans="1:5">
      <c r="A68" s="193" t="s">
        <v>1527</v>
      </c>
      <c r="B68" s="194" t="s">
        <v>1526</v>
      </c>
      <c r="C68" s="194">
        <v>1050963</v>
      </c>
      <c r="D68" s="194">
        <v>52548</v>
      </c>
      <c r="E68" s="194">
        <f t="shared" si="8"/>
        <v>1103511</v>
      </c>
    </row>
    <row r="69" spans="1:5">
      <c r="A69" s="193" t="s">
        <v>1527</v>
      </c>
      <c r="B69" s="194" t="s">
        <v>1526</v>
      </c>
      <c r="C69" s="194">
        <v>821707</v>
      </c>
      <c r="D69" s="194">
        <v>41085</v>
      </c>
      <c r="E69" s="194">
        <f t="shared" si="8"/>
        <v>862792</v>
      </c>
    </row>
    <row r="70" spans="1:5">
      <c r="A70" s="193" t="s">
        <v>1527</v>
      </c>
      <c r="B70" s="194" t="s">
        <v>1526</v>
      </c>
      <c r="C70" s="194">
        <v>761325</v>
      </c>
      <c r="D70" s="194">
        <v>38066</v>
      </c>
      <c r="E70" s="194">
        <f t="shared" si="8"/>
        <v>799391</v>
      </c>
    </row>
    <row r="71" spans="1:5">
      <c r="A71" s="193" t="s">
        <v>1525</v>
      </c>
      <c r="B71" s="194" t="s">
        <v>1526</v>
      </c>
      <c r="C71" s="194">
        <v>769185</v>
      </c>
      <c r="D71" s="194">
        <v>38459</v>
      </c>
      <c r="E71" s="194">
        <f t="shared" si="8"/>
        <v>807644</v>
      </c>
    </row>
    <row r="72" spans="1:5">
      <c r="A72" s="193" t="s">
        <v>1525</v>
      </c>
      <c r="B72" s="194" t="s">
        <v>1526</v>
      </c>
      <c r="C72" s="194">
        <v>782932</v>
      </c>
      <c r="D72" s="194">
        <v>39147</v>
      </c>
      <c r="E72" s="194">
        <f t="shared" si="8"/>
        <v>822079</v>
      </c>
    </row>
    <row r="73" spans="1:5">
      <c r="A73" s="193" t="s">
        <v>1525</v>
      </c>
      <c r="B73" s="194" t="s">
        <v>1526</v>
      </c>
      <c r="C73" s="194">
        <v>857155</v>
      </c>
      <c r="D73" s="194">
        <v>42858</v>
      </c>
      <c r="E73" s="194">
        <f t="shared" si="8"/>
        <v>900013</v>
      </c>
    </row>
    <row r="74" spans="1:5">
      <c r="A74" s="193" t="s">
        <v>1525</v>
      </c>
      <c r="B74" s="194" t="s">
        <v>1526</v>
      </c>
      <c r="C74" s="194">
        <v>934803</v>
      </c>
      <c r="D74" s="194">
        <v>46740</v>
      </c>
      <c r="E74" s="194">
        <f t="shared" si="8"/>
        <v>981543</v>
      </c>
    </row>
    <row r="75" spans="1:5">
      <c r="A75" s="193" t="s">
        <v>1525</v>
      </c>
      <c r="B75" s="194" t="s">
        <v>1526</v>
      </c>
      <c r="C75" s="194">
        <v>825599</v>
      </c>
      <c r="D75" s="194">
        <v>41280</v>
      </c>
      <c r="E75" s="194">
        <f t="shared" si="8"/>
        <v>866879</v>
      </c>
    </row>
    <row r="76" spans="1:5" ht="16.8" thickBot="1">
      <c r="A76" s="226" t="s">
        <v>1370</v>
      </c>
      <c r="B76" s="227"/>
      <c r="C76" s="228">
        <f>SUM(C66:C75)</f>
        <v>8308304</v>
      </c>
      <c r="D76" s="228">
        <f t="shared" ref="D76" si="9">SUM(D72:D75)</f>
        <v>170025</v>
      </c>
      <c r="E76" s="228">
        <f t="shared" ref="E76" si="10">SUM(E72:E75)</f>
        <v>3570514</v>
      </c>
    </row>
    <row r="77" spans="1:5" ht="17.399999999999999" thickTop="1" thickBot="1">
      <c r="A77" s="233" t="s">
        <v>1546</v>
      </c>
      <c r="B77" s="234"/>
      <c r="C77" s="235">
        <f>C76/B20</f>
        <v>0.98337310435671133</v>
      </c>
      <c r="D77" s="236"/>
      <c r="E77" s="236"/>
    </row>
    <row r="78" spans="1:5" ht="16.8" thickTop="1"/>
  </sheetData>
  <mergeCells count="23">
    <mergeCell ref="D16:E16"/>
    <mergeCell ref="D2:E2"/>
    <mergeCell ref="D3:E3"/>
    <mergeCell ref="D4:E4"/>
    <mergeCell ref="D5:E5"/>
    <mergeCell ref="D6:E6"/>
    <mergeCell ref="D7:E7"/>
    <mergeCell ref="D8:E8"/>
    <mergeCell ref="D9:E9"/>
    <mergeCell ref="D10:E10"/>
    <mergeCell ref="D11:E11"/>
    <mergeCell ref="D12:E12"/>
    <mergeCell ref="D13:E13"/>
    <mergeCell ref="D14:E14"/>
    <mergeCell ref="D15:E15"/>
    <mergeCell ref="D23:E23"/>
    <mergeCell ref="D24:E24"/>
    <mergeCell ref="D17:E17"/>
    <mergeCell ref="D18:E18"/>
    <mergeCell ref="D19:E19"/>
    <mergeCell ref="D20:E20"/>
    <mergeCell ref="D21:E21"/>
    <mergeCell ref="D22:E22"/>
  </mergeCells>
  <phoneticPr fontId="1" type="noConversion"/>
  <pageMargins left="0.59055118110236227" right="0.35433070866141736" top="0.74803149606299213" bottom="0.74803149606299213" header="0.31496062992125984" footer="0.43307086614173229"/>
  <pageSetup paperSize="9" orientation="portrait" r:id="rId1"/>
  <headerFooter>
    <oddFooter>&amp;C&amp;P</oddFooter>
  </headerFooter>
</worksheet>
</file>

<file path=xl/worksheets/sheet12.xml><?xml version="1.0" encoding="utf-8"?>
<worksheet xmlns="http://schemas.openxmlformats.org/spreadsheetml/2006/main" xmlns:r="http://schemas.openxmlformats.org/officeDocument/2006/relationships">
  <sheetPr>
    <pageSetUpPr fitToPage="1"/>
  </sheetPr>
  <dimension ref="A1:I55"/>
  <sheetViews>
    <sheetView tabSelected="1" topLeftCell="A40" zoomScale="80" zoomScaleNormal="80" workbookViewId="0">
      <selection activeCell="K13" sqref="K13"/>
    </sheetView>
  </sheetViews>
  <sheetFormatPr defaultRowHeight="16.2"/>
  <cols>
    <col min="2" max="3" width="8.33203125" bestFit="1" customWidth="1"/>
    <col min="4" max="4" width="10.5546875" bestFit="1" customWidth="1"/>
    <col min="5" max="5" width="10.5546875" style="128" bestFit="1" customWidth="1"/>
    <col min="6" max="6" width="10.5546875" bestFit="1" customWidth="1"/>
    <col min="7" max="7" width="11.21875" style="126" bestFit="1" customWidth="1"/>
    <col min="8" max="8" width="22.21875" customWidth="1"/>
    <col min="9" max="9" width="3.88671875" bestFit="1" customWidth="1"/>
    <col min="10" max="10" width="8.33203125" bestFit="1" customWidth="1"/>
  </cols>
  <sheetData>
    <row r="1" spans="1:9" ht="22.2" customHeight="1" thickBot="1">
      <c r="A1" t="s">
        <v>1570</v>
      </c>
    </row>
    <row r="2" spans="1:9" ht="16.8" thickBot="1">
      <c r="A2" s="22" t="s">
        <v>16</v>
      </c>
      <c r="B2" s="23" t="s">
        <v>18</v>
      </c>
      <c r="C2" s="23" t="s">
        <v>19</v>
      </c>
      <c r="D2" s="23" t="s">
        <v>20</v>
      </c>
      <c r="E2" s="127" t="s">
        <v>21</v>
      </c>
      <c r="F2" s="23" t="s">
        <v>22</v>
      </c>
      <c r="G2" s="127" t="s">
        <v>23</v>
      </c>
      <c r="H2" s="155" t="s">
        <v>821</v>
      </c>
    </row>
    <row r="3" spans="1:9">
      <c r="A3" s="3">
        <v>1</v>
      </c>
      <c r="B3" s="1" t="s">
        <v>101</v>
      </c>
      <c r="C3" s="1" t="s">
        <v>1315</v>
      </c>
      <c r="D3" s="1" t="s">
        <v>102</v>
      </c>
      <c r="E3" s="147">
        <v>5000</v>
      </c>
      <c r="F3" s="1">
        <v>25</v>
      </c>
      <c r="G3" s="147">
        <v>125000</v>
      </c>
      <c r="H3" s="149"/>
    </row>
    <row r="4" spans="1:9">
      <c r="A4" s="3">
        <v>2</v>
      </c>
      <c r="B4" s="1" t="s">
        <v>1315</v>
      </c>
      <c r="C4" s="1" t="s">
        <v>101</v>
      </c>
      <c r="D4" s="1" t="s">
        <v>2</v>
      </c>
      <c r="E4" s="147">
        <v>-5000</v>
      </c>
      <c r="F4" s="1">
        <v>25</v>
      </c>
      <c r="G4" s="147">
        <v>-125000</v>
      </c>
      <c r="H4" s="150"/>
    </row>
    <row r="5" spans="1:9">
      <c r="A5" s="3">
        <v>3</v>
      </c>
      <c r="B5" s="1" t="s">
        <v>101</v>
      </c>
      <c r="C5" s="1" t="s">
        <v>1320</v>
      </c>
      <c r="D5" s="1" t="s">
        <v>102</v>
      </c>
      <c r="E5" s="147">
        <v>5000</v>
      </c>
      <c r="F5" s="1">
        <v>25</v>
      </c>
      <c r="G5" s="147">
        <v>125000</v>
      </c>
      <c r="H5" s="149"/>
      <c r="I5" s="125"/>
    </row>
    <row r="6" spans="1:9">
      <c r="A6" s="3">
        <v>4</v>
      </c>
      <c r="B6" s="1" t="s">
        <v>101</v>
      </c>
      <c r="C6" s="1" t="s">
        <v>1320</v>
      </c>
      <c r="D6" s="1" t="s">
        <v>35</v>
      </c>
      <c r="E6" s="147">
        <v>3000</v>
      </c>
      <c r="F6" s="1">
        <v>25</v>
      </c>
      <c r="G6" s="147">
        <v>75000</v>
      </c>
      <c r="H6" s="149"/>
      <c r="I6" s="125"/>
    </row>
    <row r="7" spans="1:9">
      <c r="A7" s="3">
        <v>5</v>
      </c>
      <c r="B7" s="1" t="s">
        <v>101</v>
      </c>
      <c r="C7" s="1" t="s">
        <v>1320</v>
      </c>
      <c r="D7" s="1" t="s">
        <v>88</v>
      </c>
      <c r="E7" s="147">
        <v>5000</v>
      </c>
      <c r="F7" s="1">
        <v>25</v>
      </c>
      <c r="G7" s="147">
        <v>125000</v>
      </c>
      <c r="H7" s="149"/>
    </row>
    <row r="8" spans="1:9">
      <c r="A8" s="3">
        <v>6</v>
      </c>
      <c r="B8" s="1" t="s">
        <v>101</v>
      </c>
      <c r="C8" s="1" t="s">
        <v>1320</v>
      </c>
      <c r="D8" s="1" t="s">
        <v>105</v>
      </c>
      <c r="E8" s="147">
        <v>4000</v>
      </c>
      <c r="F8" s="1">
        <v>25</v>
      </c>
      <c r="G8" s="147">
        <v>100000</v>
      </c>
      <c r="H8" s="149"/>
    </row>
    <row r="9" spans="1:9">
      <c r="A9" s="3">
        <v>7</v>
      </c>
      <c r="B9" s="11" t="s">
        <v>101</v>
      </c>
      <c r="C9" s="11" t="s">
        <v>1313</v>
      </c>
      <c r="D9" s="11" t="s">
        <v>65</v>
      </c>
      <c r="E9" s="153">
        <v>2000</v>
      </c>
      <c r="F9" s="11">
        <v>67</v>
      </c>
      <c r="G9" s="153">
        <v>134000</v>
      </c>
      <c r="H9" s="154"/>
    </row>
    <row r="10" spans="1:9">
      <c r="A10" s="3">
        <v>8</v>
      </c>
      <c r="B10" s="1" t="s">
        <v>101</v>
      </c>
      <c r="C10" s="1" t="s">
        <v>825</v>
      </c>
      <c r="D10" s="1" t="s">
        <v>58</v>
      </c>
      <c r="E10" s="147">
        <v>2000</v>
      </c>
      <c r="F10" s="1">
        <v>67</v>
      </c>
      <c r="G10" s="147">
        <v>134000</v>
      </c>
      <c r="H10" s="149"/>
    </row>
    <row r="11" spans="1:9" ht="86.4" customHeight="1">
      <c r="A11" s="3">
        <v>9</v>
      </c>
      <c r="B11" s="1" t="s">
        <v>1315</v>
      </c>
      <c r="C11" s="1" t="s">
        <v>1342</v>
      </c>
      <c r="D11" s="1" t="s">
        <v>100</v>
      </c>
      <c r="E11" s="147">
        <v>1000</v>
      </c>
      <c r="F11" s="1">
        <v>67</v>
      </c>
      <c r="G11" s="147">
        <v>67000</v>
      </c>
      <c r="H11" s="150" t="s">
        <v>1344</v>
      </c>
    </row>
    <row r="12" spans="1:9">
      <c r="A12" s="3">
        <v>10</v>
      </c>
      <c r="B12" s="1" t="s">
        <v>101</v>
      </c>
      <c r="C12" s="1" t="s">
        <v>1316</v>
      </c>
      <c r="D12" s="1" t="s">
        <v>103</v>
      </c>
      <c r="E12" s="147">
        <v>3000</v>
      </c>
      <c r="F12" s="1">
        <v>67</v>
      </c>
      <c r="G12" s="147">
        <v>201000</v>
      </c>
      <c r="H12" s="149"/>
    </row>
    <row r="13" spans="1:9">
      <c r="A13" s="3">
        <v>11</v>
      </c>
      <c r="B13" s="1" t="s">
        <v>101</v>
      </c>
      <c r="C13" s="1" t="s">
        <v>1317</v>
      </c>
      <c r="D13" s="1" t="s">
        <v>59</v>
      </c>
      <c r="E13" s="147">
        <v>1000</v>
      </c>
      <c r="F13" s="1">
        <v>67</v>
      </c>
      <c r="G13" s="147">
        <v>67000</v>
      </c>
      <c r="H13" s="149"/>
    </row>
    <row r="14" spans="1:9">
      <c r="A14" s="3">
        <v>12</v>
      </c>
      <c r="B14" s="1" t="s">
        <v>101</v>
      </c>
      <c r="C14" s="1" t="s">
        <v>1318</v>
      </c>
      <c r="D14" s="1" t="s">
        <v>405</v>
      </c>
      <c r="E14" s="147">
        <v>2000</v>
      </c>
      <c r="F14" s="1">
        <v>67</v>
      </c>
      <c r="G14" s="147">
        <v>134000</v>
      </c>
      <c r="H14" s="149"/>
    </row>
    <row r="15" spans="1:9">
      <c r="A15" s="108">
        <v>13</v>
      </c>
      <c r="B15" s="111" t="s">
        <v>101</v>
      </c>
      <c r="C15" s="111" t="s">
        <v>1319</v>
      </c>
      <c r="D15" s="111" t="s">
        <v>2</v>
      </c>
      <c r="E15" s="148">
        <v>5000</v>
      </c>
      <c r="F15" s="111">
        <v>67</v>
      </c>
      <c r="G15" s="148">
        <v>335000</v>
      </c>
      <c r="H15" s="151" t="s">
        <v>1354</v>
      </c>
      <c r="I15" s="125"/>
    </row>
    <row r="16" spans="1:9">
      <c r="A16" s="3">
        <v>14</v>
      </c>
      <c r="B16" s="1" t="s">
        <v>101</v>
      </c>
      <c r="C16" s="1" t="s">
        <v>1321</v>
      </c>
      <c r="D16" s="1" t="s">
        <v>61</v>
      </c>
      <c r="E16" s="147">
        <v>1000</v>
      </c>
      <c r="F16" s="1">
        <v>67</v>
      </c>
      <c r="G16" s="147">
        <v>67000</v>
      </c>
      <c r="H16" s="149"/>
    </row>
    <row r="17" spans="1:8">
      <c r="A17" s="3">
        <v>15</v>
      </c>
      <c r="B17" s="1" t="s">
        <v>101</v>
      </c>
      <c r="C17" s="1" t="s">
        <v>881</v>
      </c>
      <c r="D17" s="1" t="s">
        <v>6</v>
      </c>
      <c r="E17" s="147">
        <v>1000</v>
      </c>
      <c r="F17" s="1">
        <v>67</v>
      </c>
      <c r="G17" s="147">
        <v>67000</v>
      </c>
      <c r="H17" s="149"/>
    </row>
    <row r="18" spans="1:8">
      <c r="A18" s="3">
        <v>16</v>
      </c>
      <c r="B18" s="1" t="s">
        <v>101</v>
      </c>
      <c r="C18" s="1" t="s">
        <v>207</v>
      </c>
      <c r="D18" s="1" t="s">
        <v>104</v>
      </c>
      <c r="E18" s="147">
        <v>2000</v>
      </c>
      <c r="F18" s="1">
        <v>67</v>
      </c>
      <c r="G18" s="147">
        <v>134000</v>
      </c>
      <c r="H18" s="149"/>
    </row>
    <row r="19" spans="1:8">
      <c r="A19" s="3">
        <v>17</v>
      </c>
      <c r="B19" s="1" t="s">
        <v>101</v>
      </c>
      <c r="C19" s="1" t="s">
        <v>213</v>
      </c>
      <c r="D19" s="1" t="s">
        <v>132</v>
      </c>
      <c r="E19" s="147">
        <v>2000</v>
      </c>
      <c r="F19" s="1">
        <v>67</v>
      </c>
      <c r="G19" s="147">
        <v>134000</v>
      </c>
      <c r="H19" s="149"/>
    </row>
    <row r="20" spans="1:8">
      <c r="A20" s="3">
        <v>18</v>
      </c>
      <c r="B20" s="1" t="s">
        <v>101</v>
      </c>
      <c r="C20" s="1" t="s">
        <v>213</v>
      </c>
      <c r="D20" s="1" t="s">
        <v>4</v>
      </c>
      <c r="E20" s="147">
        <v>3000</v>
      </c>
      <c r="F20" s="1">
        <v>67</v>
      </c>
      <c r="G20" s="147">
        <v>201000</v>
      </c>
      <c r="H20" s="149"/>
    </row>
    <row r="21" spans="1:8">
      <c r="A21" s="3">
        <v>19</v>
      </c>
      <c r="B21" s="1" t="s">
        <v>101</v>
      </c>
      <c r="C21" s="1" t="s">
        <v>248</v>
      </c>
      <c r="D21" s="1" t="s">
        <v>26</v>
      </c>
      <c r="E21" s="147">
        <v>1000</v>
      </c>
      <c r="F21" s="1">
        <v>67</v>
      </c>
      <c r="G21" s="147">
        <v>67000</v>
      </c>
      <c r="H21" s="149"/>
    </row>
    <row r="22" spans="1:8">
      <c r="A22" s="3">
        <v>20</v>
      </c>
      <c r="B22" s="1" t="s">
        <v>101</v>
      </c>
      <c r="C22" s="1" t="s">
        <v>1323</v>
      </c>
      <c r="D22" s="1" t="s">
        <v>98</v>
      </c>
      <c r="E22" s="147">
        <v>1000</v>
      </c>
      <c r="F22" s="1">
        <v>67</v>
      </c>
      <c r="G22" s="147">
        <v>67000</v>
      </c>
      <c r="H22" s="149"/>
    </row>
    <row r="23" spans="1:8">
      <c r="A23" s="3">
        <v>21</v>
      </c>
      <c r="B23" s="1" t="s">
        <v>101</v>
      </c>
      <c r="C23" s="1" t="s">
        <v>843</v>
      </c>
      <c r="D23" s="1" t="s">
        <v>64</v>
      </c>
      <c r="E23" s="147">
        <v>1000</v>
      </c>
      <c r="F23" s="1">
        <v>67</v>
      </c>
      <c r="G23" s="147">
        <v>67000</v>
      </c>
      <c r="H23" s="149"/>
    </row>
    <row r="24" spans="1:8">
      <c r="A24" s="108">
        <v>22</v>
      </c>
      <c r="B24" s="111" t="s">
        <v>101</v>
      </c>
      <c r="C24" s="111" t="s">
        <v>1324</v>
      </c>
      <c r="D24" s="111" t="s">
        <v>89</v>
      </c>
      <c r="E24" s="148">
        <v>5000</v>
      </c>
      <c r="F24" s="111">
        <v>67</v>
      </c>
      <c r="G24" s="148">
        <v>335000</v>
      </c>
      <c r="H24" s="151" t="s">
        <v>1354</v>
      </c>
    </row>
    <row r="25" spans="1:8">
      <c r="A25" s="108">
        <v>23</v>
      </c>
      <c r="B25" s="111" t="s">
        <v>101</v>
      </c>
      <c r="C25" s="111" t="s">
        <v>1326</v>
      </c>
      <c r="D25" s="111" t="s">
        <v>26</v>
      </c>
      <c r="E25" s="148">
        <v>6000</v>
      </c>
      <c r="F25" s="111">
        <v>67</v>
      </c>
      <c r="G25" s="148">
        <v>402000</v>
      </c>
      <c r="H25" s="151" t="s">
        <v>1354</v>
      </c>
    </row>
    <row r="26" spans="1:8">
      <c r="A26" s="108">
        <v>24</v>
      </c>
      <c r="B26" s="111" t="s">
        <v>101</v>
      </c>
      <c r="C26" s="111" t="s">
        <v>1328</v>
      </c>
      <c r="D26" s="111" t="s">
        <v>43</v>
      </c>
      <c r="E26" s="148">
        <v>3000</v>
      </c>
      <c r="F26" s="111">
        <v>67</v>
      </c>
      <c r="G26" s="148">
        <v>201000</v>
      </c>
      <c r="H26" s="151" t="s">
        <v>1354</v>
      </c>
    </row>
    <row r="27" spans="1:8">
      <c r="A27" s="3">
        <v>25</v>
      </c>
      <c r="B27" s="1" t="s">
        <v>101</v>
      </c>
      <c r="C27" s="1" t="s">
        <v>1329</v>
      </c>
      <c r="D27" s="1" t="s">
        <v>44</v>
      </c>
      <c r="E27" s="147">
        <v>5000</v>
      </c>
      <c r="F27" s="1">
        <v>67</v>
      </c>
      <c r="G27" s="147">
        <v>335000</v>
      </c>
      <c r="H27" s="149"/>
    </row>
    <row r="28" spans="1:8">
      <c r="A28" s="108">
        <v>26</v>
      </c>
      <c r="B28" s="111" t="s">
        <v>101</v>
      </c>
      <c r="C28" s="111" t="s">
        <v>1330</v>
      </c>
      <c r="D28" s="111" t="s">
        <v>133</v>
      </c>
      <c r="E28" s="148">
        <v>4000</v>
      </c>
      <c r="F28" s="111">
        <v>67</v>
      </c>
      <c r="G28" s="148">
        <v>268000</v>
      </c>
      <c r="H28" s="151" t="s">
        <v>1354</v>
      </c>
    </row>
    <row r="29" spans="1:8">
      <c r="A29" s="3">
        <v>27</v>
      </c>
      <c r="B29" s="1" t="s">
        <v>101</v>
      </c>
      <c r="C29" s="1" t="s">
        <v>264</v>
      </c>
      <c r="D29" s="1" t="s">
        <v>43</v>
      </c>
      <c r="E29" s="147">
        <v>2000</v>
      </c>
      <c r="F29" s="1">
        <v>67</v>
      </c>
      <c r="G29" s="147">
        <v>134000</v>
      </c>
      <c r="H29" s="149"/>
    </row>
    <row r="30" spans="1:8">
      <c r="A30" s="3">
        <v>28</v>
      </c>
      <c r="B30" s="1" t="s">
        <v>101</v>
      </c>
      <c r="C30" s="1" t="s">
        <v>264</v>
      </c>
      <c r="D30" s="1" t="s">
        <v>44</v>
      </c>
      <c r="E30" s="147">
        <v>3000</v>
      </c>
      <c r="F30" s="1">
        <v>67</v>
      </c>
      <c r="G30" s="147">
        <v>201000</v>
      </c>
      <c r="H30" s="149"/>
    </row>
    <row r="31" spans="1:8">
      <c r="A31" s="3">
        <v>29</v>
      </c>
      <c r="B31" s="1" t="s">
        <v>101</v>
      </c>
      <c r="C31" s="1" t="s">
        <v>264</v>
      </c>
      <c r="D31" s="1" t="s">
        <v>47</v>
      </c>
      <c r="E31" s="147">
        <v>3000</v>
      </c>
      <c r="F31" s="1">
        <v>67</v>
      </c>
      <c r="G31" s="147">
        <v>201000</v>
      </c>
      <c r="H31" s="149"/>
    </row>
    <row r="32" spans="1:8">
      <c r="A32" s="3">
        <v>30</v>
      </c>
      <c r="B32" s="1" t="s">
        <v>101</v>
      </c>
      <c r="C32" s="1" t="s">
        <v>849</v>
      </c>
      <c r="D32" s="1" t="s">
        <v>26</v>
      </c>
      <c r="E32" s="147">
        <v>15000</v>
      </c>
      <c r="F32" s="1">
        <v>67</v>
      </c>
      <c r="G32" s="147">
        <v>1005000</v>
      </c>
      <c r="H32" s="149"/>
    </row>
    <row r="33" spans="1:8">
      <c r="A33" s="3">
        <v>31</v>
      </c>
      <c r="B33" s="1" t="s">
        <v>101</v>
      </c>
      <c r="C33" s="1" t="s">
        <v>1331</v>
      </c>
      <c r="D33" s="1" t="s">
        <v>59</v>
      </c>
      <c r="E33" s="147">
        <v>3000</v>
      </c>
      <c r="F33" s="1">
        <v>67</v>
      </c>
      <c r="G33" s="147">
        <v>201000</v>
      </c>
      <c r="H33" s="149"/>
    </row>
    <row r="34" spans="1:8">
      <c r="A34" s="3">
        <v>32</v>
      </c>
      <c r="B34" s="1" t="s">
        <v>101</v>
      </c>
      <c r="C34" s="1" t="s">
        <v>1332</v>
      </c>
      <c r="D34" s="1" t="s">
        <v>56</v>
      </c>
      <c r="E34" s="147">
        <v>5000</v>
      </c>
      <c r="F34" s="1">
        <v>67</v>
      </c>
      <c r="G34" s="147">
        <v>335000</v>
      </c>
      <c r="H34" s="149"/>
    </row>
    <row r="35" spans="1:8">
      <c r="A35" s="3">
        <v>33</v>
      </c>
      <c r="B35" s="1" t="s">
        <v>101</v>
      </c>
      <c r="C35" s="1" t="s">
        <v>1333</v>
      </c>
      <c r="D35" s="1" t="s">
        <v>43</v>
      </c>
      <c r="E35" s="147">
        <v>2000</v>
      </c>
      <c r="F35" s="1">
        <v>67</v>
      </c>
      <c r="G35" s="147">
        <v>134000</v>
      </c>
      <c r="H35" s="149"/>
    </row>
    <row r="36" spans="1:8">
      <c r="A36" s="3">
        <v>34</v>
      </c>
      <c r="B36" s="1" t="s">
        <v>101</v>
      </c>
      <c r="C36" s="1" t="s">
        <v>1333</v>
      </c>
      <c r="D36" s="1" t="s">
        <v>104</v>
      </c>
      <c r="E36" s="147">
        <v>2000</v>
      </c>
      <c r="F36" s="1">
        <v>67</v>
      </c>
      <c r="G36" s="147">
        <v>134000</v>
      </c>
      <c r="H36" s="149"/>
    </row>
    <row r="37" spans="1:8">
      <c r="A37" s="108">
        <v>35</v>
      </c>
      <c r="B37" s="111" t="s">
        <v>101</v>
      </c>
      <c r="C37" s="111" t="s">
        <v>1893</v>
      </c>
      <c r="D37" s="111" t="s">
        <v>738</v>
      </c>
      <c r="E37" s="148">
        <v>5000</v>
      </c>
      <c r="F37" s="111">
        <v>67</v>
      </c>
      <c r="G37" s="148">
        <v>335000</v>
      </c>
      <c r="H37" s="151" t="s">
        <v>1354</v>
      </c>
    </row>
    <row r="38" spans="1:8">
      <c r="A38" s="108">
        <v>36</v>
      </c>
      <c r="B38" s="111" t="s">
        <v>101</v>
      </c>
      <c r="C38" s="111" t="s">
        <v>1334</v>
      </c>
      <c r="D38" s="111" t="s">
        <v>45</v>
      </c>
      <c r="E38" s="148">
        <v>10000</v>
      </c>
      <c r="F38" s="111">
        <v>67</v>
      </c>
      <c r="G38" s="148">
        <v>670000</v>
      </c>
      <c r="H38" s="151" t="s">
        <v>1354</v>
      </c>
    </row>
    <row r="39" spans="1:8">
      <c r="A39" s="3">
        <v>37</v>
      </c>
      <c r="B39" s="1" t="s">
        <v>101</v>
      </c>
      <c r="C39" s="1" t="s">
        <v>861</v>
      </c>
      <c r="D39" s="1" t="s">
        <v>58</v>
      </c>
      <c r="E39" s="147">
        <v>1000</v>
      </c>
      <c r="F39" s="1">
        <v>67</v>
      </c>
      <c r="G39" s="147">
        <v>67000</v>
      </c>
      <c r="H39" s="149"/>
    </row>
    <row r="40" spans="1:8">
      <c r="A40" s="3">
        <v>38</v>
      </c>
      <c r="B40" s="1" t="s">
        <v>101</v>
      </c>
      <c r="C40" s="1" t="s">
        <v>540</v>
      </c>
      <c r="D40" s="1" t="s">
        <v>56</v>
      </c>
      <c r="E40" s="147">
        <v>1000</v>
      </c>
      <c r="F40" s="1">
        <v>67</v>
      </c>
      <c r="G40" s="147">
        <v>67000</v>
      </c>
      <c r="H40" s="149"/>
    </row>
    <row r="41" spans="1:8">
      <c r="A41" s="108">
        <v>39</v>
      </c>
      <c r="B41" s="111" t="s">
        <v>1336</v>
      </c>
      <c r="C41" s="111" t="s">
        <v>1335</v>
      </c>
      <c r="D41" s="111" t="s">
        <v>37</v>
      </c>
      <c r="E41" s="148">
        <v>2000</v>
      </c>
      <c r="F41" s="111">
        <v>67</v>
      </c>
      <c r="G41" s="148">
        <v>134000</v>
      </c>
      <c r="H41" s="151" t="s">
        <v>1354</v>
      </c>
    </row>
    <row r="42" spans="1:8">
      <c r="A42" s="3">
        <v>40</v>
      </c>
      <c r="B42" s="1" t="s">
        <v>101</v>
      </c>
      <c r="C42" s="1" t="s">
        <v>1337</v>
      </c>
      <c r="D42" s="1" t="s">
        <v>63</v>
      </c>
      <c r="E42" s="147">
        <v>1000</v>
      </c>
      <c r="F42" s="1">
        <v>67</v>
      </c>
      <c r="G42" s="147">
        <v>67000</v>
      </c>
      <c r="H42" s="149"/>
    </row>
    <row r="43" spans="1:8">
      <c r="A43" s="3">
        <v>41</v>
      </c>
      <c r="B43" s="1" t="s">
        <v>101</v>
      </c>
      <c r="C43" s="1" t="s">
        <v>1314</v>
      </c>
      <c r="D43" s="1" t="s">
        <v>95</v>
      </c>
      <c r="E43" s="147">
        <v>1000</v>
      </c>
      <c r="F43" s="1">
        <v>68</v>
      </c>
      <c r="G43" s="147">
        <v>68000</v>
      </c>
      <c r="H43" s="149"/>
    </row>
    <row r="44" spans="1:8">
      <c r="A44" s="3">
        <v>42</v>
      </c>
      <c r="B44" s="1" t="s">
        <v>101</v>
      </c>
      <c r="C44" s="1" t="s">
        <v>1325</v>
      </c>
      <c r="D44" s="1" t="s">
        <v>131</v>
      </c>
      <c r="E44" s="147">
        <v>5000</v>
      </c>
      <c r="F44" s="1">
        <v>68</v>
      </c>
      <c r="G44" s="147">
        <v>340000</v>
      </c>
      <c r="H44" s="149"/>
    </row>
    <row r="45" spans="1:8">
      <c r="A45" s="3">
        <v>43</v>
      </c>
      <c r="B45" s="1" t="s">
        <v>101</v>
      </c>
      <c r="C45" s="1" t="s">
        <v>889</v>
      </c>
      <c r="D45" s="1" t="s">
        <v>45</v>
      </c>
      <c r="E45" s="147">
        <v>3000</v>
      </c>
      <c r="F45" s="1">
        <v>68</v>
      </c>
      <c r="G45" s="147">
        <v>204000</v>
      </c>
      <c r="H45" s="149"/>
    </row>
    <row r="46" spans="1:8">
      <c r="A46" s="3">
        <v>44</v>
      </c>
      <c r="B46" s="1" t="s">
        <v>101</v>
      </c>
      <c r="C46" s="1" t="s">
        <v>1327</v>
      </c>
      <c r="D46" s="1" t="s">
        <v>713</v>
      </c>
      <c r="E46" s="147">
        <v>5000</v>
      </c>
      <c r="F46" s="1">
        <v>68</v>
      </c>
      <c r="G46" s="147">
        <v>340000</v>
      </c>
      <c r="H46" s="149"/>
    </row>
    <row r="47" spans="1:8">
      <c r="A47" s="3">
        <v>45</v>
      </c>
      <c r="B47" s="1" t="s">
        <v>101</v>
      </c>
      <c r="C47" s="1" t="s">
        <v>1322</v>
      </c>
      <c r="D47" s="1" t="s">
        <v>712</v>
      </c>
      <c r="E47" s="147">
        <v>1000</v>
      </c>
      <c r="F47" s="1">
        <v>68</v>
      </c>
      <c r="G47" s="147">
        <v>68000</v>
      </c>
      <c r="H47" s="149"/>
    </row>
    <row r="48" spans="1:8" ht="22.2" customHeight="1">
      <c r="A48" s="108">
        <v>46</v>
      </c>
      <c r="B48" s="111" t="s">
        <v>1315</v>
      </c>
      <c r="C48" s="111" t="s">
        <v>1338</v>
      </c>
      <c r="D48" s="111" t="s">
        <v>105</v>
      </c>
      <c r="E48" s="148">
        <v>5000</v>
      </c>
      <c r="F48" s="111">
        <v>69</v>
      </c>
      <c r="G48" s="148">
        <v>345000</v>
      </c>
      <c r="H48" s="322" t="s">
        <v>1353</v>
      </c>
    </row>
    <row r="49" spans="1:8" ht="22.2" customHeight="1">
      <c r="A49" s="108">
        <v>47</v>
      </c>
      <c r="B49" s="111" t="s">
        <v>1315</v>
      </c>
      <c r="C49" s="111" t="s">
        <v>1339</v>
      </c>
      <c r="D49" s="111" t="s">
        <v>105</v>
      </c>
      <c r="E49" s="148">
        <v>4000</v>
      </c>
      <c r="F49" s="111">
        <v>69</v>
      </c>
      <c r="G49" s="148">
        <v>276000</v>
      </c>
      <c r="H49" s="322"/>
    </row>
    <row r="50" spans="1:8" ht="22.2" customHeight="1">
      <c r="A50" s="108">
        <v>48</v>
      </c>
      <c r="B50" s="111" t="s">
        <v>1315</v>
      </c>
      <c r="C50" s="111" t="s">
        <v>1340</v>
      </c>
      <c r="D50" s="111" t="s">
        <v>105</v>
      </c>
      <c r="E50" s="148">
        <v>7000</v>
      </c>
      <c r="F50" s="111">
        <v>69</v>
      </c>
      <c r="G50" s="148">
        <v>483000</v>
      </c>
      <c r="H50" s="322"/>
    </row>
    <row r="51" spans="1:8" ht="22.2" customHeight="1">
      <c r="A51" s="108">
        <v>49</v>
      </c>
      <c r="B51" s="111" t="s">
        <v>1315</v>
      </c>
      <c r="C51" s="111" t="s">
        <v>1341</v>
      </c>
      <c r="D51" s="111" t="s">
        <v>105</v>
      </c>
      <c r="E51" s="148">
        <v>5000</v>
      </c>
      <c r="F51" s="111">
        <v>69</v>
      </c>
      <c r="G51" s="148">
        <v>345000</v>
      </c>
      <c r="H51" s="322"/>
    </row>
    <row r="52" spans="1:8" ht="22.2" customHeight="1">
      <c r="A52" s="108">
        <v>50</v>
      </c>
      <c r="B52" s="111" t="s">
        <v>1315</v>
      </c>
      <c r="C52" s="111" t="s">
        <v>1343</v>
      </c>
      <c r="D52" s="111" t="s">
        <v>105</v>
      </c>
      <c r="E52" s="148">
        <v>2000</v>
      </c>
      <c r="F52" s="111">
        <v>69</v>
      </c>
      <c r="G52" s="148">
        <v>138000</v>
      </c>
      <c r="H52" s="322"/>
    </row>
    <row r="53" spans="1:8" ht="16.8" thickBot="1">
      <c r="A53" s="5"/>
      <c r="B53" s="6"/>
      <c r="C53" s="6"/>
      <c r="D53" s="7" t="s">
        <v>24</v>
      </c>
      <c r="E53" s="8">
        <f>SUM(E3:E52)</f>
        <v>161000</v>
      </c>
      <c r="F53" s="6"/>
      <c r="G53" s="8">
        <f>SUM(G3:G52)</f>
        <v>10134000</v>
      </c>
      <c r="H53" s="152"/>
    </row>
    <row r="54" spans="1:8">
      <c r="A54" s="156" t="s">
        <v>824</v>
      </c>
      <c r="B54" s="63" t="s">
        <v>1355</v>
      </c>
    </row>
    <row r="55" spans="1:8" ht="52.8" customHeight="1">
      <c r="A55" s="156" t="s">
        <v>1238</v>
      </c>
      <c r="B55" s="285" t="s">
        <v>1572</v>
      </c>
      <c r="C55" s="285"/>
      <c r="D55" s="285"/>
      <c r="E55" s="285"/>
      <c r="F55" s="285"/>
      <c r="G55" s="285"/>
      <c r="H55" s="285"/>
    </row>
  </sheetData>
  <mergeCells count="2">
    <mergeCell ref="H48:H52"/>
    <mergeCell ref="B55:H55"/>
  </mergeCells>
  <phoneticPr fontId="1" type="noConversion"/>
  <pageMargins left="0.70866141732283472" right="0.31496062992125984" top="0.74803149606299213" bottom="0.74803149606299213" header="0.31496062992125984" footer="0.31496062992125984"/>
  <pageSetup paperSize="9" scale="97" fitToHeight="2"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12</vt:i4>
      </vt:variant>
      <vt:variant>
        <vt:lpstr>已命名的範圍</vt:lpstr>
      </vt:variant>
      <vt:variant>
        <vt:i4>9</vt:i4>
      </vt:variant>
    </vt:vector>
  </HeadingPairs>
  <TitlesOfParts>
    <vt:vector size="21" baseType="lpstr">
      <vt:lpstr>附表一</vt:lpstr>
      <vt:lpstr>附表二</vt:lpstr>
      <vt:lpstr>附表三</vt:lpstr>
      <vt:lpstr>附表四</vt:lpstr>
      <vt:lpstr>附表五</vt:lpstr>
      <vt:lpstr>附表六</vt:lpstr>
      <vt:lpstr>附表七</vt:lpstr>
      <vt:lpstr>附表八</vt:lpstr>
      <vt:lpstr>附表九</vt:lpstr>
      <vt:lpstr>附表十</vt:lpstr>
      <vt:lpstr>附表十一</vt:lpstr>
      <vt:lpstr>附表十二</vt:lpstr>
      <vt:lpstr>附表一!Print_Area</vt:lpstr>
      <vt:lpstr>附表一!Print_Titles</vt:lpstr>
      <vt:lpstr>附表七!Print_Titles</vt:lpstr>
      <vt:lpstr>附表八!Print_Titles</vt:lpstr>
      <vt:lpstr>附表十!Print_Titles</vt:lpstr>
      <vt:lpstr>附表十二!Print_Titles</vt:lpstr>
      <vt:lpstr>附表五!Print_Titles</vt:lpstr>
      <vt:lpstr>附表六!Print_Titles</vt:lpstr>
      <vt:lpstr>附表四!Print_Titles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 </cp:lastModifiedBy>
  <cp:lastPrinted>2016-04-29T06:45:34Z</cp:lastPrinted>
  <dcterms:created xsi:type="dcterms:W3CDTF">2016-02-02T06:25:39Z</dcterms:created>
  <dcterms:modified xsi:type="dcterms:W3CDTF">2016-04-29T07:35:01Z</dcterms:modified>
</cp:coreProperties>
</file>