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92" windowWidth="14808" windowHeight="7920" tabRatio="903"/>
  </bookViews>
  <sheets>
    <sheet name="犯罪所得統計" sheetId="11" r:id="rId1"/>
    <sheet name="國泰當鋪" sheetId="6" r:id="rId2"/>
    <sheet name="元崗當鋪" sheetId="8" r:id="rId3"/>
    <sheet name="蕭睿軒非免訴部分" sheetId="27" r:id="rId4"/>
    <sheet name="元喆當鋪" sheetId="9" r:id="rId5"/>
    <sheet name="元一當鋪" sheetId="10" r:id="rId6"/>
    <sheet name="合豐當鋪" sheetId="26" r:id="rId7"/>
    <sheet name="瑞誠當鋪" sheetId="15" r:id="rId8"/>
    <sheet name="依被害人證述計算" sheetId="5" r:id="rId9"/>
  </sheets>
  <definedNames>
    <definedName name="_xlnm._FilterDatabase" localSheetId="2" hidden="1">元崗當鋪!$A$1:$F$1314</definedName>
    <definedName name="_xlnm._FilterDatabase" localSheetId="4" hidden="1">元喆當鋪!$A$1:$G$590</definedName>
    <definedName name="_xlnm._FilterDatabase" localSheetId="6" hidden="1">合豐當鋪!$A$1:$M$465</definedName>
    <definedName name="_xlnm._FilterDatabase" localSheetId="1" hidden="1">國泰當鋪!$A$1:$M$1</definedName>
    <definedName name="_xlnm._FilterDatabase" localSheetId="7" hidden="1">瑞誠當鋪!$A$1:$L$2755</definedName>
    <definedName name="_xlnm._FilterDatabase" localSheetId="3" hidden="1">蕭睿軒非免訴部分!$A$1:$F$438</definedName>
    <definedName name="_xlnm.Print_Titles" localSheetId="2">元崗當鋪!$1:$1</definedName>
    <definedName name="_xlnm.Print_Titles" localSheetId="4">元喆當鋪!$1:$1</definedName>
    <definedName name="_xlnm.Print_Titles" localSheetId="6">合豐當鋪!$1:$1</definedName>
    <definedName name="_xlnm.Print_Titles" localSheetId="8">依被害人證述計算!$1:$1</definedName>
    <definedName name="_xlnm.Print_Titles" localSheetId="1">國泰當鋪!$1:$1</definedName>
    <definedName name="_xlnm.Print_Titles" localSheetId="7">瑞誠當鋪!$1:$1</definedName>
    <definedName name="_xlnm.Print_Titles" localSheetId="3">蕭睿軒非免訴部分!$1:$1</definedName>
  </definedNames>
  <calcPr calcId="114210" fullCalcOnLoad="1"/>
</workbook>
</file>

<file path=xl/calcChain.xml><?xml version="1.0" encoding="utf-8"?>
<calcChain xmlns="http://schemas.openxmlformats.org/spreadsheetml/2006/main">
  <c r="J1320" i="15"/>
  <c r="I1320"/>
  <c r="J735"/>
  <c r="I735"/>
  <c r="J812"/>
  <c r="I812"/>
  <c r="D438" i="27"/>
  <c r="J2" i="6"/>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1001"/>
  <c r="J1002"/>
  <c r="J1003"/>
  <c r="J1004"/>
  <c r="J1005"/>
  <c r="J1006"/>
  <c r="J1007"/>
  <c r="J1008"/>
  <c r="J1009"/>
  <c r="J1010"/>
  <c r="J1011"/>
  <c r="J1012"/>
  <c r="J1013"/>
  <c r="J1014"/>
  <c r="J1015"/>
  <c r="J1016"/>
  <c r="J1017"/>
  <c r="J1018"/>
  <c r="J1019"/>
  <c r="J1020"/>
  <c r="J1021"/>
  <c r="J1022"/>
  <c r="J1023"/>
  <c r="J1024"/>
  <c r="J1025"/>
  <c r="J1026"/>
  <c r="J1027"/>
  <c r="J1028"/>
  <c r="J1029"/>
  <c r="J1030"/>
  <c r="J1031"/>
  <c r="J1032"/>
  <c r="J1033"/>
  <c r="J1034"/>
  <c r="J1035"/>
  <c r="J1036"/>
  <c r="J1037"/>
  <c r="J1038"/>
  <c r="J1039"/>
  <c r="J1040"/>
  <c r="J1041"/>
  <c r="J1042"/>
  <c r="J1043"/>
  <c r="J1044"/>
  <c r="J1045"/>
  <c r="J1046"/>
  <c r="J1047"/>
  <c r="J1048"/>
  <c r="J1049"/>
  <c r="J1050"/>
  <c r="J1051"/>
  <c r="J1052"/>
  <c r="J1053"/>
  <c r="J1054"/>
  <c r="J1055"/>
  <c r="J1056"/>
  <c r="J1057"/>
  <c r="J1058"/>
  <c r="J1059"/>
  <c r="J1060"/>
  <c r="J1061"/>
  <c r="J1062"/>
  <c r="J1063"/>
  <c r="J1064"/>
  <c r="J1065"/>
  <c r="J1066"/>
  <c r="J1067"/>
  <c r="J1068"/>
  <c r="J1069"/>
  <c r="J1070"/>
  <c r="J1071"/>
  <c r="J1072"/>
  <c r="J1073"/>
  <c r="J1074"/>
  <c r="J1075"/>
  <c r="J1076"/>
  <c r="J1077"/>
  <c r="J1078"/>
  <c r="J1079"/>
  <c r="J1080"/>
  <c r="J1081"/>
  <c r="J1082"/>
  <c r="J1083"/>
  <c r="J1084"/>
  <c r="J1085"/>
  <c r="J1086"/>
  <c r="J1087"/>
  <c r="J1088"/>
  <c r="J1089"/>
  <c r="J1090"/>
  <c r="J1091"/>
  <c r="J1092"/>
  <c r="J1093"/>
  <c r="J1094"/>
  <c r="J1095"/>
  <c r="J1096"/>
  <c r="J1097"/>
  <c r="J1098"/>
  <c r="J1099"/>
  <c r="J1100"/>
  <c r="J1101"/>
  <c r="J1102"/>
  <c r="J1103"/>
  <c r="J1104"/>
  <c r="J1105"/>
  <c r="J1106"/>
  <c r="J1107"/>
  <c r="J1108"/>
  <c r="J1109"/>
  <c r="J1110"/>
  <c r="J1111"/>
  <c r="J1112"/>
  <c r="J1113"/>
  <c r="J1114"/>
  <c r="J1115"/>
  <c r="J1116"/>
  <c r="J1117"/>
  <c r="J1118"/>
  <c r="J1119"/>
  <c r="J1120"/>
  <c r="J1121"/>
  <c r="J1122"/>
  <c r="J1123"/>
  <c r="J1124"/>
  <c r="J1125"/>
  <c r="J1126"/>
  <c r="J1127"/>
  <c r="J1128"/>
  <c r="J1129"/>
  <c r="J1130"/>
  <c r="J1131"/>
  <c r="J1132"/>
  <c r="J1133"/>
  <c r="J1134"/>
  <c r="J1135"/>
  <c r="J1136"/>
  <c r="J1137"/>
  <c r="J1138"/>
  <c r="J1139"/>
  <c r="J1140"/>
  <c r="J1141"/>
  <c r="J1142"/>
  <c r="J1143"/>
  <c r="J1144"/>
  <c r="J1145"/>
  <c r="J1146"/>
  <c r="J1147"/>
  <c r="J1148"/>
  <c r="J1149"/>
  <c r="J1150"/>
  <c r="J1151"/>
  <c r="J1152"/>
  <c r="J1153"/>
  <c r="J1154"/>
  <c r="J1155"/>
  <c r="J1156"/>
  <c r="J1157"/>
  <c r="J1158"/>
  <c r="J1159"/>
  <c r="J1160"/>
  <c r="J1161"/>
  <c r="J1162"/>
  <c r="J1163"/>
  <c r="J1164"/>
  <c r="J1165"/>
  <c r="J1166"/>
  <c r="J1167"/>
  <c r="J1168"/>
  <c r="J1169"/>
  <c r="J1170"/>
  <c r="J1171"/>
  <c r="J1172"/>
  <c r="J1173"/>
  <c r="J1174"/>
  <c r="J1175"/>
  <c r="J1176"/>
  <c r="J1177"/>
  <c r="J1178"/>
  <c r="J1179"/>
  <c r="J1180"/>
  <c r="J1181"/>
  <c r="J1182"/>
  <c r="J1183"/>
  <c r="J1184"/>
  <c r="J1185"/>
  <c r="J1186"/>
  <c r="J1187"/>
  <c r="J1188"/>
  <c r="J1189"/>
  <c r="J1190"/>
  <c r="J1191"/>
  <c r="J1192"/>
  <c r="J1193"/>
  <c r="J1194"/>
  <c r="J1195"/>
  <c r="J1196"/>
  <c r="J1197"/>
  <c r="J1198"/>
  <c r="J1199"/>
  <c r="J1200"/>
  <c r="J1201"/>
  <c r="J1202"/>
  <c r="J1203"/>
  <c r="J1204"/>
  <c r="J1205"/>
  <c r="J1206"/>
  <c r="J1207"/>
  <c r="J1208"/>
  <c r="J1209"/>
  <c r="J1210"/>
  <c r="J1211"/>
  <c r="J1212"/>
  <c r="J1213"/>
  <c r="J1214"/>
  <c r="J1215"/>
  <c r="J1216"/>
  <c r="J1217"/>
  <c r="J1218"/>
  <c r="J1219"/>
  <c r="J1220"/>
  <c r="J1221"/>
  <c r="J1222"/>
  <c r="J1223"/>
  <c r="J1224"/>
  <c r="J1225"/>
  <c r="J1226"/>
  <c r="J1227"/>
  <c r="J1228"/>
  <c r="J1229"/>
  <c r="J1230"/>
  <c r="J1231"/>
  <c r="J1232"/>
  <c r="J1233"/>
  <c r="J1234"/>
  <c r="J1235"/>
  <c r="J1236"/>
  <c r="J1237"/>
  <c r="J1238"/>
  <c r="J1239"/>
  <c r="J1240"/>
  <c r="J1241"/>
  <c r="J1242"/>
  <c r="J1243"/>
  <c r="J1244"/>
  <c r="J1245"/>
  <c r="J1246"/>
  <c r="J1247"/>
  <c r="J1248"/>
  <c r="J1249"/>
  <c r="J1250"/>
  <c r="J1251"/>
  <c r="J1252"/>
  <c r="J1253"/>
  <c r="J1254"/>
  <c r="J1255"/>
  <c r="J1256"/>
  <c r="J1257"/>
  <c r="J1258"/>
  <c r="J1259"/>
  <c r="J1260"/>
  <c r="J1261"/>
  <c r="J1262"/>
  <c r="J1263"/>
  <c r="J1264"/>
  <c r="J1265"/>
  <c r="J1266"/>
  <c r="J1267"/>
  <c r="J1268"/>
  <c r="J1269"/>
  <c r="J1270"/>
  <c r="J1271"/>
  <c r="J1272"/>
  <c r="J1273"/>
  <c r="J1274"/>
  <c r="J1275"/>
  <c r="J1276"/>
  <c r="J1277"/>
  <c r="J1278"/>
  <c r="J1279"/>
  <c r="J1280"/>
  <c r="J1281"/>
  <c r="J1282"/>
  <c r="J1283"/>
  <c r="J1284"/>
  <c r="J1285"/>
  <c r="J1286"/>
  <c r="J1287"/>
  <c r="J1288"/>
  <c r="J1289"/>
  <c r="J1290"/>
  <c r="J1291"/>
  <c r="J1292"/>
  <c r="J1293"/>
  <c r="J1294"/>
  <c r="J1295"/>
  <c r="J1296"/>
  <c r="J1297"/>
  <c r="J1298"/>
  <c r="J1299"/>
  <c r="J1300"/>
  <c r="J1301"/>
  <c r="J1302"/>
  <c r="J1303"/>
  <c r="J1304"/>
  <c r="J1305"/>
  <c r="J1306"/>
  <c r="J1307"/>
  <c r="J1308"/>
  <c r="J1309"/>
  <c r="J1310"/>
  <c r="J1311"/>
  <c r="J1312"/>
  <c r="J1313"/>
  <c r="J1314"/>
  <c r="J1315"/>
  <c r="J1316"/>
  <c r="J1317"/>
  <c r="J1318"/>
  <c r="J1319"/>
  <c r="J1320"/>
  <c r="J1321"/>
  <c r="J1322"/>
  <c r="J1323"/>
  <c r="J1324"/>
  <c r="J1325"/>
  <c r="J1326"/>
  <c r="J1327"/>
  <c r="J1328"/>
  <c r="J1329"/>
  <c r="J1330"/>
  <c r="J1331"/>
  <c r="J1332"/>
  <c r="J1333"/>
  <c r="J1334"/>
  <c r="J1335"/>
  <c r="J1336"/>
  <c r="J1337"/>
  <c r="J1338"/>
  <c r="J1339"/>
  <c r="J1340"/>
  <c r="J1341"/>
  <c r="J1342"/>
  <c r="J1343"/>
  <c r="J1344"/>
  <c r="J1345"/>
  <c r="J1346"/>
  <c r="J1347"/>
  <c r="J1348"/>
  <c r="J1349"/>
  <c r="J1350"/>
  <c r="J1351"/>
  <c r="J1352"/>
  <c r="J1353"/>
  <c r="J1354"/>
  <c r="J1355"/>
  <c r="J1356"/>
  <c r="J1357"/>
  <c r="J1358"/>
  <c r="J1359"/>
  <c r="J1360"/>
  <c r="J1361"/>
  <c r="J1362"/>
  <c r="J1363"/>
  <c r="J1364"/>
  <c r="J1365"/>
  <c r="J1366"/>
  <c r="J1367"/>
  <c r="J1368"/>
  <c r="J1369"/>
  <c r="J1370"/>
  <c r="J1371"/>
  <c r="J1372"/>
  <c r="J1373"/>
  <c r="J1374"/>
  <c r="J1375"/>
  <c r="J1376"/>
  <c r="J1377"/>
  <c r="J1378"/>
  <c r="J1379"/>
  <c r="J1380"/>
  <c r="J1381"/>
  <c r="J1382"/>
  <c r="J1383"/>
  <c r="J1384"/>
  <c r="J1385"/>
  <c r="J1386"/>
  <c r="J1387"/>
  <c r="J1388"/>
  <c r="J1389"/>
  <c r="J1390"/>
  <c r="J1391"/>
  <c r="J1392"/>
  <c r="J1393"/>
  <c r="J1394"/>
  <c r="J1395"/>
  <c r="J1396"/>
  <c r="J1397"/>
  <c r="J1398"/>
  <c r="J1399"/>
  <c r="J1400"/>
  <c r="J1401"/>
  <c r="J1402"/>
  <c r="J1403"/>
  <c r="J1404"/>
  <c r="J1405"/>
  <c r="J1406"/>
  <c r="J1407"/>
  <c r="J1408"/>
  <c r="J1409"/>
  <c r="J1410"/>
  <c r="J1411"/>
  <c r="J1412"/>
  <c r="J1413"/>
  <c r="J1414"/>
  <c r="J1415"/>
  <c r="J1416"/>
  <c r="J1417"/>
  <c r="J1418"/>
  <c r="J1419"/>
  <c r="J1420"/>
  <c r="J1421"/>
  <c r="J1422"/>
  <c r="J1423"/>
  <c r="J1424"/>
  <c r="J1425"/>
  <c r="J1426"/>
  <c r="J1427"/>
  <c r="J1428"/>
  <c r="J1429"/>
  <c r="J1430"/>
  <c r="J1431"/>
  <c r="J1432"/>
  <c r="J1433"/>
  <c r="J1434"/>
  <c r="J1435"/>
  <c r="J1436"/>
  <c r="J1437"/>
  <c r="J1438"/>
  <c r="J1439"/>
  <c r="J1440"/>
  <c r="J1441"/>
  <c r="J1442"/>
  <c r="J1443"/>
  <c r="J1444"/>
  <c r="J1445"/>
  <c r="J1446"/>
  <c r="J1447"/>
  <c r="J1448"/>
  <c r="J1449"/>
  <c r="J1450"/>
  <c r="J1451"/>
  <c r="J1452"/>
  <c r="J1453"/>
  <c r="J1454"/>
  <c r="J1455"/>
  <c r="J1456"/>
  <c r="J1457"/>
  <c r="J1458"/>
  <c r="J1459"/>
  <c r="J1460"/>
  <c r="J1461"/>
  <c r="J1462"/>
  <c r="J1463"/>
  <c r="J1464"/>
  <c r="J1465"/>
  <c r="J1466"/>
  <c r="J1467"/>
  <c r="J1468"/>
  <c r="J1469"/>
  <c r="J1470"/>
  <c r="J1471"/>
  <c r="J1472"/>
  <c r="J1473"/>
  <c r="J1474"/>
  <c r="J1475"/>
  <c r="J1476"/>
  <c r="J1477"/>
  <c r="J1478"/>
  <c r="J1479"/>
  <c r="J1480"/>
  <c r="J1481"/>
  <c r="J1482"/>
  <c r="J1483"/>
  <c r="J1484"/>
  <c r="J1485"/>
  <c r="J1486"/>
  <c r="J1487"/>
  <c r="J1488"/>
  <c r="J1489"/>
  <c r="J1490"/>
  <c r="J1491"/>
  <c r="J1492"/>
  <c r="J1493"/>
  <c r="J1494"/>
  <c r="J1495"/>
  <c r="J1496"/>
  <c r="J1497"/>
  <c r="J1498"/>
  <c r="J1499"/>
  <c r="J1500"/>
  <c r="J1501"/>
  <c r="J1502"/>
  <c r="J1503"/>
  <c r="J1504"/>
  <c r="J1505"/>
  <c r="J1506"/>
  <c r="J1507"/>
  <c r="J1508"/>
  <c r="J1509"/>
  <c r="J1510"/>
  <c r="J1511"/>
  <c r="J1512"/>
  <c r="J1513"/>
  <c r="J1514"/>
  <c r="J1515"/>
  <c r="J1516"/>
  <c r="J1517"/>
  <c r="J1518"/>
  <c r="J1519"/>
  <c r="J1520"/>
  <c r="J1521"/>
  <c r="J1522"/>
  <c r="J1523"/>
  <c r="J1524"/>
  <c r="J1525"/>
  <c r="J1526"/>
  <c r="J1527"/>
  <c r="J1528"/>
  <c r="J1529"/>
  <c r="J1530"/>
  <c r="J1531"/>
  <c r="J1532"/>
  <c r="J1533"/>
  <c r="J1534"/>
  <c r="J1535"/>
  <c r="J1536"/>
  <c r="J1537"/>
  <c r="J1538"/>
  <c r="J1539"/>
  <c r="J1540"/>
  <c r="J1541"/>
  <c r="J1542"/>
  <c r="J1543"/>
  <c r="J1544"/>
  <c r="J1545"/>
  <c r="J1546"/>
  <c r="J1547"/>
  <c r="J1548"/>
  <c r="J1549"/>
  <c r="J1550"/>
  <c r="J1551"/>
  <c r="J1552"/>
  <c r="J1553"/>
  <c r="J1554"/>
  <c r="J1555"/>
  <c r="J1556"/>
  <c r="J1557"/>
  <c r="J1558"/>
  <c r="J1559"/>
  <c r="J1560"/>
  <c r="J1561"/>
  <c r="J1562"/>
  <c r="J1563"/>
  <c r="J1564"/>
  <c r="J1565"/>
  <c r="J1566"/>
  <c r="J1567"/>
  <c r="J1568"/>
  <c r="J1569"/>
  <c r="J1570"/>
  <c r="J1571"/>
  <c r="J1572"/>
  <c r="J1573"/>
  <c r="J1574"/>
  <c r="J1575"/>
  <c r="J1576"/>
  <c r="J1577"/>
  <c r="J1578"/>
  <c r="J1579"/>
  <c r="J1580"/>
  <c r="J1581"/>
  <c r="J1582"/>
  <c r="J1583"/>
  <c r="J1584"/>
  <c r="J1585"/>
  <c r="J1586"/>
  <c r="J1587"/>
  <c r="J1588"/>
  <c r="J1589"/>
  <c r="J1590"/>
  <c r="J1591"/>
  <c r="J1592"/>
  <c r="J1593"/>
  <c r="J1594"/>
  <c r="J1595"/>
  <c r="J1596"/>
  <c r="J1597"/>
  <c r="J1598"/>
  <c r="J1599"/>
  <c r="J1600"/>
  <c r="J1601"/>
  <c r="J1602"/>
  <c r="J1603"/>
  <c r="J1604"/>
  <c r="J1605"/>
  <c r="J1606"/>
  <c r="J1607"/>
  <c r="J1608"/>
  <c r="J1609"/>
  <c r="J1610"/>
  <c r="J1611"/>
  <c r="J1612"/>
  <c r="J1613"/>
  <c r="J1614"/>
  <c r="J1615"/>
  <c r="J1616"/>
  <c r="J1617"/>
  <c r="J1618"/>
  <c r="J1619"/>
  <c r="J1620"/>
  <c r="J1621"/>
  <c r="J1622"/>
  <c r="J1623"/>
  <c r="J1624"/>
  <c r="J1625"/>
  <c r="J1626"/>
  <c r="J1627"/>
  <c r="J1628"/>
  <c r="J1629"/>
  <c r="J1630"/>
  <c r="J1631"/>
  <c r="J1632"/>
  <c r="J1633"/>
  <c r="J1634"/>
  <c r="J1635"/>
  <c r="J1636"/>
  <c r="J1637"/>
  <c r="J1638"/>
  <c r="J1639"/>
  <c r="J1640"/>
  <c r="J1641"/>
  <c r="J1642"/>
  <c r="J1643"/>
  <c r="J1644"/>
  <c r="J1645"/>
  <c r="J1646"/>
  <c r="J1647"/>
  <c r="J1648"/>
  <c r="J1649"/>
  <c r="J1650"/>
  <c r="J1651"/>
  <c r="J1652"/>
  <c r="J1653"/>
  <c r="J1654"/>
  <c r="J1655"/>
  <c r="J1656"/>
  <c r="J1657"/>
  <c r="J1658"/>
  <c r="J1659"/>
  <c r="J1660"/>
  <c r="J1661"/>
  <c r="J1662"/>
  <c r="J1663"/>
  <c r="J1664"/>
  <c r="J1665"/>
  <c r="J1666"/>
  <c r="J1667"/>
  <c r="H4" i="11"/>
  <c r="H7" i="5"/>
  <c r="I7"/>
  <c r="I28"/>
  <c r="H5" i="11"/>
  <c r="G7"/>
  <c r="G8"/>
  <c r="H6"/>
  <c r="G10"/>
  <c r="I66" i="5"/>
  <c r="I74"/>
  <c r="G11" i="11"/>
  <c r="H9"/>
  <c r="E13"/>
  <c r="G13"/>
  <c r="G14"/>
  <c r="H12"/>
  <c r="G16"/>
  <c r="G17"/>
  <c r="H15"/>
  <c r="G12" i="15"/>
  <c r="J12"/>
  <c r="J13"/>
  <c r="J14"/>
  <c r="G15"/>
  <c r="J15"/>
  <c r="G16"/>
  <c r="J16"/>
  <c r="G17"/>
  <c r="J17"/>
  <c r="G18"/>
  <c r="J18"/>
  <c r="G19"/>
  <c r="J19"/>
  <c r="G20"/>
  <c r="J20"/>
  <c r="G21"/>
  <c r="J21"/>
  <c r="G22"/>
  <c r="J22"/>
  <c r="G23"/>
  <c r="J23"/>
  <c r="G24"/>
  <c r="J24"/>
  <c r="G25"/>
  <c r="J25"/>
  <c r="G26"/>
  <c r="J26"/>
  <c r="G27"/>
  <c r="J27"/>
  <c r="G28"/>
  <c r="J28"/>
  <c r="J29"/>
  <c r="G30"/>
  <c r="J30"/>
  <c r="G31"/>
  <c r="J31"/>
  <c r="G32"/>
  <c r="J32"/>
  <c r="J33"/>
  <c r="J34"/>
  <c r="G35"/>
  <c r="J35"/>
  <c r="J36"/>
  <c r="G37"/>
  <c r="J37"/>
  <c r="J38"/>
  <c r="G39"/>
  <c r="J39"/>
  <c r="G40"/>
  <c r="J40"/>
  <c r="J41"/>
  <c r="G42"/>
  <c r="J42"/>
  <c r="J43"/>
  <c r="J44"/>
  <c r="J45"/>
  <c r="J46"/>
  <c r="G47"/>
  <c r="J47"/>
  <c r="G48"/>
  <c r="J48"/>
  <c r="G49"/>
  <c r="J49"/>
  <c r="G50"/>
  <c r="J50"/>
  <c r="G51"/>
  <c r="J51"/>
  <c r="G52"/>
  <c r="J52"/>
  <c r="G53"/>
  <c r="J53"/>
  <c r="G54"/>
  <c r="J54"/>
  <c r="G55"/>
  <c r="J55"/>
  <c r="G56"/>
  <c r="J56"/>
  <c r="G57"/>
  <c r="J57"/>
  <c r="G58"/>
  <c r="J58"/>
  <c r="G59"/>
  <c r="J59"/>
  <c r="G60"/>
  <c r="J60"/>
  <c r="G61"/>
  <c r="J61"/>
  <c r="G62"/>
  <c r="J62"/>
  <c r="G63"/>
  <c r="J63"/>
  <c r="G64"/>
  <c r="J64"/>
  <c r="G65"/>
  <c r="J65"/>
  <c r="G66"/>
  <c r="J66"/>
  <c r="G67"/>
  <c r="J67"/>
  <c r="G68"/>
  <c r="J68"/>
  <c r="G69"/>
  <c r="J69"/>
  <c r="G70"/>
  <c r="J70"/>
  <c r="G71"/>
  <c r="J71"/>
  <c r="G72"/>
  <c r="J72"/>
  <c r="G73"/>
  <c r="J73"/>
  <c r="G74"/>
  <c r="J74"/>
  <c r="G75"/>
  <c r="J75"/>
  <c r="G76"/>
  <c r="J76"/>
  <c r="G77"/>
  <c r="J77"/>
  <c r="G78"/>
  <c r="J78"/>
  <c r="G79"/>
  <c r="J79"/>
  <c r="G80"/>
  <c r="J80"/>
  <c r="G81"/>
  <c r="J81"/>
  <c r="G82"/>
  <c r="J82"/>
  <c r="G83"/>
  <c r="J83"/>
  <c r="G84"/>
  <c r="J84"/>
  <c r="G85"/>
  <c r="J85"/>
  <c r="G86"/>
  <c r="J86"/>
  <c r="G87"/>
  <c r="J87"/>
  <c r="G88"/>
  <c r="J88"/>
  <c r="G89"/>
  <c r="J89"/>
  <c r="G90"/>
  <c r="J90"/>
  <c r="G91"/>
  <c r="J91"/>
  <c r="G92"/>
  <c r="J92"/>
  <c r="G93"/>
  <c r="J93"/>
  <c r="G94"/>
  <c r="J94"/>
  <c r="G95"/>
  <c r="J95"/>
  <c r="G96"/>
  <c r="J96"/>
  <c r="G97"/>
  <c r="J97"/>
  <c r="G98"/>
  <c r="J98"/>
  <c r="J99"/>
  <c r="G100"/>
  <c r="J100"/>
  <c r="G101"/>
  <c r="J101"/>
  <c r="J102"/>
  <c r="J103"/>
  <c r="J104"/>
  <c r="J105"/>
  <c r="G106"/>
  <c r="J106"/>
  <c r="G107"/>
  <c r="J107"/>
  <c r="G108"/>
  <c r="J108"/>
  <c r="G109"/>
  <c r="J109"/>
  <c r="G110"/>
  <c r="J110"/>
  <c r="G111"/>
  <c r="J111"/>
  <c r="G112"/>
  <c r="J112"/>
  <c r="G113"/>
  <c r="J113"/>
  <c r="G114"/>
  <c r="J114"/>
  <c r="G115"/>
  <c r="J115"/>
  <c r="G116"/>
  <c r="J116"/>
  <c r="G117"/>
  <c r="J117"/>
  <c r="G118"/>
  <c r="J118"/>
  <c r="G119"/>
  <c r="J119"/>
  <c r="G120"/>
  <c r="J120"/>
  <c r="G121"/>
  <c r="J121"/>
  <c r="G122"/>
  <c r="J122"/>
  <c r="G123"/>
  <c r="J123"/>
  <c r="J124"/>
  <c r="J125"/>
  <c r="J126"/>
  <c r="G127"/>
  <c r="J127"/>
  <c r="G128"/>
  <c r="J128"/>
  <c r="G129"/>
  <c r="J129"/>
  <c r="G130"/>
  <c r="J130"/>
  <c r="G131"/>
  <c r="J131"/>
  <c r="G132"/>
  <c r="J132"/>
  <c r="G133"/>
  <c r="J133"/>
  <c r="J134"/>
  <c r="J135"/>
  <c r="J136"/>
  <c r="J137"/>
  <c r="G138"/>
  <c r="J138"/>
  <c r="G139"/>
  <c r="J139"/>
  <c r="G140"/>
  <c r="J140"/>
  <c r="G141"/>
  <c r="J141"/>
  <c r="G142"/>
  <c r="J142"/>
  <c r="J143"/>
  <c r="G144"/>
  <c r="J144"/>
  <c r="G145"/>
  <c r="J145"/>
  <c r="G146"/>
  <c r="J146"/>
  <c r="G147"/>
  <c r="J147"/>
  <c r="G148"/>
  <c r="J148"/>
  <c r="G149"/>
  <c r="J149"/>
  <c r="G150"/>
  <c r="J150"/>
  <c r="G151"/>
  <c r="J151"/>
  <c r="G152"/>
  <c r="J152"/>
  <c r="G153"/>
  <c r="J153"/>
  <c r="J154"/>
  <c r="J155"/>
  <c r="J156"/>
  <c r="J157"/>
  <c r="G158"/>
  <c r="J158"/>
  <c r="J159"/>
  <c r="J160"/>
  <c r="J161"/>
  <c r="G162"/>
  <c r="J162"/>
  <c r="J163"/>
  <c r="J164"/>
  <c r="G165"/>
  <c r="J165"/>
  <c r="J166"/>
  <c r="J167"/>
  <c r="J168"/>
  <c r="J169"/>
  <c r="G170"/>
  <c r="J170"/>
  <c r="J171"/>
  <c r="G172"/>
  <c r="J172"/>
  <c r="G173"/>
  <c r="J173"/>
  <c r="J174"/>
  <c r="J175"/>
  <c r="G176"/>
  <c r="J176"/>
  <c r="J177"/>
  <c r="J178"/>
  <c r="G179"/>
  <c r="J179"/>
  <c r="J180"/>
  <c r="J181"/>
  <c r="J182"/>
  <c r="G183"/>
  <c r="J183"/>
  <c r="J184"/>
  <c r="J185"/>
  <c r="J186"/>
  <c r="J187"/>
  <c r="G188"/>
  <c r="J188"/>
  <c r="G189"/>
  <c r="J189"/>
  <c r="G190"/>
  <c r="J190"/>
  <c r="J191"/>
  <c r="G192"/>
  <c r="J192"/>
  <c r="J193"/>
  <c r="G194"/>
  <c r="J194"/>
  <c r="J195"/>
  <c r="G196"/>
  <c r="J196"/>
  <c r="G197"/>
  <c r="J197"/>
  <c r="G198"/>
  <c r="J198"/>
  <c r="G199"/>
  <c r="J199"/>
  <c r="G200"/>
  <c r="J200"/>
  <c r="G201"/>
  <c r="J201"/>
  <c r="G202"/>
  <c r="J202"/>
  <c r="G203"/>
  <c r="J203"/>
  <c r="G204"/>
  <c r="J204"/>
  <c r="G205"/>
  <c r="J205"/>
  <c r="G206"/>
  <c r="J206"/>
  <c r="G207"/>
  <c r="J207"/>
  <c r="G208"/>
  <c r="J208"/>
  <c r="G209"/>
  <c r="J209"/>
  <c r="G210"/>
  <c r="J210"/>
  <c r="J211"/>
  <c r="G212"/>
  <c r="J212"/>
  <c r="J213"/>
  <c r="G214"/>
  <c r="J214"/>
  <c r="G215"/>
  <c r="J215"/>
  <c r="G216"/>
  <c r="J216"/>
  <c r="G217"/>
  <c r="J217"/>
  <c r="G218"/>
  <c r="J218"/>
  <c r="G219"/>
  <c r="J219"/>
  <c r="J220"/>
  <c r="G221"/>
  <c r="J221"/>
  <c r="G222"/>
  <c r="J222"/>
  <c r="G223"/>
  <c r="J223"/>
  <c r="G224"/>
  <c r="J224"/>
  <c r="G225"/>
  <c r="J225"/>
  <c r="G226"/>
  <c r="J226"/>
  <c r="G227"/>
  <c r="J227"/>
  <c r="G228"/>
  <c r="J228"/>
  <c r="J229"/>
  <c r="G230"/>
  <c r="J230"/>
  <c r="G231"/>
  <c r="J231"/>
  <c r="G232"/>
  <c r="J232"/>
  <c r="G233"/>
  <c r="J233"/>
  <c r="G234"/>
  <c r="J234"/>
  <c r="J235"/>
  <c r="G236"/>
  <c r="J236"/>
  <c r="G237"/>
  <c r="J237"/>
  <c r="G238"/>
  <c r="J238"/>
  <c r="J239"/>
  <c r="J240"/>
  <c r="J241"/>
  <c r="G242"/>
  <c r="J242"/>
  <c r="G243"/>
  <c r="J243"/>
  <c r="J244"/>
  <c r="J245"/>
  <c r="J246"/>
  <c r="J247"/>
  <c r="J248"/>
  <c r="G249"/>
  <c r="J249"/>
  <c r="G250"/>
  <c r="J250"/>
  <c r="G251"/>
  <c r="J251"/>
  <c r="J252"/>
  <c r="G253"/>
  <c r="J253"/>
  <c r="G254"/>
  <c r="J254"/>
  <c r="J255"/>
  <c r="G256"/>
  <c r="J256"/>
  <c r="G257"/>
  <c r="J257"/>
  <c r="G258"/>
  <c r="J258"/>
  <c r="G259"/>
  <c r="J259"/>
  <c r="G260"/>
  <c r="J260"/>
  <c r="G261"/>
  <c r="J261"/>
  <c r="G262"/>
  <c r="J262"/>
  <c r="G263"/>
  <c r="J263"/>
  <c r="G264"/>
  <c r="J264"/>
  <c r="G265"/>
  <c r="J265"/>
  <c r="G266"/>
  <c r="J266"/>
  <c r="J267"/>
  <c r="G268"/>
  <c r="J268"/>
  <c r="J269"/>
  <c r="G270"/>
  <c r="J270"/>
  <c r="J271"/>
  <c r="J272"/>
  <c r="G273"/>
  <c r="J273"/>
  <c r="J274"/>
  <c r="J275"/>
  <c r="J276"/>
  <c r="J277"/>
  <c r="J278"/>
  <c r="J279"/>
  <c r="G280"/>
  <c r="J280"/>
  <c r="J281"/>
  <c r="J282"/>
  <c r="G283"/>
  <c r="J283"/>
  <c r="G284"/>
  <c r="J284"/>
  <c r="G285"/>
  <c r="J285"/>
  <c r="G286"/>
  <c r="J286"/>
  <c r="G287"/>
  <c r="J287"/>
  <c r="G288"/>
  <c r="J288"/>
  <c r="G289"/>
  <c r="J289"/>
  <c r="G290"/>
  <c r="J290"/>
  <c r="G291"/>
  <c r="J291"/>
  <c r="J292"/>
  <c r="J293"/>
  <c r="G294"/>
  <c r="J294"/>
  <c r="G295"/>
  <c r="J295"/>
  <c r="G296"/>
  <c r="J296"/>
  <c r="G297"/>
  <c r="J297"/>
  <c r="J298"/>
  <c r="J299"/>
  <c r="J300"/>
  <c r="G301"/>
  <c r="J301"/>
  <c r="J302"/>
  <c r="G303"/>
  <c r="J303"/>
  <c r="J304"/>
  <c r="J305"/>
  <c r="G306"/>
  <c r="J306"/>
  <c r="J307"/>
  <c r="G308"/>
  <c r="J308"/>
  <c r="G309"/>
  <c r="J309"/>
  <c r="G310"/>
  <c r="J310"/>
  <c r="G311"/>
  <c r="J311"/>
  <c r="G312"/>
  <c r="J312"/>
  <c r="G313"/>
  <c r="J313"/>
  <c r="J314"/>
  <c r="G315"/>
  <c r="J315"/>
  <c r="G316"/>
  <c r="J316"/>
  <c r="G317"/>
  <c r="J317"/>
  <c r="G318"/>
  <c r="J318"/>
  <c r="G319"/>
  <c r="J319"/>
  <c r="G320"/>
  <c r="J320"/>
  <c r="J321"/>
  <c r="G322"/>
  <c r="J322"/>
  <c r="G323"/>
  <c r="J323"/>
  <c r="G324"/>
  <c r="J324"/>
  <c r="G325"/>
  <c r="J325"/>
  <c r="G326"/>
  <c r="J326"/>
  <c r="G327"/>
  <c r="J327"/>
  <c r="J328"/>
  <c r="G329"/>
  <c r="J329"/>
  <c r="J330"/>
  <c r="J331"/>
  <c r="G332"/>
  <c r="J332"/>
  <c r="G333"/>
  <c r="J333"/>
  <c r="G334"/>
  <c r="J334"/>
  <c r="J335"/>
  <c r="J336"/>
  <c r="G337"/>
  <c r="J337"/>
  <c r="J338"/>
  <c r="J339"/>
  <c r="G340"/>
  <c r="J340"/>
  <c r="J341"/>
  <c r="J342"/>
  <c r="J343"/>
  <c r="J344"/>
  <c r="G345"/>
  <c r="J345"/>
  <c r="G346"/>
  <c r="J346"/>
  <c r="G347"/>
  <c r="J347"/>
  <c r="G348"/>
  <c r="J348"/>
  <c r="G349"/>
  <c r="J349"/>
  <c r="G350"/>
  <c r="J350"/>
  <c r="J351"/>
  <c r="G352"/>
  <c r="J352"/>
  <c r="G353"/>
  <c r="J353"/>
  <c r="G354"/>
  <c r="J354"/>
  <c r="G355"/>
  <c r="J355"/>
  <c r="G356"/>
  <c r="J356"/>
  <c r="J357"/>
  <c r="G358"/>
  <c r="J358"/>
  <c r="G359"/>
  <c r="J359"/>
  <c r="G360"/>
  <c r="J360"/>
  <c r="G361"/>
  <c r="J361"/>
  <c r="G362"/>
  <c r="J362"/>
  <c r="J363"/>
  <c r="G364"/>
  <c r="J364"/>
  <c r="G365"/>
  <c r="J365"/>
  <c r="G366"/>
  <c r="J366"/>
  <c r="G367"/>
  <c r="J367"/>
  <c r="G368"/>
  <c r="J368"/>
  <c r="G369"/>
  <c r="J369"/>
  <c r="G370"/>
  <c r="J370"/>
  <c r="G371"/>
  <c r="J371"/>
  <c r="G372"/>
  <c r="J372"/>
  <c r="G373"/>
  <c r="J373"/>
  <c r="G374"/>
  <c r="J374"/>
  <c r="G375"/>
  <c r="J375"/>
  <c r="G376"/>
  <c r="J376"/>
  <c r="G377"/>
  <c r="J377"/>
  <c r="G378"/>
  <c r="J378"/>
  <c r="G379"/>
  <c r="J379"/>
  <c r="J380"/>
  <c r="J381"/>
  <c r="G382"/>
  <c r="J382"/>
  <c r="J383"/>
  <c r="J384"/>
  <c r="J385"/>
  <c r="G386"/>
  <c r="J386"/>
  <c r="G387"/>
  <c r="J387"/>
  <c r="G388"/>
  <c r="J388"/>
  <c r="G389"/>
  <c r="J389"/>
  <c r="J390"/>
  <c r="G391"/>
  <c r="J391"/>
  <c r="G392"/>
  <c r="J392"/>
  <c r="G393"/>
  <c r="J393"/>
  <c r="G394"/>
  <c r="J394"/>
  <c r="G395"/>
  <c r="J395"/>
  <c r="G396"/>
  <c r="J396"/>
  <c r="G397"/>
  <c r="J397"/>
  <c r="G398"/>
  <c r="J398"/>
  <c r="G399"/>
  <c r="J399"/>
  <c r="G400"/>
  <c r="J400"/>
  <c r="J401"/>
  <c r="J402"/>
  <c r="G403"/>
  <c r="J403"/>
  <c r="G404"/>
  <c r="J404"/>
  <c r="G405"/>
  <c r="J405"/>
  <c r="G406"/>
  <c r="J406"/>
  <c r="G407"/>
  <c r="J407"/>
  <c r="G408"/>
  <c r="J408"/>
  <c r="G409"/>
  <c r="J409"/>
  <c r="G410"/>
  <c r="J410"/>
  <c r="G411"/>
  <c r="J411"/>
  <c r="G412"/>
  <c r="J412"/>
  <c r="G413"/>
  <c r="J413"/>
  <c r="G414"/>
  <c r="J414"/>
  <c r="G415"/>
  <c r="J415"/>
  <c r="J416"/>
  <c r="G417"/>
  <c r="J417"/>
  <c r="J418"/>
  <c r="G419"/>
  <c r="J419"/>
  <c r="G420"/>
  <c r="J420"/>
  <c r="J421"/>
  <c r="J422"/>
  <c r="J423"/>
  <c r="G424"/>
  <c r="J424"/>
  <c r="G425"/>
  <c r="J425"/>
  <c r="G426"/>
  <c r="J426"/>
  <c r="G427"/>
  <c r="J427"/>
  <c r="G428"/>
  <c r="J428"/>
  <c r="J429"/>
  <c r="G430"/>
  <c r="J430"/>
  <c r="G431"/>
  <c r="J431"/>
  <c r="J432"/>
  <c r="J433"/>
  <c r="J434"/>
  <c r="G435"/>
  <c r="J435"/>
  <c r="G436"/>
  <c r="J436"/>
  <c r="G437"/>
  <c r="J437"/>
  <c r="J438"/>
  <c r="J439"/>
  <c r="G440"/>
  <c r="J440"/>
  <c r="G441"/>
  <c r="J441"/>
  <c r="G442"/>
  <c r="J442"/>
  <c r="J443"/>
  <c r="G444"/>
  <c r="J444"/>
  <c r="J445"/>
  <c r="G446"/>
  <c r="J446"/>
  <c r="G447"/>
  <c r="J447"/>
  <c r="J448"/>
  <c r="G449"/>
  <c r="J449"/>
  <c r="G450"/>
  <c r="J450"/>
  <c r="G451"/>
  <c r="J451"/>
  <c r="G452"/>
  <c r="J452"/>
  <c r="G453"/>
  <c r="J453"/>
  <c r="G454"/>
  <c r="J454"/>
  <c r="G455"/>
  <c r="J455"/>
  <c r="G456"/>
  <c r="J456"/>
  <c r="G457"/>
  <c r="J457"/>
  <c r="G458"/>
  <c r="J458"/>
  <c r="J459"/>
  <c r="G460"/>
  <c r="J460"/>
  <c r="J461"/>
  <c r="G462"/>
  <c r="J462"/>
  <c r="G463"/>
  <c r="J463"/>
  <c r="G464"/>
  <c r="J464"/>
  <c r="J465"/>
  <c r="J466"/>
  <c r="G467"/>
  <c r="J467"/>
  <c r="G468"/>
  <c r="J468"/>
  <c r="J469"/>
  <c r="G470"/>
  <c r="J470"/>
  <c r="J471"/>
  <c r="J472"/>
  <c r="G473"/>
  <c r="J473"/>
  <c r="J474"/>
  <c r="J475"/>
  <c r="G476"/>
  <c r="J476"/>
  <c r="G477"/>
  <c r="J477"/>
  <c r="G478"/>
  <c r="J478"/>
  <c r="G479"/>
  <c r="J479"/>
  <c r="G480"/>
  <c r="J480"/>
  <c r="G481"/>
  <c r="J481"/>
  <c r="G482"/>
  <c r="J482"/>
  <c r="G483"/>
  <c r="J483"/>
  <c r="J484"/>
  <c r="G485"/>
  <c r="J485"/>
  <c r="J486"/>
  <c r="J487"/>
  <c r="G488"/>
  <c r="J488"/>
  <c r="G489"/>
  <c r="J489"/>
  <c r="G490"/>
  <c r="J490"/>
  <c r="G491"/>
  <c r="J491"/>
  <c r="G492"/>
  <c r="J492"/>
  <c r="G493"/>
  <c r="J493"/>
  <c r="J494"/>
  <c r="G495"/>
  <c r="J495"/>
  <c r="G496"/>
  <c r="J496"/>
  <c r="J497"/>
  <c r="G498"/>
  <c r="J498"/>
  <c r="G499"/>
  <c r="J499"/>
  <c r="G500"/>
  <c r="J500"/>
  <c r="G501"/>
  <c r="J501"/>
  <c r="G502"/>
  <c r="J502"/>
  <c r="G503"/>
  <c r="J503"/>
  <c r="G504"/>
  <c r="J504"/>
  <c r="G505"/>
  <c r="J505"/>
  <c r="G506"/>
  <c r="J506"/>
  <c r="G507"/>
  <c r="J507"/>
  <c r="J508"/>
  <c r="J509"/>
  <c r="G510"/>
  <c r="J510"/>
  <c r="G511"/>
  <c r="J511"/>
  <c r="G512"/>
  <c r="J512"/>
  <c r="G513"/>
  <c r="J513"/>
  <c r="G514"/>
  <c r="J514"/>
  <c r="J515"/>
  <c r="J516"/>
  <c r="G517"/>
  <c r="J517"/>
  <c r="G518"/>
  <c r="J518"/>
  <c r="J519"/>
  <c r="G520"/>
  <c r="J520"/>
  <c r="J521"/>
  <c r="J522"/>
  <c r="J523"/>
  <c r="J524"/>
  <c r="J525"/>
  <c r="G526"/>
  <c r="J526"/>
  <c r="J527"/>
  <c r="G528"/>
  <c r="J528"/>
  <c r="G529"/>
  <c r="J529"/>
  <c r="G530"/>
  <c r="J530"/>
  <c r="G531"/>
  <c r="J531"/>
  <c r="G532"/>
  <c r="J532"/>
  <c r="G533"/>
  <c r="J533"/>
  <c r="G534"/>
  <c r="J534"/>
  <c r="J535"/>
  <c r="J536"/>
  <c r="G537"/>
  <c r="J537"/>
  <c r="J538"/>
  <c r="J539"/>
  <c r="J540"/>
  <c r="J541"/>
  <c r="J542"/>
  <c r="J543"/>
  <c r="J544"/>
  <c r="G545"/>
  <c r="J545"/>
  <c r="J546"/>
  <c r="G547"/>
  <c r="J547"/>
  <c r="G548"/>
  <c r="J548"/>
  <c r="G549"/>
  <c r="J549"/>
  <c r="G550"/>
  <c r="J550"/>
  <c r="G551"/>
  <c r="J551"/>
  <c r="G552"/>
  <c r="J552"/>
  <c r="J553"/>
  <c r="G554"/>
  <c r="J554"/>
  <c r="G555"/>
  <c r="J555"/>
  <c r="G556"/>
  <c r="J556"/>
  <c r="G557"/>
  <c r="J557"/>
  <c r="G558"/>
  <c r="J558"/>
  <c r="G559"/>
  <c r="J559"/>
  <c r="G560"/>
  <c r="J560"/>
  <c r="G561"/>
  <c r="J561"/>
  <c r="G562"/>
  <c r="J562"/>
  <c r="G563"/>
  <c r="J563"/>
  <c r="G564"/>
  <c r="J564"/>
  <c r="G565"/>
  <c r="J565"/>
  <c r="G566"/>
  <c r="J566"/>
  <c r="G567"/>
  <c r="J567"/>
  <c r="G568"/>
  <c r="J568"/>
  <c r="G569"/>
  <c r="J569"/>
  <c r="G570"/>
  <c r="J570"/>
  <c r="G571"/>
  <c r="J571"/>
  <c r="G572"/>
  <c r="J572"/>
  <c r="J573"/>
  <c r="G574"/>
  <c r="J574"/>
  <c r="J575"/>
  <c r="G576"/>
  <c r="J576"/>
  <c r="J577"/>
  <c r="J578"/>
  <c r="J579"/>
  <c r="G580"/>
  <c r="J580"/>
  <c r="G581"/>
  <c r="J581"/>
  <c r="G582"/>
  <c r="J582"/>
  <c r="G583"/>
  <c r="J583"/>
  <c r="J584"/>
  <c r="G585"/>
  <c r="J585"/>
  <c r="J586"/>
  <c r="G587"/>
  <c r="J587"/>
  <c r="G588"/>
  <c r="J588"/>
  <c r="G589"/>
  <c r="J589"/>
  <c r="G590"/>
  <c r="J590"/>
  <c r="J591"/>
  <c r="J592"/>
  <c r="G593"/>
  <c r="J593"/>
  <c r="G594"/>
  <c r="J594"/>
  <c r="G595"/>
  <c r="J595"/>
  <c r="G596"/>
  <c r="J596"/>
  <c r="J597"/>
  <c r="G598"/>
  <c r="J598"/>
  <c r="G599"/>
  <c r="J599"/>
  <c r="G600"/>
  <c r="J600"/>
  <c r="G601"/>
  <c r="J601"/>
  <c r="G602"/>
  <c r="J602"/>
  <c r="G603"/>
  <c r="J603"/>
  <c r="G604"/>
  <c r="J604"/>
  <c r="G605"/>
  <c r="J605"/>
  <c r="G606"/>
  <c r="J606"/>
  <c r="J607"/>
  <c r="J608"/>
  <c r="J609"/>
  <c r="J610"/>
  <c r="J611"/>
  <c r="G612"/>
  <c r="J612"/>
  <c r="G613"/>
  <c r="J613"/>
  <c r="G614"/>
  <c r="J614"/>
  <c r="J615"/>
  <c r="J616"/>
  <c r="G617"/>
  <c r="J617"/>
  <c r="J618"/>
  <c r="J619"/>
  <c r="G620"/>
  <c r="J620"/>
  <c r="G621"/>
  <c r="J621"/>
  <c r="J622"/>
  <c r="J623"/>
  <c r="J624"/>
  <c r="J625"/>
  <c r="J626"/>
  <c r="J627"/>
  <c r="G628"/>
  <c r="J628"/>
  <c r="J629"/>
  <c r="G630"/>
  <c r="J630"/>
  <c r="J631"/>
  <c r="G632"/>
  <c r="J632"/>
  <c r="G633"/>
  <c r="J633"/>
  <c r="G634"/>
  <c r="J634"/>
  <c r="G635"/>
  <c r="J635"/>
  <c r="G636"/>
  <c r="J636"/>
  <c r="J637"/>
  <c r="J638"/>
  <c r="G639"/>
  <c r="J639"/>
  <c r="J640"/>
  <c r="J641"/>
  <c r="J642"/>
  <c r="J643"/>
  <c r="J644"/>
  <c r="J645"/>
  <c r="J646"/>
  <c r="J647"/>
  <c r="J648"/>
  <c r="G649"/>
  <c r="J649"/>
  <c r="G650"/>
  <c r="J650"/>
  <c r="J651"/>
  <c r="G652"/>
  <c r="J652"/>
  <c r="G653"/>
  <c r="J653"/>
  <c r="G654"/>
  <c r="J654"/>
  <c r="G655"/>
  <c r="J655"/>
  <c r="J656"/>
  <c r="J657"/>
  <c r="J658"/>
  <c r="J659"/>
  <c r="J660"/>
  <c r="J661"/>
  <c r="G662"/>
  <c r="J662"/>
  <c r="J663"/>
  <c r="J664"/>
  <c r="J665"/>
  <c r="J666"/>
  <c r="J667"/>
  <c r="J668"/>
  <c r="J669"/>
  <c r="J670"/>
  <c r="J671"/>
  <c r="J672"/>
  <c r="J673"/>
  <c r="J674"/>
  <c r="G675"/>
  <c r="J675"/>
  <c r="G676"/>
  <c r="J676"/>
  <c r="J677"/>
  <c r="G678"/>
  <c r="J678"/>
  <c r="G679"/>
  <c r="J679"/>
  <c r="J680"/>
  <c r="G681"/>
  <c r="J681"/>
  <c r="J682"/>
  <c r="J683"/>
  <c r="G684"/>
  <c r="J684"/>
  <c r="J685"/>
  <c r="J686"/>
  <c r="J687"/>
  <c r="J688"/>
  <c r="J689"/>
  <c r="G690"/>
  <c r="J690"/>
  <c r="J691"/>
  <c r="J692"/>
  <c r="J693"/>
  <c r="G694"/>
  <c r="J694"/>
  <c r="G695"/>
  <c r="J695"/>
  <c r="G696"/>
  <c r="J696"/>
  <c r="G697"/>
  <c r="J697"/>
  <c r="G698"/>
  <c r="J698"/>
  <c r="J699"/>
  <c r="J700"/>
  <c r="G701"/>
  <c r="J701"/>
  <c r="G702"/>
  <c r="J702"/>
  <c r="G703"/>
  <c r="J703"/>
  <c r="G704"/>
  <c r="J704"/>
  <c r="J705"/>
  <c r="G706"/>
  <c r="J706"/>
  <c r="G707"/>
  <c r="J707"/>
  <c r="G708"/>
  <c r="J708"/>
  <c r="J709"/>
  <c r="J710"/>
  <c r="G711"/>
  <c r="J711"/>
  <c r="J712"/>
  <c r="G713"/>
  <c r="J713"/>
  <c r="J714"/>
  <c r="G715"/>
  <c r="J715"/>
  <c r="G716"/>
  <c r="J716"/>
  <c r="G717"/>
  <c r="J717"/>
  <c r="G718"/>
  <c r="J718"/>
  <c r="J719"/>
  <c r="J720"/>
  <c r="J721"/>
  <c r="G722"/>
  <c r="J722"/>
  <c r="J723"/>
  <c r="J724"/>
  <c r="J725"/>
  <c r="G726"/>
  <c r="J726"/>
  <c r="G727"/>
  <c r="J727"/>
  <c r="G728"/>
  <c r="J728"/>
  <c r="J729"/>
  <c r="J730"/>
  <c r="G731"/>
  <c r="J731"/>
  <c r="G732"/>
  <c r="J732"/>
  <c r="J733"/>
  <c r="G734"/>
  <c r="J734"/>
  <c r="J736"/>
  <c r="G737"/>
  <c r="J737"/>
  <c r="G738"/>
  <c r="J738"/>
  <c r="G739"/>
  <c r="J739"/>
  <c r="G740"/>
  <c r="J740"/>
  <c r="G741"/>
  <c r="J741"/>
  <c r="J742"/>
  <c r="J743"/>
  <c r="G744"/>
  <c r="J744"/>
  <c r="J745"/>
  <c r="J746"/>
  <c r="G747"/>
  <c r="J747"/>
  <c r="J748"/>
  <c r="G749"/>
  <c r="J749"/>
  <c r="G750"/>
  <c r="J750"/>
  <c r="J751"/>
  <c r="J752"/>
  <c r="J753"/>
  <c r="G754"/>
  <c r="J754"/>
  <c r="G755"/>
  <c r="J755"/>
  <c r="G756"/>
  <c r="J756"/>
  <c r="G757"/>
  <c r="J757"/>
  <c r="J758"/>
  <c r="J759"/>
  <c r="J760"/>
  <c r="G761"/>
  <c r="J761"/>
  <c r="G762"/>
  <c r="J762"/>
  <c r="J763"/>
  <c r="J764"/>
  <c r="J765"/>
  <c r="J766"/>
  <c r="G767"/>
  <c r="J767"/>
  <c r="G768"/>
  <c r="J768"/>
  <c r="J769"/>
  <c r="J770"/>
  <c r="J771"/>
  <c r="G772"/>
  <c r="J772"/>
  <c r="G773"/>
  <c r="J773"/>
  <c r="G774"/>
  <c r="J774"/>
  <c r="G775"/>
  <c r="J775"/>
  <c r="J776"/>
  <c r="J777"/>
  <c r="J778"/>
  <c r="G779"/>
  <c r="J779"/>
  <c r="J780"/>
  <c r="G781"/>
  <c r="J781"/>
  <c r="J782"/>
  <c r="J783"/>
  <c r="G784"/>
  <c r="J784"/>
  <c r="J785"/>
  <c r="J786"/>
  <c r="J787"/>
  <c r="G788"/>
  <c r="J788"/>
  <c r="G789"/>
  <c r="J789"/>
  <c r="G790"/>
  <c r="J790"/>
  <c r="G791"/>
  <c r="J791"/>
  <c r="G792"/>
  <c r="J792"/>
  <c r="G793"/>
  <c r="J793"/>
  <c r="G794"/>
  <c r="J794"/>
  <c r="G795"/>
  <c r="J795"/>
  <c r="G796"/>
  <c r="J796"/>
  <c r="G797"/>
  <c r="J797"/>
  <c r="G798"/>
  <c r="J798"/>
  <c r="G799"/>
  <c r="J799"/>
  <c r="G800"/>
  <c r="J800"/>
  <c r="G801"/>
  <c r="J801"/>
  <c r="G802"/>
  <c r="J802"/>
  <c r="G803"/>
  <c r="J803"/>
  <c r="G804"/>
  <c r="J804"/>
  <c r="G805"/>
  <c r="J805"/>
  <c r="G806"/>
  <c r="J806"/>
  <c r="G807"/>
  <c r="J807"/>
  <c r="G808"/>
  <c r="J808"/>
  <c r="G809"/>
  <c r="J809"/>
  <c r="J810"/>
  <c r="G811"/>
  <c r="J811"/>
  <c r="G813"/>
  <c r="J813"/>
  <c r="J814"/>
  <c r="G815"/>
  <c r="J815"/>
  <c r="J816"/>
  <c r="J817"/>
  <c r="G818"/>
  <c r="J818"/>
  <c r="J819"/>
  <c r="G820"/>
  <c r="J820"/>
  <c r="J821"/>
  <c r="G822"/>
  <c r="J822"/>
  <c r="J823"/>
  <c r="G824"/>
  <c r="J824"/>
  <c r="J825"/>
  <c r="J826"/>
  <c r="G827"/>
  <c r="J827"/>
  <c r="G828"/>
  <c r="J828"/>
  <c r="J829"/>
  <c r="G830"/>
  <c r="J830"/>
  <c r="J831"/>
  <c r="G832"/>
  <c r="J832"/>
  <c r="G833"/>
  <c r="J833"/>
  <c r="J834"/>
  <c r="J835"/>
  <c r="G836"/>
  <c r="J836"/>
  <c r="J837"/>
  <c r="J838"/>
  <c r="G839"/>
  <c r="J839"/>
  <c r="J840"/>
  <c r="J841"/>
  <c r="J842"/>
  <c r="G843"/>
  <c r="J843"/>
  <c r="G844"/>
  <c r="J844"/>
  <c r="J845"/>
  <c r="J846"/>
  <c r="J847"/>
  <c r="J848"/>
  <c r="J849"/>
  <c r="J850"/>
  <c r="J851"/>
  <c r="J852"/>
  <c r="J853"/>
  <c r="G854"/>
  <c r="J854"/>
  <c r="J855"/>
  <c r="J856"/>
  <c r="G857"/>
  <c r="J857"/>
  <c r="J858"/>
  <c r="J859"/>
  <c r="G860"/>
  <c r="J860"/>
  <c r="G861"/>
  <c r="J861"/>
  <c r="J862"/>
  <c r="J863"/>
  <c r="G864"/>
  <c r="J864"/>
  <c r="J865"/>
  <c r="G866"/>
  <c r="J866"/>
  <c r="J867"/>
  <c r="J868"/>
  <c r="J869"/>
  <c r="J870"/>
  <c r="G871"/>
  <c r="J871"/>
  <c r="G872"/>
  <c r="J872"/>
  <c r="J873"/>
  <c r="G874"/>
  <c r="J874"/>
  <c r="J875"/>
  <c r="J876"/>
  <c r="J877"/>
  <c r="J878"/>
  <c r="J879"/>
  <c r="J880"/>
  <c r="G881"/>
  <c r="J881"/>
  <c r="J882"/>
  <c r="G883"/>
  <c r="J883"/>
  <c r="J884"/>
  <c r="G885"/>
  <c r="J885"/>
  <c r="G886"/>
  <c r="J886"/>
  <c r="G887"/>
  <c r="J887"/>
  <c r="G888"/>
  <c r="J888"/>
  <c r="G889"/>
  <c r="J889"/>
  <c r="J890"/>
  <c r="J891"/>
  <c r="J892"/>
  <c r="J893"/>
  <c r="G894"/>
  <c r="J894"/>
  <c r="J895"/>
  <c r="G896"/>
  <c r="J896"/>
  <c r="J897"/>
  <c r="J898"/>
  <c r="G899"/>
  <c r="J899"/>
  <c r="J900"/>
  <c r="J901"/>
  <c r="J902"/>
  <c r="J903"/>
  <c r="J904"/>
  <c r="G905"/>
  <c r="J905"/>
  <c r="J906"/>
  <c r="J907"/>
  <c r="G908"/>
  <c r="J908"/>
  <c r="J909"/>
  <c r="J910"/>
  <c r="G911"/>
  <c r="J911"/>
  <c r="J912"/>
  <c r="J913"/>
  <c r="G914"/>
  <c r="J914"/>
  <c r="J915"/>
  <c r="J916"/>
  <c r="G917"/>
  <c r="J917"/>
  <c r="G918"/>
  <c r="J918"/>
  <c r="J919"/>
  <c r="G920"/>
  <c r="J920"/>
  <c r="J921"/>
  <c r="G922"/>
  <c r="J922"/>
  <c r="J923"/>
  <c r="J924"/>
  <c r="J925"/>
  <c r="J926"/>
  <c r="G927"/>
  <c r="J927"/>
  <c r="J928"/>
  <c r="G929"/>
  <c r="J929"/>
  <c r="G930"/>
  <c r="J930"/>
  <c r="J931"/>
  <c r="J932"/>
  <c r="G933"/>
  <c r="J933"/>
  <c r="G934"/>
  <c r="J934"/>
  <c r="G935"/>
  <c r="J935"/>
  <c r="G936"/>
  <c r="J936"/>
  <c r="G937"/>
  <c r="J937"/>
  <c r="J938"/>
  <c r="G939"/>
  <c r="J939"/>
  <c r="G940"/>
  <c r="J940"/>
  <c r="G941"/>
  <c r="J941"/>
  <c r="G942"/>
  <c r="J942"/>
  <c r="G943"/>
  <c r="J943"/>
  <c r="J944"/>
  <c r="J945"/>
  <c r="G946"/>
  <c r="J946"/>
  <c r="G947"/>
  <c r="J947"/>
  <c r="J948"/>
  <c r="G949"/>
  <c r="J949"/>
  <c r="G950"/>
  <c r="J950"/>
  <c r="G951"/>
  <c r="J951"/>
  <c r="G952"/>
  <c r="J952"/>
  <c r="J953"/>
  <c r="G954"/>
  <c r="J954"/>
  <c r="J955"/>
  <c r="G956"/>
  <c r="J956"/>
  <c r="J957"/>
  <c r="J958"/>
  <c r="J959"/>
  <c r="G960"/>
  <c r="J960"/>
  <c r="J961"/>
  <c r="G962"/>
  <c r="J962"/>
  <c r="G963"/>
  <c r="J963"/>
  <c r="J964"/>
  <c r="G965"/>
  <c r="J965"/>
  <c r="J966"/>
  <c r="J967"/>
  <c r="G968"/>
  <c r="J968"/>
  <c r="G969"/>
  <c r="J969"/>
  <c r="G970"/>
  <c r="J970"/>
  <c r="G971"/>
  <c r="J971"/>
  <c r="G972"/>
  <c r="J972"/>
  <c r="J973"/>
  <c r="J974"/>
  <c r="J975"/>
  <c r="J976"/>
  <c r="J977"/>
  <c r="J978"/>
  <c r="J979"/>
  <c r="J980"/>
  <c r="J981"/>
  <c r="J982"/>
  <c r="G983"/>
  <c r="J983"/>
  <c r="G984"/>
  <c r="J984"/>
  <c r="G985"/>
  <c r="J985"/>
  <c r="G986"/>
  <c r="J986"/>
  <c r="G987"/>
  <c r="J987"/>
  <c r="J988"/>
  <c r="J989"/>
  <c r="J990"/>
  <c r="J991"/>
  <c r="J992"/>
  <c r="J993"/>
  <c r="J994"/>
  <c r="J995"/>
  <c r="J996"/>
  <c r="J997"/>
  <c r="J998"/>
  <c r="G999"/>
  <c r="J999"/>
  <c r="J1000"/>
  <c r="J1001"/>
  <c r="G1002"/>
  <c r="J1002"/>
  <c r="J1003"/>
  <c r="J1004"/>
  <c r="G1005"/>
  <c r="J1005"/>
  <c r="G1006"/>
  <c r="J1006"/>
  <c r="J1007"/>
  <c r="J1008"/>
  <c r="J1009"/>
  <c r="J1010"/>
  <c r="J1011"/>
  <c r="J1012"/>
  <c r="J1013"/>
  <c r="G1014"/>
  <c r="J1014"/>
  <c r="J1015"/>
  <c r="J1016"/>
  <c r="J1017"/>
  <c r="G1018"/>
  <c r="J1018"/>
  <c r="G1019"/>
  <c r="J1019"/>
  <c r="J1020"/>
  <c r="J1021"/>
  <c r="G1022"/>
  <c r="J1022"/>
  <c r="G1023"/>
  <c r="J1023"/>
  <c r="G1024"/>
  <c r="J1024"/>
  <c r="J1025"/>
  <c r="G1026"/>
  <c r="J1026"/>
  <c r="G1027"/>
  <c r="J1027"/>
  <c r="G1028"/>
  <c r="J1028"/>
  <c r="J1029"/>
  <c r="J1030"/>
  <c r="G1031"/>
  <c r="J1031"/>
  <c r="J1032"/>
  <c r="J1033"/>
  <c r="J1034"/>
  <c r="J1035"/>
  <c r="J1036"/>
  <c r="J1037"/>
  <c r="J1038"/>
  <c r="G1039"/>
  <c r="J1039"/>
  <c r="J1040"/>
  <c r="J1041"/>
  <c r="J1042"/>
  <c r="G1043"/>
  <c r="J1043"/>
  <c r="G1044"/>
  <c r="J1044"/>
  <c r="G1045"/>
  <c r="J1045"/>
  <c r="G1046"/>
  <c r="J1046"/>
  <c r="G1047"/>
  <c r="J1047"/>
  <c r="J1048"/>
  <c r="G1049"/>
  <c r="J1049"/>
  <c r="G1050"/>
  <c r="J1050"/>
  <c r="J1051"/>
  <c r="G1052"/>
  <c r="J1052"/>
  <c r="J1053"/>
  <c r="J1054"/>
  <c r="J1055"/>
  <c r="G1056"/>
  <c r="J1056"/>
  <c r="G1057"/>
  <c r="J1057"/>
  <c r="G1058"/>
  <c r="J1058"/>
  <c r="G1059"/>
  <c r="J1059"/>
  <c r="J1060"/>
  <c r="G1061"/>
  <c r="J1061"/>
  <c r="J1062"/>
  <c r="G1063"/>
  <c r="J1063"/>
  <c r="G1064"/>
  <c r="J1064"/>
  <c r="J1065"/>
  <c r="G1066"/>
  <c r="J1066"/>
  <c r="J1067"/>
  <c r="G1068"/>
  <c r="J1068"/>
  <c r="G1069"/>
  <c r="J1069"/>
  <c r="G1070"/>
  <c r="J1070"/>
  <c r="G1071"/>
  <c r="J1071"/>
  <c r="G1072"/>
  <c r="J1072"/>
  <c r="G1073"/>
  <c r="J1073"/>
  <c r="G1074"/>
  <c r="J1074"/>
  <c r="G1075"/>
  <c r="J1075"/>
  <c r="G1076"/>
  <c r="J1076"/>
  <c r="J1077"/>
  <c r="G1078"/>
  <c r="J1078"/>
  <c r="G1079"/>
  <c r="J1079"/>
  <c r="J1080"/>
  <c r="G1081"/>
  <c r="J1081"/>
  <c r="G1082"/>
  <c r="J1082"/>
  <c r="G1083"/>
  <c r="J1083"/>
  <c r="J1084"/>
  <c r="J1085"/>
  <c r="G1086"/>
  <c r="J1086"/>
  <c r="G1087"/>
  <c r="J1087"/>
  <c r="G1088"/>
  <c r="J1088"/>
  <c r="G1089"/>
  <c r="J1089"/>
  <c r="J1090"/>
  <c r="G1091"/>
  <c r="J1091"/>
  <c r="G1092"/>
  <c r="J1092"/>
  <c r="G1093"/>
  <c r="J1093"/>
  <c r="G1094"/>
  <c r="J1094"/>
  <c r="G1095"/>
  <c r="J1095"/>
  <c r="G1096"/>
  <c r="J1096"/>
  <c r="J1097"/>
  <c r="G1098"/>
  <c r="J1098"/>
  <c r="G1099"/>
  <c r="J1099"/>
  <c r="G1100"/>
  <c r="J1100"/>
  <c r="G1101"/>
  <c r="J1101"/>
  <c r="J1102"/>
  <c r="G1103"/>
  <c r="J1103"/>
  <c r="G1104"/>
  <c r="J1104"/>
  <c r="J1105"/>
  <c r="G1106"/>
  <c r="J1106"/>
  <c r="J1107"/>
  <c r="J1108"/>
  <c r="J1109"/>
  <c r="G1110"/>
  <c r="J1110"/>
  <c r="G1111"/>
  <c r="J1111"/>
  <c r="J1112"/>
  <c r="G1113"/>
  <c r="J1113"/>
  <c r="G1114"/>
  <c r="J1114"/>
  <c r="G1115"/>
  <c r="J1115"/>
  <c r="G1116"/>
  <c r="J1116"/>
  <c r="J1117"/>
  <c r="G1118"/>
  <c r="J1118"/>
  <c r="G1119"/>
  <c r="J1119"/>
  <c r="G1120"/>
  <c r="J1120"/>
  <c r="G1121"/>
  <c r="J1121"/>
  <c r="J1122"/>
  <c r="J1123"/>
  <c r="J1124"/>
  <c r="G1125"/>
  <c r="J1125"/>
  <c r="G1126"/>
  <c r="J1126"/>
  <c r="J1127"/>
  <c r="G1128"/>
  <c r="J1128"/>
  <c r="J1129"/>
  <c r="G1130"/>
  <c r="J1130"/>
  <c r="J1131"/>
  <c r="J1132"/>
  <c r="J1133"/>
  <c r="G1134"/>
  <c r="J1134"/>
  <c r="J1135"/>
  <c r="G1136"/>
  <c r="J1136"/>
  <c r="J1137"/>
  <c r="G1138"/>
  <c r="J1138"/>
  <c r="G1139"/>
  <c r="J1139"/>
  <c r="G1140"/>
  <c r="J1140"/>
  <c r="J1141"/>
  <c r="G1142"/>
  <c r="J1142"/>
  <c r="J1143"/>
  <c r="J1144"/>
  <c r="J1145"/>
  <c r="G1146"/>
  <c r="J1146"/>
  <c r="G1147"/>
  <c r="J1147"/>
  <c r="J1148"/>
  <c r="G1149"/>
  <c r="J1149"/>
  <c r="J1150"/>
  <c r="J1151"/>
  <c r="J1152"/>
  <c r="J1153"/>
  <c r="J1154"/>
  <c r="J1155"/>
  <c r="J1156"/>
  <c r="G1157"/>
  <c r="J1157"/>
  <c r="G1158"/>
  <c r="J1158"/>
  <c r="G1159"/>
  <c r="J1159"/>
  <c r="J1160"/>
  <c r="J1161"/>
  <c r="J1162"/>
  <c r="J1163"/>
  <c r="J1164"/>
  <c r="J1165"/>
  <c r="J1166"/>
  <c r="J1167"/>
  <c r="G1168"/>
  <c r="J1168"/>
  <c r="J1169"/>
  <c r="G1170"/>
  <c r="J1170"/>
  <c r="G1171"/>
  <c r="J1171"/>
  <c r="J1172"/>
  <c r="J1173"/>
  <c r="J1174"/>
  <c r="J1175"/>
  <c r="G1176"/>
  <c r="J1176"/>
  <c r="J1177"/>
  <c r="J1178"/>
  <c r="G1179"/>
  <c r="J1179"/>
  <c r="J1180"/>
  <c r="J1181"/>
  <c r="J1182"/>
  <c r="J1183"/>
  <c r="J1184"/>
  <c r="J1185"/>
  <c r="J1186"/>
  <c r="J1187"/>
  <c r="G1188"/>
  <c r="J1188"/>
  <c r="G1189"/>
  <c r="J1189"/>
  <c r="G1190"/>
  <c r="J1190"/>
  <c r="G1191"/>
  <c r="J1191"/>
  <c r="J1192"/>
  <c r="J1193"/>
  <c r="J1194"/>
  <c r="G1195"/>
  <c r="J1195"/>
  <c r="G1196"/>
  <c r="J1196"/>
  <c r="G1197"/>
  <c r="J1197"/>
  <c r="G1198"/>
  <c r="J1198"/>
  <c r="G1199"/>
  <c r="J1199"/>
  <c r="G1200"/>
  <c r="J1200"/>
  <c r="G1201"/>
  <c r="J1201"/>
  <c r="G1202"/>
  <c r="J1202"/>
  <c r="G1203"/>
  <c r="J1203"/>
  <c r="G1204"/>
  <c r="J1204"/>
  <c r="J1205"/>
  <c r="J1206"/>
  <c r="G1207"/>
  <c r="J1207"/>
  <c r="G1208"/>
  <c r="J1208"/>
  <c r="G1209"/>
  <c r="J1209"/>
  <c r="J1210"/>
  <c r="G1211"/>
  <c r="J1211"/>
  <c r="G1212"/>
  <c r="J1212"/>
  <c r="G1213"/>
  <c r="J1213"/>
  <c r="J1214"/>
  <c r="J1215"/>
  <c r="J1216"/>
  <c r="G1217"/>
  <c r="J1217"/>
  <c r="G1218"/>
  <c r="J1218"/>
  <c r="J1219"/>
  <c r="G1220"/>
  <c r="J1220"/>
  <c r="G1221"/>
  <c r="J1221"/>
  <c r="G1222"/>
  <c r="J1222"/>
  <c r="G1223"/>
  <c r="J1223"/>
  <c r="J1224"/>
  <c r="J1225"/>
  <c r="G1226"/>
  <c r="J1226"/>
  <c r="J1227"/>
  <c r="G1228"/>
  <c r="J1228"/>
  <c r="G1229"/>
  <c r="J1229"/>
  <c r="J1230"/>
  <c r="J1231"/>
  <c r="G1232"/>
  <c r="J1232"/>
  <c r="G1233"/>
  <c r="J1233"/>
  <c r="G1234"/>
  <c r="J1234"/>
  <c r="J1235"/>
  <c r="J1236"/>
  <c r="G1237"/>
  <c r="J1237"/>
  <c r="G1238"/>
  <c r="J1238"/>
  <c r="J1239"/>
  <c r="G1240"/>
  <c r="J1240"/>
  <c r="J1241"/>
  <c r="G1242"/>
  <c r="J1242"/>
  <c r="G1243"/>
  <c r="J1243"/>
  <c r="G1244"/>
  <c r="J1244"/>
  <c r="J1245"/>
  <c r="J1246"/>
  <c r="G1247"/>
  <c r="J1247"/>
  <c r="G1248"/>
  <c r="J1248"/>
  <c r="G1249"/>
  <c r="J1249"/>
  <c r="G1250"/>
  <c r="J1250"/>
  <c r="G1251"/>
  <c r="J1251"/>
  <c r="G1252"/>
  <c r="J1252"/>
  <c r="G1253"/>
  <c r="J1253"/>
  <c r="G1254"/>
  <c r="J1254"/>
  <c r="G1255"/>
  <c r="J1255"/>
  <c r="G1256"/>
  <c r="J1256"/>
  <c r="G1257"/>
  <c r="J1257"/>
  <c r="J1258"/>
  <c r="G1259"/>
  <c r="J1259"/>
  <c r="J1260"/>
  <c r="J1261"/>
  <c r="G1262"/>
  <c r="J1262"/>
  <c r="J1263"/>
  <c r="G1264"/>
  <c r="J1264"/>
  <c r="G1265"/>
  <c r="J1265"/>
  <c r="G1266"/>
  <c r="J1266"/>
  <c r="J1267"/>
  <c r="J1268"/>
  <c r="J1269"/>
  <c r="J1270"/>
  <c r="J1271"/>
  <c r="G1272"/>
  <c r="J1272"/>
  <c r="G1273"/>
  <c r="J1273"/>
  <c r="J1274"/>
  <c r="J1275"/>
  <c r="J1276"/>
  <c r="J1277"/>
  <c r="J1278"/>
  <c r="J1279"/>
  <c r="G1280"/>
  <c r="J1280"/>
  <c r="G1281"/>
  <c r="J1281"/>
  <c r="J1282"/>
  <c r="G1283"/>
  <c r="J1283"/>
  <c r="J1284"/>
  <c r="J1285"/>
  <c r="G1286"/>
  <c r="J1286"/>
  <c r="J1287"/>
  <c r="J1288"/>
  <c r="G1289"/>
  <c r="J1289"/>
  <c r="J1290"/>
  <c r="G1291"/>
  <c r="J1291"/>
  <c r="J1292"/>
  <c r="J1293"/>
  <c r="J1294"/>
  <c r="G1295"/>
  <c r="J1295"/>
  <c r="J1296"/>
  <c r="G1297"/>
  <c r="J1297"/>
  <c r="J1298"/>
  <c r="G1299"/>
  <c r="J1299"/>
  <c r="G1300"/>
  <c r="J1300"/>
  <c r="G1301"/>
  <c r="J1301"/>
  <c r="G1302"/>
  <c r="J1302"/>
  <c r="G1303"/>
  <c r="J1303"/>
  <c r="G1304"/>
  <c r="J1304"/>
  <c r="J1305"/>
  <c r="J1306"/>
  <c r="G1307"/>
  <c r="J1307"/>
  <c r="J1308"/>
  <c r="G1309"/>
  <c r="J1309"/>
  <c r="G1310"/>
  <c r="J1310"/>
  <c r="G1311"/>
  <c r="J1311"/>
  <c r="G1312"/>
  <c r="J1312"/>
  <c r="G1313"/>
  <c r="J1313"/>
  <c r="G1314"/>
  <c r="J1314"/>
  <c r="J1315"/>
  <c r="J1316"/>
  <c r="G1317"/>
  <c r="J1317"/>
  <c r="G1318"/>
  <c r="J1318"/>
  <c r="J1319"/>
  <c r="J1321"/>
  <c r="J1322"/>
  <c r="G1323"/>
  <c r="J1323"/>
  <c r="G1324"/>
  <c r="J1324"/>
  <c r="G1325"/>
  <c r="J1325"/>
  <c r="G1326"/>
  <c r="J1326"/>
  <c r="G1327"/>
  <c r="J1327"/>
  <c r="G1328"/>
  <c r="J1328"/>
  <c r="G1329"/>
  <c r="J1329"/>
  <c r="G1330"/>
  <c r="J1330"/>
  <c r="J1331"/>
  <c r="J1332"/>
  <c r="G1333"/>
  <c r="J1333"/>
  <c r="G1334"/>
  <c r="J1334"/>
  <c r="J1335"/>
  <c r="G1336"/>
  <c r="J1336"/>
  <c r="G1337"/>
  <c r="J1337"/>
  <c r="G1338"/>
  <c r="J1338"/>
  <c r="G1339"/>
  <c r="J1339"/>
  <c r="J1340"/>
  <c r="J1341"/>
  <c r="G1342"/>
  <c r="J1342"/>
  <c r="J1343"/>
  <c r="G1344"/>
  <c r="J1344"/>
  <c r="G1345"/>
  <c r="J1345"/>
  <c r="G1346"/>
  <c r="J1346"/>
  <c r="G1347"/>
  <c r="J1347"/>
  <c r="G1348"/>
  <c r="J1348"/>
  <c r="G1349"/>
  <c r="J1349"/>
  <c r="G1350"/>
  <c r="J1350"/>
  <c r="G1351"/>
  <c r="J1351"/>
  <c r="J1352"/>
  <c r="J1353"/>
  <c r="J1354"/>
  <c r="J1355"/>
  <c r="J1356"/>
  <c r="J1357"/>
  <c r="J1358"/>
  <c r="J1359"/>
  <c r="J1360"/>
  <c r="J1361"/>
  <c r="J1362"/>
  <c r="J1363"/>
  <c r="G1364"/>
  <c r="J1364"/>
  <c r="G1365"/>
  <c r="J1365"/>
  <c r="J1366"/>
  <c r="J1367"/>
  <c r="G1368"/>
  <c r="J1368"/>
  <c r="J1369"/>
  <c r="G1370"/>
  <c r="J1370"/>
  <c r="J1371"/>
  <c r="G1372"/>
  <c r="J1372"/>
  <c r="G1373"/>
  <c r="J1373"/>
  <c r="G1374"/>
  <c r="J1374"/>
  <c r="G1375"/>
  <c r="J1375"/>
  <c r="G1376"/>
  <c r="J1376"/>
  <c r="G1377"/>
  <c r="J1377"/>
  <c r="J1378"/>
  <c r="J1379"/>
  <c r="J1380"/>
  <c r="J1381"/>
  <c r="J1382"/>
  <c r="J1383"/>
  <c r="G1384"/>
  <c r="J1384"/>
  <c r="J1385"/>
  <c r="G1386"/>
  <c r="J1386"/>
  <c r="G1387"/>
  <c r="J1387"/>
  <c r="J1388"/>
  <c r="G1389"/>
  <c r="J1389"/>
  <c r="G1390"/>
  <c r="J1390"/>
  <c r="G1391"/>
  <c r="J1391"/>
  <c r="G1392"/>
  <c r="J1392"/>
  <c r="J1393"/>
  <c r="J1394"/>
  <c r="J1395"/>
  <c r="J1396"/>
  <c r="J1397"/>
  <c r="G1398"/>
  <c r="J1398"/>
  <c r="J1399"/>
  <c r="J1400"/>
  <c r="G1401"/>
  <c r="J1401"/>
  <c r="J1402"/>
  <c r="G1403"/>
  <c r="J1403"/>
  <c r="J1404"/>
  <c r="J1405"/>
  <c r="G1406"/>
  <c r="J1406"/>
  <c r="J1407"/>
  <c r="J1408"/>
  <c r="J1409"/>
  <c r="G1410"/>
  <c r="J1410"/>
  <c r="J1411"/>
  <c r="G1412"/>
  <c r="J1412"/>
  <c r="J1413"/>
  <c r="G1414"/>
  <c r="J1414"/>
  <c r="G1415"/>
  <c r="J1415"/>
  <c r="J1416"/>
  <c r="J1417"/>
  <c r="G1418"/>
  <c r="J1418"/>
  <c r="J1419"/>
  <c r="G1420"/>
  <c r="J1420"/>
  <c r="G1421"/>
  <c r="J1421"/>
  <c r="G1422"/>
  <c r="J1422"/>
  <c r="G1423"/>
  <c r="J1423"/>
  <c r="J1424"/>
  <c r="J1425"/>
  <c r="J1426"/>
  <c r="J1427"/>
  <c r="J1428"/>
  <c r="J1429"/>
  <c r="J1430"/>
  <c r="J1431"/>
  <c r="G1432"/>
  <c r="J1432"/>
  <c r="J1433"/>
  <c r="G1434"/>
  <c r="J1434"/>
  <c r="J1435"/>
  <c r="J1436"/>
  <c r="G1437"/>
  <c r="J1437"/>
  <c r="J1438"/>
  <c r="J1439"/>
  <c r="G1440"/>
  <c r="J1440"/>
  <c r="G1441"/>
  <c r="J1441"/>
  <c r="G1442"/>
  <c r="J1442"/>
  <c r="J1443"/>
  <c r="J1444"/>
  <c r="G1445"/>
  <c r="J1445"/>
  <c r="G1446"/>
  <c r="J1446"/>
  <c r="G1447"/>
  <c r="J1447"/>
  <c r="G1448"/>
  <c r="J1448"/>
  <c r="J1449"/>
  <c r="J1450"/>
  <c r="J1451"/>
  <c r="G1452"/>
  <c r="J1452"/>
  <c r="G1453"/>
  <c r="J1453"/>
  <c r="G1454"/>
  <c r="J1454"/>
  <c r="J1455"/>
  <c r="J1456"/>
  <c r="G1457"/>
  <c r="J1457"/>
  <c r="J1458"/>
  <c r="J1459"/>
  <c r="G1460"/>
  <c r="J1460"/>
  <c r="J1461"/>
  <c r="J1462"/>
  <c r="J1463"/>
  <c r="J1464"/>
  <c r="J1465"/>
  <c r="J1466"/>
  <c r="J1467"/>
  <c r="G1468"/>
  <c r="J1468"/>
  <c r="J1469"/>
  <c r="J1470"/>
  <c r="J1471"/>
  <c r="G1472"/>
  <c r="J1472"/>
  <c r="J1473"/>
  <c r="G1474"/>
  <c r="J1474"/>
  <c r="J1475"/>
  <c r="J1476"/>
  <c r="J1477"/>
  <c r="J1478"/>
  <c r="G1479"/>
  <c r="J1479"/>
  <c r="G1480"/>
  <c r="J1480"/>
  <c r="J1481"/>
  <c r="G1482"/>
  <c r="J1482"/>
  <c r="G1483"/>
  <c r="J1483"/>
  <c r="G1484"/>
  <c r="J1484"/>
  <c r="J1485"/>
  <c r="G1486"/>
  <c r="J1486"/>
  <c r="J1487"/>
  <c r="G1488"/>
  <c r="J1488"/>
  <c r="J1489"/>
  <c r="J1490"/>
  <c r="G1491"/>
  <c r="J1491"/>
  <c r="G1492"/>
  <c r="J1492"/>
  <c r="J1493"/>
  <c r="J1494"/>
  <c r="G1495"/>
  <c r="J1495"/>
  <c r="G1496"/>
  <c r="J1496"/>
  <c r="G1497"/>
  <c r="J1497"/>
  <c r="J1498"/>
  <c r="G1499"/>
  <c r="J1499"/>
  <c r="J1500"/>
  <c r="G1501"/>
  <c r="J1501"/>
  <c r="J1502"/>
  <c r="J1503"/>
  <c r="G1504"/>
  <c r="J1504"/>
  <c r="G1505"/>
  <c r="J1505"/>
  <c r="G1506"/>
  <c r="J1506"/>
  <c r="G1507"/>
  <c r="J1507"/>
  <c r="G1508"/>
  <c r="J1508"/>
  <c r="J1509"/>
  <c r="J1510"/>
  <c r="J1511"/>
  <c r="J1512"/>
  <c r="G1513"/>
  <c r="J1513"/>
  <c r="J1514"/>
  <c r="J1515"/>
  <c r="J1516"/>
  <c r="J1517"/>
  <c r="J1518"/>
  <c r="J1519"/>
  <c r="J1520"/>
  <c r="J1521"/>
  <c r="J1522"/>
  <c r="J1523"/>
  <c r="G1524"/>
  <c r="J1524"/>
  <c r="J1525"/>
  <c r="J1526"/>
  <c r="G1527"/>
  <c r="J1527"/>
  <c r="G1528"/>
  <c r="J1528"/>
  <c r="G1529"/>
  <c r="J1529"/>
  <c r="G1530"/>
  <c r="J1530"/>
  <c r="G1531"/>
  <c r="J1531"/>
  <c r="J1532"/>
  <c r="J1533"/>
  <c r="J1534"/>
  <c r="G1535"/>
  <c r="J1535"/>
  <c r="J1536"/>
  <c r="J1537"/>
  <c r="J1538"/>
  <c r="J1539"/>
  <c r="G1540"/>
  <c r="J1540"/>
  <c r="J1541"/>
  <c r="J1542"/>
  <c r="G1543"/>
  <c r="J1543"/>
  <c r="J1544"/>
  <c r="J1545"/>
  <c r="J1546"/>
  <c r="G1547"/>
  <c r="J1547"/>
  <c r="J1548"/>
  <c r="J1549"/>
  <c r="J1550"/>
  <c r="G1551"/>
  <c r="J1551"/>
  <c r="J1552"/>
  <c r="G1553"/>
  <c r="J1553"/>
  <c r="J1554"/>
  <c r="J1555"/>
  <c r="J1556"/>
  <c r="J1557"/>
  <c r="G1558"/>
  <c r="J1558"/>
  <c r="G1559"/>
  <c r="J1559"/>
  <c r="G1560"/>
  <c r="J1560"/>
  <c r="J1561"/>
  <c r="G1562"/>
  <c r="J1562"/>
  <c r="J1563"/>
  <c r="J1564"/>
  <c r="G1565"/>
  <c r="J1565"/>
  <c r="G1566"/>
  <c r="J1566"/>
  <c r="G1567"/>
  <c r="J1567"/>
  <c r="G1568"/>
  <c r="J1568"/>
  <c r="G1569"/>
  <c r="J1569"/>
  <c r="G1570"/>
  <c r="J1570"/>
  <c r="G1571"/>
  <c r="J1571"/>
  <c r="G1572"/>
  <c r="J1572"/>
  <c r="G1573"/>
  <c r="J1573"/>
  <c r="G1574"/>
  <c r="J1574"/>
  <c r="G1575"/>
  <c r="J1575"/>
  <c r="G1576"/>
  <c r="J1576"/>
  <c r="J1577"/>
  <c r="G1578"/>
  <c r="J1578"/>
  <c r="J1579"/>
  <c r="J1580"/>
  <c r="J1581"/>
  <c r="J1582"/>
  <c r="G1583"/>
  <c r="J1583"/>
  <c r="G1584"/>
  <c r="J1584"/>
  <c r="G1585"/>
  <c r="J1585"/>
  <c r="G1586"/>
  <c r="J1586"/>
  <c r="J1587"/>
  <c r="J1588"/>
  <c r="G1589"/>
  <c r="J1589"/>
  <c r="J1590"/>
  <c r="G1591"/>
  <c r="J1591"/>
  <c r="G1592"/>
  <c r="J1592"/>
  <c r="J1593"/>
  <c r="G1594"/>
  <c r="J1594"/>
  <c r="G1595"/>
  <c r="J1595"/>
  <c r="G1596"/>
  <c r="J1596"/>
  <c r="J1597"/>
  <c r="G1598"/>
  <c r="J1598"/>
  <c r="G1599"/>
  <c r="J1599"/>
  <c r="J1600"/>
  <c r="G1601"/>
  <c r="J1601"/>
  <c r="G1602"/>
  <c r="J1602"/>
  <c r="J1603"/>
  <c r="G1604"/>
  <c r="J1604"/>
  <c r="J1605"/>
  <c r="G1606"/>
  <c r="J1606"/>
  <c r="G1607"/>
  <c r="J1607"/>
  <c r="J1608"/>
  <c r="G1609"/>
  <c r="J1609"/>
  <c r="G1610"/>
  <c r="J1610"/>
  <c r="G1611"/>
  <c r="J1611"/>
  <c r="G1612"/>
  <c r="J1612"/>
  <c r="G1613"/>
  <c r="J1613"/>
  <c r="G1614"/>
  <c r="J1614"/>
  <c r="G1615"/>
  <c r="J1615"/>
  <c r="G1616"/>
  <c r="J1616"/>
  <c r="G1617"/>
  <c r="J1617"/>
  <c r="G1618"/>
  <c r="J1618"/>
  <c r="G1619"/>
  <c r="J1619"/>
  <c r="G1620"/>
  <c r="J1620"/>
  <c r="G1621"/>
  <c r="J1621"/>
  <c r="J1622"/>
  <c r="G1623"/>
  <c r="J1623"/>
  <c r="G1624"/>
  <c r="J1624"/>
  <c r="G1625"/>
  <c r="J1625"/>
  <c r="G1626"/>
  <c r="J1626"/>
  <c r="G1627"/>
  <c r="J1627"/>
  <c r="G1628"/>
  <c r="J1628"/>
  <c r="G1629"/>
  <c r="J1629"/>
  <c r="G1630"/>
  <c r="J1630"/>
  <c r="G1631"/>
  <c r="J1631"/>
  <c r="G1632"/>
  <c r="J1632"/>
  <c r="G1633"/>
  <c r="J1633"/>
  <c r="G1634"/>
  <c r="J1634"/>
  <c r="G1635"/>
  <c r="J1635"/>
  <c r="G1636"/>
  <c r="J1636"/>
  <c r="G1637"/>
  <c r="J1637"/>
  <c r="G1638"/>
  <c r="J1638"/>
  <c r="G1639"/>
  <c r="J1639"/>
  <c r="G1640"/>
  <c r="J1640"/>
  <c r="G1641"/>
  <c r="J1641"/>
  <c r="G1642"/>
  <c r="J1642"/>
  <c r="G1643"/>
  <c r="J1643"/>
  <c r="G1644"/>
  <c r="J1644"/>
  <c r="G1645"/>
  <c r="J1645"/>
  <c r="G1646"/>
  <c r="J1646"/>
  <c r="G1647"/>
  <c r="J1647"/>
  <c r="G1648"/>
  <c r="J1648"/>
  <c r="G1649"/>
  <c r="J1649"/>
  <c r="G1650"/>
  <c r="J1650"/>
  <c r="G1651"/>
  <c r="J1651"/>
  <c r="G1652"/>
  <c r="J1652"/>
  <c r="G1653"/>
  <c r="J1653"/>
  <c r="G1654"/>
  <c r="J1654"/>
  <c r="G1655"/>
  <c r="J1655"/>
  <c r="G1656"/>
  <c r="J1656"/>
  <c r="G1657"/>
  <c r="J1657"/>
  <c r="G1658"/>
  <c r="J1658"/>
  <c r="G1659"/>
  <c r="J1659"/>
  <c r="G1660"/>
  <c r="J1660"/>
  <c r="G1661"/>
  <c r="J1661"/>
  <c r="G1662"/>
  <c r="J1662"/>
  <c r="G1663"/>
  <c r="J1663"/>
  <c r="J1664"/>
  <c r="G1665"/>
  <c r="J1665"/>
  <c r="J1666"/>
  <c r="J1667"/>
  <c r="J1668"/>
  <c r="J1669"/>
  <c r="J1670"/>
  <c r="G1671"/>
  <c r="J1671"/>
  <c r="J1672"/>
  <c r="G1673"/>
  <c r="J1673"/>
  <c r="G1674"/>
  <c r="J1674"/>
  <c r="G1675"/>
  <c r="J1675"/>
  <c r="J1676"/>
  <c r="J1677"/>
  <c r="G1678"/>
  <c r="J1678"/>
  <c r="G1679"/>
  <c r="J1679"/>
  <c r="G1680"/>
  <c r="J1680"/>
  <c r="G1681"/>
  <c r="J1681"/>
  <c r="G1682"/>
  <c r="J1682"/>
  <c r="G1683"/>
  <c r="J1683"/>
  <c r="G1684"/>
  <c r="J1684"/>
  <c r="G1685"/>
  <c r="J1685"/>
  <c r="G1686"/>
  <c r="J1686"/>
  <c r="G1687"/>
  <c r="J1687"/>
  <c r="G1688"/>
  <c r="J1688"/>
  <c r="G1689"/>
  <c r="J1689"/>
  <c r="G1690"/>
  <c r="J1690"/>
  <c r="J1691"/>
  <c r="J1692"/>
  <c r="J1693"/>
  <c r="J1694"/>
  <c r="J1695"/>
  <c r="J1696"/>
  <c r="J1697"/>
  <c r="J1698"/>
  <c r="J1699"/>
  <c r="J1700"/>
  <c r="J1701"/>
  <c r="J1702"/>
  <c r="J1703"/>
  <c r="J1704"/>
  <c r="J1705"/>
  <c r="J1706"/>
  <c r="J1707"/>
  <c r="J1708"/>
  <c r="J1709"/>
  <c r="J1710"/>
  <c r="J1711"/>
  <c r="J1712"/>
  <c r="J1713"/>
  <c r="J1714"/>
  <c r="J1715"/>
  <c r="J1716"/>
  <c r="J1717"/>
  <c r="J1718"/>
  <c r="J1719"/>
  <c r="J1720"/>
  <c r="J1721"/>
  <c r="J1722"/>
  <c r="J1723"/>
  <c r="J1724"/>
  <c r="J1725"/>
  <c r="J1726"/>
  <c r="J1727"/>
  <c r="J1728"/>
  <c r="J1729"/>
  <c r="J1730"/>
  <c r="J1731"/>
  <c r="J1732"/>
  <c r="J1733"/>
  <c r="J1734"/>
  <c r="J1735"/>
  <c r="J1736"/>
  <c r="J1737"/>
  <c r="J1738"/>
  <c r="J1739"/>
  <c r="J1740"/>
  <c r="J1741"/>
  <c r="J1742"/>
  <c r="J1743"/>
  <c r="J1744"/>
  <c r="J1745"/>
  <c r="J1746"/>
  <c r="J1747"/>
  <c r="J1748"/>
  <c r="J1749"/>
  <c r="J1750"/>
  <c r="J1751"/>
  <c r="J1752"/>
  <c r="J1753"/>
  <c r="J1754"/>
  <c r="J1755"/>
  <c r="J1756"/>
  <c r="J1757"/>
  <c r="J1758"/>
  <c r="J1759"/>
  <c r="J1760"/>
  <c r="J1761"/>
  <c r="J1762"/>
  <c r="J1763"/>
  <c r="J1764"/>
  <c r="J1765"/>
  <c r="J1766"/>
  <c r="J1767"/>
  <c r="J1768"/>
  <c r="J1769"/>
  <c r="J1770"/>
  <c r="J1771"/>
  <c r="J1772"/>
  <c r="J1773"/>
  <c r="J1774"/>
  <c r="J1775"/>
  <c r="J1776"/>
  <c r="J1777"/>
  <c r="J1778"/>
  <c r="J1779"/>
  <c r="J1780"/>
  <c r="J1781"/>
  <c r="J1782"/>
  <c r="J1783"/>
  <c r="J1784"/>
  <c r="J1785"/>
  <c r="J1786"/>
  <c r="J1787"/>
  <c r="J1788"/>
  <c r="J1789"/>
  <c r="J1790"/>
  <c r="J1791"/>
  <c r="J1792"/>
  <c r="J1793"/>
  <c r="J1794"/>
  <c r="J1795"/>
  <c r="J1796"/>
  <c r="J1797"/>
  <c r="J1798"/>
  <c r="J1799"/>
  <c r="J1800"/>
  <c r="J1801"/>
  <c r="J1802"/>
  <c r="J1803"/>
  <c r="J1804"/>
  <c r="J1805"/>
  <c r="J1806"/>
  <c r="J1807"/>
  <c r="J1808"/>
  <c r="J1809"/>
  <c r="J1810"/>
  <c r="J1811"/>
  <c r="J1812"/>
  <c r="J1813"/>
  <c r="J1814"/>
  <c r="J1815"/>
  <c r="J1816"/>
  <c r="J1817"/>
  <c r="J1818"/>
  <c r="J1819"/>
  <c r="J1820"/>
  <c r="J1821"/>
  <c r="J1822"/>
  <c r="J1823"/>
  <c r="J1824"/>
  <c r="J1825"/>
  <c r="J1826"/>
  <c r="J1827"/>
  <c r="J1828"/>
  <c r="J1829"/>
  <c r="J1830"/>
  <c r="J1831"/>
  <c r="J1832"/>
  <c r="J1833"/>
  <c r="J1834"/>
  <c r="J1835"/>
  <c r="J1836"/>
  <c r="J1837"/>
  <c r="J1838"/>
  <c r="J1839"/>
  <c r="J1840"/>
  <c r="J1841"/>
  <c r="J1842"/>
  <c r="J1843"/>
  <c r="J1844"/>
  <c r="J1845"/>
  <c r="J1846"/>
  <c r="J1847"/>
  <c r="J1848"/>
  <c r="J1849"/>
  <c r="J1850"/>
  <c r="J1851"/>
  <c r="J1852"/>
  <c r="J1853"/>
  <c r="J1854"/>
  <c r="J1855"/>
  <c r="J1856"/>
  <c r="J1857"/>
  <c r="J1858"/>
  <c r="J1859"/>
  <c r="J1860"/>
  <c r="J1861"/>
  <c r="J1862"/>
  <c r="J1863"/>
  <c r="J1864"/>
  <c r="J1865"/>
  <c r="J1866"/>
  <c r="J1867"/>
  <c r="J1868"/>
  <c r="J1869"/>
  <c r="J1870"/>
  <c r="J1871"/>
  <c r="J1872"/>
  <c r="J1873"/>
  <c r="J1874"/>
  <c r="J1875"/>
  <c r="J1876"/>
  <c r="J1877"/>
  <c r="J1878"/>
  <c r="J1879"/>
  <c r="J1880"/>
  <c r="J1881"/>
  <c r="J1882"/>
  <c r="J1883"/>
  <c r="J1884"/>
  <c r="J1885"/>
  <c r="J1886"/>
  <c r="J1887"/>
  <c r="J1888"/>
  <c r="J1889"/>
  <c r="J1890"/>
  <c r="J1891"/>
  <c r="J1892"/>
  <c r="J1893"/>
  <c r="J1894"/>
  <c r="J1895"/>
  <c r="J1896"/>
  <c r="J1897"/>
  <c r="J1898"/>
  <c r="J1899"/>
  <c r="J1900"/>
  <c r="J1901"/>
  <c r="G1902"/>
  <c r="J1902"/>
  <c r="G1903"/>
  <c r="J1903"/>
  <c r="G1904"/>
  <c r="J1904"/>
  <c r="G1905"/>
  <c r="J1905"/>
  <c r="G1906"/>
  <c r="J1906"/>
  <c r="J1907"/>
  <c r="J1908"/>
  <c r="J1909"/>
  <c r="J1910"/>
  <c r="J1911"/>
  <c r="J1912"/>
  <c r="J1913"/>
  <c r="J1914"/>
  <c r="J1915"/>
  <c r="J1916"/>
  <c r="J1917"/>
  <c r="J1918"/>
  <c r="J1919"/>
  <c r="J1920"/>
  <c r="J1921"/>
  <c r="J1922"/>
  <c r="J1923"/>
  <c r="J1924"/>
  <c r="J1925"/>
  <c r="J1926"/>
  <c r="J1927"/>
  <c r="J1928"/>
  <c r="J1929"/>
  <c r="J1930"/>
  <c r="J1931"/>
  <c r="J1932"/>
  <c r="J1933"/>
  <c r="J1934"/>
  <c r="J1935"/>
  <c r="J1936"/>
  <c r="J1937"/>
  <c r="J1938"/>
  <c r="J1939"/>
  <c r="J1940"/>
  <c r="J1941"/>
  <c r="J1942"/>
  <c r="J1943"/>
  <c r="J1944"/>
  <c r="J1945"/>
  <c r="J1946"/>
  <c r="J1947"/>
  <c r="J1948"/>
  <c r="J1949"/>
  <c r="J1950"/>
  <c r="J1951"/>
  <c r="J1952"/>
  <c r="J1953"/>
  <c r="J1954"/>
  <c r="J1955"/>
  <c r="J1956"/>
  <c r="J1957"/>
  <c r="J1958"/>
  <c r="J1959"/>
  <c r="J1960"/>
  <c r="J1961"/>
  <c r="J1962"/>
  <c r="J1963"/>
  <c r="J1964"/>
  <c r="J1965"/>
  <c r="J1966"/>
  <c r="J1967"/>
  <c r="J1968"/>
  <c r="J1969"/>
  <c r="J1970"/>
  <c r="J1971"/>
  <c r="J1972"/>
  <c r="J1973"/>
  <c r="J1974"/>
  <c r="J1975"/>
  <c r="J1976"/>
  <c r="J1977"/>
  <c r="J1978"/>
  <c r="J1979"/>
  <c r="J1980"/>
  <c r="J1981"/>
  <c r="J1982"/>
  <c r="J1983"/>
  <c r="J1984"/>
  <c r="J1985"/>
  <c r="J1986"/>
  <c r="J1987"/>
  <c r="J1988"/>
  <c r="J1989"/>
  <c r="J1990"/>
  <c r="J1991"/>
  <c r="J1992"/>
  <c r="J1993"/>
  <c r="J1994"/>
  <c r="J1995"/>
  <c r="J1996"/>
  <c r="J1997"/>
  <c r="J1998"/>
  <c r="J1999"/>
  <c r="J2000"/>
  <c r="J2001"/>
  <c r="J2002"/>
  <c r="J2003"/>
  <c r="J2004"/>
  <c r="J2005"/>
  <c r="J2006"/>
  <c r="J2007"/>
  <c r="J2008"/>
  <c r="J2009"/>
  <c r="J2010"/>
  <c r="J2011"/>
  <c r="J2012"/>
  <c r="J2013"/>
  <c r="J2014"/>
  <c r="J2015"/>
  <c r="J2016"/>
  <c r="J2017"/>
  <c r="J2018"/>
  <c r="J2019"/>
  <c r="J2020"/>
  <c r="J2021"/>
  <c r="J2022"/>
  <c r="J2023"/>
  <c r="J2024"/>
  <c r="J2025"/>
  <c r="J2026"/>
  <c r="J2027"/>
  <c r="J2028"/>
  <c r="J2029"/>
  <c r="J2030"/>
  <c r="J2031"/>
  <c r="J2032"/>
  <c r="J2033"/>
  <c r="J2034"/>
  <c r="J2035"/>
  <c r="J2036"/>
  <c r="J2037"/>
  <c r="J2038"/>
  <c r="J2039"/>
  <c r="J2040"/>
  <c r="J2041"/>
  <c r="J2042"/>
  <c r="J2043"/>
  <c r="J2044"/>
  <c r="J2045"/>
  <c r="J2046"/>
  <c r="J2047"/>
  <c r="J2048"/>
  <c r="J2049"/>
  <c r="J2050"/>
  <c r="J2051"/>
  <c r="J2052"/>
  <c r="J2053"/>
  <c r="J2054"/>
  <c r="J2055"/>
  <c r="J2056"/>
  <c r="J2057"/>
  <c r="J2058"/>
  <c r="J2059"/>
  <c r="J2060"/>
  <c r="J2061"/>
  <c r="J2062"/>
  <c r="J2063"/>
  <c r="J2064"/>
  <c r="J2065"/>
  <c r="J2066"/>
  <c r="J2067"/>
  <c r="J2068"/>
  <c r="J2069"/>
  <c r="J2070"/>
  <c r="J2071"/>
  <c r="J2072"/>
  <c r="J2073"/>
  <c r="J2074"/>
  <c r="J2075"/>
  <c r="J2076"/>
  <c r="J2077"/>
  <c r="J2078"/>
  <c r="J2079"/>
  <c r="J2080"/>
  <c r="J2081"/>
  <c r="J2082"/>
  <c r="J2083"/>
  <c r="J2084"/>
  <c r="J2085"/>
  <c r="J2086"/>
  <c r="J2087"/>
  <c r="J2088"/>
  <c r="J2089"/>
  <c r="J2090"/>
  <c r="J2091"/>
  <c r="J2092"/>
  <c r="J2093"/>
  <c r="J2094"/>
  <c r="J2095"/>
  <c r="J2096"/>
  <c r="J2097"/>
  <c r="J2098"/>
  <c r="J2099"/>
  <c r="J2100"/>
  <c r="J2101"/>
  <c r="J2102"/>
  <c r="J2103"/>
  <c r="J2104"/>
  <c r="J2105"/>
  <c r="J2106"/>
  <c r="J2107"/>
  <c r="J2108"/>
  <c r="J2109"/>
  <c r="J2110"/>
  <c r="J2111"/>
  <c r="J2112"/>
  <c r="J2113"/>
  <c r="J2114"/>
  <c r="J2115"/>
  <c r="J2116"/>
  <c r="J2117"/>
  <c r="J2118"/>
  <c r="J2119"/>
  <c r="J2120"/>
  <c r="J2121"/>
  <c r="J2122"/>
  <c r="J2123"/>
  <c r="J2124"/>
  <c r="J2125"/>
  <c r="J2126"/>
  <c r="J2127"/>
  <c r="J2128"/>
  <c r="J2129"/>
  <c r="J2130"/>
  <c r="J2131"/>
  <c r="J2132"/>
  <c r="J2133"/>
  <c r="J2134"/>
  <c r="J2135"/>
  <c r="J2136"/>
  <c r="J2137"/>
  <c r="J2138"/>
  <c r="J2139"/>
  <c r="J2140"/>
  <c r="J2141"/>
  <c r="J2142"/>
  <c r="J2143"/>
  <c r="J2144"/>
  <c r="J2145"/>
  <c r="J2146"/>
  <c r="J2147"/>
  <c r="J2148"/>
  <c r="J2149"/>
  <c r="J2150"/>
  <c r="J2151"/>
  <c r="J2152"/>
  <c r="J2153"/>
  <c r="J2154"/>
  <c r="J2155"/>
  <c r="J2156"/>
  <c r="J2157"/>
  <c r="J2158"/>
  <c r="J2159"/>
  <c r="J2160"/>
  <c r="J2161"/>
  <c r="J2162"/>
  <c r="J2163"/>
  <c r="J2164"/>
  <c r="J2165"/>
  <c r="J2166"/>
  <c r="J2167"/>
  <c r="J2168"/>
  <c r="J2169"/>
  <c r="J2170"/>
  <c r="J2171"/>
  <c r="J2172"/>
  <c r="J2173"/>
  <c r="J2174"/>
  <c r="J2175"/>
  <c r="J2176"/>
  <c r="J2177"/>
  <c r="J2178"/>
  <c r="J2179"/>
  <c r="J2180"/>
  <c r="J2181"/>
  <c r="J2182"/>
  <c r="J2183"/>
  <c r="J2184"/>
  <c r="J2185"/>
  <c r="J2186"/>
  <c r="J2187"/>
  <c r="J2188"/>
  <c r="J2189"/>
  <c r="J2190"/>
  <c r="J2191"/>
  <c r="J2192"/>
  <c r="J2193"/>
  <c r="J2194"/>
  <c r="J2195"/>
  <c r="J2196"/>
  <c r="J2197"/>
  <c r="J2198"/>
  <c r="J2199"/>
  <c r="J2200"/>
  <c r="J2201"/>
  <c r="J2202"/>
  <c r="J2203"/>
  <c r="J2204"/>
  <c r="J2205"/>
  <c r="J2206"/>
  <c r="J2207"/>
  <c r="J2208"/>
  <c r="J2209"/>
  <c r="J2210"/>
  <c r="J2211"/>
  <c r="J2212"/>
  <c r="J2213"/>
  <c r="J2214"/>
  <c r="J2215"/>
  <c r="J2216"/>
  <c r="J2217"/>
  <c r="J2218"/>
  <c r="J2219"/>
  <c r="J2220"/>
  <c r="J2221"/>
  <c r="J2222"/>
  <c r="J2223"/>
  <c r="J2224"/>
  <c r="J2225"/>
  <c r="J2226"/>
  <c r="J2227"/>
  <c r="J2228"/>
  <c r="J2229"/>
  <c r="J2230"/>
  <c r="J2231"/>
  <c r="J2232"/>
  <c r="J2233"/>
  <c r="J2234"/>
  <c r="J2235"/>
  <c r="J2236"/>
  <c r="J2237"/>
  <c r="J2238"/>
  <c r="J2239"/>
  <c r="J2240"/>
  <c r="J2241"/>
  <c r="J2242"/>
  <c r="J2243"/>
  <c r="J2244"/>
  <c r="J2245"/>
  <c r="J2246"/>
  <c r="J2247"/>
  <c r="J2248"/>
  <c r="J2249"/>
  <c r="J2250"/>
  <c r="J2251"/>
  <c r="J2252"/>
  <c r="J2253"/>
  <c r="J2254"/>
  <c r="J2255"/>
  <c r="J2256"/>
  <c r="J2257"/>
  <c r="J2258"/>
  <c r="J2259"/>
  <c r="J2260"/>
  <c r="J2261"/>
  <c r="J2262"/>
  <c r="J2263"/>
  <c r="J2264"/>
  <c r="J2265"/>
  <c r="J2266"/>
  <c r="J2267"/>
  <c r="J2268"/>
  <c r="J2269"/>
  <c r="J2270"/>
  <c r="J2271"/>
  <c r="J2272"/>
  <c r="J2273"/>
  <c r="J2274"/>
  <c r="J2275"/>
  <c r="J2276"/>
  <c r="J2277"/>
  <c r="J2278"/>
  <c r="J2279"/>
  <c r="J2280"/>
  <c r="J2281"/>
  <c r="J2282"/>
  <c r="J2283"/>
  <c r="J2284"/>
  <c r="J2285"/>
  <c r="J2286"/>
  <c r="J2287"/>
  <c r="J2288"/>
  <c r="J2289"/>
  <c r="J2290"/>
  <c r="J2291"/>
  <c r="J2292"/>
  <c r="J2293"/>
  <c r="J2294"/>
  <c r="J2295"/>
  <c r="J2296"/>
  <c r="J2297"/>
  <c r="J2298"/>
  <c r="J2299"/>
  <c r="J2300"/>
  <c r="J2301"/>
  <c r="J2302"/>
  <c r="J2303"/>
  <c r="J2304"/>
  <c r="J2305"/>
  <c r="J2306"/>
  <c r="J2307"/>
  <c r="J2308"/>
  <c r="J2309"/>
  <c r="J2310"/>
  <c r="J2311"/>
  <c r="J2312"/>
  <c r="J2313"/>
  <c r="J2314"/>
  <c r="J2315"/>
  <c r="J2316"/>
  <c r="J2317"/>
  <c r="J2318"/>
  <c r="J2319"/>
  <c r="J2320"/>
  <c r="J2321"/>
  <c r="J2322"/>
  <c r="J2323"/>
  <c r="J2324"/>
  <c r="J2325"/>
  <c r="J2326"/>
  <c r="J2327"/>
  <c r="J2328"/>
  <c r="J2329"/>
  <c r="J2330"/>
  <c r="J2331"/>
  <c r="J2332"/>
  <c r="J2333"/>
  <c r="J2334"/>
  <c r="J2335"/>
  <c r="J2336"/>
  <c r="J2337"/>
  <c r="J2338"/>
  <c r="J2339"/>
  <c r="J2340"/>
  <c r="J2341"/>
  <c r="J2342"/>
  <c r="J2343"/>
  <c r="J2344"/>
  <c r="J2345"/>
  <c r="J2346"/>
  <c r="J2347"/>
  <c r="J2348"/>
  <c r="J2349"/>
  <c r="J2350"/>
  <c r="J2351"/>
  <c r="J2352"/>
  <c r="J2353"/>
  <c r="J2354"/>
  <c r="J2355"/>
  <c r="J2356"/>
  <c r="J2357"/>
  <c r="J2358"/>
  <c r="J2359"/>
  <c r="J2360"/>
  <c r="J2361"/>
  <c r="J2362"/>
  <c r="J2363"/>
  <c r="J2364"/>
  <c r="J2365"/>
  <c r="J2366"/>
  <c r="J2367"/>
  <c r="J2368"/>
  <c r="J2369"/>
  <c r="J2370"/>
  <c r="J2371"/>
  <c r="J2372"/>
  <c r="J2373"/>
  <c r="J2374"/>
  <c r="J2375"/>
  <c r="J2376"/>
  <c r="J2377"/>
  <c r="J2378"/>
  <c r="J2379"/>
  <c r="J2380"/>
  <c r="J2381"/>
  <c r="J2382"/>
  <c r="J2383"/>
  <c r="J2384"/>
  <c r="J2385"/>
  <c r="J2386"/>
  <c r="J2387"/>
  <c r="J2388"/>
  <c r="J2389"/>
  <c r="J2390"/>
  <c r="J2391"/>
  <c r="J2392"/>
  <c r="J2393"/>
  <c r="J2394"/>
  <c r="J2395"/>
  <c r="J2396"/>
  <c r="J2397"/>
  <c r="J2398"/>
  <c r="J2399"/>
  <c r="J2400"/>
  <c r="J2401"/>
  <c r="J2402"/>
  <c r="J2403"/>
  <c r="J2404"/>
  <c r="J2405"/>
  <c r="J2406"/>
  <c r="J2407"/>
  <c r="J2408"/>
  <c r="J2409"/>
  <c r="J2410"/>
  <c r="J2411"/>
  <c r="J2412"/>
  <c r="J2413"/>
  <c r="J2414"/>
  <c r="J2415"/>
  <c r="J2416"/>
  <c r="J2417"/>
  <c r="J2418"/>
  <c r="J2419"/>
  <c r="J2420"/>
  <c r="J2421"/>
  <c r="J2422"/>
  <c r="J2423"/>
  <c r="J2424"/>
  <c r="J2425"/>
  <c r="J2426"/>
  <c r="J2427"/>
  <c r="J2428"/>
  <c r="J2429"/>
  <c r="J2430"/>
  <c r="J2431"/>
  <c r="J2432"/>
  <c r="J2433"/>
  <c r="J2434"/>
  <c r="J2435"/>
  <c r="J2436"/>
  <c r="J2437"/>
  <c r="J2438"/>
  <c r="J2439"/>
  <c r="J2440"/>
  <c r="J2441"/>
  <c r="J2442"/>
  <c r="J2443"/>
  <c r="J2444"/>
  <c r="J2445"/>
  <c r="J2446"/>
  <c r="J2447"/>
  <c r="J2448"/>
  <c r="J2449"/>
  <c r="J2450"/>
  <c r="J2451"/>
  <c r="J2452"/>
  <c r="J2453"/>
  <c r="J2454"/>
  <c r="J2455"/>
  <c r="J2456"/>
  <c r="J2457"/>
  <c r="J2458"/>
  <c r="J2459"/>
  <c r="J2460"/>
  <c r="J2461"/>
  <c r="J2462"/>
  <c r="J2463"/>
  <c r="J2464"/>
  <c r="J2465"/>
  <c r="J2466"/>
  <c r="J2467"/>
  <c r="J2468"/>
  <c r="J2469"/>
  <c r="J2470"/>
  <c r="J2471"/>
  <c r="J2472"/>
  <c r="J2473"/>
  <c r="J2474"/>
  <c r="J2475"/>
  <c r="J2476"/>
  <c r="J2477"/>
  <c r="J2478"/>
  <c r="J2479"/>
  <c r="J2480"/>
  <c r="J2481"/>
  <c r="J2482"/>
  <c r="J2483"/>
  <c r="J2484"/>
  <c r="J2485"/>
  <c r="J2486"/>
  <c r="J2487"/>
  <c r="J2488"/>
  <c r="J2489"/>
  <c r="J2490"/>
  <c r="J2491"/>
  <c r="J2492"/>
  <c r="J2493"/>
  <c r="J2494"/>
  <c r="J2495"/>
  <c r="J2496"/>
  <c r="J2497"/>
  <c r="J2498"/>
  <c r="J2499"/>
  <c r="J2500"/>
  <c r="J2501"/>
  <c r="J2502"/>
  <c r="J2503"/>
  <c r="J2504"/>
  <c r="J2505"/>
  <c r="J2506"/>
  <c r="J2507"/>
  <c r="J2508"/>
  <c r="J2509"/>
  <c r="J2510"/>
  <c r="J2511"/>
  <c r="J2512"/>
  <c r="J2513"/>
  <c r="J2514"/>
  <c r="J2515"/>
  <c r="J2516"/>
  <c r="J2517"/>
  <c r="J2518"/>
  <c r="J2519"/>
  <c r="J2520"/>
  <c r="J2521"/>
  <c r="J2522"/>
  <c r="J2523"/>
  <c r="J2524"/>
  <c r="J2525"/>
  <c r="J2526"/>
  <c r="J2527"/>
  <c r="J2528"/>
  <c r="J2529"/>
  <c r="J2530"/>
  <c r="J2531"/>
  <c r="J2532"/>
  <c r="J2533"/>
  <c r="J2534"/>
  <c r="J2535"/>
  <c r="J2536"/>
  <c r="J2537"/>
  <c r="J2538"/>
  <c r="J2539"/>
  <c r="J2540"/>
  <c r="J2541"/>
  <c r="J2542"/>
  <c r="J2543"/>
  <c r="J2544"/>
  <c r="J2545"/>
  <c r="J2546"/>
  <c r="J2547"/>
  <c r="J2548"/>
  <c r="J2549"/>
  <c r="J2550"/>
  <c r="J2551"/>
  <c r="J2552"/>
  <c r="J2553"/>
  <c r="J2554"/>
  <c r="J2555"/>
  <c r="J2556"/>
  <c r="J2557"/>
  <c r="J2558"/>
  <c r="J2559"/>
  <c r="J2560"/>
  <c r="J2561"/>
  <c r="J2562"/>
  <c r="J2563"/>
  <c r="J2564"/>
  <c r="J2565"/>
  <c r="J2566"/>
  <c r="J2567"/>
  <c r="J2568"/>
  <c r="J2569"/>
  <c r="J2570"/>
  <c r="J2571"/>
  <c r="J2572"/>
  <c r="J2573"/>
  <c r="J2574"/>
  <c r="J2575"/>
  <c r="J2576"/>
  <c r="J2577"/>
  <c r="J2578"/>
  <c r="J2579"/>
  <c r="J2580"/>
  <c r="J2581"/>
  <c r="J2582"/>
  <c r="J2583"/>
  <c r="J2584"/>
  <c r="J2585"/>
  <c r="J2586"/>
  <c r="J2587"/>
  <c r="J2588"/>
  <c r="J2589"/>
  <c r="J2590"/>
  <c r="J2591"/>
  <c r="J2592"/>
  <c r="J2593"/>
  <c r="J2594"/>
  <c r="J2595"/>
  <c r="J2596"/>
  <c r="J2597"/>
  <c r="J2598"/>
  <c r="J2599"/>
  <c r="J2600"/>
  <c r="J2601"/>
  <c r="J2602"/>
  <c r="J2603"/>
  <c r="J2604"/>
  <c r="J2605"/>
  <c r="J2606"/>
  <c r="J2607"/>
  <c r="J2608"/>
  <c r="J2609"/>
  <c r="J2610"/>
  <c r="J2611"/>
  <c r="J2612"/>
  <c r="J2613"/>
  <c r="J2614"/>
  <c r="J2615"/>
  <c r="J2616"/>
  <c r="J2617"/>
  <c r="J2618"/>
  <c r="J2619"/>
  <c r="J2620"/>
  <c r="J2621"/>
  <c r="J2622"/>
  <c r="J2623"/>
  <c r="J2624"/>
  <c r="J2625"/>
  <c r="J2626"/>
  <c r="J2627"/>
  <c r="J2628"/>
  <c r="J2629"/>
  <c r="J2630"/>
  <c r="J2631"/>
  <c r="J2632"/>
  <c r="J2633"/>
  <c r="J2634"/>
  <c r="J2635"/>
  <c r="J2636"/>
  <c r="J2637"/>
  <c r="J2638"/>
  <c r="J2639"/>
  <c r="J2640"/>
  <c r="J2641"/>
  <c r="J2642"/>
  <c r="J2643"/>
  <c r="J2644"/>
  <c r="J2645"/>
  <c r="J2646"/>
  <c r="J2647"/>
  <c r="J2648"/>
  <c r="J2649"/>
  <c r="J2650"/>
  <c r="J2651"/>
  <c r="J2652"/>
  <c r="J2653"/>
  <c r="J2654"/>
  <c r="J2655"/>
  <c r="J2656"/>
  <c r="J2657"/>
  <c r="J2658"/>
  <c r="J2659"/>
  <c r="J2660"/>
  <c r="J2661"/>
  <c r="J2662"/>
  <c r="J2663"/>
  <c r="J2664"/>
  <c r="J2665"/>
  <c r="J2666"/>
  <c r="J2667"/>
  <c r="J2668"/>
  <c r="J2669"/>
  <c r="J2670"/>
  <c r="J2671"/>
  <c r="J2672"/>
  <c r="J2673"/>
  <c r="J2674"/>
  <c r="J2675"/>
  <c r="J2676"/>
  <c r="J2677"/>
  <c r="J2678"/>
  <c r="J2679"/>
  <c r="J2680"/>
  <c r="J2681"/>
  <c r="J2682"/>
  <c r="J2683"/>
  <c r="J2684"/>
  <c r="J2685"/>
  <c r="J2686"/>
  <c r="J2687"/>
  <c r="J2688"/>
  <c r="J2689"/>
  <c r="J2690"/>
  <c r="J2691"/>
  <c r="J2692"/>
  <c r="J2693"/>
  <c r="J2694"/>
  <c r="J2695"/>
  <c r="J2696"/>
  <c r="J2697"/>
  <c r="J2698"/>
  <c r="J2699"/>
  <c r="J2700"/>
  <c r="J2701"/>
  <c r="J2702"/>
  <c r="J2703"/>
  <c r="J2704"/>
  <c r="J2705"/>
  <c r="J2706"/>
  <c r="J2707"/>
  <c r="J2708"/>
  <c r="J2709"/>
  <c r="J2710"/>
  <c r="J2711"/>
  <c r="J2712"/>
  <c r="J2713"/>
  <c r="J2714"/>
  <c r="J2715"/>
  <c r="J2716"/>
  <c r="J2717"/>
  <c r="J2718"/>
  <c r="J2719"/>
  <c r="J2720"/>
  <c r="J2721"/>
  <c r="J2722"/>
  <c r="J2723"/>
  <c r="J2724"/>
  <c r="J2725"/>
  <c r="J2726"/>
  <c r="J2727"/>
  <c r="J2728"/>
  <c r="J2729"/>
  <c r="J2730"/>
  <c r="J2731"/>
  <c r="J2732"/>
  <c r="J2733"/>
  <c r="J2734"/>
  <c r="J2735"/>
  <c r="J2736"/>
  <c r="J2737"/>
  <c r="J2738"/>
  <c r="J2739"/>
  <c r="J2740"/>
  <c r="J2741"/>
  <c r="J2742"/>
  <c r="J2743"/>
  <c r="J2744"/>
  <c r="J2745"/>
  <c r="J2746"/>
  <c r="J2747"/>
  <c r="J2748"/>
  <c r="J2749"/>
  <c r="J2750"/>
  <c r="G19" i="11"/>
  <c r="G20"/>
  <c r="H18"/>
  <c r="H22"/>
  <c r="H21"/>
  <c r="I2" i="6"/>
  <c r="I3"/>
  <c r="I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7"/>
  <c r="I288"/>
  <c r="I289"/>
  <c r="I290"/>
  <c r="I291"/>
  <c r="I292"/>
  <c r="I293"/>
  <c r="I294"/>
  <c r="I295"/>
  <c r="I296"/>
  <c r="I297"/>
  <c r="I298"/>
  <c r="I299"/>
  <c r="I300"/>
  <c r="I301"/>
  <c r="I302"/>
  <c r="I303"/>
  <c r="I304"/>
  <c r="I305"/>
  <c r="I306"/>
  <c r="I307"/>
  <c r="I308"/>
  <c r="I309"/>
  <c r="I310"/>
  <c r="I311"/>
  <c r="I312"/>
  <c r="I313"/>
  <c r="I314"/>
  <c r="I315"/>
  <c r="I316"/>
  <c r="I317"/>
  <c r="I318"/>
  <c r="I319"/>
  <c r="I320"/>
  <c r="I321"/>
  <c r="I322"/>
  <c r="I323"/>
  <c r="I324"/>
  <c r="I325"/>
  <c r="I326"/>
  <c r="I327"/>
  <c r="I328"/>
  <c r="I329"/>
  <c r="I330"/>
  <c r="I331"/>
  <c r="I332"/>
  <c r="I333"/>
  <c r="I334"/>
  <c r="I335"/>
  <c r="I336"/>
  <c r="I337"/>
  <c r="I338"/>
  <c r="I339"/>
  <c r="I340"/>
  <c r="I341"/>
  <c r="I342"/>
  <c r="I343"/>
  <c r="I344"/>
  <c r="I345"/>
  <c r="I346"/>
  <c r="I347"/>
  <c r="I348"/>
  <c r="I349"/>
  <c r="I350"/>
  <c r="I351"/>
  <c r="I352"/>
  <c r="I353"/>
  <c r="I354"/>
  <c r="I355"/>
  <c r="I356"/>
  <c r="I357"/>
  <c r="I358"/>
  <c r="I359"/>
  <c r="I360"/>
  <c r="I361"/>
  <c r="I362"/>
  <c r="I363"/>
  <c r="I364"/>
  <c r="I365"/>
  <c r="I366"/>
  <c r="I367"/>
  <c r="I368"/>
  <c r="I369"/>
  <c r="I370"/>
  <c r="I371"/>
  <c r="I372"/>
  <c r="I373"/>
  <c r="I374"/>
  <c r="I375"/>
  <c r="I376"/>
  <c r="I377"/>
  <c r="I378"/>
  <c r="I379"/>
  <c r="I380"/>
  <c r="I381"/>
  <c r="I382"/>
  <c r="I383"/>
  <c r="I384"/>
  <c r="I385"/>
  <c r="I386"/>
  <c r="I387"/>
  <c r="I388"/>
  <c r="I389"/>
  <c r="I390"/>
  <c r="I391"/>
  <c r="I392"/>
  <c r="I393"/>
  <c r="I394"/>
  <c r="I395"/>
  <c r="I396"/>
  <c r="I397"/>
  <c r="I398"/>
  <c r="I399"/>
  <c r="I400"/>
  <c r="I401"/>
  <c r="I402"/>
  <c r="I403"/>
  <c r="I404"/>
  <c r="I405"/>
  <c r="I406"/>
  <c r="I407"/>
  <c r="I408"/>
  <c r="I409"/>
  <c r="I410"/>
  <c r="I411"/>
  <c r="I412"/>
  <c r="I413"/>
  <c r="I414"/>
  <c r="I415"/>
  <c r="I416"/>
  <c r="I417"/>
  <c r="I418"/>
  <c r="I419"/>
  <c r="I420"/>
  <c r="I421"/>
  <c r="I422"/>
  <c r="I423"/>
  <c r="I424"/>
  <c r="I425"/>
  <c r="I426"/>
  <c r="I427"/>
  <c r="I428"/>
  <c r="I429"/>
  <c r="I430"/>
  <c r="I431"/>
  <c r="I432"/>
  <c r="I433"/>
  <c r="I434"/>
  <c r="I435"/>
  <c r="I436"/>
  <c r="I437"/>
  <c r="I438"/>
  <c r="I439"/>
  <c r="I440"/>
  <c r="I441"/>
  <c r="I442"/>
  <c r="I443"/>
  <c r="I444"/>
  <c r="I445"/>
  <c r="I446"/>
  <c r="I447"/>
  <c r="I448"/>
  <c r="I449"/>
  <c r="I450"/>
  <c r="I451"/>
  <c r="I452"/>
  <c r="I453"/>
  <c r="I454"/>
  <c r="I455"/>
  <c r="I456"/>
  <c r="I457"/>
  <c r="I458"/>
  <c r="I459"/>
  <c r="I460"/>
  <c r="I461"/>
  <c r="I462"/>
  <c r="I463"/>
  <c r="I464"/>
  <c r="I465"/>
  <c r="I466"/>
  <c r="I467"/>
  <c r="I468"/>
  <c r="I469"/>
  <c r="I470"/>
  <c r="I471"/>
  <c r="I472"/>
  <c r="I473"/>
  <c r="I474"/>
  <c r="I475"/>
  <c r="I476"/>
  <c r="I477"/>
  <c r="I478"/>
  <c r="I479"/>
  <c r="I480"/>
  <c r="I481"/>
  <c r="I482"/>
  <c r="I483"/>
  <c r="I484"/>
  <c r="I485"/>
  <c r="I486"/>
  <c r="I487"/>
  <c r="I488"/>
  <c r="I489"/>
  <c r="I490"/>
  <c r="I491"/>
  <c r="I492"/>
  <c r="I493"/>
  <c r="I494"/>
  <c r="I495"/>
  <c r="I496"/>
  <c r="I497"/>
  <c r="I498"/>
  <c r="I499"/>
  <c r="I500"/>
  <c r="I501"/>
  <c r="I502"/>
  <c r="I503"/>
  <c r="I504"/>
  <c r="I505"/>
  <c r="I506"/>
  <c r="I507"/>
  <c r="I508"/>
  <c r="I509"/>
  <c r="I510"/>
  <c r="I511"/>
  <c r="I512"/>
  <c r="I513"/>
  <c r="I514"/>
  <c r="I515"/>
  <c r="I516"/>
  <c r="I517"/>
  <c r="I518"/>
  <c r="I519"/>
  <c r="I520"/>
  <c r="I521"/>
  <c r="I522"/>
  <c r="I523"/>
  <c r="I524"/>
  <c r="I525"/>
  <c r="I526"/>
  <c r="I527"/>
  <c r="I528"/>
  <c r="I529"/>
  <c r="I530"/>
  <c r="I531"/>
  <c r="I532"/>
  <c r="I533"/>
  <c r="I534"/>
  <c r="I535"/>
  <c r="I536"/>
  <c r="I537"/>
  <c r="I538"/>
  <c r="I539"/>
  <c r="I540"/>
  <c r="I541"/>
  <c r="I542"/>
  <c r="I543"/>
  <c r="I544"/>
  <c r="I545"/>
  <c r="I546"/>
  <c r="I547"/>
  <c r="I548"/>
  <c r="I549"/>
  <c r="I550"/>
  <c r="I551"/>
  <c r="I552"/>
  <c r="I553"/>
  <c r="I554"/>
  <c r="I555"/>
  <c r="I556"/>
  <c r="I557"/>
  <c r="I558"/>
  <c r="I559"/>
  <c r="I560"/>
  <c r="I561"/>
  <c r="I562"/>
  <c r="I563"/>
  <c r="I564"/>
  <c r="I565"/>
  <c r="I566"/>
  <c r="I567"/>
  <c r="I568"/>
  <c r="I569"/>
  <c r="I570"/>
  <c r="I571"/>
  <c r="I572"/>
  <c r="I573"/>
  <c r="I574"/>
  <c r="I575"/>
  <c r="I576"/>
  <c r="I577"/>
  <c r="I578"/>
  <c r="I579"/>
  <c r="I580"/>
  <c r="I581"/>
  <c r="I582"/>
  <c r="I583"/>
  <c r="I584"/>
  <c r="I585"/>
  <c r="I586"/>
  <c r="I587"/>
  <c r="I588"/>
  <c r="I589"/>
  <c r="I590"/>
  <c r="I591"/>
  <c r="I592"/>
  <c r="I593"/>
  <c r="I594"/>
  <c r="I595"/>
  <c r="I596"/>
  <c r="I597"/>
  <c r="I598"/>
  <c r="I599"/>
  <c r="I600"/>
  <c r="I601"/>
  <c r="I602"/>
  <c r="I603"/>
  <c r="I604"/>
  <c r="I605"/>
  <c r="I606"/>
  <c r="I607"/>
  <c r="I608"/>
  <c r="I609"/>
  <c r="I610"/>
  <c r="I611"/>
  <c r="I612"/>
  <c r="I613"/>
  <c r="I614"/>
  <c r="I615"/>
  <c r="I616"/>
  <c r="I617"/>
  <c r="I618"/>
  <c r="I619"/>
  <c r="I620"/>
  <c r="I621"/>
  <c r="I622"/>
  <c r="I623"/>
  <c r="I624"/>
  <c r="I625"/>
  <c r="I626"/>
  <c r="I627"/>
  <c r="I628"/>
  <c r="I629"/>
  <c r="I630"/>
  <c r="I631"/>
  <c r="I632"/>
  <c r="I633"/>
  <c r="I634"/>
  <c r="I635"/>
  <c r="I636"/>
  <c r="I637"/>
  <c r="I638"/>
  <c r="I639"/>
  <c r="I640"/>
  <c r="I641"/>
  <c r="I642"/>
  <c r="I643"/>
  <c r="I644"/>
  <c r="I645"/>
  <c r="I646"/>
  <c r="I647"/>
  <c r="I648"/>
  <c r="I649"/>
  <c r="I650"/>
  <c r="I651"/>
  <c r="I652"/>
  <c r="I653"/>
  <c r="I654"/>
  <c r="I655"/>
  <c r="I656"/>
  <c r="I657"/>
  <c r="I658"/>
  <c r="I659"/>
  <c r="I660"/>
  <c r="I661"/>
  <c r="I662"/>
  <c r="I663"/>
  <c r="I664"/>
  <c r="I665"/>
  <c r="I666"/>
  <c r="I667"/>
  <c r="I668"/>
  <c r="I669"/>
  <c r="I670"/>
  <c r="I671"/>
  <c r="I672"/>
  <c r="I673"/>
  <c r="I674"/>
  <c r="I675"/>
  <c r="I676"/>
  <c r="I677"/>
  <c r="I678"/>
  <c r="I679"/>
  <c r="I680"/>
  <c r="I681"/>
  <c r="I682"/>
  <c r="I683"/>
  <c r="I684"/>
  <c r="I685"/>
  <c r="I686"/>
  <c r="I687"/>
  <c r="I688"/>
  <c r="I689"/>
  <c r="I690"/>
  <c r="I691"/>
  <c r="I692"/>
  <c r="I693"/>
  <c r="I694"/>
  <c r="I695"/>
  <c r="I696"/>
  <c r="I697"/>
  <c r="I698"/>
  <c r="I699"/>
  <c r="I700"/>
  <c r="I701"/>
  <c r="I702"/>
  <c r="I703"/>
  <c r="I704"/>
  <c r="I705"/>
  <c r="I706"/>
  <c r="I707"/>
  <c r="I708"/>
  <c r="I709"/>
  <c r="I710"/>
  <c r="I711"/>
  <c r="I712"/>
  <c r="I713"/>
  <c r="I714"/>
  <c r="I715"/>
  <c r="I716"/>
  <c r="I717"/>
  <c r="I718"/>
  <c r="I719"/>
  <c r="I720"/>
  <c r="I721"/>
  <c r="I722"/>
  <c r="I723"/>
  <c r="I724"/>
  <c r="I725"/>
  <c r="I726"/>
  <c r="I727"/>
  <c r="I728"/>
  <c r="I729"/>
  <c r="I730"/>
  <c r="I731"/>
  <c r="I732"/>
  <c r="I733"/>
  <c r="I734"/>
  <c r="I735"/>
  <c r="I736"/>
  <c r="I737"/>
  <c r="I738"/>
  <c r="I739"/>
  <c r="I740"/>
  <c r="I741"/>
  <c r="I742"/>
  <c r="I743"/>
  <c r="I744"/>
  <c r="I745"/>
  <c r="I746"/>
  <c r="I747"/>
  <c r="I748"/>
  <c r="I749"/>
  <c r="I750"/>
  <c r="I751"/>
  <c r="I752"/>
  <c r="I753"/>
  <c r="I754"/>
  <c r="I755"/>
  <c r="I756"/>
  <c r="I757"/>
  <c r="I758"/>
  <c r="I759"/>
  <c r="I760"/>
  <c r="I761"/>
  <c r="I762"/>
  <c r="I763"/>
  <c r="I764"/>
  <c r="I765"/>
  <c r="I766"/>
  <c r="I767"/>
  <c r="I768"/>
  <c r="I769"/>
  <c r="I770"/>
  <c r="I771"/>
  <c r="I772"/>
  <c r="I773"/>
  <c r="I774"/>
  <c r="I775"/>
  <c r="I776"/>
  <c r="I777"/>
  <c r="I778"/>
  <c r="I779"/>
  <c r="I780"/>
  <c r="I781"/>
  <c r="I782"/>
  <c r="I783"/>
  <c r="I784"/>
  <c r="I785"/>
  <c r="I786"/>
  <c r="I787"/>
  <c r="I788"/>
  <c r="I789"/>
  <c r="I790"/>
  <c r="I791"/>
  <c r="I792"/>
  <c r="I793"/>
  <c r="I794"/>
  <c r="I795"/>
  <c r="I796"/>
  <c r="I797"/>
  <c r="I798"/>
  <c r="I799"/>
  <c r="I800"/>
  <c r="I801"/>
  <c r="I802"/>
  <c r="I803"/>
  <c r="I804"/>
  <c r="I805"/>
  <c r="I806"/>
  <c r="I807"/>
  <c r="I808"/>
  <c r="I809"/>
  <c r="I810"/>
  <c r="I811"/>
  <c r="I812"/>
  <c r="I813"/>
  <c r="I814"/>
  <c r="I815"/>
  <c r="I816"/>
  <c r="I817"/>
  <c r="I818"/>
  <c r="I819"/>
  <c r="I820"/>
  <c r="I821"/>
  <c r="I822"/>
  <c r="I823"/>
  <c r="I824"/>
  <c r="I825"/>
  <c r="I826"/>
  <c r="I827"/>
  <c r="I828"/>
  <c r="I829"/>
  <c r="I830"/>
  <c r="I831"/>
  <c r="I832"/>
  <c r="I833"/>
  <c r="I834"/>
  <c r="I835"/>
  <c r="I836"/>
  <c r="I837"/>
  <c r="I838"/>
  <c r="I839"/>
  <c r="I840"/>
  <c r="I841"/>
  <c r="I842"/>
  <c r="I843"/>
  <c r="I844"/>
  <c r="I845"/>
  <c r="I846"/>
  <c r="I847"/>
  <c r="I848"/>
  <c r="I849"/>
  <c r="I850"/>
  <c r="I851"/>
  <c r="I852"/>
  <c r="I853"/>
  <c r="I854"/>
  <c r="I855"/>
  <c r="I856"/>
  <c r="I857"/>
  <c r="I858"/>
  <c r="I859"/>
  <c r="I860"/>
  <c r="I861"/>
  <c r="I862"/>
  <c r="I863"/>
  <c r="I864"/>
  <c r="I865"/>
  <c r="I866"/>
  <c r="I867"/>
  <c r="I868"/>
  <c r="I869"/>
  <c r="I870"/>
  <c r="I871"/>
  <c r="I872"/>
  <c r="I873"/>
  <c r="I874"/>
  <c r="I875"/>
  <c r="I876"/>
  <c r="I877"/>
  <c r="I878"/>
  <c r="I879"/>
  <c r="I880"/>
  <c r="I881"/>
  <c r="I882"/>
  <c r="I883"/>
  <c r="I884"/>
  <c r="I885"/>
  <c r="I886"/>
  <c r="I887"/>
  <c r="I888"/>
  <c r="I889"/>
  <c r="I890"/>
  <c r="I891"/>
  <c r="I892"/>
  <c r="I893"/>
  <c r="I894"/>
  <c r="I895"/>
  <c r="I896"/>
  <c r="I897"/>
  <c r="I898"/>
  <c r="I899"/>
  <c r="I900"/>
  <c r="I901"/>
  <c r="I902"/>
  <c r="I903"/>
  <c r="I904"/>
  <c r="I905"/>
  <c r="I906"/>
  <c r="I907"/>
  <c r="I908"/>
  <c r="I909"/>
  <c r="I910"/>
  <c r="I911"/>
  <c r="I912"/>
  <c r="I913"/>
  <c r="I914"/>
  <c r="I915"/>
  <c r="I916"/>
  <c r="I917"/>
  <c r="I918"/>
  <c r="I919"/>
  <c r="I920"/>
  <c r="I921"/>
  <c r="I922"/>
  <c r="I923"/>
  <c r="I924"/>
  <c r="I925"/>
  <c r="I926"/>
  <c r="I927"/>
  <c r="I928"/>
  <c r="I929"/>
  <c r="I930"/>
  <c r="I931"/>
  <c r="I932"/>
  <c r="I933"/>
  <c r="I934"/>
  <c r="I935"/>
  <c r="I936"/>
  <c r="I937"/>
  <c r="I938"/>
  <c r="I939"/>
  <c r="I940"/>
  <c r="I941"/>
  <c r="I942"/>
  <c r="I943"/>
  <c r="I944"/>
  <c r="I945"/>
  <c r="I946"/>
  <c r="I947"/>
  <c r="I948"/>
  <c r="I949"/>
  <c r="I950"/>
  <c r="I951"/>
  <c r="I952"/>
  <c r="I953"/>
  <c r="I954"/>
  <c r="I955"/>
  <c r="I956"/>
  <c r="I957"/>
  <c r="I958"/>
  <c r="I959"/>
  <c r="I960"/>
  <c r="I961"/>
  <c r="I962"/>
  <c r="I963"/>
  <c r="I964"/>
  <c r="I965"/>
  <c r="I966"/>
  <c r="I967"/>
  <c r="I968"/>
  <c r="I969"/>
  <c r="I970"/>
  <c r="I971"/>
  <c r="I972"/>
  <c r="I973"/>
  <c r="I974"/>
  <c r="I975"/>
  <c r="I976"/>
  <c r="I977"/>
  <c r="I978"/>
  <c r="I979"/>
  <c r="I980"/>
  <c r="I981"/>
  <c r="I982"/>
  <c r="I983"/>
  <c r="I984"/>
  <c r="I985"/>
  <c r="I986"/>
  <c r="I987"/>
  <c r="I988"/>
  <c r="I989"/>
  <c r="I990"/>
  <c r="I991"/>
  <c r="I992"/>
  <c r="I993"/>
  <c r="I994"/>
  <c r="I995"/>
  <c r="I996"/>
  <c r="I997"/>
  <c r="I998"/>
  <c r="I999"/>
  <c r="I1000"/>
  <c r="I1001"/>
  <c r="I1002"/>
  <c r="I1003"/>
  <c r="I1004"/>
  <c r="I1005"/>
  <c r="I1006"/>
  <c r="I1007"/>
  <c r="I1008"/>
  <c r="I1009"/>
  <c r="I1010"/>
  <c r="I1011"/>
  <c r="I1012"/>
  <c r="I1013"/>
  <c r="I1014"/>
  <c r="I1015"/>
  <c r="I1016"/>
  <c r="I1017"/>
  <c r="I1018"/>
  <c r="I1019"/>
  <c r="I1020"/>
  <c r="I1021"/>
  <c r="I1022"/>
  <c r="I1023"/>
  <c r="I1024"/>
  <c r="I1025"/>
  <c r="I1026"/>
  <c r="I1027"/>
  <c r="I1028"/>
  <c r="I1029"/>
  <c r="I1030"/>
  <c r="I1031"/>
  <c r="I1032"/>
  <c r="I1033"/>
  <c r="I1034"/>
  <c r="I1035"/>
  <c r="I1036"/>
  <c r="I1037"/>
  <c r="I1038"/>
  <c r="I1039"/>
  <c r="I1040"/>
  <c r="I1041"/>
  <c r="I1042"/>
  <c r="I1043"/>
  <c r="I1044"/>
  <c r="I1045"/>
  <c r="I1046"/>
  <c r="I1047"/>
  <c r="I1048"/>
  <c r="I1049"/>
  <c r="I1050"/>
  <c r="I1051"/>
  <c r="I1052"/>
  <c r="I1053"/>
  <c r="I1054"/>
  <c r="I1055"/>
  <c r="I1056"/>
  <c r="I1057"/>
  <c r="I1058"/>
  <c r="I1059"/>
  <c r="I1060"/>
  <c r="I1061"/>
  <c r="I1062"/>
  <c r="I1063"/>
  <c r="I1064"/>
  <c r="I1065"/>
  <c r="I1066"/>
  <c r="I1067"/>
  <c r="I1068"/>
  <c r="I1069"/>
  <c r="I1070"/>
  <c r="I1071"/>
  <c r="I1072"/>
  <c r="I1073"/>
  <c r="I1074"/>
  <c r="I1075"/>
  <c r="I1076"/>
  <c r="I1077"/>
  <c r="I1078"/>
  <c r="I1079"/>
  <c r="I1080"/>
  <c r="I1081"/>
  <c r="I1082"/>
  <c r="I1083"/>
  <c r="I1084"/>
  <c r="I1085"/>
  <c r="I1086"/>
  <c r="I1087"/>
  <c r="I1088"/>
  <c r="I1089"/>
  <c r="I1090"/>
  <c r="I1091"/>
  <c r="I1092"/>
  <c r="I1093"/>
  <c r="I1094"/>
  <c r="I1095"/>
  <c r="I1096"/>
  <c r="I1097"/>
  <c r="I1098"/>
  <c r="I1099"/>
  <c r="I1100"/>
  <c r="I1101"/>
  <c r="I1102"/>
  <c r="I1103"/>
  <c r="I1104"/>
  <c r="I1105"/>
  <c r="I1106"/>
  <c r="I1107"/>
  <c r="I1108"/>
  <c r="I1109"/>
  <c r="I1110"/>
  <c r="I1111"/>
  <c r="I1112"/>
  <c r="I1113"/>
  <c r="I1114"/>
  <c r="I1115"/>
  <c r="I1116"/>
  <c r="I1117"/>
  <c r="I1118"/>
  <c r="I1119"/>
  <c r="I1120"/>
  <c r="I1121"/>
  <c r="I1122"/>
  <c r="I1123"/>
  <c r="I1124"/>
  <c r="I1125"/>
  <c r="I1126"/>
  <c r="I1127"/>
  <c r="I1128"/>
  <c r="I1129"/>
  <c r="I1130"/>
  <c r="I1131"/>
  <c r="I1132"/>
  <c r="I1133"/>
  <c r="I1134"/>
  <c r="I1135"/>
  <c r="I1136"/>
  <c r="I1137"/>
  <c r="I1138"/>
  <c r="I1139"/>
  <c r="I1140"/>
  <c r="I1141"/>
  <c r="I1142"/>
  <c r="I1143"/>
  <c r="I1144"/>
  <c r="I1145"/>
  <c r="I1146"/>
  <c r="I1147"/>
  <c r="I1148"/>
  <c r="I1149"/>
  <c r="I1150"/>
  <c r="I1151"/>
  <c r="I1152"/>
  <c r="I1153"/>
  <c r="I1154"/>
  <c r="I1155"/>
  <c r="I1156"/>
  <c r="I1157"/>
  <c r="I1158"/>
  <c r="I1159"/>
  <c r="I1160"/>
  <c r="I1161"/>
  <c r="I1162"/>
  <c r="I1163"/>
  <c r="I1164"/>
  <c r="I1165"/>
  <c r="I1166"/>
  <c r="I1167"/>
  <c r="I1168"/>
  <c r="I1169"/>
  <c r="I1170"/>
  <c r="I1171"/>
  <c r="I1172"/>
  <c r="I1173"/>
  <c r="I1174"/>
  <c r="I1175"/>
  <c r="I1176"/>
  <c r="I1177"/>
  <c r="I1178"/>
  <c r="I1179"/>
  <c r="I1180"/>
  <c r="I1181"/>
  <c r="I1182"/>
  <c r="I1183"/>
  <c r="I1184"/>
  <c r="I1185"/>
  <c r="I1186"/>
  <c r="I1187"/>
  <c r="I1188"/>
  <c r="I1189"/>
  <c r="I1190"/>
  <c r="I1191"/>
  <c r="I1192"/>
  <c r="I1193"/>
  <c r="I1194"/>
  <c r="I1195"/>
  <c r="I1196"/>
  <c r="I1197"/>
  <c r="I1198"/>
  <c r="I1199"/>
  <c r="I1200"/>
  <c r="I1201"/>
  <c r="I1202"/>
  <c r="I1203"/>
  <c r="I1204"/>
  <c r="I1205"/>
  <c r="I1206"/>
  <c r="I1207"/>
  <c r="I1208"/>
  <c r="I1209"/>
  <c r="I1210"/>
  <c r="I1211"/>
  <c r="I1212"/>
  <c r="I1213"/>
  <c r="I1214"/>
  <c r="I1215"/>
  <c r="I1216"/>
  <c r="I1217"/>
  <c r="I1218"/>
  <c r="I1219"/>
  <c r="I1220"/>
  <c r="I1221"/>
  <c r="I1222"/>
  <c r="I1223"/>
  <c r="I1224"/>
  <c r="I1225"/>
  <c r="I1226"/>
  <c r="I1227"/>
  <c r="I1228"/>
  <c r="I1229"/>
  <c r="I1230"/>
  <c r="I1231"/>
  <c r="I1232"/>
  <c r="I1233"/>
  <c r="I1234"/>
  <c r="I1235"/>
  <c r="I1236"/>
  <c r="I1237"/>
  <c r="I1238"/>
  <c r="I1239"/>
  <c r="I1240"/>
  <c r="I1241"/>
  <c r="I1242"/>
  <c r="I1243"/>
  <c r="I1244"/>
  <c r="I1245"/>
  <c r="I1246"/>
  <c r="I1247"/>
  <c r="I1248"/>
  <c r="I1249"/>
  <c r="I1250"/>
  <c r="I1251"/>
  <c r="I1252"/>
  <c r="I1253"/>
  <c r="I1254"/>
  <c r="I1255"/>
  <c r="I1256"/>
  <c r="I1257"/>
  <c r="I1258"/>
  <c r="I1259"/>
  <c r="I1260"/>
  <c r="I1261"/>
  <c r="I1262"/>
  <c r="I1263"/>
  <c r="I1264"/>
  <c r="I1265"/>
  <c r="I1266"/>
  <c r="I1267"/>
  <c r="I1268"/>
  <c r="I1269"/>
  <c r="I1270"/>
  <c r="I1271"/>
  <c r="I1272"/>
  <c r="I1273"/>
  <c r="I1274"/>
  <c r="I1275"/>
  <c r="I1276"/>
  <c r="I1277"/>
  <c r="I1278"/>
  <c r="I1279"/>
  <c r="I1280"/>
  <c r="I1281"/>
  <c r="I1282"/>
  <c r="I1283"/>
  <c r="I1284"/>
  <c r="I1285"/>
  <c r="I1286"/>
  <c r="I1287"/>
  <c r="I1288"/>
  <c r="I1289"/>
  <c r="I1290"/>
  <c r="I1291"/>
  <c r="I1292"/>
  <c r="I1293"/>
  <c r="I1294"/>
  <c r="I1295"/>
  <c r="I1296"/>
  <c r="I1297"/>
  <c r="I1298"/>
  <c r="I1299"/>
  <c r="I1300"/>
  <c r="I1301"/>
  <c r="I1302"/>
  <c r="I1303"/>
  <c r="I1304"/>
  <c r="I1305"/>
  <c r="I1306"/>
  <c r="I1307"/>
  <c r="I1308"/>
  <c r="I1309"/>
  <c r="I1310"/>
  <c r="I1311"/>
  <c r="I1312"/>
  <c r="I1313"/>
  <c r="I1314"/>
  <c r="I1315"/>
  <c r="I1316"/>
  <c r="I1317"/>
  <c r="I1318"/>
  <c r="I1319"/>
  <c r="I1320"/>
  <c r="I1321"/>
  <c r="I1322"/>
  <c r="I1323"/>
  <c r="I1324"/>
  <c r="I1325"/>
  <c r="I1326"/>
  <c r="I1327"/>
  <c r="I1328"/>
  <c r="I1329"/>
  <c r="I1330"/>
  <c r="I1331"/>
  <c r="I1332"/>
  <c r="I1333"/>
  <c r="I1334"/>
  <c r="I1335"/>
  <c r="I1336"/>
  <c r="I1337"/>
  <c r="I1338"/>
  <c r="I1339"/>
  <c r="I1340"/>
  <c r="I1341"/>
  <c r="I1342"/>
  <c r="I1343"/>
  <c r="I1344"/>
  <c r="I1345"/>
  <c r="I1346"/>
  <c r="I1347"/>
  <c r="I1348"/>
  <c r="I1349"/>
  <c r="I1350"/>
  <c r="I1351"/>
  <c r="I1352"/>
  <c r="I1353"/>
  <c r="I1354"/>
  <c r="I1355"/>
  <c r="I1356"/>
  <c r="I1357"/>
  <c r="I1358"/>
  <c r="I1359"/>
  <c r="I1360"/>
  <c r="I1361"/>
  <c r="I1362"/>
  <c r="I1363"/>
  <c r="I1364"/>
  <c r="I1365"/>
  <c r="I1366"/>
  <c r="I1367"/>
  <c r="I1368"/>
  <c r="I1369"/>
  <c r="I1370"/>
  <c r="I1371"/>
  <c r="I1372"/>
  <c r="I1373"/>
  <c r="I1374"/>
  <c r="I1375"/>
  <c r="I1376"/>
  <c r="I1377"/>
  <c r="I1378"/>
  <c r="I1379"/>
  <c r="I1380"/>
  <c r="I1381"/>
  <c r="I1382"/>
  <c r="I1383"/>
  <c r="I1384"/>
  <c r="I1385"/>
  <c r="I1386"/>
  <c r="I1387"/>
  <c r="I1388"/>
  <c r="I1389"/>
  <c r="I1390"/>
  <c r="I1391"/>
  <c r="I1392"/>
  <c r="I1393"/>
  <c r="I1394"/>
  <c r="I1395"/>
  <c r="I1396"/>
  <c r="I1397"/>
  <c r="I1398"/>
  <c r="I1399"/>
  <c r="I1400"/>
  <c r="I1401"/>
  <c r="I1402"/>
  <c r="I1403"/>
  <c r="I1404"/>
  <c r="I1405"/>
  <c r="I1406"/>
  <c r="I1407"/>
  <c r="I1408"/>
  <c r="I1409"/>
  <c r="I1410"/>
  <c r="I1411"/>
  <c r="I1412"/>
  <c r="I1413"/>
  <c r="I1414"/>
  <c r="I1415"/>
  <c r="I1416"/>
  <c r="I1417"/>
  <c r="I1418"/>
  <c r="I1419"/>
  <c r="I1420"/>
  <c r="I1421"/>
  <c r="I1422"/>
  <c r="I1423"/>
  <c r="I1424"/>
  <c r="I1425"/>
  <c r="I1426"/>
  <c r="I1427"/>
  <c r="I1428"/>
  <c r="I1429"/>
  <c r="I1430"/>
  <c r="I1431"/>
  <c r="I1432"/>
  <c r="I1433"/>
  <c r="I1434"/>
  <c r="I1435"/>
  <c r="I1436"/>
  <c r="I1437"/>
  <c r="I1438"/>
  <c r="I1439"/>
  <c r="I1440"/>
  <c r="I1441"/>
  <c r="I1442"/>
  <c r="I1443"/>
  <c r="I1444"/>
  <c r="I1445"/>
  <c r="I1446"/>
  <c r="I1447"/>
  <c r="I1448"/>
  <c r="I1449"/>
  <c r="I1450"/>
  <c r="I1451"/>
  <c r="I1452"/>
  <c r="I1453"/>
  <c r="I1454"/>
  <c r="I1455"/>
  <c r="I1456"/>
  <c r="I1457"/>
  <c r="I1458"/>
  <c r="I1459"/>
  <c r="I1460"/>
  <c r="I1461"/>
  <c r="I1462"/>
  <c r="I1463"/>
  <c r="I1464"/>
  <c r="I1465"/>
  <c r="I1466"/>
  <c r="I1467"/>
  <c r="I1468"/>
  <c r="I1469"/>
  <c r="I1470"/>
  <c r="I1471"/>
  <c r="I1472"/>
  <c r="I1473"/>
  <c r="I1474"/>
  <c r="I1475"/>
  <c r="I1476"/>
  <c r="I1477"/>
  <c r="I1478"/>
  <c r="I1479"/>
  <c r="I1480"/>
  <c r="I1481"/>
  <c r="I1482"/>
  <c r="I1483"/>
  <c r="I1484"/>
  <c r="I1485"/>
  <c r="I1486"/>
  <c r="I1487"/>
  <c r="I1488"/>
  <c r="I1489"/>
  <c r="I1490"/>
  <c r="I1491"/>
  <c r="I1492"/>
  <c r="I1493"/>
  <c r="I1494"/>
  <c r="I1495"/>
  <c r="I1496"/>
  <c r="I1497"/>
  <c r="I1498"/>
  <c r="I1499"/>
  <c r="I1500"/>
  <c r="I1501"/>
  <c r="I1502"/>
  <c r="I1503"/>
  <c r="I1504"/>
  <c r="I1505"/>
  <c r="I1506"/>
  <c r="I1507"/>
  <c r="I1508"/>
  <c r="I1509"/>
  <c r="I1510"/>
  <c r="I1511"/>
  <c r="I1512"/>
  <c r="I1513"/>
  <c r="I1514"/>
  <c r="I1515"/>
  <c r="I1516"/>
  <c r="I1517"/>
  <c r="I1518"/>
  <c r="I1519"/>
  <c r="I1520"/>
  <c r="I1521"/>
  <c r="I1522"/>
  <c r="I1523"/>
  <c r="I1524"/>
  <c r="I1525"/>
  <c r="I1526"/>
  <c r="I1527"/>
  <c r="I1528"/>
  <c r="I1529"/>
  <c r="I1530"/>
  <c r="I1531"/>
  <c r="I1532"/>
  <c r="I1533"/>
  <c r="I1534"/>
  <c r="I1535"/>
  <c r="I1536"/>
  <c r="I1537"/>
  <c r="I1538"/>
  <c r="I1539"/>
  <c r="I1540"/>
  <c r="I1541"/>
  <c r="I1542"/>
  <c r="I1543"/>
  <c r="I1544"/>
  <c r="I1545"/>
  <c r="I1546"/>
  <c r="I1547"/>
  <c r="I1548"/>
  <c r="I1549"/>
  <c r="I1550"/>
  <c r="I1551"/>
  <c r="I1552"/>
  <c r="I1553"/>
  <c r="I1554"/>
  <c r="I1555"/>
  <c r="I1556"/>
  <c r="I1557"/>
  <c r="I1558"/>
  <c r="I1559"/>
  <c r="I1560"/>
  <c r="I1561"/>
  <c r="I1562"/>
  <c r="I1563"/>
  <c r="I1564"/>
  <c r="I1565"/>
  <c r="I1566"/>
  <c r="I1567"/>
  <c r="I1568"/>
  <c r="I1569"/>
  <c r="I1570"/>
  <c r="I1571"/>
  <c r="I1572"/>
  <c r="I1573"/>
  <c r="I1574"/>
  <c r="I1575"/>
  <c r="I1576"/>
  <c r="I1577"/>
  <c r="I1578"/>
  <c r="I1579"/>
  <c r="I1580"/>
  <c r="I1581"/>
  <c r="I1582"/>
  <c r="I1583"/>
  <c r="I1584"/>
  <c r="I1585"/>
  <c r="I1586"/>
  <c r="I1587"/>
  <c r="I1588"/>
  <c r="I1589"/>
  <c r="I1590"/>
  <c r="I1591"/>
  <c r="I1592"/>
  <c r="I1593"/>
  <c r="I1594"/>
  <c r="I1595"/>
  <c r="I1596"/>
  <c r="I1597"/>
  <c r="I1598"/>
  <c r="I1599"/>
  <c r="I1600"/>
  <c r="I1601"/>
  <c r="I1602"/>
  <c r="I1603"/>
  <c r="I1604"/>
  <c r="I1605"/>
  <c r="I1606"/>
  <c r="I1607"/>
  <c r="I1608"/>
  <c r="I1609"/>
  <c r="I1610"/>
  <c r="I1611"/>
  <c r="I1612"/>
  <c r="I1613"/>
  <c r="I1614"/>
  <c r="I1615"/>
  <c r="I1616"/>
  <c r="I1617"/>
  <c r="I1618"/>
  <c r="I1619"/>
  <c r="I1620"/>
  <c r="I1621"/>
  <c r="I1622"/>
  <c r="I1623"/>
  <c r="I1624"/>
  <c r="I1625"/>
  <c r="I1626"/>
  <c r="I1627"/>
  <c r="I1628"/>
  <c r="I1629"/>
  <c r="I1630"/>
  <c r="I1631"/>
  <c r="I1632"/>
  <c r="I1633"/>
  <c r="I1634"/>
  <c r="I1635"/>
  <c r="I1636"/>
  <c r="I1637"/>
  <c r="I1638"/>
  <c r="I1639"/>
  <c r="I1640"/>
  <c r="I1641"/>
  <c r="I1642"/>
  <c r="I1643"/>
  <c r="I1644"/>
  <c r="I1645"/>
  <c r="I1646"/>
  <c r="I1647"/>
  <c r="I1648"/>
  <c r="I1649"/>
  <c r="I1650"/>
  <c r="I1651"/>
  <c r="I1652"/>
  <c r="I1653"/>
  <c r="I1654"/>
  <c r="I1655"/>
  <c r="I1656"/>
  <c r="I1657"/>
  <c r="I1658"/>
  <c r="I1659"/>
  <c r="I1660"/>
  <c r="I1661"/>
  <c r="I1662"/>
  <c r="I1663"/>
  <c r="I1664"/>
  <c r="I1665"/>
  <c r="I1666"/>
  <c r="I1667"/>
  <c r="F4" i="11"/>
  <c r="H28" i="5"/>
  <c r="F5" i="11"/>
  <c r="E7"/>
  <c r="E8"/>
  <c r="F6"/>
  <c r="E10"/>
  <c r="H66" i="5"/>
  <c r="H74"/>
  <c r="E11" i="11"/>
  <c r="F9"/>
  <c r="E14"/>
  <c r="F12"/>
  <c r="E16"/>
  <c r="E17"/>
  <c r="F15"/>
  <c r="G2" i="15"/>
  <c r="I2"/>
  <c r="G3"/>
  <c r="I3"/>
  <c r="G4"/>
  <c r="I4"/>
  <c r="G5"/>
  <c r="I5"/>
  <c r="G6"/>
  <c r="I6"/>
  <c r="G7"/>
  <c r="I7"/>
  <c r="G8"/>
  <c r="I8"/>
  <c r="G9"/>
  <c r="I9"/>
  <c r="G10"/>
  <c r="I10"/>
  <c r="G11"/>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7"/>
  <c r="I288"/>
  <c r="I289"/>
  <c r="I290"/>
  <c r="I291"/>
  <c r="I292"/>
  <c r="I293"/>
  <c r="I294"/>
  <c r="I295"/>
  <c r="I296"/>
  <c r="I297"/>
  <c r="I298"/>
  <c r="I299"/>
  <c r="I300"/>
  <c r="I301"/>
  <c r="I302"/>
  <c r="I303"/>
  <c r="I304"/>
  <c r="I305"/>
  <c r="I306"/>
  <c r="I307"/>
  <c r="I308"/>
  <c r="I309"/>
  <c r="I310"/>
  <c r="I311"/>
  <c r="I312"/>
  <c r="I313"/>
  <c r="I314"/>
  <c r="I315"/>
  <c r="I316"/>
  <c r="I317"/>
  <c r="I318"/>
  <c r="I319"/>
  <c r="I320"/>
  <c r="I321"/>
  <c r="I322"/>
  <c r="I323"/>
  <c r="I324"/>
  <c r="I325"/>
  <c r="I326"/>
  <c r="I327"/>
  <c r="I328"/>
  <c r="I329"/>
  <c r="I330"/>
  <c r="I331"/>
  <c r="I332"/>
  <c r="I333"/>
  <c r="I334"/>
  <c r="I335"/>
  <c r="I336"/>
  <c r="I337"/>
  <c r="I338"/>
  <c r="I339"/>
  <c r="I340"/>
  <c r="I341"/>
  <c r="I342"/>
  <c r="I343"/>
  <c r="I344"/>
  <c r="I345"/>
  <c r="I346"/>
  <c r="I347"/>
  <c r="I348"/>
  <c r="I349"/>
  <c r="I350"/>
  <c r="I351"/>
  <c r="I352"/>
  <c r="I353"/>
  <c r="I354"/>
  <c r="I355"/>
  <c r="I356"/>
  <c r="I357"/>
  <c r="I358"/>
  <c r="I359"/>
  <c r="I360"/>
  <c r="I361"/>
  <c r="I362"/>
  <c r="I363"/>
  <c r="I364"/>
  <c r="I365"/>
  <c r="I366"/>
  <c r="I367"/>
  <c r="I368"/>
  <c r="I369"/>
  <c r="I370"/>
  <c r="I371"/>
  <c r="I372"/>
  <c r="I373"/>
  <c r="I374"/>
  <c r="I375"/>
  <c r="I376"/>
  <c r="I377"/>
  <c r="I378"/>
  <c r="I379"/>
  <c r="I380"/>
  <c r="I381"/>
  <c r="I382"/>
  <c r="I383"/>
  <c r="I384"/>
  <c r="I385"/>
  <c r="I386"/>
  <c r="I387"/>
  <c r="I388"/>
  <c r="I389"/>
  <c r="I390"/>
  <c r="I391"/>
  <c r="I392"/>
  <c r="I393"/>
  <c r="I394"/>
  <c r="I395"/>
  <c r="I396"/>
  <c r="I397"/>
  <c r="I398"/>
  <c r="I399"/>
  <c r="I400"/>
  <c r="I401"/>
  <c r="I402"/>
  <c r="I403"/>
  <c r="I404"/>
  <c r="I405"/>
  <c r="I406"/>
  <c r="I407"/>
  <c r="I408"/>
  <c r="I409"/>
  <c r="I410"/>
  <c r="I411"/>
  <c r="I412"/>
  <c r="I413"/>
  <c r="I414"/>
  <c r="I415"/>
  <c r="I416"/>
  <c r="I417"/>
  <c r="I418"/>
  <c r="I419"/>
  <c r="I420"/>
  <c r="I421"/>
  <c r="I422"/>
  <c r="I423"/>
  <c r="I424"/>
  <c r="I425"/>
  <c r="I426"/>
  <c r="I427"/>
  <c r="I428"/>
  <c r="I429"/>
  <c r="I430"/>
  <c r="I431"/>
  <c r="I432"/>
  <c r="I433"/>
  <c r="I434"/>
  <c r="I435"/>
  <c r="I436"/>
  <c r="I437"/>
  <c r="I438"/>
  <c r="I439"/>
  <c r="I440"/>
  <c r="I441"/>
  <c r="I442"/>
  <c r="I443"/>
  <c r="I444"/>
  <c r="I445"/>
  <c r="I446"/>
  <c r="I447"/>
  <c r="I448"/>
  <c r="I449"/>
  <c r="I450"/>
  <c r="I451"/>
  <c r="I452"/>
  <c r="I453"/>
  <c r="I454"/>
  <c r="I455"/>
  <c r="I456"/>
  <c r="I457"/>
  <c r="I458"/>
  <c r="I459"/>
  <c r="I460"/>
  <c r="I461"/>
  <c r="I462"/>
  <c r="I463"/>
  <c r="I464"/>
  <c r="I465"/>
  <c r="I466"/>
  <c r="I467"/>
  <c r="I468"/>
  <c r="I469"/>
  <c r="I470"/>
  <c r="I471"/>
  <c r="I472"/>
  <c r="I473"/>
  <c r="I474"/>
  <c r="I475"/>
  <c r="I476"/>
  <c r="I477"/>
  <c r="I478"/>
  <c r="I479"/>
  <c r="I480"/>
  <c r="I481"/>
  <c r="I482"/>
  <c r="I483"/>
  <c r="I484"/>
  <c r="I485"/>
  <c r="I486"/>
  <c r="I487"/>
  <c r="I488"/>
  <c r="I489"/>
  <c r="I490"/>
  <c r="I491"/>
  <c r="I492"/>
  <c r="I493"/>
  <c r="I494"/>
  <c r="I495"/>
  <c r="I496"/>
  <c r="I497"/>
  <c r="I498"/>
  <c r="I499"/>
  <c r="I500"/>
  <c r="I501"/>
  <c r="I502"/>
  <c r="I503"/>
  <c r="I504"/>
  <c r="I505"/>
  <c r="I506"/>
  <c r="I507"/>
  <c r="I508"/>
  <c r="I509"/>
  <c r="I510"/>
  <c r="I511"/>
  <c r="I512"/>
  <c r="I513"/>
  <c r="I514"/>
  <c r="I515"/>
  <c r="I516"/>
  <c r="I517"/>
  <c r="I518"/>
  <c r="I519"/>
  <c r="I520"/>
  <c r="I521"/>
  <c r="I522"/>
  <c r="I523"/>
  <c r="I524"/>
  <c r="I525"/>
  <c r="I526"/>
  <c r="I527"/>
  <c r="I528"/>
  <c r="I529"/>
  <c r="I530"/>
  <c r="I531"/>
  <c r="I532"/>
  <c r="I533"/>
  <c r="I534"/>
  <c r="I535"/>
  <c r="I536"/>
  <c r="I537"/>
  <c r="I538"/>
  <c r="I539"/>
  <c r="I540"/>
  <c r="I541"/>
  <c r="I542"/>
  <c r="I543"/>
  <c r="I544"/>
  <c r="I545"/>
  <c r="I546"/>
  <c r="I547"/>
  <c r="I548"/>
  <c r="I549"/>
  <c r="I550"/>
  <c r="I551"/>
  <c r="I552"/>
  <c r="I553"/>
  <c r="I554"/>
  <c r="I555"/>
  <c r="I556"/>
  <c r="I557"/>
  <c r="I558"/>
  <c r="I559"/>
  <c r="I560"/>
  <c r="I561"/>
  <c r="I562"/>
  <c r="I563"/>
  <c r="I564"/>
  <c r="I565"/>
  <c r="I566"/>
  <c r="I567"/>
  <c r="I568"/>
  <c r="I569"/>
  <c r="I570"/>
  <c r="I571"/>
  <c r="I572"/>
  <c r="I573"/>
  <c r="I574"/>
  <c r="I575"/>
  <c r="I576"/>
  <c r="I577"/>
  <c r="I578"/>
  <c r="I579"/>
  <c r="I580"/>
  <c r="I581"/>
  <c r="I582"/>
  <c r="I583"/>
  <c r="I584"/>
  <c r="I585"/>
  <c r="I586"/>
  <c r="I587"/>
  <c r="I588"/>
  <c r="I589"/>
  <c r="I590"/>
  <c r="I591"/>
  <c r="I592"/>
  <c r="I593"/>
  <c r="I594"/>
  <c r="I595"/>
  <c r="I596"/>
  <c r="I597"/>
  <c r="I598"/>
  <c r="I599"/>
  <c r="I600"/>
  <c r="I601"/>
  <c r="I602"/>
  <c r="I603"/>
  <c r="I604"/>
  <c r="I605"/>
  <c r="I606"/>
  <c r="I607"/>
  <c r="I608"/>
  <c r="I609"/>
  <c r="I610"/>
  <c r="I611"/>
  <c r="I612"/>
  <c r="I613"/>
  <c r="I614"/>
  <c r="I615"/>
  <c r="I616"/>
  <c r="I617"/>
  <c r="I618"/>
  <c r="I619"/>
  <c r="I620"/>
  <c r="I621"/>
  <c r="I622"/>
  <c r="I623"/>
  <c r="I624"/>
  <c r="I625"/>
  <c r="I626"/>
  <c r="I627"/>
  <c r="I628"/>
  <c r="I629"/>
  <c r="I630"/>
  <c r="I631"/>
  <c r="I632"/>
  <c r="I633"/>
  <c r="I634"/>
  <c r="I635"/>
  <c r="I636"/>
  <c r="I637"/>
  <c r="I638"/>
  <c r="I639"/>
  <c r="I640"/>
  <c r="I641"/>
  <c r="I642"/>
  <c r="I643"/>
  <c r="I644"/>
  <c r="I645"/>
  <c r="I646"/>
  <c r="I647"/>
  <c r="I648"/>
  <c r="I649"/>
  <c r="I650"/>
  <c r="I651"/>
  <c r="I652"/>
  <c r="I653"/>
  <c r="I654"/>
  <c r="I655"/>
  <c r="I656"/>
  <c r="I657"/>
  <c r="I658"/>
  <c r="I659"/>
  <c r="I660"/>
  <c r="I661"/>
  <c r="I662"/>
  <c r="I663"/>
  <c r="I664"/>
  <c r="I665"/>
  <c r="I666"/>
  <c r="I667"/>
  <c r="I668"/>
  <c r="I669"/>
  <c r="I670"/>
  <c r="I671"/>
  <c r="I672"/>
  <c r="I673"/>
  <c r="I674"/>
  <c r="I675"/>
  <c r="I676"/>
  <c r="I677"/>
  <c r="I678"/>
  <c r="I679"/>
  <c r="I680"/>
  <c r="I681"/>
  <c r="I682"/>
  <c r="I683"/>
  <c r="I684"/>
  <c r="I685"/>
  <c r="I686"/>
  <c r="I687"/>
  <c r="I688"/>
  <c r="I689"/>
  <c r="I690"/>
  <c r="I691"/>
  <c r="I692"/>
  <c r="I693"/>
  <c r="I694"/>
  <c r="I695"/>
  <c r="I696"/>
  <c r="I697"/>
  <c r="I698"/>
  <c r="I699"/>
  <c r="I700"/>
  <c r="I701"/>
  <c r="I702"/>
  <c r="I703"/>
  <c r="I704"/>
  <c r="I705"/>
  <c r="I706"/>
  <c r="I707"/>
  <c r="I708"/>
  <c r="I709"/>
  <c r="I710"/>
  <c r="I711"/>
  <c r="I712"/>
  <c r="I713"/>
  <c r="I714"/>
  <c r="I715"/>
  <c r="I716"/>
  <c r="I717"/>
  <c r="I718"/>
  <c r="I719"/>
  <c r="I720"/>
  <c r="I721"/>
  <c r="I722"/>
  <c r="I723"/>
  <c r="I724"/>
  <c r="I725"/>
  <c r="I726"/>
  <c r="I727"/>
  <c r="I728"/>
  <c r="I729"/>
  <c r="I730"/>
  <c r="I731"/>
  <c r="I732"/>
  <c r="I733"/>
  <c r="I734"/>
  <c r="I736"/>
  <c r="I737"/>
  <c r="I738"/>
  <c r="I739"/>
  <c r="I740"/>
  <c r="I741"/>
  <c r="I742"/>
  <c r="I743"/>
  <c r="I744"/>
  <c r="I745"/>
  <c r="I746"/>
  <c r="I747"/>
  <c r="I748"/>
  <c r="I749"/>
  <c r="I750"/>
  <c r="I751"/>
  <c r="I752"/>
  <c r="I753"/>
  <c r="I754"/>
  <c r="I755"/>
  <c r="I756"/>
  <c r="I757"/>
  <c r="I758"/>
  <c r="I759"/>
  <c r="I760"/>
  <c r="I761"/>
  <c r="I762"/>
  <c r="I763"/>
  <c r="I764"/>
  <c r="I765"/>
  <c r="I766"/>
  <c r="I767"/>
  <c r="I768"/>
  <c r="I769"/>
  <c r="I770"/>
  <c r="I771"/>
  <c r="I772"/>
  <c r="I773"/>
  <c r="I774"/>
  <c r="I775"/>
  <c r="I776"/>
  <c r="I777"/>
  <c r="I778"/>
  <c r="I779"/>
  <c r="I780"/>
  <c r="I781"/>
  <c r="I782"/>
  <c r="I783"/>
  <c r="I784"/>
  <c r="I785"/>
  <c r="I786"/>
  <c r="I787"/>
  <c r="I788"/>
  <c r="I789"/>
  <c r="I790"/>
  <c r="I791"/>
  <c r="I792"/>
  <c r="I793"/>
  <c r="I794"/>
  <c r="I795"/>
  <c r="I796"/>
  <c r="I797"/>
  <c r="I798"/>
  <c r="I799"/>
  <c r="I800"/>
  <c r="I801"/>
  <c r="I802"/>
  <c r="I803"/>
  <c r="I804"/>
  <c r="I805"/>
  <c r="I806"/>
  <c r="I807"/>
  <c r="I808"/>
  <c r="I809"/>
  <c r="I810"/>
  <c r="I811"/>
  <c r="I813"/>
  <c r="I814"/>
  <c r="I815"/>
  <c r="I816"/>
  <c r="I817"/>
  <c r="I818"/>
  <c r="I819"/>
  <c r="I820"/>
  <c r="I821"/>
  <c r="I822"/>
  <c r="I823"/>
  <c r="I824"/>
  <c r="I825"/>
  <c r="I826"/>
  <c r="I827"/>
  <c r="I828"/>
  <c r="I829"/>
  <c r="I830"/>
  <c r="I831"/>
  <c r="I832"/>
  <c r="I833"/>
  <c r="I834"/>
  <c r="I835"/>
  <c r="I836"/>
  <c r="I837"/>
  <c r="I838"/>
  <c r="I839"/>
  <c r="I840"/>
  <c r="I841"/>
  <c r="I842"/>
  <c r="I843"/>
  <c r="I844"/>
  <c r="I845"/>
  <c r="I846"/>
  <c r="I847"/>
  <c r="I848"/>
  <c r="I849"/>
  <c r="I850"/>
  <c r="I851"/>
  <c r="I852"/>
  <c r="I853"/>
  <c r="I854"/>
  <c r="I855"/>
  <c r="I856"/>
  <c r="I857"/>
  <c r="I858"/>
  <c r="I859"/>
  <c r="I860"/>
  <c r="I861"/>
  <c r="I862"/>
  <c r="I863"/>
  <c r="I864"/>
  <c r="I865"/>
  <c r="I866"/>
  <c r="I867"/>
  <c r="I868"/>
  <c r="I869"/>
  <c r="I870"/>
  <c r="I871"/>
  <c r="I872"/>
  <c r="I873"/>
  <c r="I874"/>
  <c r="I875"/>
  <c r="I876"/>
  <c r="I877"/>
  <c r="I878"/>
  <c r="I879"/>
  <c r="I880"/>
  <c r="I881"/>
  <c r="I882"/>
  <c r="I883"/>
  <c r="I884"/>
  <c r="I885"/>
  <c r="I886"/>
  <c r="I887"/>
  <c r="I888"/>
  <c r="I889"/>
  <c r="I890"/>
  <c r="I891"/>
  <c r="I892"/>
  <c r="I893"/>
  <c r="I894"/>
  <c r="I895"/>
  <c r="I896"/>
  <c r="I897"/>
  <c r="I898"/>
  <c r="I899"/>
  <c r="I900"/>
  <c r="I901"/>
  <c r="I902"/>
  <c r="I903"/>
  <c r="I904"/>
  <c r="I905"/>
  <c r="I906"/>
  <c r="I907"/>
  <c r="I908"/>
  <c r="I909"/>
  <c r="I910"/>
  <c r="I911"/>
  <c r="I912"/>
  <c r="I913"/>
  <c r="I914"/>
  <c r="I915"/>
  <c r="I916"/>
  <c r="I917"/>
  <c r="I918"/>
  <c r="I919"/>
  <c r="I920"/>
  <c r="I921"/>
  <c r="I922"/>
  <c r="I923"/>
  <c r="I924"/>
  <c r="I925"/>
  <c r="I926"/>
  <c r="I927"/>
  <c r="I928"/>
  <c r="I929"/>
  <c r="I930"/>
  <c r="I931"/>
  <c r="I932"/>
  <c r="I933"/>
  <c r="I934"/>
  <c r="I935"/>
  <c r="I936"/>
  <c r="I937"/>
  <c r="I938"/>
  <c r="I939"/>
  <c r="I940"/>
  <c r="I941"/>
  <c r="I942"/>
  <c r="I943"/>
  <c r="I944"/>
  <c r="I945"/>
  <c r="I946"/>
  <c r="I947"/>
  <c r="I948"/>
  <c r="I949"/>
  <c r="I950"/>
  <c r="I951"/>
  <c r="I952"/>
  <c r="I953"/>
  <c r="I954"/>
  <c r="I955"/>
  <c r="I956"/>
  <c r="I957"/>
  <c r="I958"/>
  <c r="I959"/>
  <c r="I960"/>
  <c r="I961"/>
  <c r="I962"/>
  <c r="I963"/>
  <c r="I964"/>
  <c r="I965"/>
  <c r="I966"/>
  <c r="I967"/>
  <c r="I968"/>
  <c r="I969"/>
  <c r="I970"/>
  <c r="I971"/>
  <c r="I972"/>
  <c r="I973"/>
  <c r="I974"/>
  <c r="I975"/>
  <c r="I976"/>
  <c r="I977"/>
  <c r="I978"/>
  <c r="I979"/>
  <c r="I980"/>
  <c r="I981"/>
  <c r="I982"/>
  <c r="I983"/>
  <c r="I984"/>
  <c r="I985"/>
  <c r="I986"/>
  <c r="I987"/>
  <c r="I988"/>
  <c r="I989"/>
  <c r="I990"/>
  <c r="I991"/>
  <c r="I992"/>
  <c r="I993"/>
  <c r="I994"/>
  <c r="I995"/>
  <c r="I996"/>
  <c r="I997"/>
  <c r="I998"/>
  <c r="I999"/>
  <c r="I1000"/>
  <c r="I1001"/>
  <c r="I1002"/>
  <c r="I1003"/>
  <c r="I1004"/>
  <c r="I1005"/>
  <c r="I1006"/>
  <c r="I1007"/>
  <c r="I1008"/>
  <c r="I1009"/>
  <c r="I1010"/>
  <c r="I1011"/>
  <c r="I1012"/>
  <c r="I1013"/>
  <c r="I1014"/>
  <c r="I1015"/>
  <c r="I1016"/>
  <c r="I1017"/>
  <c r="I1018"/>
  <c r="I1019"/>
  <c r="I1020"/>
  <c r="I1021"/>
  <c r="I1022"/>
  <c r="I1023"/>
  <c r="I1024"/>
  <c r="I1025"/>
  <c r="I1026"/>
  <c r="I1027"/>
  <c r="I1028"/>
  <c r="I1029"/>
  <c r="I1030"/>
  <c r="I1031"/>
  <c r="I1032"/>
  <c r="I1033"/>
  <c r="I1034"/>
  <c r="I1035"/>
  <c r="I1036"/>
  <c r="I1037"/>
  <c r="I1038"/>
  <c r="I1039"/>
  <c r="I1040"/>
  <c r="I1041"/>
  <c r="I1042"/>
  <c r="I1043"/>
  <c r="I1044"/>
  <c r="I1045"/>
  <c r="I1046"/>
  <c r="I1047"/>
  <c r="I1048"/>
  <c r="I1049"/>
  <c r="I1050"/>
  <c r="I1051"/>
  <c r="I1052"/>
  <c r="I1053"/>
  <c r="I1054"/>
  <c r="I1055"/>
  <c r="I1056"/>
  <c r="I1057"/>
  <c r="I1058"/>
  <c r="I1059"/>
  <c r="I1060"/>
  <c r="I1061"/>
  <c r="I1062"/>
  <c r="I1063"/>
  <c r="I1064"/>
  <c r="I1065"/>
  <c r="I1066"/>
  <c r="I1067"/>
  <c r="I1068"/>
  <c r="I1069"/>
  <c r="I1070"/>
  <c r="I1071"/>
  <c r="I1072"/>
  <c r="I1073"/>
  <c r="I1074"/>
  <c r="I1075"/>
  <c r="I1076"/>
  <c r="I1077"/>
  <c r="I1078"/>
  <c r="I1079"/>
  <c r="I1080"/>
  <c r="I1081"/>
  <c r="I1082"/>
  <c r="I1083"/>
  <c r="I1084"/>
  <c r="I1085"/>
  <c r="I1086"/>
  <c r="I1087"/>
  <c r="I1088"/>
  <c r="I1089"/>
  <c r="I1090"/>
  <c r="I1091"/>
  <c r="I1092"/>
  <c r="I1093"/>
  <c r="I1094"/>
  <c r="I1095"/>
  <c r="I1096"/>
  <c r="I1097"/>
  <c r="I1098"/>
  <c r="I1099"/>
  <c r="I1100"/>
  <c r="I1101"/>
  <c r="I1102"/>
  <c r="I1103"/>
  <c r="I1104"/>
  <c r="I1105"/>
  <c r="I1106"/>
  <c r="I1107"/>
  <c r="I1108"/>
  <c r="I1109"/>
  <c r="I1110"/>
  <c r="I1111"/>
  <c r="I1112"/>
  <c r="I1113"/>
  <c r="I1114"/>
  <c r="I1115"/>
  <c r="I1116"/>
  <c r="I1117"/>
  <c r="I1118"/>
  <c r="I1119"/>
  <c r="I1120"/>
  <c r="I1121"/>
  <c r="I1122"/>
  <c r="I1123"/>
  <c r="I1124"/>
  <c r="I1125"/>
  <c r="I1126"/>
  <c r="I1127"/>
  <c r="I1128"/>
  <c r="I1129"/>
  <c r="I1130"/>
  <c r="I1131"/>
  <c r="I1132"/>
  <c r="I1133"/>
  <c r="I1134"/>
  <c r="I1135"/>
  <c r="I1136"/>
  <c r="I1137"/>
  <c r="I1138"/>
  <c r="I1139"/>
  <c r="I1140"/>
  <c r="I1141"/>
  <c r="I1142"/>
  <c r="I1143"/>
  <c r="I1144"/>
  <c r="I1145"/>
  <c r="I1146"/>
  <c r="I1147"/>
  <c r="I1148"/>
  <c r="I1149"/>
  <c r="I1150"/>
  <c r="I1151"/>
  <c r="I1152"/>
  <c r="I1153"/>
  <c r="I1154"/>
  <c r="I1155"/>
  <c r="I1156"/>
  <c r="I1157"/>
  <c r="I1158"/>
  <c r="I1159"/>
  <c r="I1160"/>
  <c r="I1161"/>
  <c r="I1162"/>
  <c r="I1163"/>
  <c r="I1164"/>
  <c r="I1165"/>
  <c r="I1166"/>
  <c r="I1167"/>
  <c r="I1168"/>
  <c r="I1169"/>
  <c r="I1170"/>
  <c r="I1171"/>
  <c r="I1172"/>
  <c r="I1173"/>
  <c r="I1174"/>
  <c r="I1175"/>
  <c r="I1176"/>
  <c r="I1177"/>
  <c r="I1178"/>
  <c r="I1179"/>
  <c r="I1180"/>
  <c r="I1181"/>
  <c r="I1182"/>
  <c r="I1183"/>
  <c r="I1184"/>
  <c r="I1185"/>
  <c r="I1186"/>
  <c r="I1187"/>
  <c r="I1188"/>
  <c r="I1189"/>
  <c r="I1190"/>
  <c r="I1191"/>
  <c r="I1192"/>
  <c r="I1193"/>
  <c r="I1194"/>
  <c r="I1195"/>
  <c r="I1196"/>
  <c r="I1197"/>
  <c r="I1198"/>
  <c r="I1199"/>
  <c r="I1200"/>
  <c r="I1201"/>
  <c r="I1202"/>
  <c r="I1203"/>
  <c r="I1204"/>
  <c r="I1205"/>
  <c r="I1206"/>
  <c r="I1207"/>
  <c r="I1208"/>
  <c r="I1209"/>
  <c r="I1210"/>
  <c r="I1211"/>
  <c r="I1212"/>
  <c r="I1213"/>
  <c r="I1214"/>
  <c r="I1215"/>
  <c r="I1216"/>
  <c r="I1217"/>
  <c r="I1218"/>
  <c r="I1219"/>
  <c r="I1220"/>
  <c r="I1221"/>
  <c r="I1222"/>
  <c r="I1223"/>
  <c r="I1224"/>
  <c r="I1225"/>
  <c r="I1226"/>
  <c r="I1227"/>
  <c r="I1228"/>
  <c r="I1229"/>
  <c r="I1230"/>
  <c r="I1231"/>
  <c r="I1232"/>
  <c r="I1233"/>
  <c r="I1234"/>
  <c r="I1235"/>
  <c r="I1236"/>
  <c r="I1237"/>
  <c r="I1238"/>
  <c r="I1239"/>
  <c r="I1240"/>
  <c r="I1241"/>
  <c r="I1242"/>
  <c r="I1243"/>
  <c r="I1244"/>
  <c r="I1245"/>
  <c r="I1246"/>
  <c r="I1247"/>
  <c r="I1248"/>
  <c r="I1249"/>
  <c r="I1250"/>
  <c r="I1251"/>
  <c r="I1252"/>
  <c r="I1253"/>
  <c r="I1254"/>
  <c r="I1255"/>
  <c r="I1256"/>
  <c r="I1257"/>
  <c r="I1258"/>
  <c r="I1259"/>
  <c r="I1260"/>
  <c r="I1261"/>
  <c r="I1262"/>
  <c r="I1263"/>
  <c r="I1264"/>
  <c r="I1265"/>
  <c r="I1266"/>
  <c r="I1267"/>
  <c r="I1268"/>
  <c r="I1269"/>
  <c r="I1270"/>
  <c r="I1271"/>
  <c r="I1272"/>
  <c r="I1273"/>
  <c r="I1274"/>
  <c r="I1275"/>
  <c r="I1276"/>
  <c r="I1277"/>
  <c r="I1278"/>
  <c r="I1279"/>
  <c r="I1280"/>
  <c r="I1281"/>
  <c r="I1282"/>
  <c r="I1283"/>
  <c r="I1284"/>
  <c r="I1285"/>
  <c r="I1286"/>
  <c r="I1287"/>
  <c r="I1288"/>
  <c r="I1289"/>
  <c r="I1290"/>
  <c r="I1291"/>
  <c r="I1292"/>
  <c r="I1293"/>
  <c r="I1294"/>
  <c r="I1295"/>
  <c r="I1296"/>
  <c r="I1297"/>
  <c r="I1298"/>
  <c r="I1299"/>
  <c r="I1300"/>
  <c r="I1301"/>
  <c r="I1302"/>
  <c r="I1303"/>
  <c r="I1304"/>
  <c r="I1305"/>
  <c r="I1306"/>
  <c r="I1307"/>
  <c r="I1308"/>
  <c r="I1309"/>
  <c r="I1310"/>
  <c r="I1311"/>
  <c r="I1312"/>
  <c r="I1313"/>
  <c r="I1314"/>
  <c r="I1315"/>
  <c r="I1316"/>
  <c r="I1317"/>
  <c r="I1318"/>
  <c r="I1319"/>
  <c r="I1321"/>
  <c r="I1322"/>
  <c r="I1323"/>
  <c r="I1324"/>
  <c r="I1325"/>
  <c r="I1326"/>
  <c r="I1327"/>
  <c r="I1328"/>
  <c r="I1329"/>
  <c r="I1330"/>
  <c r="I1331"/>
  <c r="I1332"/>
  <c r="I1333"/>
  <c r="I1334"/>
  <c r="I1335"/>
  <c r="I1336"/>
  <c r="I1337"/>
  <c r="I1338"/>
  <c r="I1339"/>
  <c r="I1340"/>
  <c r="I1341"/>
  <c r="I1342"/>
  <c r="I1343"/>
  <c r="I1344"/>
  <c r="I1345"/>
  <c r="I1346"/>
  <c r="I1347"/>
  <c r="I1348"/>
  <c r="I1349"/>
  <c r="I1350"/>
  <c r="I1351"/>
  <c r="I1352"/>
  <c r="I1353"/>
  <c r="I1354"/>
  <c r="I1355"/>
  <c r="I1356"/>
  <c r="I1357"/>
  <c r="I1358"/>
  <c r="I1359"/>
  <c r="I1360"/>
  <c r="I1361"/>
  <c r="I1362"/>
  <c r="I1363"/>
  <c r="I1364"/>
  <c r="I1365"/>
  <c r="I1366"/>
  <c r="I1367"/>
  <c r="I1368"/>
  <c r="I1369"/>
  <c r="I1370"/>
  <c r="I1371"/>
  <c r="I1372"/>
  <c r="I1373"/>
  <c r="I1374"/>
  <c r="I1375"/>
  <c r="I1376"/>
  <c r="I1377"/>
  <c r="I1378"/>
  <c r="I1379"/>
  <c r="I1380"/>
  <c r="I1381"/>
  <c r="I1382"/>
  <c r="I1383"/>
  <c r="I1384"/>
  <c r="I1385"/>
  <c r="I1386"/>
  <c r="I1387"/>
  <c r="I1388"/>
  <c r="I1389"/>
  <c r="I1390"/>
  <c r="I1391"/>
  <c r="I1392"/>
  <c r="I1393"/>
  <c r="I1394"/>
  <c r="I1395"/>
  <c r="I1396"/>
  <c r="I1397"/>
  <c r="I1398"/>
  <c r="I1399"/>
  <c r="I1400"/>
  <c r="I1401"/>
  <c r="I1402"/>
  <c r="I1403"/>
  <c r="I1404"/>
  <c r="I1405"/>
  <c r="I1406"/>
  <c r="I1407"/>
  <c r="I1408"/>
  <c r="I1409"/>
  <c r="I1410"/>
  <c r="I1411"/>
  <c r="I1412"/>
  <c r="I1413"/>
  <c r="I1414"/>
  <c r="I1415"/>
  <c r="I1416"/>
  <c r="I1417"/>
  <c r="I1418"/>
  <c r="I1419"/>
  <c r="I1420"/>
  <c r="I1421"/>
  <c r="I1422"/>
  <c r="I1423"/>
  <c r="I1424"/>
  <c r="I1425"/>
  <c r="I1426"/>
  <c r="I1427"/>
  <c r="I1428"/>
  <c r="I1429"/>
  <c r="I1430"/>
  <c r="I1431"/>
  <c r="I1432"/>
  <c r="I1433"/>
  <c r="I1434"/>
  <c r="I1435"/>
  <c r="I1436"/>
  <c r="I1437"/>
  <c r="I1438"/>
  <c r="I1439"/>
  <c r="I1440"/>
  <c r="I1441"/>
  <c r="I1442"/>
  <c r="I1443"/>
  <c r="I1444"/>
  <c r="I1445"/>
  <c r="I1446"/>
  <c r="I1447"/>
  <c r="I1448"/>
  <c r="I1449"/>
  <c r="I1450"/>
  <c r="I1451"/>
  <c r="I1452"/>
  <c r="I1453"/>
  <c r="I1454"/>
  <c r="I1455"/>
  <c r="I1456"/>
  <c r="I1457"/>
  <c r="I1458"/>
  <c r="I1459"/>
  <c r="I1460"/>
  <c r="I1461"/>
  <c r="I1462"/>
  <c r="I1463"/>
  <c r="I1464"/>
  <c r="I1465"/>
  <c r="I1466"/>
  <c r="I1467"/>
  <c r="I1468"/>
  <c r="I1469"/>
  <c r="I1470"/>
  <c r="I1471"/>
  <c r="I1472"/>
  <c r="I1473"/>
  <c r="I1474"/>
  <c r="I1475"/>
  <c r="I1476"/>
  <c r="I1477"/>
  <c r="I1478"/>
  <c r="I1479"/>
  <c r="I1480"/>
  <c r="I1481"/>
  <c r="I1482"/>
  <c r="I1483"/>
  <c r="I1484"/>
  <c r="I1485"/>
  <c r="I1486"/>
  <c r="I1487"/>
  <c r="I1488"/>
  <c r="I1489"/>
  <c r="I1490"/>
  <c r="I1491"/>
  <c r="I1492"/>
  <c r="I1493"/>
  <c r="I1494"/>
  <c r="I1495"/>
  <c r="I1496"/>
  <c r="I1497"/>
  <c r="I1498"/>
  <c r="I1499"/>
  <c r="I1500"/>
  <c r="I1501"/>
  <c r="I1502"/>
  <c r="I1503"/>
  <c r="I1504"/>
  <c r="I1505"/>
  <c r="I1506"/>
  <c r="I1507"/>
  <c r="I1508"/>
  <c r="I1509"/>
  <c r="I1510"/>
  <c r="I1511"/>
  <c r="I1512"/>
  <c r="I1513"/>
  <c r="I1514"/>
  <c r="I1515"/>
  <c r="I1516"/>
  <c r="I1517"/>
  <c r="I1518"/>
  <c r="I1519"/>
  <c r="I1520"/>
  <c r="I1521"/>
  <c r="I1522"/>
  <c r="I1523"/>
  <c r="I1524"/>
  <c r="I1525"/>
  <c r="I1526"/>
  <c r="I1527"/>
  <c r="I1528"/>
  <c r="I1529"/>
  <c r="I1530"/>
  <c r="I1531"/>
  <c r="I1532"/>
  <c r="I1533"/>
  <c r="I1534"/>
  <c r="I1535"/>
  <c r="I1536"/>
  <c r="I1537"/>
  <c r="I1538"/>
  <c r="I1539"/>
  <c r="I1540"/>
  <c r="I1541"/>
  <c r="I1542"/>
  <c r="I1543"/>
  <c r="I1544"/>
  <c r="I1545"/>
  <c r="I1546"/>
  <c r="I1547"/>
  <c r="I1548"/>
  <c r="I1549"/>
  <c r="I1550"/>
  <c r="I1551"/>
  <c r="I1552"/>
  <c r="I1553"/>
  <c r="I1554"/>
  <c r="I1555"/>
  <c r="I1556"/>
  <c r="I1557"/>
  <c r="I1558"/>
  <c r="I1559"/>
  <c r="I1560"/>
  <c r="I1561"/>
  <c r="I1562"/>
  <c r="I1563"/>
  <c r="I1564"/>
  <c r="I1565"/>
  <c r="I1566"/>
  <c r="I1567"/>
  <c r="I1568"/>
  <c r="I1569"/>
  <c r="I1570"/>
  <c r="I1571"/>
  <c r="I1572"/>
  <c r="I1573"/>
  <c r="I1574"/>
  <c r="I1575"/>
  <c r="I1576"/>
  <c r="I1577"/>
  <c r="I1578"/>
  <c r="I1579"/>
  <c r="I1580"/>
  <c r="I1581"/>
  <c r="I1582"/>
  <c r="I1583"/>
  <c r="I1584"/>
  <c r="I1585"/>
  <c r="I1586"/>
  <c r="I1587"/>
  <c r="I1588"/>
  <c r="I1589"/>
  <c r="I1590"/>
  <c r="I1591"/>
  <c r="I1592"/>
  <c r="I1593"/>
  <c r="I1594"/>
  <c r="I1595"/>
  <c r="I1596"/>
  <c r="I1597"/>
  <c r="I1598"/>
  <c r="I1599"/>
  <c r="I1600"/>
  <c r="I1601"/>
  <c r="I1602"/>
  <c r="I1603"/>
  <c r="I1604"/>
  <c r="I1605"/>
  <c r="I1606"/>
  <c r="I1607"/>
  <c r="I1608"/>
  <c r="I1609"/>
  <c r="I1610"/>
  <c r="I1611"/>
  <c r="I1612"/>
  <c r="I1613"/>
  <c r="I1614"/>
  <c r="I1615"/>
  <c r="I1616"/>
  <c r="I1617"/>
  <c r="I1618"/>
  <c r="I1619"/>
  <c r="I1620"/>
  <c r="I1621"/>
  <c r="I1622"/>
  <c r="I1623"/>
  <c r="I1624"/>
  <c r="I1625"/>
  <c r="I1626"/>
  <c r="I1627"/>
  <c r="I1628"/>
  <c r="I1629"/>
  <c r="I1630"/>
  <c r="I1631"/>
  <c r="I1632"/>
  <c r="I1633"/>
  <c r="I1634"/>
  <c r="I1635"/>
  <c r="I1636"/>
  <c r="I1637"/>
  <c r="I1638"/>
  <c r="I1639"/>
  <c r="I1640"/>
  <c r="I1641"/>
  <c r="I1642"/>
  <c r="I1643"/>
  <c r="I1644"/>
  <c r="I1645"/>
  <c r="I1646"/>
  <c r="I1647"/>
  <c r="I1648"/>
  <c r="I1649"/>
  <c r="I1650"/>
  <c r="I1651"/>
  <c r="I1652"/>
  <c r="I1653"/>
  <c r="I1654"/>
  <c r="I1655"/>
  <c r="I1656"/>
  <c r="I1657"/>
  <c r="I1658"/>
  <c r="I1659"/>
  <c r="I1660"/>
  <c r="I1661"/>
  <c r="I1662"/>
  <c r="I1663"/>
  <c r="I1664"/>
  <c r="I1665"/>
  <c r="I1666"/>
  <c r="I1667"/>
  <c r="I1668"/>
  <c r="I1669"/>
  <c r="I1670"/>
  <c r="I1671"/>
  <c r="I1672"/>
  <c r="I1673"/>
  <c r="I1674"/>
  <c r="I1675"/>
  <c r="I1676"/>
  <c r="I1677"/>
  <c r="I1678"/>
  <c r="I1679"/>
  <c r="I1680"/>
  <c r="I1681"/>
  <c r="I1682"/>
  <c r="I1683"/>
  <c r="I1684"/>
  <c r="I1685"/>
  <c r="I1686"/>
  <c r="I1687"/>
  <c r="I1688"/>
  <c r="I1689"/>
  <c r="I1690"/>
  <c r="I1691"/>
  <c r="I1692"/>
  <c r="I1693"/>
  <c r="I1694"/>
  <c r="I1695"/>
  <c r="I1696"/>
  <c r="I1697"/>
  <c r="I1698"/>
  <c r="I1699"/>
  <c r="I1700"/>
  <c r="I1701"/>
  <c r="I1702"/>
  <c r="I1703"/>
  <c r="I1704"/>
  <c r="I1705"/>
  <c r="I1706"/>
  <c r="I1707"/>
  <c r="I1708"/>
  <c r="I1709"/>
  <c r="I1710"/>
  <c r="I1711"/>
  <c r="I1712"/>
  <c r="I1713"/>
  <c r="I1714"/>
  <c r="I1715"/>
  <c r="I1716"/>
  <c r="I1717"/>
  <c r="I1718"/>
  <c r="I1719"/>
  <c r="I1720"/>
  <c r="I1721"/>
  <c r="I1722"/>
  <c r="I1723"/>
  <c r="I1724"/>
  <c r="I1725"/>
  <c r="I1726"/>
  <c r="I1727"/>
  <c r="I1728"/>
  <c r="I1729"/>
  <c r="I1730"/>
  <c r="I1731"/>
  <c r="I1732"/>
  <c r="I1733"/>
  <c r="I1734"/>
  <c r="I1735"/>
  <c r="I1736"/>
  <c r="I1737"/>
  <c r="I1738"/>
  <c r="I1739"/>
  <c r="I1740"/>
  <c r="I1741"/>
  <c r="I1742"/>
  <c r="I1743"/>
  <c r="I1744"/>
  <c r="I1745"/>
  <c r="I1746"/>
  <c r="I1747"/>
  <c r="I1748"/>
  <c r="I1749"/>
  <c r="I1750"/>
  <c r="I1751"/>
  <c r="I1752"/>
  <c r="I1753"/>
  <c r="I1754"/>
  <c r="I1755"/>
  <c r="I1756"/>
  <c r="I1757"/>
  <c r="I1758"/>
  <c r="I1759"/>
  <c r="I1760"/>
  <c r="I1761"/>
  <c r="I1762"/>
  <c r="I1763"/>
  <c r="I1764"/>
  <c r="I1765"/>
  <c r="I1766"/>
  <c r="I1767"/>
  <c r="I1768"/>
  <c r="I1769"/>
  <c r="I1770"/>
  <c r="I1771"/>
  <c r="I1772"/>
  <c r="I1773"/>
  <c r="I1774"/>
  <c r="I1775"/>
  <c r="I1776"/>
  <c r="I1777"/>
  <c r="I1778"/>
  <c r="I1779"/>
  <c r="I1780"/>
  <c r="I1781"/>
  <c r="I1782"/>
  <c r="I1783"/>
  <c r="I1784"/>
  <c r="I1785"/>
  <c r="I1786"/>
  <c r="I1787"/>
  <c r="I1788"/>
  <c r="I1789"/>
  <c r="I1790"/>
  <c r="I1791"/>
  <c r="I1792"/>
  <c r="I1793"/>
  <c r="I1794"/>
  <c r="I1795"/>
  <c r="I1796"/>
  <c r="I1797"/>
  <c r="I1798"/>
  <c r="I1799"/>
  <c r="I1800"/>
  <c r="I1801"/>
  <c r="I1802"/>
  <c r="I1803"/>
  <c r="I1804"/>
  <c r="I1805"/>
  <c r="I1806"/>
  <c r="I1807"/>
  <c r="I1808"/>
  <c r="I1809"/>
  <c r="I1810"/>
  <c r="I1811"/>
  <c r="I1812"/>
  <c r="I1813"/>
  <c r="I1814"/>
  <c r="I1815"/>
  <c r="I1816"/>
  <c r="I1817"/>
  <c r="I1818"/>
  <c r="I1819"/>
  <c r="I1820"/>
  <c r="I1821"/>
  <c r="I1822"/>
  <c r="I1823"/>
  <c r="I1824"/>
  <c r="I1825"/>
  <c r="I1826"/>
  <c r="I1827"/>
  <c r="I1828"/>
  <c r="I1829"/>
  <c r="I1830"/>
  <c r="I1831"/>
  <c r="I1832"/>
  <c r="I1833"/>
  <c r="I1834"/>
  <c r="I1835"/>
  <c r="I1836"/>
  <c r="I1837"/>
  <c r="I1838"/>
  <c r="I1839"/>
  <c r="I1840"/>
  <c r="I1841"/>
  <c r="I1842"/>
  <c r="I1843"/>
  <c r="I1844"/>
  <c r="I1845"/>
  <c r="I1846"/>
  <c r="I1847"/>
  <c r="I1848"/>
  <c r="I1849"/>
  <c r="I1850"/>
  <c r="I1851"/>
  <c r="I1852"/>
  <c r="I1853"/>
  <c r="I1854"/>
  <c r="I1855"/>
  <c r="I1856"/>
  <c r="I1857"/>
  <c r="I1858"/>
  <c r="I1859"/>
  <c r="I1860"/>
  <c r="I1861"/>
  <c r="I1862"/>
  <c r="I1863"/>
  <c r="I1864"/>
  <c r="I1865"/>
  <c r="I1866"/>
  <c r="I1867"/>
  <c r="I1868"/>
  <c r="I1869"/>
  <c r="I1870"/>
  <c r="I1871"/>
  <c r="I1872"/>
  <c r="I1873"/>
  <c r="I1874"/>
  <c r="I1875"/>
  <c r="I1876"/>
  <c r="I1877"/>
  <c r="I1878"/>
  <c r="I1879"/>
  <c r="I1880"/>
  <c r="I1881"/>
  <c r="I1882"/>
  <c r="I1883"/>
  <c r="I1884"/>
  <c r="I1885"/>
  <c r="I1886"/>
  <c r="I1887"/>
  <c r="I1888"/>
  <c r="I1889"/>
  <c r="I1890"/>
  <c r="I1891"/>
  <c r="I1892"/>
  <c r="I1893"/>
  <c r="I1894"/>
  <c r="I1895"/>
  <c r="I1896"/>
  <c r="I1897"/>
  <c r="I1898"/>
  <c r="I1899"/>
  <c r="I1900"/>
  <c r="I1901"/>
  <c r="I1902"/>
  <c r="I1903"/>
  <c r="I1904"/>
  <c r="I1905"/>
  <c r="I1906"/>
  <c r="I1910"/>
  <c r="I1911"/>
  <c r="I1912"/>
  <c r="I1913"/>
  <c r="I1914"/>
  <c r="I1915"/>
  <c r="I1916"/>
  <c r="I1917"/>
  <c r="I1918"/>
  <c r="I1919"/>
  <c r="I1920"/>
  <c r="I1921"/>
  <c r="I1922"/>
  <c r="I1923"/>
  <c r="I1924"/>
  <c r="I1925"/>
  <c r="I1926"/>
  <c r="I1927"/>
  <c r="I1928"/>
  <c r="I1929"/>
  <c r="I1930"/>
  <c r="I1931"/>
  <c r="I1932"/>
  <c r="I1933"/>
  <c r="I1934"/>
  <c r="I1935"/>
  <c r="I1936"/>
  <c r="I1937"/>
  <c r="I1938"/>
  <c r="I1939"/>
  <c r="I1940"/>
  <c r="I1941"/>
  <c r="I1942"/>
  <c r="I1943"/>
  <c r="I1944"/>
  <c r="I1945"/>
  <c r="I1946"/>
  <c r="I1947"/>
  <c r="I1948"/>
  <c r="I1949"/>
  <c r="I1950"/>
  <c r="I1951"/>
  <c r="I1952"/>
  <c r="I1953"/>
  <c r="I1954"/>
  <c r="I1955"/>
  <c r="I1956"/>
  <c r="I1957"/>
  <c r="I1958"/>
  <c r="I1959"/>
  <c r="I1960"/>
  <c r="I1961"/>
  <c r="I1962"/>
  <c r="I1963"/>
  <c r="I1964"/>
  <c r="I1965"/>
  <c r="I1966"/>
  <c r="I1967"/>
  <c r="I1968"/>
  <c r="I1969"/>
  <c r="I1970"/>
  <c r="I1971"/>
  <c r="I1972"/>
  <c r="I1973"/>
  <c r="I1974"/>
  <c r="I1975"/>
  <c r="I1976"/>
  <c r="I1977"/>
  <c r="I1978"/>
  <c r="I1979"/>
  <c r="I1980"/>
  <c r="I1981"/>
  <c r="I1982"/>
  <c r="I1983"/>
  <c r="I1984"/>
  <c r="I1985"/>
  <c r="I1986"/>
  <c r="I1987"/>
  <c r="I1988"/>
  <c r="I1989"/>
  <c r="I1990"/>
  <c r="I1991"/>
  <c r="I1992"/>
  <c r="I1993"/>
  <c r="I1994"/>
  <c r="I1995"/>
  <c r="I1996"/>
  <c r="I1997"/>
  <c r="I1998"/>
  <c r="I1999"/>
  <c r="I2000"/>
  <c r="I2001"/>
  <c r="I2002"/>
  <c r="I2003"/>
  <c r="I2004"/>
  <c r="I2005"/>
  <c r="I2006"/>
  <c r="I2007"/>
  <c r="I2008"/>
  <c r="I2009"/>
  <c r="I2010"/>
  <c r="I2011"/>
  <c r="I2012"/>
  <c r="I2013"/>
  <c r="I2014"/>
  <c r="I2015"/>
  <c r="I2016"/>
  <c r="I2017"/>
  <c r="I2018"/>
  <c r="I2019"/>
  <c r="I2020"/>
  <c r="I2021"/>
  <c r="I2022"/>
  <c r="I2023"/>
  <c r="I2024"/>
  <c r="I2025"/>
  <c r="I2026"/>
  <c r="I2027"/>
  <c r="I2028"/>
  <c r="I2029"/>
  <c r="I2030"/>
  <c r="I2031"/>
  <c r="I2032"/>
  <c r="I2033"/>
  <c r="I2034"/>
  <c r="I2035"/>
  <c r="I2036"/>
  <c r="I2037"/>
  <c r="I2038"/>
  <c r="I2039"/>
  <c r="I2040"/>
  <c r="I2041"/>
  <c r="I2042"/>
  <c r="I2043"/>
  <c r="I2044"/>
  <c r="I2045"/>
  <c r="I2046"/>
  <c r="I2047"/>
  <c r="I2048"/>
  <c r="I2049"/>
  <c r="I2050"/>
  <c r="I2051"/>
  <c r="I2052"/>
  <c r="I2053"/>
  <c r="I2054"/>
  <c r="I2055"/>
  <c r="I2056"/>
  <c r="I2057"/>
  <c r="I2058"/>
  <c r="I2059"/>
  <c r="I2060"/>
  <c r="I2061"/>
  <c r="I2062"/>
  <c r="I2063"/>
  <c r="I2064"/>
  <c r="I2065"/>
  <c r="I2066"/>
  <c r="I2067"/>
  <c r="I2068"/>
  <c r="I2069"/>
  <c r="I2070"/>
  <c r="I2071"/>
  <c r="I2072"/>
  <c r="I2073"/>
  <c r="I2074"/>
  <c r="I2075"/>
  <c r="I2076"/>
  <c r="I2077"/>
  <c r="I2078"/>
  <c r="I2079"/>
  <c r="I2080"/>
  <c r="I2081"/>
  <c r="I2082"/>
  <c r="I2083"/>
  <c r="I2084"/>
  <c r="I2085"/>
  <c r="I2086"/>
  <c r="I2087"/>
  <c r="I2088"/>
  <c r="I2089"/>
  <c r="I2090"/>
  <c r="I2091"/>
  <c r="I2092"/>
  <c r="I2093"/>
  <c r="I2094"/>
  <c r="I2095"/>
  <c r="I2096"/>
  <c r="I2097"/>
  <c r="I2098"/>
  <c r="I2099"/>
  <c r="I2100"/>
  <c r="I2101"/>
  <c r="I2102"/>
  <c r="I2103"/>
  <c r="I2104"/>
  <c r="I2105"/>
  <c r="I2106"/>
  <c r="I2107"/>
  <c r="I2108"/>
  <c r="I2109"/>
  <c r="I2110"/>
  <c r="I2111"/>
  <c r="I2112"/>
  <c r="I2113"/>
  <c r="I2114"/>
  <c r="I2115"/>
  <c r="I2116"/>
  <c r="I2117"/>
  <c r="I2118"/>
  <c r="I2119"/>
  <c r="I2120"/>
  <c r="I2121"/>
  <c r="I2122"/>
  <c r="I2123"/>
  <c r="I2124"/>
  <c r="I2125"/>
  <c r="I2126"/>
  <c r="I2127"/>
  <c r="I2128"/>
  <c r="I2129"/>
  <c r="I2130"/>
  <c r="I2131"/>
  <c r="I2132"/>
  <c r="I2133"/>
  <c r="I2134"/>
  <c r="I2135"/>
  <c r="I2136"/>
  <c r="I2137"/>
  <c r="I2138"/>
  <c r="I2139"/>
  <c r="I2140"/>
  <c r="I2141"/>
  <c r="I2142"/>
  <c r="I2143"/>
  <c r="I2144"/>
  <c r="I2145"/>
  <c r="I2146"/>
  <c r="I2147"/>
  <c r="I2148"/>
  <c r="I2149"/>
  <c r="I2150"/>
  <c r="I2151"/>
  <c r="I2152"/>
  <c r="I2153"/>
  <c r="I2154"/>
  <c r="I2155"/>
  <c r="I2156"/>
  <c r="I2157"/>
  <c r="I2158"/>
  <c r="I2159"/>
  <c r="I2160"/>
  <c r="I2161"/>
  <c r="I2162"/>
  <c r="I2163"/>
  <c r="I2164"/>
  <c r="I2165"/>
  <c r="I2166"/>
  <c r="I2167"/>
  <c r="I2168"/>
  <c r="I2169"/>
  <c r="I2170"/>
  <c r="I2171"/>
  <c r="I2172"/>
  <c r="I2173"/>
  <c r="I2174"/>
  <c r="I2175"/>
  <c r="I2176"/>
  <c r="I2177"/>
  <c r="I2178"/>
  <c r="I2179"/>
  <c r="I2180"/>
  <c r="I2181"/>
  <c r="I2182"/>
  <c r="I2183"/>
  <c r="I2184"/>
  <c r="I2185"/>
  <c r="I2186"/>
  <c r="I2187"/>
  <c r="I2188"/>
  <c r="I2189"/>
  <c r="I2190"/>
  <c r="I2191"/>
  <c r="I2192"/>
  <c r="I2193"/>
  <c r="I2194"/>
  <c r="I2195"/>
  <c r="I2196"/>
  <c r="I2197"/>
  <c r="I2198"/>
  <c r="I2199"/>
  <c r="I2200"/>
  <c r="I2201"/>
  <c r="I2202"/>
  <c r="I2203"/>
  <c r="I2204"/>
  <c r="I2205"/>
  <c r="I2206"/>
  <c r="I2207"/>
  <c r="I2208"/>
  <c r="I2209"/>
  <c r="I2210"/>
  <c r="I2211"/>
  <c r="I2212"/>
  <c r="I2213"/>
  <c r="I2214"/>
  <c r="I2215"/>
  <c r="I2216"/>
  <c r="I2217"/>
  <c r="I2218"/>
  <c r="I2219"/>
  <c r="I2220"/>
  <c r="I2221"/>
  <c r="I2222"/>
  <c r="I2223"/>
  <c r="I2224"/>
  <c r="I2225"/>
  <c r="I2226"/>
  <c r="I2227"/>
  <c r="I2228"/>
  <c r="I2229"/>
  <c r="I2230"/>
  <c r="I2231"/>
  <c r="I2232"/>
  <c r="I2233"/>
  <c r="I2234"/>
  <c r="I2235"/>
  <c r="I2236"/>
  <c r="I2237"/>
  <c r="I2238"/>
  <c r="I2239"/>
  <c r="I2240"/>
  <c r="I2241"/>
  <c r="I2242"/>
  <c r="I2243"/>
  <c r="I2244"/>
  <c r="I2245"/>
  <c r="I2246"/>
  <c r="I2247"/>
  <c r="I2248"/>
  <c r="I2249"/>
  <c r="I2250"/>
  <c r="I2251"/>
  <c r="I2252"/>
  <c r="I2253"/>
  <c r="I2254"/>
  <c r="I2255"/>
  <c r="I2256"/>
  <c r="I2257"/>
  <c r="I2258"/>
  <c r="I2259"/>
  <c r="I2260"/>
  <c r="I2261"/>
  <c r="I2262"/>
  <c r="I2263"/>
  <c r="I2264"/>
  <c r="I2265"/>
  <c r="I2266"/>
  <c r="I2267"/>
  <c r="I2268"/>
  <c r="I2269"/>
  <c r="I2270"/>
  <c r="I2271"/>
  <c r="I2272"/>
  <c r="I2273"/>
  <c r="I2274"/>
  <c r="I2275"/>
  <c r="I2276"/>
  <c r="I2277"/>
  <c r="I2278"/>
  <c r="I2279"/>
  <c r="I2280"/>
  <c r="I2281"/>
  <c r="I2282"/>
  <c r="I2283"/>
  <c r="I2284"/>
  <c r="I2285"/>
  <c r="I2286"/>
  <c r="I2287"/>
  <c r="I2288"/>
  <c r="I2289"/>
  <c r="I2290"/>
  <c r="I2291"/>
  <c r="I2292"/>
  <c r="I2293"/>
  <c r="I2294"/>
  <c r="I2295"/>
  <c r="I2296"/>
  <c r="I2297"/>
  <c r="I2298"/>
  <c r="I2299"/>
  <c r="I2300"/>
  <c r="I2301"/>
  <c r="I2302"/>
  <c r="I2303"/>
  <c r="I2304"/>
  <c r="I2305"/>
  <c r="I2306"/>
  <c r="I2307"/>
  <c r="I2308"/>
  <c r="I2309"/>
  <c r="I2310"/>
  <c r="I2311"/>
  <c r="I2312"/>
  <c r="I2313"/>
  <c r="I2314"/>
  <c r="I2315"/>
  <c r="I2316"/>
  <c r="I2317"/>
  <c r="I2318"/>
  <c r="I2319"/>
  <c r="I2320"/>
  <c r="I2321"/>
  <c r="I2322"/>
  <c r="I2323"/>
  <c r="I2324"/>
  <c r="I2325"/>
  <c r="I2326"/>
  <c r="I2327"/>
  <c r="I2328"/>
  <c r="I2329"/>
  <c r="I2330"/>
  <c r="I2331"/>
  <c r="I2332"/>
  <c r="I2333"/>
  <c r="I2334"/>
  <c r="I2335"/>
  <c r="I2336"/>
  <c r="I2337"/>
  <c r="I2338"/>
  <c r="I2339"/>
  <c r="I2340"/>
  <c r="I2341"/>
  <c r="I2342"/>
  <c r="I2343"/>
  <c r="I2344"/>
  <c r="I2345"/>
  <c r="I2346"/>
  <c r="I2347"/>
  <c r="I2348"/>
  <c r="I2349"/>
  <c r="I2350"/>
  <c r="I2351"/>
  <c r="I2352"/>
  <c r="I2353"/>
  <c r="I2354"/>
  <c r="I2355"/>
  <c r="I2356"/>
  <c r="I2357"/>
  <c r="I2358"/>
  <c r="I2359"/>
  <c r="I2360"/>
  <c r="I2361"/>
  <c r="I2362"/>
  <c r="I2363"/>
  <c r="I2364"/>
  <c r="I2365"/>
  <c r="I2366"/>
  <c r="I2367"/>
  <c r="I2368"/>
  <c r="I2369"/>
  <c r="I2370"/>
  <c r="I2371"/>
  <c r="I2372"/>
  <c r="I2373"/>
  <c r="I2374"/>
  <c r="I2375"/>
  <c r="I2376"/>
  <c r="I2377"/>
  <c r="I2378"/>
  <c r="I2379"/>
  <c r="I2380"/>
  <c r="I2381"/>
  <c r="I2382"/>
  <c r="I2383"/>
  <c r="I2384"/>
  <c r="I2385"/>
  <c r="I2386"/>
  <c r="I2387"/>
  <c r="I2388"/>
  <c r="I2389"/>
  <c r="I2390"/>
  <c r="I2391"/>
  <c r="I2392"/>
  <c r="I2393"/>
  <c r="I2394"/>
  <c r="I2395"/>
  <c r="I2396"/>
  <c r="I2397"/>
  <c r="I2398"/>
  <c r="I2399"/>
  <c r="I2400"/>
  <c r="I2401"/>
  <c r="I2402"/>
  <c r="I2403"/>
  <c r="I2404"/>
  <c r="I2405"/>
  <c r="I2406"/>
  <c r="I2407"/>
  <c r="I2408"/>
  <c r="I2409"/>
  <c r="I2410"/>
  <c r="I2411"/>
  <c r="I2412"/>
  <c r="I2413"/>
  <c r="I2414"/>
  <c r="I2415"/>
  <c r="I2416"/>
  <c r="I2417"/>
  <c r="I2418"/>
  <c r="I2419"/>
  <c r="I2420"/>
  <c r="I2421"/>
  <c r="I2422"/>
  <c r="I2423"/>
  <c r="I2424"/>
  <c r="I2425"/>
  <c r="I2426"/>
  <c r="I2427"/>
  <c r="I2428"/>
  <c r="I2429"/>
  <c r="I2430"/>
  <c r="I2431"/>
  <c r="I2432"/>
  <c r="I2433"/>
  <c r="I2434"/>
  <c r="I2435"/>
  <c r="I2436"/>
  <c r="I2437"/>
  <c r="I2438"/>
  <c r="I2439"/>
  <c r="I2440"/>
  <c r="I2441"/>
  <c r="I2442"/>
  <c r="I2443"/>
  <c r="I2444"/>
  <c r="I2445"/>
  <c r="I2446"/>
  <c r="I2447"/>
  <c r="I2448"/>
  <c r="I2449"/>
  <c r="I2450"/>
  <c r="I2451"/>
  <c r="I2452"/>
  <c r="I2453"/>
  <c r="I2454"/>
  <c r="I2455"/>
  <c r="I2456"/>
  <c r="I2457"/>
  <c r="I2458"/>
  <c r="I2459"/>
  <c r="I2460"/>
  <c r="I2461"/>
  <c r="I2462"/>
  <c r="I2463"/>
  <c r="I2464"/>
  <c r="I2465"/>
  <c r="I2466"/>
  <c r="I2467"/>
  <c r="I2468"/>
  <c r="I2469"/>
  <c r="I2470"/>
  <c r="I2471"/>
  <c r="I2472"/>
  <c r="I2473"/>
  <c r="I2474"/>
  <c r="I2475"/>
  <c r="I2476"/>
  <c r="I2477"/>
  <c r="I2478"/>
  <c r="I2479"/>
  <c r="I2480"/>
  <c r="I2481"/>
  <c r="I2482"/>
  <c r="I2483"/>
  <c r="I2484"/>
  <c r="I2485"/>
  <c r="I2486"/>
  <c r="I2487"/>
  <c r="I2488"/>
  <c r="I2489"/>
  <c r="I2490"/>
  <c r="I2491"/>
  <c r="I2492"/>
  <c r="I2493"/>
  <c r="I2494"/>
  <c r="I2495"/>
  <c r="I2496"/>
  <c r="I2497"/>
  <c r="I2498"/>
  <c r="I2499"/>
  <c r="I2500"/>
  <c r="I2501"/>
  <c r="I2502"/>
  <c r="I2503"/>
  <c r="I2504"/>
  <c r="I2505"/>
  <c r="I2506"/>
  <c r="I2507"/>
  <c r="I2508"/>
  <c r="I2509"/>
  <c r="I2510"/>
  <c r="I2511"/>
  <c r="I2512"/>
  <c r="I2513"/>
  <c r="I2514"/>
  <c r="I2515"/>
  <c r="I2516"/>
  <c r="I2517"/>
  <c r="I2518"/>
  <c r="I2519"/>
  <c r="I2520"/>
  <c r="I2521"/>
  <c r="I2522"/>
  <c r="I2523"/>
  <c r="I2524"/>
  <c r="I2525"/>
  <c r="I2526"/>
  <c r="I2527"/>
  <c r="I2528"/>
  <c r="I2529"/>
  <c r="I2530"/>
  <c r="I2531"/>
  <c r="I2532"/>
  <c r="I2533"/>
  <c r="I2534"/>
  <c r="I2535"/>
  <c r="I2536"/>
  <c r="I2537"/>
  <c r="I2538"/>
  <c r="I2539"/>
  <c r="I2540"/>
  <c r="I2541"/>
  <c r="I2542"/>
  <c r="I2543"/>
  <c r="I2544"/>
  <c r="I2545"/>
  <c r="I2546"/>
  <c r="I2547"/>
  <c r="I2548"/>
  <c r="I2549"/>
  <c r="I2550"/>
  <c r="I2551"/>
  <c r="I2552"/>
  <c r="I2553"/>
  <c r="I2554"/>
  <c r="I2555"/>
  <c r="I2556"/>
  <c r="I2557"/>
  <c r="I2558"/>
  <c r="I2559"/>
  <c r="I2560"/>
  <c r="I2561"/>
  <c r="I2562"/>
  <c r="I2563"/>
  <c r="I2564"/>
  <c r="I2565"/>
  <c r="I2566"/>
  <c r="I2567"/>
  <c r="I2568"/>
  <c r="I2569"/>
  <c r="I2570"/>
  <c r="I2571"/>
  <c r="I2572"/>
  <c r="I2573"/>
  <c r="I2574"/>
  <c r="I2575"/>
  <c r="I2576"/>
  <c r="I2577"/>
  <c r="I2578"/>
  <c r="I2579"/>
  <c r="I2580"/>
  <c r="I2581"/>
  <c r="I2582"/>
  <c r="I2583"/>
  <c r="I2584"/>
  <c r="I2585"/>
  <c r="I2586"/>
  <c r="I2587"/>
  <c r="I2588"/>
  <c r="I2589"/>
  <c r="I2590"/>
  <c r="I2591"/>
  <c r="I2592"/>
  <c r="I2593"/>
  <c r="I2594"/>
  <c r="I2595"/>
  <c r="I2596"/>
  <c r="I2597"/>
  <c r="I2598"/>
  <c r="I2599"/>
  <c r="I2600"/>
  <c r="I2601"/>
  <c r="I2602"/>
  <c r="I2603"/>
  <c r="I2604"/>
  <c r="I2605"/>
  <c r="I2606"/>
  <c r="I2607"/>
  <c r="I2608"/>
  <c r="I2609"/>
  <c r="I2610"/>
  <c r="I2611"/>
  <c r="I2612"/>
  <c r="I2613"/>
  <c r="I2614"/>
  <c r="I2615"/>
  <c r="I2616"/>
  <c r="I2617"/>
  <c r="I2618"/>
  <c r="I2619"/>
  <c r="I2620"/>
  <c r="I2621"/>
  <c r="I2622"/>
  <c r="I2623"/>
  <c r="I2624"/>
  <c r="I2625"/>
  <c r="I2626"/>
  <c r="I2627"/>
  <c r="I2628"/>
  <c r="I2629"/>
  <c r="I2630"/>
  <c r="I2631"/>
  <c r="I2632"/>
  <c r="I2633"/>
  <c r="I2634"/>
  <c r="I2635"/>
  <c r="I2636"/>
  <c r="I2637"/>
  <c r="I2638"/>
  <c r="I2639"/>
  <c r="I2640"/>
  <c r="I2641"/>
  <c r="I2642"/>
  <c r="I2643"/>
  <c r="I2644"/>
  <c r="I2645"/>
  <c r="I2646"/>
  <c r="I2647"/>
  <c r="I2648"/>
  <c r="I2649"/>
  <c r="I2650"/>
  <c r="I2651"/>
  <c r="I2652"/>
  <c r="I2653"/>
  <c r="I2654"/>
  <c r="I2655"/>
  <c r="I2656"/>
  <c r="I2657"/>
  <c r="I2658"/>
  <c r="I2659"/>
  <c r="I2660"/>
  <c r="I2661"/>
  <c r="I2662"/>
  <c r="I2663"/>
  <c r="I2664"/>
  <c r="I2665"/>
  <c r="I2666"/>
  <c r="I2667"/>
  <c r="I2668"/>
  <c r="I2669"/>
  <c r="I2670"/>
  <c r="I2671"/>
  <c r="I2672"/>
  <c r="I2673"/>
  <c r="I2674"/>
  <c r="I2675"/>
  <c r="I2676"/>
  <c r="I2677"/>
  <c r="I2678"/>
  <c r="I2679"/>
  <c r="I2680"/>
  <c r="I2681"/>
  <c r="I2682"/>
  <c r="I2683"/>
  <c r="I2684"/>
  <c r="I2685"/>
  <c r="I2686"/>
  <c r="I2687"/>
  <c r="I2688"/>
  <c r="I2689"/>
  <c r="I2690"/>
  <c r="I2691"/>
  <c r="I2692"/>
  <c r="I2693"/>
  <c r="I2694"/>
  <c r="I2695"/>
  <c r="I2696"/>
  <c r="I2697"/>
  <c r="I2698"/>
  <c r="I2699"/>
  <c r="I2700"/>
  <c r="I2701"/>
  <c r="I2702"/>
  <c r="I2703"/>
  <c r="I2704"/>
  <c r="I2705"/>
  <c r="I2706"/>
  <c r="I2707"/>
  <c r="I2708"/>
  <c r="I2709"/>
  <c r="I2710"/>
  <c r="I2711"/>
  <c r="I2712"/>
  <c r="I2713"/>
  <c r="I2714"/>
  <c r="I2715"/>
  <c r="I2716"/>
  <c r="I2717"/>
  <c r="I2718"/>
  <c r="I2719"/>
  <c r="I2720"/>
  <c r="I2721"/>
  <c r="I2722"/>
  <c r="I2723"/>
  <c r="I2724"/>
  <c r="I2725"/>
  <c r="I2726"/>
  <c r="I2727"/>
  <c r="I2728"/>
  <c r="I2729"/>
  <c r="I2730"/>
  <c r="I2731"/>
  <c r="I2732"/>
  <c r="I2733"/>
  <c r="I2734"/>
  <c r="I2735"/>
  <c r="I2736"/>
  <c r="I2737"/>
  <c r="I2738"/>
  <c r="I2739"/>
  <c r="I2740"/>
  <c r="I2741"/>
  <c r="I2742"/>
  <c r="I2743"/>
  <c r="I2744"/>
  <c r="I2745"/>
  <c r="I2746"/>
  <c r="I2747"/>
  <c r="I2748"/>
  <c r="I2749"/>
  <c r="I2750"/>
  <c r="E19" i="11"/>
  <c r="E20"/>
  <c r="F18"/>
  <c r="F22"/>
  <c r="F21"/>
  <c r="H84" i="5"/>
  <c r="H87"/>
  <c r="H88"/>
  <c r="H76"/>
  <c r="H78"/>
  <c r="H80"/>
  <c r="H81"/>
  <c r="H82"/>
  <c r="H86"/>
  <c r="H89"/>
  <c r="H90"/>
  <c r="H6"/>
  <c r="H8"/>
  <c r="H12"/>
  <c r="H13"/>
  <c r="H15"/>
  <c r="H17"/>
  <c r="H18"/>
  <c r="H19"/>
  <c r="H21"/>
  <c r="H26"/>
  <c r="H27"/>
  <c r="H32"/>
  <c r="H33"/>
  <c r="H34"/>
  <c r="H35"/>
  <c r="H36"/>
  <c r="H37"/>
  <c r="H38"/>
  <c r="H39"/>
  <c r="H42"/>
  <c r="H43"/>
  <c r="H45"/>
  <c r="H48"/>
  <c r="H49"/>
  <c r="H50"/>
  <c r="H51"/>
  <c r="H52"/>
  <c r="H53"/>
  <c r="H54"/>
  <c r="H55"/>
  <c r="H57"/>
  <c r="H58"/>
  <c r="G59"/>
  <c r="H59"/>
  <c r="H60"/>
  <c r="H61"/>
  <c r="H62"/>
  <c r="H63"/>
  <c r="H65"/>
  <c r="G67"/>
  <c r="H67"/>
  <c r="H68"/>
  <c r="G70"/>
  <c r="H70"/>
  <c r="H92"/>
  <c r="H93"/>
  <c r="H94"/>
  <c r="H95"/>
  <c r="H97"/>
  <c r="H98"/>
  <c r="H100"/>
  <c r="H102"/>
  <c r="H104"/>
  <c r="H105"/>
  <c r="H107"/>
  <c r="H108"/>
  <c r="I105"/>
  <c r="I107"/>
  <c r="I92"/>
  <c r="I93"/>
  <c r="I94"/>
  <c r="I95"/>
  <c r="I97"/>
  <c r="I98"/>
  <c r="I100"/>
  <c r="I102"/>
  <c r="I104"/>
  <c r="I84"/>
  <c r="I87"/>
  <c r="I88"/>
  <c r="I76"/>
  <c r="I78"/>
  <c r="I80"/>
  <c r="I81"/>
  <c r="I82"/>
  <c r="I86"/>
  <c r="I89"/>
  <c r="I90"/>
  <c r="I67"/>
  <c r="I68"/>
  <c r="I70"/>
  <c r="I32"/>
  <c r="I33"/>
  <c r="I34"/>
  <c r="I35"/>
  <c r="I36"/>
  <c r="I37"/>
  <c r="I38"/>
  <c r="I39"/>
  <c r="I42"/>
  <c r="I43"/>
  <c r="I45"/>
  <c r="I48"/>
  <c r="I49"/>
  <c r="I50"/>
  <c r="I51"/>
  <c r="I52"/>
  <c r="I53"/>
  <c r="I54"/>
  <c r="I55"/>
  <c r="I57"/>
  <c r="I58"/>
  <c r="I59"/>
  <c r="I60"/>
  <c r="I61"/>
  <c r="I62"/>
  <c r="I63"/>
  <c r="I65"/>
  <c r="I6"/>
  <c r="I8"/>
  <c r="I12"/>
  <c r="I13"/>
  <c r="I15"/>
  <c r="I17"/>
  <c r="I18"/>
  <c r="I19"/>
  <c r="I21"/>
  <c r="I26"/>
  <c r="I27"/>
  <c r="I108"/>
  <c r="I2" i="26"/>
  <c r="I3"/>
  <c r="I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7"/>
  <c r="I288"/>
  <c r="I289"/>
  <c r="I290"/>
  <c r="I291"/>
  <c r="I292"/>
  <c r="I293"/>
  <c r="I294"/>
  <c r="I295"/>
  <c r="I296"/>
  <c r="I297"/>
  <c r="I298"/>
  <c r="I299"/>
  <c r="I300"/>
  <c r="I301"/>
  <c r="I302"/>
  <c r="I303"/>
  <c r="I304"/>
  <c r="I305"/>
  <c r="I306"/>
  <c r="I307"/>
  <c r="I308"/>
  <c r="I309"/>
  <c r="I310"/>
  <c r="I311"/>
  <c r="I312"/>
  <c r="I313"/>
  <c r="I314"/>
  <c r="I315"/>
  <c r="I316"/>
  <c r="I317"/>
  <c r="I318"/>
  <c r="I319"/>
  <c r="I320"/>
  <c r="I321"/>
  <c r="I322"/>
  <c r="I323"/>
  <c r="I324"/>
  <c r="I325"/>
  <c r="I326"/>
  <c r="I327"/>
  <c r="I328"/>
  <c r="I329"/>
  <c r="I330"/>
  <c r="I331"/>
  <c r="I332"/>
  <c r="I333"/>
  <c r="I334"/>
  <c r="I335"/>
  <c r="I336"/>
  <c r="I337"/>
  <c r="I338"/>
  <c r="I339"/>
  <c r="I340"/>
  <c r="I341"/>
  <c r="I342"/>
  <c r="I343"/>
  <c r="I344"/>
  <c r="I345"/>
  <c r="I346"/>
  <c r="I347"/>
  <c r="I348"/>
  <c r="I349"/>
  <c r="I350"/>
  <c r="I351"/>
  <c r="I352"/>
  <c r="I353"/>
  <c r="I354"/>
  <c r="I355"/>
  <c r="I356"/>
  <c r="I357"/>
  <c r="I358"/>
  <c r="I359"/>
  <c r="I360"/>
  <c r="I361"/>
  <c r="I362"/>
  <c r="I363"/>
  <c r="I364"/>
  <c r="I365"/>
  <c r="I366"/>
  <c r="I367"/>
  <c r="I368"/>
  <c r="I369"/>
  <c r="I370"/>
  <c r="I371"/>
  <c r="I372"/>
  <c r="I373"/>
  <c r="I374"/>
  <c r="I375"/>
  <c r="I376"/>
  <c r="I377"/>
  <c r="I378"/>
  <c r="I379"/>
  <c r="I380"/>
  <c r="I381"/>
  <c r="I382"/>
  <c r="I383"/>
  <c r="I384"/>
  <c r="I385"/>
  <c r="I386"/>
  <c r="I387"/>
  <c r="I388"/>
  <c r="I389"/>
  <c r="I390"/>
  <c r="I391"/>
  <c r="I392"/>
  <c r="I393"/>
  <c r="I394"/>
  <c r="I395"/>
  <c r="I396"/>
  <c r="I397"/>
  <c r="I398"/>
  <c r="I399"/>
  <c r="I400"/>
  <c r="I401"/>
  <c r="I402"/>
  <c r="I403"/>
  <c r="I404"/>
  <c r="I405"/>
  <c r="I406"/>
  <c r="I407"/>
  <c r="I408"/>
  <c r="I409"/>
  <c r="I410"/>
  <c r="I411"/>
  <c r="I412"/>
  <c r="I413"/>
  <c r="I414"/>
  <c r="I415"/>
  <c r="I416"/>
  <c r="I417"/>
  <c r="I418"/>
  <c r="I419"/>
  <c r="I420"/>
  <c r="I421"/>
  <c r="I422"/>
  <c r="I423"/>
  <c r="I424"/>
  <c r="I425"/>
  <c r="I426"/>
  <c r="I427"/>
  <c r="I428"/>
  <c r="I429"/>
  <c r="I430"/>
  <c r="I431"/>
  <c r="I432"/>
  <c r="I433"/>
  <c r="I434"/>
  <c r="I435"/>
  <c r="I436"/>
  <c r="I437"/>
  <c r="I438"/>
  <c r="I439"/>
  <c r="I440"/>
  <c r="I441"/>
  <c r="I442"/>
  <c r="I443"/>
  <c r="I444"/>
  <c r="I445"/>
  <c r="I446"/>
  <c r="I447"/>
  <c r="I448"/>
  <c r="I449"/>
  <c r="I450"/>
  <c r="I451"/>
  <c r="I452"/>
  <c r="I453"/>
  <c r="I454"/>
  <c r="I455"/>
  <c r="I456"/>
  <c r="I457"/>
  <c r="I458"/>
  <c r="I459"/>
  <c r="I460"/>
  <c r="I461"/>
  <c r="I462"/>
  <c r="E462"/>
  <c r="D10" i="10"/>
  <c r="D13"/>
  <c r="D15"/>
  <c r="D17"/>
  <c r="D18"/>
  <c r="D19"/>
  <c r="D2" i="8"/>
  <c r="D3"/>
  <c r="D5"/>
  <c r="D15"/>
  <c r="D21"/>
  <c r="D22"/>
  <c r="D29"/>
  <c r="D53"/>
  <c r="D77"/>
  <c r="D296"/>
  <c r="D351"/>
  <c r="D403"/>
  <c r="D465"/>
  <c r="D469"/>
  <c r="D474"/>
  <c r="D504"/>
  <c r="D540"/>
  <c r="D554"/>
  <c r="D576"/>
  <c r="D693"/>
  <c r="D1310"/>
  <c r="I1907" i="15"/>
  <c r="I1908"/>
  <c r="I1909"/>
  <c r="D1311" i="8"/>
  <c r="D1312"/>
  <c r="D588" i="9"/>
  <c r="D587"/>
  <c r="D2"/>
  <c r="D3"/>
  <c r="D4"/>
  <c r="D8"/>
  <c r="D9"/>
  <c r="D17"/>
  <c r="D23"/>
  <c r="D25"/>
  <c r="D26"/>
  <c r="D39"/>
  <c r="D46"/>
  <c r="D54"/>
  <c r="D67"/>
  <c r="D68"/>
  <c r="D70"/>
  <c r="D73"/>
  <c r="D76"/>
  <c r="D78"/>
  <c r="D79"/>
  <c r="D80"/>
  <c r="D82"/>
  <c r="D84"/>
  <c r="D85"/>
  <c r="D86"/>
  <c r="D88"/>
  <c r="D89"/>
  <c r="D90"/>
  <c r="D93"/>
  <c r="D94"/>
  <c r="D100"/>
  <c r="D101"/>
  <c r="D102"/>
  <c r="D103"/>
  <c r="D105"/>
  <c r="D107"/>
  <c r="D108"/>
  <c r="D110"/>
  <c r="D111"/>
  <c r="D116"/>
  <c r="D119"/>
  <c r="D123"/>
  <c r="D125"/>
  <c r="D127"/>
  <c r="D128"/>
  <c r="D129"/>
  <c r="D130"/>
  <c r="D131"/>
  <c r="D132"/>
  <c r="D136"/>
  <c r="D137"/>
  <c r="D138"/>
  <c r="D140"/>
  <c r="D142"/>
  <c r="D150"/>
  <c r="D157"/>
  <c r="D161"/>
  <c r="D185"/>
  <c r="D194"/>
  <c r="D198"/>
  <c r="D199"/>
  <c r="D212"/>
  <c r="D218"/>
  <c r="D220"/>
  <c r="D231"/>
  <c r="D253"/>
  <c r="D257"/>
  <c r="D258"/>
  <c r="D262"/>
  <c r="D263"/>
  <c r="D285"/>
  <c r="D287"/>
  <c r="D292"/>
  <c r="D303"/>
  <c r="D304"/>
  <c r="D315"/>
  <c r="D323"/>
  <c r="D327"/>
  <c r="D329"/>
  <c r="D331"/>
  <c r="D332"/>
  <c r="D339"/>
  <c r="D341"/>
  <c r="D342"/>
  <c r="D344"/>
  <c r="D346"/>
  <c r="D348"/>
  <c r="D349"/>
  <c r="D351"/>
  <c r="D355"/>
  <c r="D356"/>
  <c r="D358"/>
  <c r="D362"/>
  <c r="D366"/>
  <c r="D368"/>
  <c r="D369"/>
  <c r="D373"/>
  <c r="D374"/>
  <c r="D375"/>
  <c r="D377"/>
  <c r="D379"/>
  <c r="D380"/>
  <c r="D384"/>
  <c r="D387"/>
  <c r="D396"/>
  <c r="D399"/>
  <c r="D400"/>
  <c r="D402"/>
  <c r="D407"/>
  <c r="D408"/>
  <c r="D409"/>
  <c r="D410"/>
  <c r="D411"/>
  <c r="D412"/>
  <c r="D414"/>
  <c r="D415"/>
  <c r="D416"/>
  <c r="D419"/>
  <c r="D425"/>
  <c r="D468"/>
  <c r="D474"/>
  <c r="D477"/>
  <c r="D503"/>
  <c r="D505"/>
  <c r="D506"/>
  <c r="D507"/>
  <c r="D509"/>
  <c r="D510"/>
  <c r="D513"/>
  <c r="D514"/>
  <c r="D515"/>
  <c r="D516"/>
  <c r="D523"/>
  <c r="D524"/>
  <c r="D525"/>
  <c r="D528"/>
  <c r="D529"/>
  <c r="D532"/>
  <c r="D533"/>
  <c r="D536"/>
  <c r="D537"/>
  <c r="D541"/>
  <c r="D542"/>
  <c r="D543"/>
  <c r="D544"/>
  <c r="D545"/>
  <c r="D547"/>
  <c r="D548"/>
  <c r="D559"/>
  <c r="D560"/>
  <c r="D563"/>
  <c r="D567"/>
  <c r="D569"/>
  <c r="D581"/>
  <c r="D583"/>
  <c r="D586"/>
  <c r="J11" i="15"/>
  <c r="J9"/>
  <c r="J7"/>
  <c r="J4"/>
  <c r="J3"/>
  <c r="J5"/>
  <c r="J6"/>
  <c r="J8"/>
  <c r="J10"/>
  <c r="J2"/>
</calcChain>
</file>

<file path=xl/sharedStrings.xml><?xml version="1.0" encoding="utf-8"?>
<sst xmlns="http://schemas.openxmlformats.org/spreadsheetml/2006/main" count="11183" uniqueCount="4090">
  <si>
    <t>郭榮吉</t>
    <phoneticPr fontId="7" type="noConversion"/>
  </si>
  <si>
    <t>楊進安</t>
    <phoneticPr fontId="7" type="noConversion"/>
  </si>
  <si>
    <t>莊屘</t>
    <phoneticPr fontId="7" type="noConversion"/>
  </si>
  <si>
    <t>林志明</t>
    <phoneticPr fontId="7" type="noConversion"/>
  </si>
  <si>
    <t>1007</t>
    <phoneticPr fontId="7" type="noConversion"/>
  </si>
  <si>
    <t>吳友松</t>
    <phoneticPr fontId="7" type="noConversion"/>
  </si>
  <si>
    <t>吳順溢</t>
    <phoneticPr fontId="7" type="noConversion"/>
  </si>
  <si>
    <t>李佳福</t>
    <phoneticPr fontId="7" type="noConversion"/>
  </si>
  <si>
    <t>蘇麗清</t>
    <phoneticPr fontId="7" type="noConversion"/>
  </si>
  <si>
    <t>馮建元</t>
    <phoneticPr fontId="7" type="noConversion"/>
  </si>
  <si>
    <t>黎文慶</t>
    <phoneticPr fontId="7" type="noConversion"/>
  </si>
  <si>
    <t>張世強</t>
    <phoneticPr fontId="7" type="noConversion"/>
  </si>
  <si>
    <t>顏海光</t>
    <phoneticPr fontId="7" type="noConversion"/>
  </si>
  <si>
    <t>鄭立揚</t>
    <phoneticPr fontId="7" type="noConversion"/>
  </si>
  <si>
    <t>梁文尊</t>
    <phoneticPr fontId="7" type="noConversion"/>
  </si>
  <si>
    <t>楊騎平</t>
    <phoneticPr fontId="7" type="noConversion"/>
  </si>
  <si>
    <t>陳慶生</t>
    <phoneticPr fontId="7" type="noConversion"/>
  </si>
  <si>
    <t>1102</t>
    <phoneticPr fontId="7" type="noConversion"/>
  </si>
  <si>
    <t>江春財</t>
    <phoneticPr fontId="7" type="noConversion"/>
  </si>
  <si>
    <t>黃永煌</t>
    <phoneticPr fontId="7" type="noConversion"/>
  </si>
  <si>
    <t>簡政修</t>
    <phoneticPr fontId="7" type="noConversion"/>
  </si>
  <si>
    <t>鄒仁凱</t>
    <phoneticPr fontId="7" type="noConversion"/>
  </si>
  <si>
    <t>陳台發</t>
    <phoneticPr fontId="7" type="noConversion"/>
  </si>
  <si>
    <t>孫承鶴</t>
    <phoneticPr fontId="7" type="noConversion"/>
  </si>
  <si>
    <t>朱慶一</t>
    <phoneticPr fontId="7" type="noConversion"/>
  </si>
  <si>
    <t>盧明鐘</t>
    <phoneticPr fontId="7" type="noConversion"/>
  </si>
  <si>
    <t>劉志鵬</t>
    <phoneticPr fontId="7" type="noConversion"/>
  </si>
  <si>
    <t>王順德</t>
    <phoneticPr fontId="7" type="noConversion"/>
  </si>
  <si>
    <t>0413</t>
    <phoneticPr fontId="7" type="noConversion"/>
  </si>
  <si>
    <t>0628</t>
    <phoneticPr fontId="7" type="noConversion"/>
  </si>
  <si>
    <t>王文潘</t>
    <phoneticPr fontId="7" type="noConversion"/>
  </si>
  <si>
    <t>陳耀欽</t>
    <phoneticPr fontId="7" type="noConversion"/>
  </si>
  <si>
    <t>高淡如</t>
    <phoneticPr fontId="7" type="noConversion"/>
  </si>
  <si>
    <t>黃瑞德</t>
    <phoneticPr fontId="7" type="noConversion"/>
  </si>
  <si>
    <t>1111</t>
    <phoneticPr fontId="7" type="noConversion"/>
  </si>
  <si>
    <t>12/9 1125</t>
    <phoneticPr fontId="2" type="noConversion"/>
  </si>
  <si>
    <t>12/8 4500 12/9 750</t>
    <phoneticPr fontId="2" type="noConversion"/>
  </si>
  <si>
    <t>12/8 2250 12/11 1125</t>
    <phoneticPr fontId="2" type="noConversion"/>
  </si>
  <si>
    <t>12/11 2250</t>
    <phoneticPr fontId="2" type="noConversion"/>
  </si>
  <si>
    <t>12/11 1875</t>
    <phoneticPr fontId="2" type="noConversion"/>
  </si>
  <si>
    <t>12/10 560 12/11 185</t>
    <phoneticPr fontId="2" type="noConversion"/>
  </si>
  <si>
    <t>12/12 1875</t>
    <phoneticPr fontId="2" type="noConversion"/>
  </si>
  <si>
    <t>12/8 1125 12/9 1500 12/11 375</t>
    <phoneticPr fontId="2" type="noConversion"/>
  </si>
  <si>
    <t>12/12 375</t>
    <phoneticPr fontId="2" type="noConversion"/>
  </si>
  <si>
    <t>陳明榮</t>
    <phoneticPr fontId="2" type="noConversion"/>
  </si>
  <si>
    <t>12/13 1125</t>
    <phoneticPr fontId="2" type="noConversion"/>
  </si>
  <si>
    <t>12/12 1125</t>
    <phoneticPr fontId="2" type="noConversion"/>
  </si>
  <si>
    <r>
      <t>03</t>
    </r>
    <r>
      <rPr>
        <sz val="12"/>
        <color theme="1"/>
        <rFont val="新細明體"/>
        <family val="1"/>
        <charset val="136"/>
        <scheme val="minor"/>
      </rPr>
      <t>20</t>
    </r>
    <phoneticPr fontId="7" type="noConversion"/>
  </si>
  <si>
    <r>
      <t>0</t>
    </r>
    <r>
      <rPr>
        <sz val="12"/>
        <color theme="1"/>
        <rFont val="新細明體"/>
        <family val="1"/>
        <charset val="136"/>
        <scheme val="minor"/>
      </rPr>
      <t>6</t>
    </r>
    <r>
      <rPr>
        <sz val="12"/>
        <color indexed="8"/>
        <rFont val="新細明體"/>
        <family val="1"/>
        <charset val="136"/>
      </rPr>
      <t>28</t>
    </r>
    <phoneticPr fontId="7" type="noConversion"/>
  </si>
  <si>
    <r>
      <t>082</t>
    </r>
    <r>
      <rPr>
        <sz val="12"/>
        <color theme="1"/>
        <rFont val="新細明體"/>
        <family val="1"/>
        <charset val="136"/>
        <scheme val="minor"/>
      </rPr>
      <t>8</t>
    </r>
    <phoneticPr fontId="7" type="noConversion"/>
  </si>
  <si>
    <r>
      <t>0</t>
    </r>
    <r>
      <rPr>
        <sz val="12"/>
        <color theme="1"/>
        <rFont val="新細明體"/>
        <family val="1"/>
        <charset val="136"/>
        <scheme val="minor"/>
      </rPr>
      <t>512</t>
    </r>
    <phoneticPr fontId="2" type="noConversion"/>
  </si>
  <si>
    <r>
      <t>0</t>
    </r>
    <r>
      <rPr>
        <sz val="12"/>
        <color theme="1"/>
        <rFont val="新細明體"/>
        <family val="1"/>
        <charset val="136"/>
        <scheme val="minor"/>
      </rPr>
      <t>705</t>
    </r>
    <phoneticPr fontId="2" type="noConversion"/>
  </si>
  <si>
    <r>
      <t>082</t>
    </r>
    <r>
      <rPr>
        <sz val="12"/>
        <color theme="1"/>
        <rFont val="新細明體"/>
        <family val="1"/>
        <charset val="136"/>
        <scheme val="minor"/>
      </rPr>
      <t>3</t>
    </r>
    <phoneticPr fontId="7" type="noConversion"/>
  </si>
  <si>
    <r>
      <t>0</t>
    </r>
    <r>
      <rPr>
        <sz val="12"/>
        <color theme="1"/>
        <rFont val="新細明體"/>
        <family val="1"/>
        <charset val="136"/>
        <scheme val="minor"/>
      </rPr>
      <t>516</t>
    </r>
    <phoneticPr fontId="7" type="noConversion"/>
  </si>
  <si>
    <r>
      <t>061</t>
    </r>
    <r>
      <rPr>
        <sz val="12"/>
        <color theme="1"/>
        <rFont val="新細明體"/>
        <family val="1"/>
        <charset val="136"/>
        <scheme val="minor"/>
      </rPr>
      <t>0</t>
    </r>
    <phoneticPr fontId="7" type="noConversion"/>
  </si>
  <si>
    <r>
      <t>11</t>
    </r>
    <r>
      <rPr>
        <sz val="12"/>
        <color theme="1"/>
        <rFont val="新細明體"/>
        <family val="1"/>
        <charset val="136"/>
        <scheme val="minor"/>
      </rPr>
      <t>14</t>
    </r>
    <phoneticPr fontId="7" type="noConversion"/>
  </si>
  <si>
    <r>
      <t>0</t>
    </r>
    <r>
      <rPr>
        <sz val="12"/>
        <color theme="1"/>
        <rFont val="新細明體"/>
        <family val="1"/>
        <charset val="136"/>
        <scheme val="minor"/>
      </rPr>
      <t>805</t>
    </r>
    <phoneticPr fontId="7" type="noConversion"/>
  </si>
  <si>
    <r>
      <t>0</t>
    </r>
    <r>
      <rPr>
        <sz val="12"/>
        <color theme="1"/>
        <rFont val="新細明體"/>
        <family val="1"/>
        <charset val="136"/>
        <scheme val="minor"/>
      </rPr>
      <t>913</t>
    </r>
    <phoneticPr fontId="7" type="noConversion"/>
  </si>
  <si>
    <r>
      <t>04</t>
    </r>
    <r>
      <rPr>
        <sz val="12"/>
        <color theme="1"/>
        <rFont val="新細明體"/>
        <family val="1"/>
        <charset val="136"/>
        <scheme val="minor"/>
      </rPr>
      <t>06</t>
    </r>
    <phoneticPr fontId="7" type="noConversion"/>
  </si>
  <si>
    <r>
      <t>1</t>
    </r>
    <r>
      <rPr>
        <sz val="12"/>
        <color theme="1"/>
        <rFont val="新細明體"/>
        <family val="1"/>
        <charset val="136"/>
        <scheme val="minor"/>
      </rPr>
      <t>206</t>
    </r>
    <phoneticPr fontId="7" type="noConversion"/>
  </si>
  <si>
    <r>
      <t>090</t>
    </r>
    <r>
      <rPr>
        <sz val="12"/>
        <color theme="1"/>
        <rFont val="新細明體"/>
        <family val="1"/>
        <charset val="136"/>
        <scheme val="minor"/>
      </rPr>
      <t>6</t>
    </r>
    <phoneticPr fontId="7" type="noConversion"/>
  </si>
  <si>
    <r>
      <t>0</t>
    </r>
    <r>
      <rPr>
        <sz val="12"/>
        <color theme="1"/>
        <rFont val="新細明體"/>
        <family val="1"/>
        <charset val="136"/>
        <scheme val="minor"/>
      </rPr>
      <t>517</t>
    </r>
    <phoneticPr fontId="7" type="noConversion"/>
  </si>
  <si>
    <r>
      <t>1</t>
    </r>
    <r>
      <rPr>
        <sz val="12"/>
        <color theme="1"/>
        <rFont val="新細明體"/>
        <family val="1"/>
        <charset val="136"/>
        <scheme val="minor"/>
      </rPr>
      <t>109</t>
    </r>
    <phoneticPr fontId="7" type="noConversion"/>
  </si>
  <si>
    <r>
      <t>1</t>
    </r>
    <r>
      <rPr>
        <sz val="12"/>
        <color theme="1"/>
        <rFont val="新細明體"/>
        <family val="1"/>
        <charset val="136"/>
        <scheme val="minor"/>
      </rPr>
      <t>109</t>
    </r>
    <phoneticPr fontId="7" type="noConversion"/>
  </si>
  <si>
    <r>
      <t>0</t>
    </r>
    <r>
      <rPr>
        <sz val="12"/>
        <color theme="1"/>
        <rFont val="新細明體"/>
        <family val="1"/>
        <charset val="136"/>
        <scheme val="minor"/>
      </rPr>
      <t>9</t>
    </r>
    <r>
      <rPr>
        <sz val="12"/>
        <color indexed="8"/>
        <rFont val="新細明體"/>
        <family val="1"/>
        <charset val="136"/>
      </rPr>
      <t>25</t>
    </r>
    <phoneticPr fontId="7" type="noConversion"/>
  </si>
  <si>
    <r>
      <t>1</t>
    </r>
    <r>
      <rPr>
        <sz val="12"/>
        <color theme="1"/>
        <rFont val="新細明體"/>
        <family val="1"/>
        <charset val="136"/>
        <scheme val="minor"/>
      </rPr>
      <t>120</t>
    </r>
    <phoneticPr fontId="7" type="noConversion"/>
  </si>
  <si>
    <r>
      <t>0</t>
    </r>
    <r>
      <rPr>
        <sz val="12"/>
        <color theme="1"/>
        <rFont val="新細明體"/>
        <family val="1"/>
        <charset val="136"/>
        <scheme val="minor"/>
      </rPr>
      <t>122</t>
    </r>
    <phoneticPr fontId="2" type="noConversion"/>
  </si>
  <si>
    <r>
      <t>06</t>
    </r>
    <r>
      <rPr>
        <sz val="12"/>
        <color theme="1"/>
        <rFont val="新細明體"/>
        <family val="1"/>
        <charset val="136"/>
        <scheme val="minor"/>
      </rPr>
      <t>23</t>
    </r>
    <phoneticPr fontId="7" type="noConversion"/>
  </si>
  <si>
    <r>
      <t>08</t>
    </r>
    <r>
      <rPr>
        <sz val="12"/>
        <color theme="1"/>
        <rFont val="新細明體"/>
        <family val="1"/>
        <charset val="136"/>
        <scheme val="minor"/>
      </rPr>
      <t>04</t>
    </r>
    <phoneticPr fontId="7" type="noConversion"/>
  </si>
  <si>
    <r>
      <t>1</t>
    </r>
    <r>
      <rPr>
        <sz val="12"/>
        <color theme="1"/>
        <rFont val="新細明體"/>
        <family val="1"/>
        <charset val="136"/>
        <scheme val="minor"/>
      </rPr>
      <t>126</t>
    </r>
    <phoneticPr fontId="7" type="noConversion"/>
  </si>
  <si>
    <r>
      <t>0</t>
    </r>
    <r>
      <rPr>
        <sz val="12"/>
        <color theme="1"/>
        <rFont val="新細明體"/>
        <family val="1"/>
        <charset val="136"/>
        <scheme val="minor"/>
      </rPr>
      <t>804</t>
    </r>
    <phoneticPr fontId="7" type="noConversion"/>
  </si>
  <si>
    <r>
      <t>0</t>
    </r>
    <r>
      <rPr>
        <sz val="12"/>
        <color theme="1"/>
        <rFont val="新細明體"/>
        <family val="1"/>
        <charset val="136"/>
        <scheme val="minor"/>
      </rPr>
      <t>106</t>
    </r>
    <phoneticPr fontId="2" type="noConversion"/>
  </si>
  <si>
    <r>
      <t>0</t>
    </r>
    <r>
      <rPr>
        <sz val="12"/>
        <color theme="1"/>
        <rFont val="新細明體"/>
        <family val="1"/>
        <charset val="136"/>
        <scheme val="minor"/>
      </rPr>
      <t>924</t>
    </r>
    <phoneticPr fontId="2" type="noConversion"/>
  </si>
  <si>
    <r>
      <t>1</t>
    </r>
    <r>
      <rPr>
        <sz val="12"/>
        <color theme="1"/>
        <rFont val="新細明體"/>
        <family val="1"/>
        <charset val="136"/>
        <scheme val="minor"/>
      </rPr>
      <t>006</t>
    </r>
    <phoneticPr fontId="2" type="noConversion"/>
  </si>
  <si>
    <r>
      <t>0</t>
    </r>
    <r>
      <rPr>
        <sz val="12"/>
        <color theme="1"/>
        <rFont val="新細明體"/>
        <family val="1"/>
        <charset val="136"/>
        <scheme val="minor"/>
      </rPr>
      <t>205</t>
    </r>
    <phoneticPr fontId="2" type="noConversion"/>
  </si>
  <si>
    <r>
      <t>1</t>
    </r>
    <r>
      <rPr>
        <sz val="12"/>
        <color theme="1"/>
        <rFont val="新細明體"/>
        <family val="1"/>
        <charset val="136"/>
        <scheme val="minor"/>
      </rPr>
      <t>124</t>
    </r>
    <phoneticPr fontId="7" type="noConversion"/>
  </si>
  <si>
    <r>
      <t>0</t>
    </r>
    <r>
      <rPr>
        <sz val="12"/>
        <color theme="1"/>
        <rFont val="新細明體"/>
        <family val="1"/>
        <charset val="136"/>
        <scheme val="minor"/>
      </rPr>
      <t>324</t>
    </r>
    <phoneticPr fontId="7" type="noConversion"/>
  </si>
  <si>
    <r>
      <t>0</t>
    </r>
    <r>
      <rPr>
        <sz val="12"/>
        <color theme="1"/>
        <rFont val="新細明體"/>
        <family val="1"/>
        <charset val="136"/>
        <scheme val="minor"/>
      </rPr>
      <t>204</t>
    </r>
    <phoneticPr fontId="7" type="noConversion"/>
  </si>
  <si>
    <r>
      <t>1</t>
    </r>
    <r>
      <rPr>
        <sz val="12"/>
        <color theme="1"/>
        <rFont val="新細明體"/>
        <family val="1"/>
        <charset val="136"/>
        <scheme val="minor"/>
      </rPr>
      <t>210</t>
    </r>
    <phoneticPr fontId="7" type="noConversion"/>
  </si>
  <si>
    <r>
      <t>110</t>
    </r>
    <r>
      <rPr>
        <sz val="12"/>
        <color theme="1"/>
        <rFont val="新細明體"/>
        <family val="1"/>
        <charset val="136"/>
        <scheme val="minor"/>
      </rPr>
      <t>5</t>
    </r>
    <phoneticPr fontId="7" type="noConversion"/>
  </si>
  <si>
    <r>
      <t>0</t>
    </r>
    <r>
      <rPr>
        <sz val="12"/>
        <color theme="1"/>
        <rFont val="新細明體"/>
        <family val="1"/>
        <charset val="136"/>
        <scheme val="minor"/>
      </rPr>
      <t>505</t>
    </r>
    <phoneticPr fontId="7" type="noConversion"/>
  </si>
  <si>
    <r>
      <t>0</t>
    </r>
    <r>
      <rPr>
        <sz val="12"/>
        <color theme="1"/>
        <rFont val="新細明體"/>
        <family val="1"/>
        <charset val="136"/>
        <scheme val="minor"/>
      </rPr>
      <t>630</t>
    </r>
    <phoneticPr fontId="7" type="noConversion"/>
  </si>
  <si>
    <r>
      <t>0</t>
    </r>
    <r>
      <rPr>
        <sz val="12"/>
        <color theme="1"/>
        <rFont val="新細明體"/>
        <family val="1"/>
        <charset val="136"/>
        <scheme val="minor"/>
      </rPr>
      <t>811</t>
    </r>
    <phoneticPr fontId="2" type="noConversion"/>
  </si>
  <si>
    <r>
      <t>0</t>
    </r>
    <r>
      <rPr>
        <sz val="12"/>
        <color theme="1"/>
        <rFont val="新細明體"/>
        <family val="1"/>
        <charset val="136"/>
        <scheme val="minor"/>
      </rPr>
      <t>922</t>
    </r>
    <phoneticPr fontId="2" type="noConversion"/>
  </si>
  <si>
    <r>
      <t>1</t>
    </r>
    <r>
      <rPr>
        <sz val="12"/>
        <color theme="1"/>
        <rFont val="新細明體"/>
        <family val="1"/>
        <charset val="136"/>
        <scheme val="minor"/>
      </rPr>
      <t>103</t>
    </r>
    <phoneticPr fontId="2" type="noConversion"/>
  </si>
  <si>
    <r>
      <t>0</t>
    </r>
    <r>
      <rPr>
        <sz val="12"/>
        <color theme="1"/>
        <rFont val="新細明體"/>
        <family val="1"/>
        <charset val="136"/>
        <scheme val="minor"/>
      </rPr>
      <t>605</t>
    </r>
    <phoneticPr fontId="2" type="noConversion"/>
  </si>
  <si>
    <r>
      <t>1</t>
    </r>
    <r>
      <rPr>
        <sz val="12"/>
        <color theme="1"/>
        <rFont val="新細明體"/>
        <family val="1"/>
        <charset val="136"/>
        <scheme val="minor"/>
      </rPr>
      <t>211</t>
    </r>
    <phoneticPr fontId="2" type="noConversion"/>
  </si>
  <si>
    <r>
      <t>072</t>
    </r>
    <r>
      <rPr>
        <sz val="12"/>
        <color theme="1"/>
        <rFont val="新細明體"/>
        <family val="1"/>
        <charset val="136"/>
        <scheme val="minor"/>
      </rPr>
      <t>5</t>
    </r>
    <phoneticPr fontId="7" type="noConversion"/>
  </si>
  <si>
    <r>
      <t>0</t>
    </r>
    <r>
      <rPr>
        <sz val="12"/>
        <color theme="1"/>
        <rFont val="新細明體"/>
        <family val="1"/>
        <charset val="136"/>
        <scheme val="minor"/>
      </rPr>
      <t>121</t>
    </r>
    <phoneticPr fontId="2" type="noConversion"/>
  </si>
  <si>
    <r>
      <t>0</t>
    </r>
    <r>
      <rPr>
        <sz val="12"/>
        <color theme="1"/>
        <rFont val="新細明體"/>
        <family val="1"/>
        <charset val="136"/>
        <scheme val="minor"/>
      </rPr>
      <t>7</t>
    </r>
    <r>
      <rPr>
        <sz val="12"/>
        <color indexed="8"/>
        <rFont val="新細明體"/>
        <family val="1"/>
        <charset val="136"/>
      </rPr>
      <t>19</t>
    </r>
    <phoneticPr fontId="7" type="noConversion"/>
  </si>
  <si>
    <r>
      <t>112</t>
    </r>
    <r>
      <rPr>
        <sz val="12"/>
        <color theme="1"/>
        <rFont val="新細明體"/>
        <family val="1"/>
        <charset val="136"/>
        <scheme val="minor"/>
      </rPr>
      <t>4</t>
    </r>
    <phoneticPr fontId="7" type="noConversion"/>
  </si>
  <si>
    <r>
      <t>10</t>
    </r>
    <r>
      <rPr>
        <sz val="12"/>
        <color theme="1"/>
        <rFont val="新細明體"/>
        <family val="1"/>
        <charset val="136"/>
        <scheme val="minor"/>
      </rPr>
      <t>21</t>
    </r>
    <phoneticPr fontId="7" type="noConversion"/>
  </si>
  <si>
    <r>
      <t>08</t>
    </r>
    <r>
      <rPr>
        <sz val="12"/>
        <color theme="1"/>
        <rFont val="新細明體"/>
        <family val="1"/>
        <charset val="136"/>
        <scheme val="minor"/>
      </rPr>
      <t>03</t>
    </r>
    <phoneticPr fontId="7" type="noConversion"/>
  </si>
  <si>
    <r>
      <t>11</t>
    </r>
    <r>
      <rPr>
        <sz val="12"/>
        <color theme="1"/>
        <rFont val="新細明體"/>
        <family val="1"/>
        <charset val="136"/>
        <scheme val="minor"/>
      </rPr>
      <t>08</t>
    </r>
    <phoneticPr fontId="7" type="noConversion"/>
  </si>
  <si>
    <r>
      <t>1</t>
    </r>
    <r>
      <rPr>
        <sz val="12"/>
        <color theme="1"/>
        <rFont val="新細明體"/>
        <family val="1"/>
        <charset val="136"/>
        <scheme val="minor"/>
      </rPr>
      <t>106</t>
    </r>
    <phoneticPr fontId="2" type="noConversion"/>
  </si>
  <si>
    <r>
      <t>0</t>
    </r>
    <r>
      <rPr>
        <sz val="12"/>
        <color theme="1"/>
        <rFont val="新細明體"/>
        <family val="1"/>
        <charset val="136"/>
        <scheme val="minor"/>
      </rPr>
      <t>518</t>
    </r>
    <phoneticPr fontId="7" type="noConversion"/>
  </si>
  <si>
    <r>
      <t>0</t>
    </r>
    <r>
      <rPr>
        <sz val="12"/>
        <color theme="1"/>
        <rFont val="新細明體"/>
        <family val="1"/>
        <charset val="136"/>
        <scheme val="minor"/>
      </rPr>
      <t>518</t>
    </r>
    <phoneticPr fontId="2" type="noConversion"/>
  </si>
  <si>
    <r>
      <t>112</t>
    </r>
    <r>
      <rPr>
        <sz val="12"/>
        <color theme="1"/>
        <rFont val="新細明體"/>
        <family val="1"/>
        <charset val="136"/>
        <scheme val="minor"/>
      </rPr>
      <t>1</t>
    </r>
    <phoneticPr fontId="7" type="noConversion"/>
  </si>
  <si>
    <r>
      <t>0</t>
    </r>
    <r>
      <rPr>
        <sz val="12"/>
        <color theme="1"/>
        <rFont val="新細明體"/>
        <family val="1"/>
        <charset val="136"/>
        <scheme val="minor"/>
      </rPr>
      <t>117</t>
    </r>
    <phoneticPr fontId="7" type="noConversion"/>
  </si>
  <si>
    <r>
      <t>01</t>
    </r>
    <r>
      <rPr>
        <sz val="12"/>
        <color theme="1"/>
        <rFont val="新細明體"/>
        <family val="1"/>
        <charset val="136"/>
        <scheme val="minor"/>
      </rPr>
      <t>17</t>
    </r>
    <phoneticPr fontId="7" type="noConversion"/>
  </si>
  <si>
    <r>
      <t>0</t>
    </r>
    <r>
      <rPr>
        <sz val="12"/>
        <color theme="1"/>
        <rFont val="新細明體"/>
        <family val="1"/>
        <charset val="136"/>
        <scheme val="minor"/>
      </rPr>
      <t>202</t>
    </r>
    <phoneticPr fontId="2" type="noConversion"/>
  </si>
  <si>
    <r>
      <t>0</t>
    </r>
    <r>
      <rPr>
        <sz val="12"/>
        <color theme="1"/>
        <rFont val="新細明體"/>
        <family val="1"/>
        <charset val="136"/>
        <scheme val="minor"/>
      </rPr>
      <t>831</t>
    </r>
    <phoneticPr fontId="7" type="noConversion"/>
  </si>
  <si>
    <r>
      <t>07</t>
    </r>
    <r>
      <rPr>
        <sz val="12"/>
        <color theme="1"/>
        <rFont val="新細明體"/>
        <family val="1"/>
        <charset val="136"/>
        <scheme val="minor"/>
      </rPr>
      <t>19</t>
    </r>
    <phoneticPr fontId="7" type="noConversion"/>
  </si>
  <si>
    <r>
      <t>0</t>
    </r>
    <r>
      <rPr>
        <sz val="12"/>
        <color theme="1"/>
        <rFont val="新細明體"/>
        <family val="1"/>
        <charset val="136"/>
        <scheme val="minor"/>
      </rPr>
      <t>719</t>
    </r>
    <phoneticPr fontId="7" type="noConversion"/>
  </si>
  <si>
    <r>
      <t>022</t>
    </r>
    <r>
      <rPr>
        <sz val="12"/>
        <color theme="1"/>
        <rFont val="新細明體"/>
        <family val="1"/>
        <charset val="136"/>
        <scheme val="minor"/>
      </rPr>
      <t>1</t>
    </r>
    <phoneticPr fontId="7" type="noConversion"/>
  </si>
  <si>
    <r>
      <t>07</t>
    </r>
    <r>
      <rPr>
        <sz val="12"/>
        <color theme="1"/>
        <rFont val="新細明體"/>
        <family val="1"/>
        <charset val="136"/>
        <scheme val="minor"/>
      </rPr>
      <t>18</t>
    </r>
    <phoneticPr fontId="7" type="noConversion"/>
  </si>
  <si>
    <r>
      <t>06</t>
    </r>
    <r>
      <rPr>
        <sz val="12"/>
        <color theme="1"/>
        <rFont val="新細明體"/>
        <family val="1"/>
        <charset val="136"/>
        <scheme val="minor"/>
      </rPr>
      <t>16</t>
    </r>
    <phoneticPr fontId="7" type="noConversion"/>
  </si>
  <si>
    <r>
      <t>091</t>
    </r>
    <r>
      <rPr>
        <sz val="12"/>
        <color theme="1"/>
        <rFont val="新細明體"/>
        <family val="1"/>
        <charset val="136"/>
        <scheme val="minor"/>
      </rPr>
      <t>0</t>
    </r>
    <phoneticPr fontId="7" type="noConversion"/>
  </si>
  <si>
    <r>
      <t>10</t>
    </r>
    <r>
      <rPr>
        <sz val="12"/>
        <color theme="1"/>
        <rFont val="新細明體"/>
        <family val="1"/>
        <charset val="136"/>
        <scheme val="minor"/>
      </rPr>
      <t>13</t>
    </r>
    <phoneticPr fontId="7" type="noConversion"/>
  </si>
  <si>
    <r>
      <t>071</t>
    </r>
    <r>
      <rPr>
        <sz val="12"/>
        <color theme="1"/>
        <rFont val="新細明體"/>
        <family val="1"/>
        <charset val="136"/>
        <scheme val="minor"/>
      </rPr>
      <t>1</t>
    </r>
    <phoneticPr fontId="7" type="noConversion"/>
  </si>
  <si>
    <r>
      <t>0</t>
    </r>
    <r>
      <rPr>
        <sz val="12"/>
        <color theme="1"/>
        <rFont val="新細明體"/>
        <family val="1"/>
        <charset val="136"/>
        <scheme val="minor"/>
      </rPr>
      <t>423</t>
    </r>
    <phoneticPr fontId="7" type="noConversion"/>
  </si>
  <si>
    <r>
      <t>0</t>
    </r>
    <r>
      <rPr>
        <sz val="12"/>
        <color theme="1"/>
        <rFont val="新細明體"/>
        <family val="1"/>
        <charset val="136"/>
        <scheme val="minor"/>
      </rPr>
      <t>213</t>
    </r>
    <phoneticPr fontId="2" type="noConversion"/>
  </si>
  <si>
    <r>
      <t>0</t>
    </r>
    <r>
      <rPr>
        <sz val="12"/>
        <color theme="1"/>
        <rFont val="新細明體"/>
        <family val="1"/>
        <charset val="136"/>
        <scheme val="minor"/>
      </rPr>
      <t>813</t>
    </r>
    <phoneticPr fontId="7" type="noConversion"/>
  </si>
  <si>
    <r>
      <t>0</t>
    </r>
    <r>
      <rPr>
        <sz val="12"/>
        <color theme="1"/>
        <rFont val="新細明體"/>
        <family val="1"/>
        <charset val="136"/>
        <scheme val="minor"/>
      </rPr>
      <t>7</t>
    </r>
    <r>
      <rPr>
        <sz val="12"/>
        <color indexed="8"/>
        <rFont val="新細明體"/>
        <family val="1"/>
        <charset val="136"/>
      </rPr>
      <t>26</t>
    </r>
    <phoneticPr fontId="7" type="noConversion"/>
  </si>
  <si>
    <r>
      <t>1</t>
    </r>
    <r>
      <rPr>
        <sz val="12"/>
        <color theme="1"/>
        <rFont val="新細明體"/>
        <family val="1"/>
        <charset val="136"/>
        <scheme val="minor"/>
      </rPr>
      <t>1</t>
    </r>
    <r>
      <rPr>
        <sz val="12"/>
        <color indexed="8"/>
        <rFont val="新細明體"/>
        <family val="1"/>
        <charset val="136"/>
      </rPr>
      <t>26</t>
    </r>
    <phoneticPr fontId="7" type="noConversion"/>
  </si>
  <si>
    <r>
      <t>01</t>
    </r>
    <r>
      <rPr>
        <sz val="12"/>
        <color theme="1"/>
        <rFont val="新細明體"/>
        <family val="1"/>
        <charset val="136"/>
        <scheme val="minor"/>
      </rPr>
      <t>03</t>
    </r>
    <phoneticPr fontId="7" type="noConversion"/>
  </si>
  <si>
    <r>
      <t>01</t>
    </r>
    <r>
      <rPr>
        <sz val="12"/>
        <color theme="1"/>
        <rFont val="新細明體"/>
        <family val="1"/>
        <charset val="136"/>
        <scheme val="minor"/>
      </rPr>
      <t>03</t>
    </r>
    <phoneticPr fontId="7" type="noConversion"/>
  </si>
  <si>
    <r>
      <t>07</t>
    </r>
    <r>
      <rPr>
        <sz val="12"/>
        <color theme="1"/>
        <rFont val="新細明體"/>
        <family val="1"/>
        <charset val="136"/>
        <scheme val="minor"/>
      </rPr>
      <t>09</t>
    </r>
    <phoneticPr fontId="7" type="noConversion"/>
  </si>
  <si>
    <t>吳志忠-3利-利息1/14-2/14</t>
  </si>
  <si>
    <t>利息收入-華棟彬</t>
  </si>
  <si>
    <t>借支-華棟杉5利1/16-2/16</t>
  </si>
  <si>
    <t>利息收入-方士祥</t>
  </si>
  <si>
    <t>借支-方士祥2 利 利息/17-2/2</t>
  </si>
  <si>
    <t>利息收入-方士祥1利1/17-2/2</t>
  </si>
  <si>
    <t>分期利息收入-方士祥</t>
  </si>
  <si>
    <t>分期利息收入-方士祥-1</t>
  </si>
  <si>
    <t>利息收入-方士祥1利/17-2/2</t>
  </si>
  <si>
    <t>利息收入-王蔡傳10利 1/17-2/17</t>
  </si>
  <si>
    <t>利息收入-王天佑</t>
  </si>
  <si>
    <t>利息收入-王天佑3利/17-2/2</t>
  </si>
  <si>
    <t>利息收入-張永鑫</t>
  </si>
  <si>
    <t>利息收入-張永鑫3.5利/17-2/2</t>
  </si>
  <si>
    <t>利息收入-連永明</t>
  </si>
  <si>
    <t>利息收入-連永明11利1/19-2/4</t>
  </si>
  <si>
    <t>利息收入-李可立</t>
  </si>
  <si>
    <t>借支-李可立2利 1/19-2/4</t>
  </si>
  <si>
    <t>分期利息收入</t>
  </si>
  <si>
    <t>分期利息收入1分-1</t>
  </si>
  <si>
    <t>利息收入-張義隆</t>
  </si>
  <si>
    <t>利息收入-張義隆3利1/19-2/4</t>
  </si>
  <si>
    <t>利息收入-陳慕棣</t>
  </si>
  <si>
    <t>利息收入-陳慕棣3利1/10-2/5</t>
  </si>
  <si>
    <t>利息收入-張志清</t>
  </si>
  <si>
    <t>利息收入-張志清2利1/20-2/5</t>
  </si>
  <si>
    <t>分期利息收入-張春輝</t>
  </si>
  <si>
    <t>利息收入-張春輝1分-1</t>
  </si>
  <si>
    <t>利息收入-陳新元</t>
  </si>
  <si>
    <t>利息收入-陳新元2利1/24-2/9  2/9-2/24</t>
  </si>
  <si>
    <t>分期利息收入-王廉戰</t>
  </si>
  <si>
    <t>分期利息收入-王廉戰-2</t>
  </si>
  <si>
    <t>分期利息收入張春輝</t>
  </si>
  <si>
    <t>分期利息收入張春輝-2</t>
  </si>
  <si>
    <t>分期利息收入-方士祥-2</t>
  </si>
  <si>
    <t>分期利息收入-方士祥(李鴻彬)</t>
  </si>
  <si>
    <t>分期利息收入-方士祥(李鴻彬)-2</t>
  </si>
  <si>
    <t>利息收入-華棟彬2利1/30-2/15</t>
  </si>
  <si>
    <t>借支-吳志忠3利1/30-2/15</t>
  </si>
  <si>
    <t>分期利息收入-李可立</t>
  </si>
  <si>
    <t>分期利息收入-李可立-2</t>
  </si>
  <si>
    <t>分期利息收入-潘寛龍</t>
  </si>
  <si>
    <t>分期利息收入-潘寛龍1分-1</t>
  </si>
  <si>
    <t>分期利息收入-朱進龍</t>
  </si>
  <si>
    <t>分期利息收入-朱進龍-1</t>
  </si>
  <si>
    <t>利息收入-林子覺</t>
  </si>
  <si>
    <t>利息收入-林子覺2利1/31-2/15</t>
  </si>
  <si>
    <t>分期利息收入-林兆儒(方)</t>
  </si>
  <si>
    <t>分期利息收入-林兆儒1 分 2-3</t>
  </si>
  <si>
    <t>分期利息收入-方士祥-3</t>
  </si>
  <si>
    <t>12/13 1500 12/15 1500</t>
    <phoneticPr fontId="2" type="noConversion"/>
  </si>
  <si>
    <t>12/14 750 12/15 560</t>
    <phoneticPr fontId="2" type="noConversion"/>
  </si>
  <si>
    <t>12/17 375</t>
    <phoneticPr fontId="2" type="noConversion"/>
  </si>
  <si>
    <t>12/18 1875</t>
    <phoneticPr fontId="2" type="noConversion"/>
  </si>
  <si>
    <t>12/12 2250</t>
    <phoneticPr fontId="2" type="noConversion"/>
  </si>
  <si>
    <t>12/3 4125 12/7 375</t>
    <phoneticPr fontId="2" type="noConversion"/>
  </si>
  <si>
    <t>12/18 1500</t>
    <phoneticPr fontId="2" type="noConversion"/>
  </si>
  <si>
    <t>12/17 560 12/18 1125</t>
    <phoneticPr fontId="2" type="noConversion"/>
  </si>
  <si>
    <t>12/8 4875 12/9 375</t>
    <phoneticPr fontId="2" type="noConversion"/>
  </si>
  <si>
    <t>林  得</t>
    <phoneticPr fontId="2" type="noConversion"/>
  </si>
  <si>
    <t>12/17 750</t>
    <phoneticPr fontId="2" type="noConversion"/>
  </si>
  <si>
    <t>12/12 750 12/15 3000</t>
    <phoneticPr fontId="2" type="noConversion"/>
  </si>
  <si>
    <t>12/18 1125</t>
    <phoneticPr fontId="2" type="noConversion"/>
  </si>
  <si>
    <t>12/20 560 12/21 375 12/26 750</t>
    <phoneticPr fontId="2" type="noConversion"/>
  </si>
  <si>
    <t>12/20 1125 12/23 2625</t>
    <phoneticPr fontId="2" type="noConversion"/>
  </si>
  <si>
    <t>12/19 1125 12/21 185 12/24 1125</t>
    <phoneticPr fontId="2" type="noConversion"/>
  </si>
  <si>
    <t>12/9 750 12/9(陳)750 12/11 1125 12/12 375 12/17 375</t>
    <phoneticPr fontId="2" type="noConversion"/>
  </si>
  <si>
    <t>12/21 375 12/23 1500 12/24 935</t>
    <phoneticPr fontId="2" type="noConversion"/>
  </si>
  <si>
    <t>12/20 750 12/22 375 12/23 1125</t>
    <phoneticPr fontId="2" type="noConversion"/>
  </si>
  <si>
    <t>12/19 2625 12/20 375 12/22 375 12/24 185</t>
    <phoneticPr fontId="2" type="noConversion"/>
  </si>
  <si>
    <t>12/19 1875 12/20 560 12/22 935</t>
    <phoneticPr fontId="2" type="noConversion"/>
  </si>
  <si>
    <t>12/20 375 12/23 4500 12/24 750</t>
    <phoneticPr fontId="2" type="noConversion"/>
  </si>
  <si>
    <t>12/22 375 12/23 750 12/24 1875</t>
    <phoneticPr fontId="2" type="noConversion"/>
  </si>
  <si>
    <t>謝六發</t>
    <phoneticPr fontId="7" type="noConversion"/>
  </si>
  <si>
    <t>註1：</t>
    <phoneticPr fontId="2" type="noConversion"/>
  </si>
  <si>
    <t>0702</t>
    <phoneticPr fontId="7" type="noConversion"/>
  </si>
  <si>
    <t>1027</t>
    <phoneticPr fontId="7" type="noConversion"/>
  </si>
  <si>
    <t>0209</t>
    <phoneticPr fontId="7" type="noConversion"/>
  </si>
  <si>
    <t>0328</t>
    <phoneticPr fontId="7" type="noConversion"/>
  </si>
  <si>
    <t>0202</t>
    <phoneticPr fontId="7" type="noConversion"/>
  </si>
  <si>
    <t>0413</t>
    <phoneticPr fontId="7" type="noConversion"/>
  </si>
  <si>
    <t>0830</t>
    <phoneticPr fontId="7" type="noConversion"/>
  </si>
  <si>
    <t>1203</t>
    <phoneticPr fontId="7" type="noConversion"/>
  </si>
  <si>
    <t>1222</t>
    <phoneticPr fontId="7" type="noConversion"/>
  </si>
  <si>
    <t>0122</t>
    <phoneticPr fontId="7" type="noConversion"/>
  </si>
  <si>
    <t>0308</t>
    <phoneticPr fontId="7" type="noConversion"/>
  </si>
  <si>
    <t>0517</t>
    <phoneticPr fontId="7" type="noConversion"/>
  </si>
  <si>
    <t>0716</t>
    <phoneticPr fontId="7" type="noConversion"/>
  </si>
  <si>
    <t>蔡盛華</t>
    <phoneticPr fontId="7" type="noConversion"/>
  </si>
  <si>
    <t>0725</t>
    <phoneticPr fontId="7" type="noConversion"/>
  </si>
  <si>
    <t>0310</t>
    <phoneticPr fontId="7" type="noConversion"/>
  </si>
  <si>
    <t>0402</t>
    <phoneticPr fontId="7" type="noConversion"/>
  </si>
  <si>
    <t>利息-周宗玉6利2/20-3/5</t>
  </si>
  <si>
    <t>利息-陳慕棣</t>
  </si>
  <si>
    <t>扣押物箱內編號19-3-1第15頁</t>
    <phoneticPr fontId="2" type="noConversion"/>
  </si>
  <si>
    <t>扣押物箱內編號19-3-1第16頁</t>
    <phoneticPr fontId="2" type="noConversion"/>
  </si>
  <si>
    <t>扣押物箱內編號19-3-1第17頁</t>
    <phoneticPr fontId="2" type="noConversion"/>
  </si>
  <si>
    <t>扣押物箱內編號19-3-1第18頁</t>
    <phoneticPr fontId="2" type="noConversion"/>
  </si>
  <si>
    <t>扣押物箱內編號19-3-1第19頁</t>
    <phoneticPr fontId="2" type="noConversion"/>
  </si>
  <si>
    <t>扣押物箱內編號19-3-1第20頁</t>
    <phoneticPr fontId="2" type="noConversion"/>
  </si>
  <si>
    <t>扣押物箱內編號19-3-1第21頁</t>
    <phoneticPr fontId="2" type="noConversion"/>
  </si>
  <si>
    <t>扣押物箱內編號19-3-1第22頁</t>
    <phoneticPr fontId="2" type="noConversion"/>
  </si>
  <si>
    <t>扣押物箱內編號19-3-1第23頁</t>
    <phoneticPr fontId="2" type="noConversion"/>
  </si>
  <si>
    <t>扣押物箱內編號19-3-1第24頁</t>
    <phoneticPr fontId="2" type="noConversion"/>
  </si>
  <si>
    <t>扣押物箱內編號19-3-1第25頁</t>
    <phoneticPr fontId="2" type="noConversion"/>
  </si>
  <si>
    <t>扣押物箱內編號19-3-1第26頁</t>
    <phoneticPr fontId="2" type="noConversion"/>
  </si>
  <si>
    <t>扣押物箱內編號19-3-1第27頁</t>
    <phoneticPr fontId="2" type="noConversion"/>
  </si>
  <si>
    <t>扣押物箱內編號19-3-1第28頁</t>
    <phoneticPr fontId="2" type="noConversion"/>
  </si>
  <si>
    <t>扣押物箱內編號19-3-1第30頁</t>
    <phoneticPr fontId="2" type="noConversion"/>
  </si>
  <si>
    <t>扣押物箱內編號19-3-1第31頁</t>
    <phoneticPr fontId="2" type="noConversion"/>
  </si>
  <si>
    <t>0524</t>
    <phoneticPr fontId="7" type="noConversion"/>
  </si>
  <si>
    <t>0118</t>
    <phoneticPr fontId="7" type="noConversion"/>
  </si>
  <si>
    <t>0220</t>
    <phoneticPr fontId="7" type="noConversion"/>
  </si>
  <si>
    <t>0221</t>
    <phoneticPr fontId="7" type="noConversion"/>
  </si>
  <si>
    <t>0904</t>
    <phoneticPr fontId="7" type="noConversion"/>
  </si>
  <si>
    <t>0720</t>
    <phoneticPr fontId="7" type="noConversion"/>
  </si>
  <si>
    <t>陳根旺</t>
    <phoneticPr fontId="7" type="noConversion"/>
  </si>
  <si>
    <t>0802</t>
    <phoneticPr fontId="7" type="noConversion"/>
  </si>
  <si>
    <t>0727</t>
    <phoneticPr fontId="7" type="noConversion"/>
  </si>
  <si>
    <t>龐坤仁</t>
    <phoneticPr fontId="7" type="noConversion"/>
  </si>
  <si>
    <t>0630</t>
    <phoneticPr fontId="7" type="noConversion"/>
  </si>
  <si>
    <t>0706</t>
    <phoneticPr fontId="7" type="noConversion"/>
  </si>
  <si>
    <t>廖振家</t>
    <phoneticPr fontId="7" type="noConversion"/>
  </si>
  <si>
    <t>李德勝</t>
    <phoneticPr fontId="7" type="noConversion"/>
  </si>
  <si>
    <t>1020</t>
    <phoneticPr fontId="7" type="noConversion"/>
  </si>
  <si>
    <t>0525</t>
    <phoneticPr fontId="7" type="noConversion"/>
  </si>
  <si>
    <t>1025</t>
    <phoneticPr fontId="7" type="noConversion"/>
  </si>
  <si>
    <t>0709</t>
    <phoneticPr fontId="7" type="noConversion"/>
  </si>
  <si>
    <t>1110</t>
    <phoneticPr fontId="7" type="noConversion"/>
  </si>
  <si>
    <t>0317</t>
    <phoneticPr fontId="7" type="noConversion"/>
  </si>
  <si>
    <t>0916</t>
    <phoneticPr fontId="7" type="noConversion"/>
  </si>
  <si>
    <t>洪超政</t>
    <phoneticPr fontId="7" type="noConversion"/>
  </si>
  <si>
    <t>0606</t>
    <phoneticPr fontId="7" type="noConversion"/>
  </si>
  <si>
    <t>0718</t>
    <phoneticPr fontId="7" type="noConversion"/>
  </si>
  <si>
    <t>王金寶</t>
    <phoneticPr fontId="7" type="noConversion"/>
  </si>
  <si>
    <t>0715</t>
    <phoneticPr fontId="7" type="noConversion"/>
  </si>
  <si>
    <t>0116</t>
    <phoneticPr fontId="7" type="noConversion"/>
  </si>
  <si>
    <t>謝建男</t>
    <phoneticPr fontId="7" type="noConversion"/>
  </si>
  <si>
    <t>許家興</t>
    <phoneticPr fontId="7" type="noConversion"/>
  </si>
  <si>
    <t>1208</t>
    <phoneticPr fontId="7" type="noConversion"/>
  </si>
  <si>
    <t>0909</t>
    <phoneticPr fontId="7" type="noConversion"/>
  </si>
  <si>
    <t>1027</t>
    <phoneticPr fontId="7" type="noConversion"/>
  </si>
  <si>
    <t>賴言興</t>
    <phoneticPr fontId="7" type="noConversion"/>
  </si>
  <si>
    <t>張峻榕</t>
    <phoneticPr fontId="7" type="noConversion"/>
  </si>
  <si>
    <t>0926</t>
    <phoneticPr fontId="7" type="noConversion"/>
  </si>
  <si>
    <t>0329</t>
    <phoneticPr fontId="7" type="noConversion"/>
  </si>
  <si>
    <t>0707</t>
    <phoneticPr fontId="7" type="noConversion"/>
  </si>
  <si>
    <t>黃桂芳</t>
    <phoneticPr fontId="7" type="noConversion"/>
  </si>
  <si>
    <t>0605</t>
    <phoneticPr fontId="7" type="noConversion"/>
  </si>
  <si>
    <t>0806</t>
    <phoneticPr fontId="7" type="noConversion"/>
  </si>
  <si>
    <t>0625</t>
    <phoneticPr fontId="7" type="noConversion"/>
  </si>
  <si>
    <t>0414</t>
    <phoneticPr fontId="7" type="noConversion"/>
  </si>
  <si>
    <t>馬品俊</t>
    <phoneticPr fontId="7" type="noConversion"/>
  </si>
  <si>
    <t>林賢忠</t>
    <phoneticPr fontId="7" type="noConversion"/>
  </si>
  <si>
    <t>0713</t>
    <phoneticPr fontId="7" type="noConversion"/>
  </si>
  <si>
    <t>何語</t>
    <phoneticPr fontId="7" type="noConversion"/>
  </si>
  <si>
    <t>0601</t>
    <phoneticPr fontId="7" type="noConversion"/>
  </si>
  <si>
    <t>華棟彬</t>
    <phoneticPr fontId="7" type="noConversion"/>
  </si>
  <si>
    <t>吳昆錠</t>
    <phoneticPr fontId="2" type="noConversion"/>
  </si>
  <si>
    <t>吳明祥</t>
    <phoneticPr fontId="2" type="noConversion"/>
  </si>
  <si>
    <t>吳建輝</t>
    <phoneticPr fontId="2" type="noConversion"/>
  </si>
  <si>
    <t>吳建鋒</t>
    <phoneticPr fontId="2" type="noConversion"/>
  </si>
  <si>
    <t>8(B)</t>
    <phoneticPr fontId="2" type="noConversion"/>
  </si>
  <si>
    <t>編號</t>
    <phoneticPr fontId="2" type="noConversion"/>
  </si>
  <si>
    <t>起訴書漏載</t>
    <phoneticPr fontId="2" type="noConversion"/>
  </si>
  <si>
    <t>起訴書誤載金額為「2,005」</t>
    <phoneticPr fontId="2" type="noConversion"/>
  </si>
  <si>
    <t>楊蒼龍</t>
    <phoneticPr fontId="2" type="noConversion"/>
  </si>
  <si>
    <t>起訴書誤載計入「楊蒼龍」項下</t>
    <phoneticPr fontId="2" type="noConversion"/>
  </si>
  <si>
    <t>起訴書誤載繳款日期為「101/11/20」</t>
    <phoneticPr fontId="2" type="noConversion"/>
  </si>
  <si>
    <t>起訴書誤載繳款日期為「102/1/16」</t>
    <phoneticPr fontId="2" type="noConversion"/>
  </si>
  <si>
    <t>起訴書誤載繳款日期為「101/12/18」</t>
    <phoneticPr fontId="2" type="noConversion"/>
  </si>
  <si>
    <t>起訴書誤載繳款日期為「101/12/11」</t>
    <phoneticPr fontId="2" type="noConversion"/>
  </si>
  <si>
    <t>會員
編號</t>
    <phoneticPr fontId="2" type="noConversion"/>
  </si>
  <si>
    <t>第1頁</t>
    <phoneticPr fontId="2" type="noConversion"/>
  </si>
  <si>
    <t>起訴書誤載姓名為「陳明博」</t>
    <phoneticPr fontId="2" type="noConversion"/>
  </si>
  <si>
    <t>張國賓</t>
    <phoneticPr fontId="2" type="noConversion"/>
  </si>
  <si>
    <t>第2頁</t>
    <phoneticPr fontId="2" type="noConversion"/>
  </si>
  <si>
    <t>第3頁</t>
    <phoneticPr fontId="2" type="noConversion"/>
  </si>
  <si>
    <t>第4頁</t>
    <phoneticPr fontId="2" type="noConversion"/>
  </si>
  <si>
    <t>第5頁</t>
    <phoneticPr fontId="2" type="noConversion"/>
  </si>
  <si>
    <t>第6頁</t>
    <phoneticPr fontId="2" type="noConversion"/>
  </si>
  <si>
    <t>第7頁</t>
    <phoneticPr fontId="2" type="noConversion"/>
  </si>
  <si>
    <t>第8頁</t>
    <phoneticPr fontId="2" type="noConversion"/>
  </si>
  <si>
    <t>第9頁</t>
    <phoneticPr fontId="2" type="noConversion"/>
  </si>
  <si>
    <t>第10頁</t>
    <phoneticPr fontId="2" type="noConversion"/>
  </si>
  <si>
    <t>第11頁</t>
    <phoneticPr fontId="2" type="noConversion"/>
  </si>
  <si>
    <t>1/12 1125</t>
    <phoneticPr fontId="2" type="noConversion"/>
  </si>
  <si>
    <t>1/8 1500 1/10 375</t>
    <phoneticPr fontId="2" type="noConversion"/>
  </si>
  <si>
    <t>1/14 2435 1/15 375</t>
    <phoneticPr fontId="2" type="noConversion"/>
  </si>
  <si>
    <t>1/14 1125 1/15 1125</t>
    <phoneticPr fontId="2" type="noConversion"/>
  </si>
  <si>
    <t>1/14 1875</t>
    <phoneticPr fontId="2" type="noConversion"/>
  </si>
  <si>
    <t>1/16 750</t>
    <phoneticPr fontId="2" type="noConversion"/>
  </si>
  <si>
    <t>1/15 375 1/15 375</t>
    <phoneticPr fontId="2" type="noConversion"/>
  </si>
  <si>
    <t>1/6 750 1/16 375</t>
    <phoneticPr fontId="2" type="noConversion"/>
  </si>
  <si>
    <t>1/17 1500</t>
    <phoneticPr fontId="2" type="noConversion"/>
  </si>
  <si>
    <t>被告林冠福就國泰當鋪借款（上開附表編號97）部分，借款利率與其他債務人向國泰當鋪借款之利率相同，故被告林冠福就此部分借款係國泰當鋪重利行為之被害人，惟其此部分被害人之身份並不影響其就其他部分所為係本案重利事實行為人之判斷。</t>
    <phoneticPr fontId="2" type="noConversion"/>
  </si>
  <si>
    <t>黃舜麟</t>
    <phoneticPr fontId="2" type="noConversion"/>
  </si>
  <si>
    <t>王進雄</t>
    <phoneticPr fontId="2" type="noConversion"/>
  </si>
  <si>
    <t>王翊仲</t>
    <phoneticPr fontId="2" type="noConversion"/>
  </si>
  <si>
    <t>吳信仁</t>
    <phoneticPr fontId="2" type="noConversion"/>
  </si>
  <si>
    <t>程炕雄</t>
    <phoneticPr fontId="2" type="noConversion"/>
  </si>
  <si>
    <t>蔡進安</t>
    <phoneticPr fontId="2" type="noConversion"/>
  </si>
  <si>
    <t>張瑞仟</t>
    <phoneticPr fontId="2" type="noConversion"/>
  </si>
  <si>
    <t>陶振元</t>
    <phoneticPr fontId="2" type="noConversion"/>
  </si>
  <si>
    <t>張志豪</t>
    <phoneticPr fontId="2" type="noConversion"/>
  </si>
  <si>
    <t>方文泉</t>
    <phoneticPr fontId="2" type="noConversion"/>
  </si>
  <si>
    <t>邱坤盈</t>
    <phoneticPr fontId="2" type="noConversion"/>
  </si>
  <si>
    <t>陳政澤</t>
    <phoneticPr fontId="2" type="noConversion"/>
  </si>
  <si>
    <t>沈清</t>
    <phoneticPr fontId="2" type="noConversion"/>
  </si>
  <si>
    <t>1/16*190 還0.5</t>
    <phoneticPr fontId="2" type="noConversion"/>
  </si>
  <si>
    <t>12/29*6000</t>
    <phoneticPr fontId="2" type="noConversion"/>
  </si>
  <si>
    <t>1/13*0.6</t>
    <phoneticPr fontId="2" type="noConversion"/>
  </si>
  <si>
    <t>張裕</t>
    <phoneticPr fontId="2" type="noConversion"/>
  </si>
  <si>
    <t>1/1*190 1/6*375</t>
    <phoneticPr fontId="2" type="noConversion"/>
  </si>
  <si>
    <t>1/12*375 1/14*940 1/16*190 1/21*375 1/27*275</t>
    <phoneticPr fontId="2" type="noConversion"/>
  </si>
  <si>
    <t>晨瑋</t>
    <phoneticPr fontId="2" type="noConversion"/>
  </si>
  <si>
    <t>11/9+11/24*1500</t>
    <phoneticPr fontId="2" type="noConversion"/>
  </si>
  <si>
    <t>合計</t>
    <phoneticPr fontId="2" type="noConversion"/>
  </si>
  <si>
    <t>統計期間</t>
    <phoneticPr fontId="2" type="noConversion"/>
  </si>
  <si>
    <r>
      <t>081</t>
    </r>
    <r>
      <rPr>
        <sz val="12"/>
        <color theme="1"/>
        <rFont val="新細明體"/>
        <family val="1"/>
        <charset val="136"/>
        <scheme val="minor"/>
      </rPr>
      <t>6</t>
    </r>
    <phoneticPr fontId="7" type="noConversion"/>
  </si>
  <si>
    <r>
      <t>08</t>
    </r>
    <r>
      <rPr>
        <sz val="12"/>
        <color theme="1"/>
        <rFont val="新細明體"/>
        <family val="1"/>
        <charset val="136"/>
        <scheme val="minor"/>
      </rPr>
      <t>29</t>
    </r>
    <phoneticPr fontId="7" type="noConversion"/>
  </si>
  <si>
    <r>
      <t>1</t>
    </r>
    <r>
      <rPr>
        <sz val="12"/>
        <color theme="1"/>
        <rFont val="新細明體"/>
        <family val="1"/>
        <charset val="136"/>
        <scheme val="minor"/>
      </rPr>
      <t>221</t>
    </r>
    <phoneticPr fontId="7" type="noConversion"/>
  </si>
  <si>
    <r>
      <t>0</t>
    </r>
    <r>
      <rPr>
        <sz val="12"/>
        <color theme="1"/>
        <rFont val="新細明體"/>
        <family val="1"/>
        <charset val="136"/>
        <scheme val="minor"/>
      </rPr>
      <t>6</t>
    </r>
    <r>
      <rPr>
        <sz val="12"/>
        <color indexed="8"/>
        <rFont val="新細明體"/>
        <family val="1"/>
        <charset val="136"/>
      </rPr>
      <t>21</t>
    </r>
    <phoneticPr fontId="7" type="noConversion"/>
  </si>
  <si>
    <r>
      <t>1</t>
    </r>
    <r>
      <rPr>
        <sz val="12"/>
        <color theme="1"/>
        <rFont val="新細明體"/>
        <family val="1"/>
        <charset val="136"/>
        <scheme val="minor"/>
      </rPr>
      <t>021</t>
    </r>
    <phoneticPr fontId="7" type="noConversion"/>
  </si>
  <si>
    <r>
      <t>0</t>
    </r>
    <r>
      <rPr>
        <sz val="12"/>
        <color theme="1"/>
        <rFont val="新細明體"/>
        <family val="1"/>
        <charset val="136"/>
        <scheme val="minor"/>
      </rPr>
      <t>829</t>
    </r>
    <phoneticPr fontId="7" type="noConversion"/>
  </si>
  <si>
    <r>
      <t>1</t>
    </r>
    <r>
      <rPr>
        <sz val="12"/>
        <color theme="1"/>
        <rFont val="新細明體"/>
        <family val="1"/>
        <charset val="136"/>
        <scheme val="minor"/>
      </rPr>
      <t>121</t>
    </r>
    <phoneticPr fontId="7" type="noConversion"/>
  </si>
  <si>
    <r>
      <t>0</t>
    </r>
    <r>
      <rPr>
        <sz val="12"/>
        <color theme="1"/>
        <rFont val="新細明體"/>
        <family val="1"/>
        <charset val="136"/>
        <scheme val="minor"/>
      </rPr>
      <t>904</t>
    </r>
    <phoneticPr fontId="2" type="noConversion"/>
  </si>
  <si>
    <r>
      <t>1</t>
    </r>
    <r>
      <rPr>
        <sz val="12"/>
        <color theme="1"/>
        <rFont val="新細明體"/>
        <family val="1"/>
        <charset val="136"/>
        <scheme val="minor"/>
      </rPr>
      <t>205</t>
    </r>
    <phoneticPr fontId="7" type="noConversion"/>
  </si>
  <si>
    <r>
      <t>030</t>
    </r>
    <r>
      <rPr>
        <sz val="12"/>
        <color theme="1"/>
        <rFont val="新細明體"/>
        <family val="1"/>
        <charset val="136"/>
        <scheme val="minor"/>
      </rPr>
      <t>2</t>
    </r>
    <phoneticPr fontId="7" type="noConversion"/>
  </si>
  <si>
    <r>
      <t>051</t>
    </r>
    <r>
      <rPr>
        <sz val="12"/>
        <color theme="1"/>
        <rFont val="新細明體"/>
        <family val="1"/>
        <charset val="136"/>
        <scheme val="minor"/>
      </rPr>
      <t>0</t>
    </r>
    <phoneticPr fontId="7" type="noConversion"/>
  </si>
  <si>
    <r>
      <t>0</t>
    </r>
    <r>
      <rPr>
        <sz val="12"/>
        <color theme="1"/>
        <rFont val="新細明體"/>
        <family val="1"/>
        <charset val="136"/>
        <scheme val="minor"/>
      </rPr>
      <t>906</t>
    </r>
    <phoneticPr fontId="2" type="noConversion"/>
  </si>
  <si>
    <r>
      <t>1</t>
    </r>
    <r>
      <rPr>
        <sz val="12"/>
        <color theme="1"/>
        <rFont val="新細明體"/>
        <family val="1"/>
        <charset val="136"/>
        <scheme val="minor"/>
      </rPr>
      <t>213</t>
    </r>
    <phoneticPr fontId="7" type="noConversion"/>
  </si>
  <si>
    <r>
      <t>0</t>
    </r>
    <r>
      <rPr>
        <sz val="12"/>
        <color theme="1"/>
        <rFont val="新細明體"/>
        <family val="1"/>
        <charset val="136"/>
        <scheme val="minor"/>
      </rPr>
      <t>512</t>
    </r>
    <phoneticPr fontId="7" type="noConversion"/>
  </si>
  <si>
    <t>游宗翰</t>
    <phoneticPr fontId="7" type="noConversion"/>
  </si>
  <si>
    <r>
      <t>02</t>
    </r>
    <r>
      <rPr>
        <sz val="12"/>
        <color theme="1"/>
        <rFont val="新細明體"/>
        <family val="1"/>
        <charset val="136"/>
        <scheme val="minor"/>
      </rPr>
      <t>1</t>
    </r>
    <r>
      <rPr>
        <sz val="12"/>
        <color indexed="8"/>
        <rFont val="新細明體"/>
        <family val="1"/>
        <charset val="136"/>
      </rPr>
      <t>3</t>
    </r>
    <phoneticPr fontId="7" type="noConversion"/>
  </si>
  <si>
    <r>
      <t>0</t>
    </r>
    <r>
      <rPr>
        <sz val="12"/>
        <color theme="1"/>
        <rFont val="新細明體"/>
        <family val="1"/>
        <charset val="136"/>
        <scheme val="minor"/>
      </rPr>
      <t>428</t>
    </r>
    <phoneticPr fontId="7" type="noConversion"/>
  </si>
  <si>
    <r>
      <t>分期-</t>
    </r>
    <r>
      <rPr>
        <sz val="12"/>
        <color theme="1"/>
        <rFont val="新細明體"/>
        <family val="1"/>
        <charset val="136"/>
        <scheme val="minor"/>
      </rPr>
      <t>4期</t>
    </r>
    <phoneticPr fontId="7" type="noConversion"/>
  </si>
  <si>
    <r>
      <t>分期-</t>
    </r>
    <r>
      <rPr>
        <sz val="12"/>
        <color theme="1"/>
        <rFont val="新細明體"/>
        <family val="1"/>
        <charset val="136"/>
        <scheme val="minor"/>
      </rPr>
      <t>2期</t>
    </r>
    <phoneticPr fontId="7" type="noConversion"/>
  </si>
  <si>
    <t>分期-2期</t>
    <phoneticPr fontId="7" type="noConversion"/>
  </si>
  <si>
    <r>
      <t>10</t>
    </r>
    <r>
      <rPr>
        <sz val="12"/>
        <color theme="1"/>
        <rFont val="新細明體"/>
        <family val="1"/>
        <charset val="136"/>
        <scheme val="minor"/>
      </rPr>
      <t>2</t>
    </r>
    <r>
      <rPr>
        <sz val="12"/>
        <color indexed="8"/>
        <rFont val="新細明體"/>
        <family val="1"/>
        <charset val="136"/>
      </rPr>
      <t>2</t>
    </r>
    <phoneticPr fontId="7" type="noConversion"/>
  </si>
  <si>
    <r>
      <t>1</t>
    </r>
    <r>
      <rPr>
        <sz val="12"/>
        <color theme="1"/>
        <rFont val="新細明體"/>
        <family val="1"/>
        <charset val="136"/>
        <scheme val="minor"/>
      </rPr>
      <t>115</t>
    </r>
    <phoneticPr fontId="7" type="noConversion"/>
  </si>
  <si>
    <r>
      <t>04</t>
    </r>
    <r>
      <rPr>
        <sz val="12"/>
        <color theme="1"/>
        <rFont val="新細明體"/>
        <family val="1"/>
        <charset val="136"/>
        <scheme val="minor"/>
      </rPr>
      <t>12</t>
    </r>
    <phoneticPr fontId="7" type="noConversion"/>
  </si>
  <si>
    <r>
      <t>032</t>
    </r>
    <r>
      <rPr>
        <sz val="12"/>
        <color theme="1"/>
        <rFont val="新細明體"/>
        <family val="1"/>
        <charset val="136"/>
        <scheme val="minor"/>
      </rPr>
      <t>0</t>
    </r>
    <phoneticPr fontId="7" type="noConversion"/>
  </si>
  <si>
    <r>
      <t>07</t>
    </r>
    <r>
      <rPr>
        <sz val="12"/>
        <color theme="1"/>
        <rFont val="新細明體"/>
        <family val="1"/>
        <charset val="136"/>
        <scheme val="minor"/>
      </rPr>
      <t>15</t>
    </r>
    <phoneticPr fontId="7" type="noConversion"/>
  </si>
  <si>
    <r>
      <t>06</t>
    </r>
    <r>
      <rPr>
        <sz val="12"/>
        <color theme="1"/>
        <rFont val="新細明體"/>
        <family val="1"/>
        <charset val="136"/>
        <scheme val="minor"/>
      </rPr>
      <t>07</t>
    </r>
    <phoneticPr fontId="7" type="noConversion"/>
  </si>
  <si>
    <r>
      <t>03</t>
    </r>
    <r>
      <rPr>
        <sz val="12"/>
        <color theme="1"/>
        <rFont val="新細明體"/>
        <family val="1"/>
        <charset val="136"/>
        <scheme val="minor"/>
      </rPr>
      <t>06</t>
    </r>
    <phoneticPr fontId="7" type="noConversion"/>
  </si>
  <si>
    <t>張為傳</t>
    <phoneticPr fontId="2" type="noConversion"/>
  </si>
  <si>
    <r>
      <t>0</t>
    </r>
    <r>
      <rPr>
        <sz val="12"/>
        <color theme="1"/>
        <rFont val="新細明體"/>
        <family val="1"/>
        <charset val="136"/>
        <scheme val="minor"/>
      </rPr>
      <t>406</t>
    </r>
    <phoneticPr fontId="2" type="noConversion"/>
  </si>
  <si>
    <r>
      <t>0</t>
    </r>
    <r>
      <rPr>
        <sz val="12"/>
        <color theme="1"/>
        <rFont val="新細明體"/>
        <family val="1"/>
        <charset val="136"/>
        <scheme val="minor"/>
      </rPr>
      <t>514</t>
    </r>
    <phoneticPr fontId="2" type="noConversion"/>
  </si>
  <si>
    <r>
      <t>07</t>
    </r>
    <r>
      <rPr>
        <sz val="12"/>
        <color theme="1"/>
        <rFont val="新細明體"/>
        <family val="1"/>
        <charset val="136"/>
        <scheme val="minor"/>
      </rPr>
      <t>17</t>
    </r>
    <phoneticPr fontId="7" type="noConversion"/>
  </si>
  <si>
    <r>
      <t>080</t>
    </r>
    <r>
      <rPr>
        <sz val="12"/>
        <color theme="1"/>
        <rFont val="新細明體"/>
        <family val="1"/>
        <charset val="136"/>
        <scheme val="minor"/>
      </rPr>
      <t>8</t>
    </r>
    <phoneticPr fontId="7" type="noConversion"/>
  </si>
  <si>
    <r>
      <t>062</t>
    </r>
    <r>
      <rPr>
        <sz val="12"/>
        <color theme="1"/>
        <rFont val="新細明體"/>
        <family val="1"/>
        <charset val="136"/>
        <scheme val="minor"/>
      </rPr>
      <t>1</t>
    </r>
    <phoneticPr fontId="7" type="noConversion"/>
  </si>
  <si>
    <r>
      <t>0</t>
    </r>
    <r>
      <rPr>
        <sz val="12"/>
        <color theme="1"/>
        <rFont val="新細明體"/>
        <family val="1"/>
        <charset val="136"/>
        <scheme val="minor"/>
      </rPr>
      <t>201</t>
    </r>
    <phoneticPr fontId="2" type="noConversion"/>
  </si>
  <si>
    <r>
      <t>0</t>
    </r>
    <r>
      <rPr>
        <sz val="12"/>
        <color theme="1"/>
        <rFont val="新細明體"/>
        <family val="1"/>
        <charset val="136"/>
        <scheme val="minor"/>
      </rPr>
      <t>829</t>
    </r>
    <phoneticPr fontId="7" type="noConversion"/>
  </si>
  <si>
    <t>羅會釧</t>
    <phoneticPr fontId="7" type="noConversion"/>
  </si>
  <si>
    <r>
      <t>1</t>
    </r>
    <r>
      <rPr>
        <sz val="12"/>
        <color theme="1"/>
        <rFont val="新細明體"/>
        <family val="1"/>
        <charset val="136"/>
        <scheme val="minor"/>
      </rPr>
      <t>229</t>
    </r>
    <phoneticPr fontId="7" type="noConversion"/>
  </si>
  <si>
    <r>
      <t>0</t>
    </r>
    <r>
      <rPr>
        <sz val="12"/>
        <color theme="1"/>
        <rFont val="新細明體"/>
        <family val="1"/>
        <charset val="136"/>
        <scheme val="minor"/>
      </rPr>
      <t>915</t>
    </r>
    <phoneticPr fontId="7" type="noConversion"/>
  </si>
  <si>
    <r>
      <t>0</t>
    </r>
    <r>
      <rPr>
        <sz val="12"/>
        <color theme="1"/>
        <rFont val="新細明體"/>
        <family val="1"/>
        <charset val="136"/>
        <scheme val="minor"/>
      </rPr>
      <t>220</t>
    </r>
    <phoneticPr fontId="7" type="noConversion"/>
  </si>
  <si>
    <r>
      <t>0</t>
    </r>
    <r>
      <rPr>
        <sz val="12"/>
        <color theme="1"/>
        <rFont val="新細明體"/>
        <family val="1"/>
        <charset val="136"/>
        <scheme val="minor"/>
      </rPr>
      <t>716</t>
    </r>
    <phoneticPr fontId="7" type="noConversion"/>
  </si>
  <si>
    <r>
      <t>100</t>
    </r>
    <r>
      <rPr>
        <sz val="12"/>
        <color theme="1"/>
        <rFont val="新細明體"/>
        <family val="1"/>
        <charset val="136"/>
        <scheme val="minor"/>
      </rPr>
      <t>8</t>
    </r>
    <phoneticPr fontId="7" type="noConversion"/>
  </si>
  <si>
    <r>
      <t>0</t>
    </r>
    <r>
      <rPr>
        <sz val="12"/>
        <color theme="1"/>
        <rFont val="新細明體"/>
        <family val="1"/>
        <charset val="136"/>
        <scheme val="minor"/>
      </rPr>
      <t>102</t>
    </r>
    <phoneticPr fontId="7" type="noConversion"/>
  </si>
  <si>
    <r>
      <t>0</t>
    </r>
    <r>
      <rPr>
        <sz val="12"/>
        <color theme="1"/>
        <rFont val="新細明體"/>
        <family val="1"/>
        <charset val="136"/>
        <scheme val="minor"/>
      </rPr>
      <t>220</t>
    </r>
    <phoneticPr fontId="7" type="noConversion"/>
  </si>
  <si>
    <t>張峯明</t>
    <phoneticPr fontId="7" type="noConversion"/>
  </si>
  <si>
    <t>0228</t>
    <phoneticPr fontId="7" type="noConversion"/>
  </si>
  <si>
    <t>洪烟灶</t>
    <phoneticPr fontId="7" type="noConversion"/>
  </si>
  <si>
    <t>1229</t>
    <phoneticPr fontId="7" type="noConversion"/>
  </si>
  <si>
    <t>0305</t>
    <phoneticPr fontId="7" type="noConversion"/>
  </si>
  <si>
    <t>不明</t>
    <phoneticPr fontId="2" type="noConversion"/>
  </si>
  <si>
    <t>利息收入-方士祥2利2/2-2/17</t>
  </si>
  <si>
    <t>利息收入-林兆儒</t>
  </si>
  <si>
    <t>利息收入-林兆儒1利2/2-2/17</t>
  </si>
  <si>
    <t>分期利息收入-李可立-1</t>
  </si>
  <si>
    <t>分期利息收入-李可立1分-3</t>
  </si>
  <si>
    <t>利息收入-李可立2利2/4-2/19</t>
  </si>
  <si>
    <t>利息收入-張義隆2利2/2-2/17</t>
  </si>
  <si>
    <t>張永鑫3.5利2/2-2/17</t>
  </si>
  <si>
    <t>利息收入-王天佑3利2/2-2/17</t>
  </si>
  <si>
    <t>張義隆3利2/4-2/19</t>
  </si>
  <si>
    <t>分期利息收入-王廉戰1分-3</t>
  </si>
  <si>
    <t>利息收入-陳新元1利2/3-2/18 2/18-3/3</t>
  </si>
  <si>
    <t>利息收入-何秋輝</t>
  </si>
  <si>
    <t>利息收入-何秋輝2利2/3-2/18</t>
  </si>
  <si>
    <t>分期利息收入-何秋輝</t>
  </si>
  <si>
    <t>分期利息收入-何秋輝1分-1</t>
  </si>
  <si>
    <t>利息收入-連永明11利2/4-2/19</t>
  </si>
  <si>
    <t>分期利息收入-,張春輝</t>
  </si>
  <si>
    <t>分期利息收入-張春輝1分-3</t>
  </si>
  <si>
    <t>利息收入-張義隆3利2/4-2/19</t>
  </si>
  <si>
    <t>利息收入-范國欽</t>
  </si>
  <si>
    <t>利息收入-范國欽2利2/4-2/19</t>
  </si>
  <si>
    <t>利息收入-張志清2利2/5-2/20</t>
  </si>
  <si>
    <t>利息收入-陳慕棣3利1/20-2/5</t>
  </si>
  <si>
    <t>利息收入-湯家銘</t>
  </si>
  <si>
    <t>利息收入-湯家銘2.5利2/6-2/21</t>
  </si>
  <si>
    <t>楊建中</t>
    <phoneticPr fontId="7" type="noConversion"/>
  </si>
  <si>
    <t>0518</t>
    <phoneticPr fontId="7" type="noConversion"/>
  </si>
  <si>
    <t>0623</t>
    <phoneticPr fontId="7" type="noConversion"/>
  </si>
  <si>
    <t>0728</t>
    <phoneticPr fontId="7" type="noConversion"/>
  </si>
  <si>
    <t>0804</t>
    <phoneticPr fontId="7" type="noConversion"/>
  </si>
  <si>
    <t>1008</t>
    <phoneticPr fontId="7" type="noConversion"/>
  </si>
  <si>
    <t>1204</t>
    <phoneticPr fontId="7" type="noConversion"/>
  </si>
  <si>
    <t>1212</t>
    <phoneticPr fontId="7" type="noConversion"/>
  </si>
  <si>
    <t>孫國寶</t>
    <phoneticPr fontId="7" type="noConversion"/>
  </si>
  <si>
    <t>0809</t>
    <phoneticPr fontId="7" type="noConversion"/>
  </si>
  <si>
    <t>0712</t>
    <phoneticPr fontId="7" type="noConversion"/>
  </si>
  <si>
    <t>0121</t>
    <phoneticPr fontId="7" type="noConversion"/>
  </si>
  <si>
    <t>胡錦國</t>
    <phoneticPr fontId="7" type="noConversion"/>
  </si>
  <si>
    <t>0627</t>
    <phoneticPr fontId="7" type="noConversion"/>
  </si>
  <si>
    <t>0828</t>
    <phoneticPr fontId="7" type="noConversion"/>
  </si>
  <si>
    <t>蔡文林</t>
    <phoneticPr fontId="7" type="noConversion"/>
  </si>
  <si>
    <t>0310</t>
    <phoneticPr fontId="7" type="noConversion"/>
  </si>
  <si>
    <t>陳俊霖</t>
    <phoneticPr fontId="7" type="noConversion"/>
  </si>
  <si>
    <t>0205</t>
    <phoneticPr fontId="7" type="noConversion"/>
  </si>
  <si>
    <t>黃新高</t>
    <phoneticPr fontId="7" type="noConversion"/>
  </si>
  <si>
    <t>余明永</t>
    <phoneticPr fontId="7" type="noConversion"/>
  </si>
  <si>
    <t>0314</t>
    <phoneticPr fontId="7" type="noConversion"/>
  </si>
  <si>
    <t>0915</t>
    <phoneticPr fontId="7" type="noConversion"/>
  </si>
  <si>
    <t>0823</t>
    <phoneticPr fontId="7" type="noConversion"/>
  </si>
  <si>
    <t>王宏仁</t>
    <phoneticPr fontId="7" type="noConversion"/>
  </si>
  <si>
    <t>0331</t>
    <phoneticPr fontId="7" type="noConversion"/>
  </si>
  <si>
    <t>程永元</t>
    <phoneticPr fontId="7" type="noConversion"/>
  </si>
  <si>
    <t>1011</t>
    <phoneticPr fontId="7" type="noConversion"/>
  </si>
  <si>
    <t>陳金土</t>
    <phoneticPr fontId="7" type="noConversion"/>
  </si>
  <si>
    <t>0704</t>
    <phoneticPr fontId="7" type="noConversion"/>
  </si>
  <si>
    <t>0912</t>
    <phoneticPr fontId="7" type="noConversion"/>
  </si>
  <si>
    <t>王永來</t>
    <phoneticPr fontId="7" type="noConversion"/>
  </si>
  <si>
    <t>0913</t>
    <phoneticPr fontId="7" type="noConversion"/>
  </si>
  <si>
    <t>劉珍華</t>
    <phoneticPr fontId="7" type="noConversion"/>
  </si>
  <si>
    <t>1117</t>
    <phoneticPr fontId="7" type="noConversion"/>
  </si>
  <si>
    <t>劉敏毅</t>
    <phoneticPr fontId="7" type="noConversion"/>
  </si>
  <si>
    <t>呂吉安</t>
    <phoneticPr fontId="7" type="noConversion"/>
  </si>
  <si>
    <t>1130</t>
    <phoneticPr fontId="7" type="noConversion"/>
  </si>
  <si>
    <t>1019</t>
    <phoneticPr fontId="7" type="noConversion"/>
  </si>
  <si>
    <t>黃金墩</t>
    <phoneticPr fontId="7" type="noConversion"/>
  </si>
  <si>
    <t>1004</t>
    <phoneticPr fontId="7" type="noConversion"/>
  </si>
  <si>
    <t>1107</t>
    <phoneticPr fontId="7" type="noConversion"/>
  </si>
  <si>
    <t>1017</t>
    <phoneticPr fontId="7" type="noConversion"/>
  </si>
  <si>
    <t>周建仁</t>
    <phoneticPr fontId="7" type="noConversion"/>
  </si>
  <si>
    <t>0811</t>
    <phoneticPr fontId="7" type="noConversion"/>
  </si>
  <si>
    <t>王銘璋</t>
    <phoneticPr fontId="7" type="noConversion"/>
  </si>
  <si>
    <t>王蔡程</t>
    <phoneticPr fontId="7" type="noConversion"/>
  </si>
  <si>
    <t>沈國寶</t>
    <phoneticPr fontId="7" type="noConversion"/>
  </si>
  <si>
    <t>林志偉</t>
    <phoneticPr fontId="7" type="noConversion"/>
  </si>
  <si>
    <t>0530</t>
    <phoneticPr fontId="7" type="noConversion"/>
  </si>
  <si>
    <t>1119</t>
    <phoneticPr fontId="7" type="noConversion"/>
  </si>
  <si>
    <t>呂維新</t>
    <phoneticPr fontId="7" type="noConversion"/>
  </si>
  <si>
    <t>朱俊銘</t>
    <phoneticPr fontId="7" type="noConversion"/>
  </si>
  <si>
    <t>0612</t>
    <phoneticPr fontId="7" type="noConversion"/>
  </si>
  <si>
    <t>徐博彥</t>
    <phoneticPr fontId="7" type="noConversion"/>
  </si>
  <si>
    <t>0608</t>
    <phoneticPr fontId="7" type="noConversion"/>
  </si>
  <si>
    <t>彭澤恩</t>
    <phoneticPr fontId="7" type="noConversion"/>
  </si>
  <si>
    <t>顏煌陽</t>
    <phoneticPr fontId="7" type="noConversion"/>
  </si>
  <si>
    <t>蘇大忠</t>
    <phoneticPr fontId="7" type="noConversion"/>
  </si>
  <si>
    <t>0526</t>
    <phoneticPr fontId="7" type="noConversion"/>
  </si>
  <si>
    <t>元喆當鋪</t>
    <phoneticPr fontId="2" type="noConversion"/>
  </si>
  <si>
    <t>元一當鋪</t>
    <phoneticPr fontId="2" type="noConversion"/>
  </si>
  <si>
    <t>元崗當鋪</t>
    <phoneticPr fontId="2" type="noConversion"/>
  </si>
  <si>
    <t>郭承翰</t>
  </si>
  <si>
    <t>元喆當鋪</t>
    <phoneticPr fontId="4" type="noConversion"/>
  </si>
  <si>
    <t>元喆當鋪</t>
    <phoneticPr fontId="4" type="noConversion"/>
  </si>
  <si>
    <t>元喆當鋪</t>
    <phoneticPr fontId="2" type="noConversion"/>
  </si>
  <si>
    <t>0617</t>
    <phoneticPr fontId="7" type="noConversion"/>
  </si>
  <si>
    <t>1010</t>
    <phoneticPr fontId="7" type="noConversion"/>
  </si>
  <si>
    <t>1123</t>
    <phoneticPr fontId="7" type="noConversion"/>
  </si>
  <si>
    <t>紀適南</t>
    <phoneticPr fontId="7" type="noConversion"/>
  </si>
  <si>
    <t>1230</t>
    <phoneticPr fontId="7" type="noConversion"/>
  </si>
  <si>
    <t>0814</t>
    <phoneticPr fontId="7" type="noConversion"/>
  </si>
  <si>
    <t>林水興</t>
    <phoneticPr fontId="7" type="noConversion"/>
  </si>
  <si>
    <t>0805</t>
    <phoneticPr fontId="7" type="noConversion"/>
  </si>
  <si>
    <t>0101</t>
    <phoneticPr fontId="7" type="noConversion"/>
  </si>
  <si>
    <t>0901</t>
    <phoneticPr fontId="7" type="noConversion"/>
  </si>
  <si>
    <t>0128</t>
    <phoneticPr fontId="7" type="noConversion"/>
  </si>
  <si>
    <t>洪文燦</t>
    <phoneticPr fontId="7" type="noConversion"/>
  </si>
  <si>
    <t>0702</t>
    <phoneticPr fontId="7" type="noConversion"/>
  </si>
  <si>
    <t>柯東榮</t>
    <phoneticPr fontId="7" type="noConversion"/>
  </si>
  <si>
    <t>1005</t>
    <phoneticPr fontId="7" type="noConversion"/>
  </si>
  <si>
    <t>謝青霖</t>
    <phoneticPr fontId="7" type="noConversion"/>
  </si>
  <si>
    <t>0826</t>
    <phoneticPr fontId="7" type="noConversion"/>
  </si>
  <si>
    <t>陳焜昇</t>
    <phoneticPr fontId="7" type="noConversion"/>
  </si>
  <si>
    <t>黃壹丞</t>
    <phoneticPr fontId="7" type="noConversion"/>
  </si>
  <si>
    <t>0603</t>
    <phoneticPr fontId="7" type="noConversion"/>
  </si>
  <si>
    <t>1003</t>
    <phoneticPr fontId="7" type="noConversion"/>
  </si>
  <si>
    <t>1118</t>
    <phoneticPr fontId="7" type="noConversion"/>
  </si>
  <si>
    <t>利息-丁一鳴1分-4</t>
  </si>
  <si>
    <t>利息-姚文龍利 3/7-3/22</t>
  </si>
  <si>
    <t>利息-江勝松-5</t>
  </si>
  <si>
    <t>利息-林琦能</t>
  </si>
  <si>
    <t>利息-林琦能5利3/7-4/7</t>
  </si>
  <si>
    <t>利息-吳志忠2分-3</t>
  </si>
  <si>
    <t>利息-鄭釧志-2</t>
  </si>
  <si>
    <t>利息-王蔡傳10利3/2-3/17</t>
  </si>
  <si>
    <t>利息-湯家銘2.5利3/6-3/21</t>
  </si>
  <si>
    <t>利息-王蔡傳2分-1</t>
  </si>
  <si>
    <t>利息-王廉戰1.5分-3</t>
  </si>
  <si>
    <t>利息-陳慕棣5利3/7-3/22</t>
  </si>
  <si>
    <t>利息-朱進龍1分-6</t>
  </si>
  <si>
    <t>利息-徐潤祥0.5分-3</t>
  </si>
  <si>
    <t>利息-黃志文3利3/18-4/3</t>
  </si>
  <si>
    <t>利息-武正鵬</t>
  </si>
  <si>
    <t>利息-武正鵬20利3/8-3/23</t>
  </si>
  <si>
    <t>利息-劉能營1分-4</t>
  </si>
  <si>
    <t>利息-劉能營1利3/8-3/23</t>
  </si>
  <si>
    <t>利息-李可立1分-8</t>
  </si>
  <si>
    <t>利息-李可立2分-6</t>
  </si>
  <si>
    <t>利息-潘元吉2利3/8-3/23</t>
  </si>
  <si>
    <t>利息-何秋輝1分-6</t>
  </si>
  <si>
    <t>利息-張義隆1分-5</t>
  </si>
  <si>
    <t>利息-黃超淵1分-3</t>
  </si>
  <si>
    <t>利息-陳新元1分-2</t>
  </si>
  <si>
    <t>利息-陳新元1利</t>
  </si>
  <si>
    <t>利息-宮世寶2分 5-10結清</t>
  </si>
  <si>
    <t>利息-宮世寶2分-1</t>
  </si>
  <si>
    <t>利息-張春益1分-2</t>
  </si>
  <si>
    <t>利息-姚文龍1分-2</t>
  </si>
  <si>
    <t>利息-郭明富3利3/10-3/25</t>
  </si>
  <si>
    <t>利息-方士祥</t>
  </si>
  <si>
    <t>利息-方士祥1分4-10</t>
  </si>
  <si>
    <t>利息-卓佳慶2分-2</t>
  </si>
  <si>
    <t>利息-黃明建3利3/10-3/25</t>
  </si>
  <si>
    <t>利息-范國敏2利3/10-3/25</t>
  </si>
  <si>
    <t>利息-劉志鵬1分-4</t>
  </si>
  <si>
    <t>利息-陳慕棣1分-4</t>
  </si>
  <si>
    <t>利息-潘元吉2分-4</t>
  </si>
  <si>
    <t>利息-王天佑1分-4</t>
  </si>
  <si>
    <t>利息-周宗玉1分-2</t>
  </si>
  <si>
    <t>利息-張維煌3利3/12-3/27</t>
  </si>
  <si>
    <t>利息-李可立1分-9-10</t>
  </si>
  <si>
    <t>利息-李可立1分-1</t>
  </si>
  <si>
    <t>利息-李可立2利3/10-3/25</t>
  </si>
  <si>
    <t>利息-華棟彬1分-2</t>
  </si>
  <si>
    <t>利息-游錫銘</t>
  </si>
  <si>
    <t>利息-游錫銘1分-1</t>
  </si>
  <si>
    <t>利息-潘泰龍11利3/12-3/27</t>
  </si>
  <si>
    <t>利息-楊文鐘5利3/12-3/27</t>
  </si>
  <si>
    <t>利息-楊文鐘3分2-3</t>
  </si>
  <si>
    <t>利息-張宏銘2分-2</t>
  </si>
  <si>
    <t>利息-吳慶松1分-2</t>
  </si>
  <si>
    <t>利息-莊屘1分-4</t>
  </si>
  <si>
    <t>利息-潘元吉2利3/12-3/27</t>
  </si>
  <si>
    <t>利息-潘寬龍2分-3</t>
  </si>
  <si>
    <t>利息-潘寬龍1分-7</t>
  </si>
  <si>
    <t>利息-卓佳慶2分-3</t>
  </si>
  <si>
    <t>利息-張春輝1分-2</t>
  </si>
  <si>
    <t>利息-劉能營2利3/13-3/28</t>
  </si>
  <si>
    <t>利息-林子覺3利3/16-4/1</t>
  </si>
  <si>
    <t>利息-潘寬龍2利3/13-3/28</t>
  </si>
  <si>
    <t>利息-江勝松1分-6</t>
  </si>
  <si>
    <t>利息-張義隆3利3/13-3/28</t>
  </si>
  <si>
    <t>利息-張義隆2分-4</t>
  </si>
  <si>
    <t>利息-黃超淵0.5分-5</t>
  </si>
  <si>
    <t>利息-朱進龍1分-7</t>
  </si>
  <si>
    <t>利息-鄭釧志2利3/15-3/30</t>
  </si>
  <si>
    <t>利息-鄭釧志3分-3</t>
  </si>
  <si>
    <t>利息-郭鳯俠15利3/14-3/29</t>
  </si>
  <si>
    <t>利息-卓佳慶2利3/14-3/29</t>
  </si>
  <si>
    <t>元喆當鋪</t>
    <phoneticPr fontId="2" type="noConversion"/>
  </si>
  <si>
    <t>0107</t>
    <phoneticPr fontId="7" type="noConversion"/>
  </si>
  <si>
    <t>施廷昱</t>
    <phoneticPr fontId="7" type="noConversion"/>
  </si>
  <si>
    <t>王來發</t>
    <phoneticPr fontId="7" type="noConversion"/>
  </si>
  <si>
    <t>0201</t>
    <phoneticPr fontId="7" type="noConversion"/>
  </si>
  <si>
    <t>0127</t>
    <phoneticPr fontId="7" type="noConversion"/>
  </si>
  <si>
    <t>黃萬德</t>
    <phoneticPr fontId="7" type="noConversion"/>
  </si>
  <si>
    <t>鄭榮琦</t>
    <phoneticPr fontId="7" type="noConversion"/>
  </si>
  <si>
    <t>1024</t>
    <phoneticPr fontId="7" type="noConversion"/>
  </si>
  <si>
    <t>0403</t>
    <phoneticPr fontId="7" type="noConversion"/>
  </si>
  <si>
    <t>0411</t>
    <phoneticPr fontId="7" type="noConversion"/>
  </si>
  <si>
    <t>王祥華</t>
    <phoneticPr fontId="7" type="noConversion"/>
  </si>
  <si>
    <t>0506</t>
    <phoneticPr fontId="7" type="noConversion"/>
  </si>
  <si>
    <t>利息-華棟彬1利3/14-3/29</t>
  </si>
  <si>
    <t>利息-華棟彬1利3/19-4/4</t>
  </si>
  <si>
    <t>利息-華棟彬1利3/4-3/19</t>
  </si>
  <si>
    <t>利息-華棟彬5利3/8-3/23</t>
  </si>
  <si>
    <t>利息-華棟彬1.5利3/9-3/24</t>
  </si>
  <si>
    <t>利息-華棟彬1分-3</t>
  </si>
  <si>
    <t>利息-華棟彬2利3/17-4/2</t>
  </si>
  <si>
    <t>利息-張義隆3利3/4-4/4</t>
  </si>
  <si>
    <t>利息-張義隆2利3/2-4/2</t>
  </si>
  <si>
    <t>利息-張義隆1利3/10-3/25</t>
  </si>
  <si>
    <t>利息-張義隆1利3/11-3/26</t>
  </si>
  <si>
    <t>利息-張義隆2利3/14-3/29</t>
  </si>
  <si>
    <t>利息-張義隆2利3/15-3/30</t>
  </si>
  <si>
    <t>利息-張義隆2分-5</t>
  </si>
  <si>
    <t>利息-張義隆1利3/9-3/24</t>
  </si>
  <si>
    <t>利息-張義隆1利3/12-3/27</t>
  </si>
  <si>
    <t>利息-張義隆1利3/13-3/28</t>
  </si>
  <si>
    <t>利息-張義隆3利3/18-4/3</t>
  </si>
  <si>
    <t>利息-游錫銘26.6利2/18-3/18</t>
  </si>
  <si>
    <t>利息-游錫銘1.5利3/7-3/22</t>
  </si>
  <si>
    <t>利息-劉志鵬13利3/8-3/23</t>
  </si>
  <si>
    <t>利息-劉志鵬1分-5</t>
  </si>
  <si>
    <t>利息-劉志鵬2利3/14-3/29</t>
  </si>
  <si>
    <t>利息-楊文鐘10利3/5-3/20</t>
  </si>
  <si>
    <t>利息-楊文鐘3分-4</t>
  </si>
  <si>
    <t>利息-蔡文林15利3/7-3/22</t>
  </si>
  <si>
    <t>利息-蔡文林1利3/12-3/27</t>
  </si>
  <si>
    <t>利息-蔡文林2分3-4</t>
  </si>
  <si>
    <t>利息-蔡文林2利3/12-3/27</t>
  </si>
  <si>
    <t>利息-蔡文林1利3/13-3/28</t>
  </si>
  <si>
    <t>利息-蔡文林2利3/14-3/29</t>
  </si>
  <si>
    <t>利息-蔡文林1.5分2-3</t>
  </si>
  <si>
    <t>利息-蔡文林3利3/7-3/22</t>
  </si>
  <si>
    <t>利息-蘇武龍</t>
  </si>
  <si>
    <t>利息-蘇武龍1利3/12-3/27</t>
  </si>
  <si>
    <t>利息-林瑞家4利3/14-3/29</t>
  </si>
  <si>
    <t>利息-林瑞家13利2/29-3/29</t>
  </si>
  <si>
    <t>利息-林瑞家0.5利3/14-3/29</t>
  </si>
  <si>
    <t>利息-高樹廟</t>
  </si>
  <si>
    <t>利息-高樹廟5利 3/5-3/17</t>
  </si>
  <si>
    <t>利息-華棟彬5利3/17-4/1</t>
  </si>
  <si>
    <t>利息-劉志鵬2利3/17-4/1</t>
  </si>
  <si>
    <t>利息-游錫銘1分-2</t>
  </si>
  <si>
    <t>利息-張春益2利3/17-4/2</t>
  </si>
  <si>
    <t>利息-林子覺2利3/22-4/7</t>
  </si>
  <si>
    <t>利息-林子覺2利3/27-4/12</t>
  </si>
  <si>
    <t>利息-林子覺2利3/20-4/5</t>
  </si>
  <si>
    <t>利息-李可立14.8利3/8-3/23</t>
  </si>
  <si>
    <t>利息-姚文龍29.5利3/8-3/23</t>
  </si>
  <si>
    <t>利息-張維煌3/7-3/22</t>
  </si>
  <si>
    <t>借支-張春輝1分  8-10</t>
  </si>
  <si>
    <t>借支-朱進龍1分-1</t>
  </si>
  <si>
    <t>元一當鋪合計</t>
    <phoneticPr fontId="2" type="noConversion"/>
  </si>
  <si>
    <t>繳息小計</t>
    <phoneticPr fontId="2" type="noConversion"/>
  </si>
  <si>
    <t>犯罪所得小計</t>
    <phoneticPr fontId="2" type="noConversion"/>
  </si>
  <si>
    <t>元喆當鋪合計</t>
    <phoneticPr fontId="2" type="noConversion"/>
  </si>
  <si>
    <t>國泰當鋪合計</t>
    <phoneticPr fontId="2" type="noConversion"/>
  </si>
  <si>
    <t>合豐當鋪合計</t>
    <phoneticPr fontId="2" type="noConversion"/>
  </si>
  <si>
    <t>編號</t>
  </si>
  <si>
    <t>姓名</t>
  </si>
  <si>
    <t>陳水源</t>
    <phoneticPr fontId="7" type="noConversion"/>
  </si>
  <si>
    <t>0223</t>
    <phoneticPr fontId="7" type="noConversion"/>
  </si>
  <si>
    <t>0723</t>
    <phoneticPr fontId="7" type="noConversion"/>
  </si>
  <si>
    <t>1223</t>
    <phoneticPr fontId="7" type="noConversion"/>
  </si>
  <si>
    <t>0531</t>
    <phoneticPr fontId="7" type="noConversion"/>
  </si>
  <si>
    <t>1101</t>
    <phoneticPr fontId="7" type="noConversion"/>
  </si>
  <si>
    <t>0120</t>
    <phoneticPr fontId="7" type="noConversion"/>
  </si>
  <si>
    <t>0326</t>
    <phoneticPr fontId="7" type="noConversion"/>
  </si>
  <si>
    <t>0523</t>
    <phoneticPr fontId="7" type="noConversion"/>
  </si>
  <si>
    <t>0827</t>
    <phoneticPr fontId="7" type="noConversion"/>
  </si>
  <si>
    <t>1029</t>
    <phoneticPr fontId="7" type="noConversion"/>
  </si>
  <si>
    <t>0514</t>
    <phoneticPr fontId="7" type="noConversion"/>
  </si>
  <si>
    <t>0924</t>
    <phoneticPr fontId="7" type="noConversion"/>
  </si>
  <si>
    <t>0813</t>
    <phoneticPr fontId="7" type="noConversion"/>
  </si>
  <si>
    <t>1015</t>
    <phoneticPr fontId="7" type="noConversion"/>
  </si>
  <si>
    <t>漆鎮偉</t>
    <phoneticPr fontId="7" type="noConversion"/>
  </si>
  <si>
    <t>0223</t>
    <phoneticPr fontId="7" type="noConversion"/>
  </si>
  <si>
    <t>0225</t>
    <phoneticPr fontId="7" type="noConversion"/>
  </si>
  <si>
    <t>分期</t>
    <phoneticPr fontId="7" type="noConversion"/>
  </si>
  <si>
    <t>吳清江</t>
    <phoneticPr fontId="7" type="noConversion"/>
  </si>
  <si>
    <t>0224</t>
    <phoneticPr fontId="7" type="noConversion"/>
  </si>
  <si>
    <t>0512</t>
    <phoneticPr fontId="7" type="noConversion"/>
  </si>
  <si>
    <t>0920</t>
    <phoneticPr fontId="7" type="noConversion"/>
  </si>
  <si>
    <t>0818</t>
    <phoneticPr fontId="7" type="noConversion"/>
  </si>
  <si>
    <t>1108</t>
    <phoneticPr fontId="7" type="noConversion"/>
  </si>
  <si>
    <t>1209</t>
    <phoneticPr fontId="7" type="noConversion"/>
  </si>
  <si>
    <t>0701</t>
    <phoneticPr fontId="7" type="noConversion"/>
  </si>
  <si>
    <t>0922</t>
    <phoneticPr fontId="7" type="noConversion"/>
  </si>
  <si>
    <t>1128</t>
    <phoneticPr fontId="7" type="noConversion"/>
  </si>
  <si>
    <t>0408</t>
    <phoneticPr fontId="7" type="noConversion"/>
  </si>
  <si>
    <t>0722</t>
    <phoneticPr fontId="7" type="noConversion"/>
  </si>
  <si>
    <t>0501</t>
    <phoneticPr fontId="7" type="noConversion"/>
  </si>
  <si>
    <t>0729</t>
    <phoneticPr fontId="7" type="noConversion"/>
  </si>
  <si>
    <t>1225</t>
    <phoneticPr fontId="7" type="noConversion"/>
  </si>
  <si>
    <t>0505</t>
    <phoneticPr fontId="7" type="noConversion"/>
  </si>
  <si>
    <t>范光宏</t>
    <phoneticPr fontId="7" type="noConversion"/>
  </si>
  <si>
    <t>0714</t>
    <phoneticPr fontId="7" type="noConversion"/>
  </si>
  <si>
    <t>0228</t>
    <phoneticPr fontId="7" type="noConversion"/>
  </si>
  <si>
    <t>0613</t>
    <phoneticPr fontId="7" type="noConversion"/>
  </si>
  <si>
    <t>0730</t>
    <phoneticPr fontId="7" type="noConversion"/>
  </si>
  <si>
    <t>0908</t>
    <phoneticPr fontId="7" type="noConversion"/>
  </si>
  <si>
    <t>1002</t>
    <phoneticPr fontId="7" type="noConversion"/>
  </si>
  <si>
    <t>0808</t>
    <phoneticPr fontId="7" type="noConversion"/>
  </si>
  <si>
    <t>借支-王蔡傳4.5利</t>
  </si>
  <si>
    <t>借支-丁一鳴1分-5</t>
  </si>
  <si>
    <t>利息收入-吳志忠</t>
  </si>
  <si>
    <r>
      <t>11</t>
    </r>
    <r>
      <rPr>
        <sz val="12"/>
        <color theme="1"/>
        <rFont val="新細明體"/>
        <family val="1"/>
        <charset val="136"/>
        <scheme val="minor"/>
      </rPr>
      <t>09</t>
    </r>
    <phoneticPr fontId="7" type="noConversion"/>
  </si>
  <si>
    <r>
      <t>1</t>
    </r>
    <r>
      <rPr>
        <sz val="12"/>
        <color theme="1"/>
        <rFont val="新細明體"/>
        <family val="1"/>
        <charset val="136"/>
        <scheme val="minor"/>
      </rPr>
      <t>220</t>
    </r>
    <phoneticPr fontId="2" type="noConversion"/>
  </si>
  <si>
    <r>
      <t>11</t>
    </r>
    <r>
      <rPr>
        <sz val="12"/>
        <color theme="1"/>
        <rFont val="新細明體"/>
        <family val="1"/>
        <charset val="136"/>
        <scheme val="minor"/>
      </rPr>
      <t>14</t>
    </r>
    <phoneticPr fontId="7" type="noConversion"/>
  </si>
  <si>
    <r>
      <t>04</t>
    </r>
    <r>
      <rPr>
        <sz val="12"/>
        <color theme="1"/>
        <rFont val="新細明體"/>
        <family val="1"/>
        <charset val="136"/>
        <scheme val="minor"/>
      </rPr>
      <t>14</t>
    </r>
    <phoneticPr fontId="7" type="noConversion"/>
  </si>
  <si>
    <r>
      <t>010</t>
    </r>
    <r>
      <rPr>
        <sz val="12"/>
        <color theme="1"/>
        <rFont val="新細明體"/>
        <family val="1"/>
        <charset val="136"/>
        <scheme val="minor"/>
      </rPr>
      <t>6</t>
    </r>
    <phoneticPr fontId="7" type="noConversion"/>
  </si>
  <si>
    <r>
      <t>0</t>
    </r>
    <r>
      <rPr>
        <sz val="12"/>
        <color theme="1"/>
        <rFont val="新細明體"/>
        <family val="1"/>
        <charset val="136"/>
        <scheme val="minor"/>
      </rPr>
      <t>113</t>
    </r>
    <phoneticPr fontId="2" type="noConversion"/>
  </si>
  <si>
    <r>
      <t>1</t>
    </r>
    <r>
      <rPr>
        <sz val="12"/>
        <color theme="1"/>
        <rFont val="新細明體"/>
        <family val="1"/>
        <charset val="136"/>
        <scheme val="minor"/>
      </rPr>
      <t>2</t>
    </r>
    <r>
      <rPr>
        <sz val="12"/>
        <color indexed="8"/>
        <rFont val="新細明體"/>
        <family val="1"/>
        <charset val="136"/>
      </rPr>
      <t>29</t>
    </r>
    <phoneticPr fontId="7" type="noConversion"/>
  </si>
  <si>
    <r>
      <t>0</t>
    </r>
    <r>
      <rPr>
        <sz val="12"/>
        <color theme="1"/>
        <rFont val="新細明體"/>
        <family val="1"/>
        <charset val="136"/>
        <scheme val="minor"/>
      </rPr>
      <t>301</t>
    </r>
    <phoneticPr fontId="2" type="noConversion"/>
  </si>
  <si>
    <r>
      <t>030</t>
    </r>
    <r>
      <rPr>
        <sz val="12"/>
        <color theme="1"/>
        <rFont val="新細明體"/>
        <family val="1"/>
        <charset val="136"/>
        <scheme val="minor"/>
      </rPr>
      <t>1</t>
    </r>
    <phoneticPr fontId="7" type="noConversion"/>
  </si>
  <si>
    <r>
      <t>0</t>
    </r>
    <r>
      <rPr>
        <sz val="12"/>
        <color theme="1"/>
        <rFont val="新細明體"/>
        <family val="1"/>
        <charset val="136"/>
        <scheme val="minor"/>
      </rPr>
      <t>606</t>
    </r>
    <phoneticPr fontId="7" type="noConversion"/>
  </si>
  <si>
    <r>
      <t>0</t>
    </r>
    <r>
      <rPr>
        <sz val="12"/>
        <color theme="1"/>
        <rFont val="新細明體"/>
        <family val="1"/>
        <charset val="136"/>
        <scheme val="minor"/>
      </rPr>
      <t>301</t>
    </r>
    <phoneticPr fontId="7" type="noConversion"/>
  </si>
  <si>
    <r>
      <t>0</t>
    </r>
    <r>
      <rPr>
        <sz val="12"/>
        <color theme="1"/>
        <rFont val="新細明體"/>
        <family val="1"/>
        <charset val="136"/>
        <scheme val="minor"/>
      </rPr>
      <t>410</t>
    </r>
    <phoneticPr fontId="2" type="noConversion"/>
  </si>
  <si>
    <r>
      <t>09</t>
    </r>
    <r>
      <rPr>
        <sz val="12"/>
        <color theme="1"/>
        <rFont val="新細明體"/>
        <family val="1"/>
        <charset val="136"/>
        <scheme val="minor"/>
      </rPr>
      <t>05</t>
    </r>
    <phoneticPr fontId="7" type="noConversion"/>
  </si>
  <si>
    <r>
      <t>1</t>
    </r>
    <r>
      <rPr>
        <sz val="12"/>
        <color indexed="8"/>
        <rFont val="新細明體"/>
        <family val="1"/>
        <charset val="136"/>
      </rPr>
      <t>111</t>
    </r>
    <phoneticPr fontId="7" type="noConversion"/>
  </si>
  <si>
    <r>
      <t>0</t>
    </r>
    <r>
      <rPr>
        <sz val="12"/>
        <color theme="1"/>
        <rFont val="新細明體"/>
        <family val="1"/>
        <charset val="136"/>
        <scheme val="minor"/>
      </rPr>
      <t>528</t>
    </r>
    <phoneticPr fontId="7" type="noConversion"/>
  </si>
  <si>
    <r>
      <t>071</t>
    </r>
    <r>
      <rPr>
        <sz val="12"/>
        <color theme="1"/>
        <rFont val="新細明體"/>
        <family val="1"/>
        <charset val="136"/>
        <scheme val="minor"/>
      </rPr>
      <t>6</t>
    </r>
    <phoneticPr fontId="7" type="noConversion"/>
  </si>
  <si>
    <r>
      <t>0</t>
    </r>
    <r>
      <rPr>
        <sz val="12"/>
        <color theme="1"/>
        <rFont val="新細明體"/>
        <family val="1"/>
        <charset val="136"/>
        <scheme val="minor"/>
      </rPr>
      <t>121</t>
    </r>
    <phoneticPr fontId="7" type="noConversion"/>
  </si>
  <si>
    <r>
      <t>1</t>
    </r>
    <r>
      <rPr>
        <sz val="12"/>
        <color theme="1"/>
        <rFont val="新細明體"/>
        <family val="1"/>
        <charset val="136"/>
        <scheme val="minor"/>
      </rPr>
      <t>228</t>
    </r>
    <phoneticPr fontId="7" type="noConversion"/>
  </si>
  <si>
    <r>
      <t>0</t>
    </r>
    <r>
      <rPr>
        <sz val="12"/>
        <color theme="1"/>
        <rFont val="新細明體"/>
        <family val="1"/>
        <charset val="136"/>
        <scheme val="minor"/>
      </rPr>
      <t>6</t>
    </r>
    <r>
      <rPr>
        <sz val="12"/>
        <color indexed="8"/>
        <rFont val="新細明體"/>
        <family val="1"/>
        <charset val="136"/>
      </rPr>
      <t>18</t>
    </r>
    <phoneticPr fontId="7" type="noConversion"/>
  </si>
  <si>
    <r>
      <t>0</t>
    </r>
    <r>
      <rPr>
        <sz val="12"/>
        <color theme="1"/>
        <rFont val="新細明體"/>
        <family val="1"/>
        <charset val="136"/>
        <scheme val="minor"/>
      </rPr>
      <t>806</t>
    </r>
    <phoneticPr fontId="2" type="noConversion"/>
  </si>
  <si>
    <r>
      <t>0</t>
    </r>
    <r>
      <rPr>
        <sz val="12"/>
        <color theme="1"/>
        <rFont val="新細明體"/>
        <family val="1"/>
        <charset val="136"/>
        <scheme val="minor"/>
      </rPr>
      <t>6</t>
    </r>
    <r>
      <rPr>
        <sz val="12"/>
        <color indexed="8"/>
        <rFont val="新細明體"/>
        <family val="1"/>
        <charset val="136"/>
      </rPr>
      <t>28</t>
    </r>
    <phoneticPr fontId="7" type="noConversion"/>
  </si>
  <si>
    <r>
      <t>091</t>
    </r>
    <r>
      <rPr>
        <sz val="12"/>
        <color theme="1"/>
        <rFont val="新細明體"/>
        <family val="1"/>
        <charset val="136"/>
        <scheme val="minor"/>
      </rPr>
      <t>5</t>
    </r>
    <phoneticPr fontId="7" type="noConversion"/>
  </si>
  <si>
    <r>
      <t>0</t>
    </r>
    <r>
      <rPr>
        <sz val="12"/>
        <color theme="1"/>
        <rFont val="新細明體"/>
        <family val="1"/>
        <charset val="136"/>
        <scheme val="minor"/>
      </rPr>
      <t>826</t>
    </r>
    <phoneticPr fontId="2" type="noConversion"/>
  </si>
  <si>
    <r>
      <t>071</t>
    </r>
    <r>
      <rPr>
        <sz val="12"/>
        <color theme="1"/>
        <rFont val="新細明體"/>
        <family val="1"/>
        <charset val="136"/>
        <scheme val="minor"/>
      </rPr>
      <t>0</t>
    </r>
    <phoneticPr fontId="7" type="noConversion"/>
  </si>
  <si>
    <r>
      <t>07</t>
    </r>
    <r>
      <rPr>
        <sz val="12"/>
        <color theme="1"/>
        <rFont val="新細明體"/>
        <family val="1"/>
        <charset val="136"/>
        <scheme val="minor"/>
      </rPr>
      <t>14</t>
    </r>
    <phoneticPr fontId="7" type="noConversion"/>
  </si>
  <si>
    <r>
      <t>020</t>
    </r>
    <r>
      <rPr>
        <sz val="12"/>
        <color theme="1"/>
        <rFont val="新細明體"/>
        <family val="1"/>
        <charset val="136"/>
        <scheme val="minor"/>
      </rPr>
      <t>5</t>
    </r>
    <phoneticPr fontId="7" type="noConversion"/>
  </si>
  <si>
    <r>
      <t>09</t>
    </r>
    <r>
      <rPr>
        <sz val="12"/>
        <color theme="1"/>
        <rFont val="新細明體"/>
        <family val="1"/>
        <charset val="136"/>
        <scheme val="minor"/>
      </rPr>
      <t>08</t>
    </r>
    <phoneticPr fontId="7" type="noConversion"/>
  </si>
  <si>
    <r>
      <t>0</t>
    </r>
    <r>
      <rPr>
        <sz val="12"/>
        <color theme="1"/>
        <rFont val="新細明體"/>
        <family val="1"/>
        <charset val="136"/>
        <scheme val="minor"/>
      </rPr>
      <t>825</t>
    </r>
    <phoneticPr fontId="7" type="noConversion"/>
  </si>
  <si>
    <r>
      <t>120</t>
    </r>
    <r>
      <rPr>
        <sz val="12"/>
        <color theme="1"/>
        <rFont val="新細明體"/>
        <family val="1"/>
        <charset val="136"/>
        <scheme val="minor"/>
      </rPr>
      <t>1</t>
    </r>
    <phoneticPr fontId="7" type="noConversion"/>
  </si>
  <si>
    <r>
      <t>050</t>
    </r>
    <r>
      <rPr>
        <sz val="12"/>
        <color theme="1"/>
        <rFont val="新細明體"/>
        <family val="1"/>
        <charset val="136"/>
        <scheme val="minor"/>
      </rPr>
      <t>2</t>
    </r>
    <phoneticPr fontId="7" type="noConversion"/>
  </si>
  <si>
    <r>
      <t>0</t>
    </r>
    <r>
      <rPr>
        <sz val="12"/>
        <color theme="1"/>
        <rFont val="新細明體"/>
        <family val="1"/>
        <charset val="136"/>
        <scheme val="minor"/>
      </rPr>
      <t>118</t>
    </r>
    <phoneticPr fontId="7" type="noConversion"/>
  </si>
  <si>
    <r>
      <t>0</t>
    </r>
    <r>
      <rPr>
        <sz val="12"/>
        <color theme="1"/>
        <rFont val="新細明體"/>
        <family val="1"/>
        <charset val="136"/>
        <scheme val="minor"/>
      </rPr>
      <t>805</t>
    </r>
    <phoneticPr fontId="2" type="noConversion"/>
  </si>
  <si>
    <r>
      <t>0</t>
    </r>
    <r>
      <rPr>
        <sz val="12"/>
        <color theme="1"/>
        <rFont val="新細明體"/>
        <family val="1"/>
        <charset val="136"/>
        <scheme val="minor"/>
      </rPr>
      <t>229</t>
    </r>
    <phoneticPr fontId="7" type="noConversion"/>
  </si>
  <si>
    <r>
      <t>0</t>
    </r>
    <r>
      <rPr>
        <sz val="12"/>
        <color theme="1"/>
        <rFont val="新細明體"/>
        <family val="1"/>
        <charset val="136"/>
        <scheme val="minor"/>
      </rPr>
      <t>402</t>
    </r>
    <phoneticPr fontId="2" type="noConversion"/>
  </si>
  <si>
    <r>
      <t>1</t>
    </r>
    <r>
      <rPr>
        <sz val="12"/>
        <color theme="1"/>
        <rFont val="新細明體"/>
        <family val="1"/>
        <charset val="136"/>
        <scheme val="minor"/>
      </rPr>
      <t>107</t>
    </r>
    <phoneticPr fontId="2" type="noConversion"/>
  </si>
  <si>
    <r>
      <t>1</t>
    </r>
    <r>
      <rPr>
        <sz val="12"/>
        <color theme="1"/>
        <rFont val="新細明體"/>
        <family val="1"/>
        <charset val="136"/>
        <scheme val="minor"/>
      </rPr>
      <t>129</t>
    </r>
    <phoneticPr fontId="7" type="noConversion"/>
  </si>
  <si>
    <r>
      <t>01</t>
    </r>
    <r>
      <rPr>
        <sz val="12"/>
        <color theme="1"/>
        <rFont val="新細明體"/>
        <family val="1"/>
        <charset val="136"/>
        <scheme val="minor"/>
      </rPr>
      <t>13</t>
    </r>
    <phoneticPr fontId="7" type="noConversion"/>
  </si>
  <si>
    <r>
      <t>09</t>
    </r>
    <r>
      <rPr>
        <sz val="12"/>
        <color theme="1"/>
        <rFont val="新細明體"/>
        <family val="1"/>
        <charset val="136"/>
        <scheme val="minor"/>
      </rPr>
      <t>03</t>
    </r>
    <phoneticPr fontId="7" type="noConversion"/>
  </si>
  <si>
    <r>
      <t>112</t>
    </r>
    <r>
      <rPr>
        <sz val="12"/>
        <color theme="1"/>
        <rFont val="新細明體"/>
        <family val="1"/>
        <charset val="136"/>
        <scheme val="minor"/>
      </rPr>
      <t>0</t>
    </r>
    <phoneticPr fontId="7" type="noConversion"/>
  </si>
  <si>
    <r>
      <t>0</t>
    </r>
    <r>
      <rPr>
        <sz val="12"/>
        <color theme="1"/>
        <rFont val="新細明體"/>
        <family val="1"/>
        <charset val="136"/>
        <scheme val="minor"/>
      </rPr>
      <t>811</t>
    </r>
    <phoneticPr fontId="2" type="noConversion"/>
  </si>
  <si>
    <r>
      <t>0</t>
    </r>
    <r>
      <rPr>
        <sz val="12"/>
        <color theme="1"/>
        <rFont val="新細明體"/>
        <family val="1"/>
        <charset val="136"/>
        <scheme val="minor"/>
      </rPr>
      <t>323</t>
    </r>
    <phoneticPr fontId="7" type="noConversion"/>
  </si>
  <si>
    <r>
      <t>0</t>
    </r>
    <r>
      <rPr>
        <sz val="12"/>
        <color theme="1"/>
        <rFont val="新細明體"/>
        <family val="1"/>
        <charset val="136"/>
        <scheme val="minor"/>
      </rPr>
      <t>6</t>
    </r>
    <r>
      <rPr>
        <sz val="12"/>
        <color indexed="8"/>
        <rFont val="新細明體"/>
        <family val="1"/>
        <charset val="136"/>
      </rPr>
      <t>25</t>
    </r>
    <phoneticPr fontId="7" type="noConversion"/>
  </si>
  <si>
    <r>
      <t>0</t>
    </r>
    <r>
      <rPr>
        <sz val="12"/>
        <color theme="1"/>
        <rFont val="新細明體"/>
        <family val="1"/>
        <charset val="136"/>
        <scheme val="minor"/>
      </rPr>
      <t>521</t>
    </r>
    <phoneticPr fontId="7" type="noConversion"/>
  </si>
  <si>
    <r>
      <t>0</t>
    </r>
    <r>
      <rPr>
        <sz val="12"/>
        <color theme="1"/>
        <rFont val="新細明體"/>
        <family val="1"/>
        <charset val="136"/>
        <scheme val="minor"/>
      </rPr>
      <t>831</t>
    </r>
    <phoneticPr fontId="2" type="noConversion"/>
  </si>
  <si>
    <r>
      <t>0</t>
    </r>
    <r>
      <rPr>
        <sz val="12"/>
        <color theme="1"/>
        <rFont val="新細明體"/>
        <family val="1"/>
        <charset val="136"/>
        <scheme val="minor"/>
      </rPr>
      <t>719</t>
    </r>
    <phoneticPr fontId="2" type="noConversion"/>
  </si>
  <si>
    <r>
      <t>0</t>
    </r>
    <r>
      <rPr>
        <sz val="12"/>
        <color theme="1"/>
        <rFont val="新細明體"/>
        <family val="1"/>
        <charset val="136"/>
        <scheme val="minor"/>
      </rPr>
      <t>802</t>
    </r>
    <phoneticPr fontId="2" type="noConversion"/>
  </si>
  <si>
    <r>
      <t>0</t>
    </r>
    <r>
      <rPr>
        <sz val="12"/>
        <color theme="1"/>
        <rFont val="新細明體"/>
        <family val="1"/>
        <charset val="136"/>
        <scheme val="minor"/>
      </rPr>
      <t>8</t>
    </r>
    <r>
      <rPr>
        <sz val="12"/>
        <color indexed="8"/>
        <rFont val="新細明體"/>
        <family val="1"/>
        <charset val="136"/>
      </rPr>
      <t>09</t>
    </r>
    <phoneticPr fontId="7" type="noConversion"/>
  </si>
  <si>
    <r>
      <t>1</t>
    </r>
    <r>
      <rPr>
        <sz val="12"/>
        <color theme="1"/>
        <rFont val="新細明體"/>
        <family val="1"/>
        <charset val="136"/>
        <scheme val="minor"/>
      </rPr>
      <t>119</t>
    </r>
    <phoneticPr fontId="2" type="noConversion"/>
  </si>
  <si>
    <r>
      <t>1</t>
    </r>
    <r>
      <rPr>
        <sz val="12"/>
        <color theme="1"/>
        <rFont val="新細明體"/>
        <family val="1"/>
        <charset val="136"/>
        <scheme val="minor"/>
      </rPr>
      <t>204</t>
    </r>
    <phoneticPr fontId="2" type="noConversion"/>
  </si>
  <si>
    <t>王松齡</t>
    <phoneticPr fontId="7" type="noConversion"/>
  </si>
  <si>
    <r>
      <t>04</t>
    </r>
    <r>
      <rPr>
        <sz val="12"/>
        <color theme="1"/>
        <rFont val="新細明體"/>
        <family val="1"/>
        <charset val="136"/>
        <scheme val="minor"/>
      </rPr>
      <t>2</t>
    </r>
    <r>
      <rPr>
        <sz val="12"/>
        <color indexed="8"/>
        <rFont val="新細明體"/>
        <family val="1"/>
        <charset val="136"/>
      </rPr>
      <t>0</t>
    </r>
    <phoneticPr fontId="7" type="noConversion"/>
  </si>
  <si>
    <r>
      <t>1</t>
    </r>
    <r>
      <rPr>
        <sz val="12"/>
        <color theme="1"/>
        <rFont val="新細明體"/>
        <family val="1"/>
        <charset val="136"/>
        <scheme val="minor"/>
      </rPr>
      <t>029</t>
    </r>
    <phoneticPr fontId="7" type="noConversion"/>
  </si>
  <si>
    <r>
      <t>05</t>
    </r>
    <r>
      <rPr>
        <sz val="12"/>
        <color theme="1"/>
        <rFont val="新細明體"/>
        <family val="1"/>
        <charset val="136"/>
        <scheme val="minor"/>
      </rPr>
      <t>05</t>
    </r>
    <phoneticPr fontId="7" type="noConversion"/>
  </si>
  <si>
    <r>
      <t>11</t>
    </r>
    <r>
      <rPr>
        <sz val="12"/>
        <color theme="1"/>
        <rFont val="新細明體"/>
        <family val="1"/>
        <charset val="136"/>
        <scheme val="minor"/>
      </rPr>
      <t>04</t>
    </r>
    <phoneticPr fontId="7" type="noConversion"/>
  </si>
  <si>
    <r>
      <t>12</t>
    </r>
    <r>
      <rPr>
        <sz val="12"/>
        <color theme="1"/>
        <rFont val="新細明體"/>
        <family val="1"/>
        <charset val="136"/>
        <scheme val="minor"/>
      </rPr>
      <t>23</t>
    </r>
    <phoneticPr fontId="7" type="noConversion"/>
  </si>
  <si>
    <r>
      <t>122</t>
    </r>
    <r>
      <rPr>
        <sz val="12"/>
        <color theme="1"/>
        <rFont val="新細明體"/>
        <family val="1"/>
        <charset val="136"/>
        <scheme val="minor"/>
      </rPr>
      <t>2</t>
    </r>
    <phoneticPr fontId="7" type="noConversion"/>
  </si>
  <si>
    <r>
      <t>03</t>
    </r>
    <r>
      <rPr>
        <sz val="12"/>
        <color theme="1"/>
        <rFont val="新細明體"/>
        <family val="1"/>
        <charset val="136"/>
        <scheme val="minor"/>
      </rPr>
      <t>07</t>
    </r>
    <phoneticPr fontId="7" type="noConversion"/>
  </si>
  <si>
    <r>
      <t>06</t>
    </r>
    <r>
      <rPr>
        <sz val="12"/>
        <color theme="1"/>
        <rFont val="新細明體"/>
        <family val="1"/>
        <charset val="136"/>
        <scheme val="minor"/>
      </rPr>
      <t>19</t>
    </r>
    <phoneticPr fontId="7" type="noConversion"/>
  </si>
  <si>
    <r>
      <t>05</t>
    </r>
    <r>
      <rPr>
        <sz val="12"/>
        <color theme="1"/>
        <rFont val="新細明體"/>
        <family val="1"/>
        <charset val="136"/>
        <scheme val="minor"/>
      </rPr>
      <t>23</t>
    </r>
    <phoneticPr fontId="7" type="noConversion"/>
  </si>
  <si>
    <r>
      <t>10</t>
    </r>
    <r>
      <rPr>
        <sz val="12"/>
        <color theme="1"/>
        <rFont val="新細明體"/>
        <family val="1"/>
        <charset val="136"/>
        <scheme val="minor"/>
      </rPr>
      <t>04</t>
    </r>
    <phoneticPr fontId="7" type="noConversion"/>
  </si>
  <si>
    <r>
      <t>12</t>
    </r>
    <r>
      <rPr>
        <sz val="12"/>
        <color theme="1"/>
        <rFont val="新細明體"/>
        <family val="1"/>
        <charset val="136"/>
        <scheme val="minor"/>
      </rPr>
      <t>06</t>
    </r>
    <phoneticPr fontId="7" type="noConversion"/>
  </si>
  <si>
    <t>余明永</t>
    <phoneticPr fontId="2" type="noConversion"/>
  </si>
  <si>
    <t>黃吉榮</t>
    <phoneticPr fontId="2" type="noConversion"/>
  </si>
  <si>
    <t>備註</t>
    <phoneticPr fontId="2" type="noConversion"/>
  </si>
  <si>
    <t>「單號」冊第4頁</t>
    <phoneticPr fontId="2" type="noConversion"/>
  </si>
  <si>
    <t>「單號」冊第5頁</t>
    <phoneticPr fontId="2" type="noConversion"/>
  </si>
  <si>
    <t>「單號」冊第6頁</t>
    <phoneticPr fontId="2" type="noConversion"/>
  </si>
  <si>
    <t>「單號」冊第9頁</t>
    <phoneticPr fontId="2" type="noConversion"/>
  </si>
  <si>
    <t>「單號」冊第10頁</t>
    <phoneticPr fontId="2" type="noConversion"/>
  </si>
  <si>
    <t>「單號」冊第7-8頁</t>
    <phoneticPr fontId="2" type="noConversion"/>
  </si>
  <si>
    <t>「單號」冊第11頁</t>
    <phoneticPr fontId="2" type="noConversion"/>
  </si>
  <si>
    <t>「單號」冊第12頁</t>
    <phoneticPr fontId="2" type="noConversion"/>
  </si>
  <si>
    <t>「單號」冊第13頁</t>
    <phoneticPr fontId="2" type="noConversion"/>
  </si>
  <si>
    <t>「單號」冊第14頁</t>
    <phoneticPr fontId="2" type="noConversion"/>
  </si>
  <si>
    <t>「單號」冊第15頁</t>
    <phoneticPr fontId="2" type="noConversion"/>
  </si>
  <si>
    <t>「單號」冊第16頁</t>
    <phoneticPr fontId="2" type="noConversion"/>
  </si>
  <si>
    <t>「單號」冊第17頁</t>
    <phoneticPr fontId="2" type="noConversion"/>
  </si>
  <si>
    <t>「單號」冊第18頁</t>
    <phoneticPr fontId="2" type="noConversion"/>
  </si>
  <si>
    <t>「單號」冊第19頁</t>
    <phoneticPr fontId="2" type="noConversion"/>
  </si>
  <si>
    <t>「單號」冊第20頁</t>
    <phoneticPr fontId="2" type="noConversion"/>
  </si>
  <si>
    <t>「單號」冊第21頁</t>
    <phoneticPr fontId="2" type="noConversion"/>
  </si>
  <si>
    <t>「單號」冊第22頁</t>
    <phoneticPr fontId="2" type="noConversion"/>
  </si>
  <si>
    <t>「單號」冊第23頁</t>
    <phoneticPr fontId="2" type="noConversion"/>
  </si>
  <si>
    <t>「單號」冊第24頁</t>
    <phoneticPr fontId="2" type="noConversion"/>
  </si>
  <si>
    <t>「單號」冊第25頁</t>
    <phoneticPr fontId="2" type="noConversion"/>
  </si>
  <si>
    <t>「單號」冊第26頁</t>
    <phoneticPr fontId="2" type="noConversion"/>
  </si>
  <si>
    <t>「單號」冊第27頁</t>
    <phoneticPr fontId="2" type="noConversion"/>
  </si>
  <si>
    <t>「單號」冊第28頁</t>
    <phoneticPr fontId="2" type="noConversion"/>
  </si>
  <si>
    <t>「單號」冊第29頁</t>
    <phoneticPr fontId="2" type="noConversion"/>
  </si>
  <si>
    <t>「單號」冊第30頁</t>
    <phoneticPr fontId="2" type="noConversion"/>
  </si>
  <si>
    <t>「單號」冊第31頁</t>
    <phoneticPr fontId="2" type="noConversion"/>
  </si>
  <si>
    <t>「單號」冊第32頁</t>
    <phoneticPr fontId="2" type="noConversion"/>
  </si>
  <si>
    <t>「單號」冊第33頁</t>
    <phoneticPr fontId="2" type="noConversion"/>
  </si>
  <si>
    <t>「單號」冊第34頁</t>
    <phoneticPr fontId="2" type="noConversion"/>
  </si>
  <si>
    <t>「單號」冊第35頁</t>
    <phoneticPr fontId="2" type="noConversion"/>
  </si>
  <si>
    <t>「單號」冊第36頁</t>
    <phoneticPr fontId="2" type="noConversion"/>
  </si>
  <si>
    <t>「單號」冊第37頁</t>
    <phoneticPr fontId="2" type="noConversion"/>
  </si>
  <si>
    <t>「單號」冊第38頁</t>
    <phoneticPr fontId="2" type="noConversion"/>
  </si>
  <si>
    <t>「單號」冊第39頁</t>
    <phoneticPr fontId="2" type="noConversion"/>
  </si>
  <si>
    <t>「單號」冊第40頁</t>
    <phoneticPr fontId="2" type="noConversion"/>
  </si>
  <si>
    <t>「單號」冊第41頁</t>
    <phoneticPr fontId="2" type="noConversion"/>
  </si>
  <si>
    <t>「單號」冊第42頁</t>
    <phoneticPr fontId="2" type="noConversion"/>
  </si>
  <si>
    <t>「單號」冊第43頁</t>
    <phoneticPr fontId="2" type="noConversion"/>
  </si>
  <si>
    <t>「單號」冊第44頁</t>
    <phoneticPr fontId="2" type="noConversion"/>
  </si>
  <si>
    <t>「單號」冊第45頁</t>
    <phoneticPr fontId="2" type="noConversion"/>
  </si>
  <si>
    <t>「單號」冊第46頁</t>
    <phoneticPr fontId="2" type="noConversion"/>
  </si>
  <si>
    <t>「單號」冊第47頁</t>
    <phoneticPr fontId="2" type="noConversion"/>
  </si>
  <si>
    <t>「單號」冊第48頁</t>
    <phoneticPr fontId="2" type="noConversion"/>
  </si>
  <si>
    <t>「單號」冊第49頁</t>
    <phoneticPr fontId="2" type="noConversion"/>
  </si>
  <si>
    <t>「單號」冊第50頁</t>
    <phoneticPr fontId="2" type="noConversion"/>
  </si>
  <si>
    <t>「單號」冊第51頁</t>
    <phoneticPr fontId="2" type="noConversion"/>
  </si>
  <si>
    <t>「單號」冊第52頁</t>
    <phoneticPr fontId="2" type="noConversion"/>
  </si>
  <si>
    <t>「單號」冊第53頁</t>
    <phoneticPr fontId="2" type="noConversion"/>
  </si>
  <si>
    <t>「單號」冊第54頁</t>
    <phoneticPr fontId="2" type="noConversion"/>
  </si>
  <si>
    <t>「單號」冊第55頁</t>
    <phoneticPr fontId="2" type="noConversion"/>
  </si>
  <si>
    <t>「單號」冊第56頁</t>
    <phoneticPr fontId="2" type="noConversion"/>
  </si>
  <si>
    <t>「單號」冊第57頁</t>
    <phoneticPr fontId="2" type="noConversion"/>
  </si>
  <si>
    <t>「單號」冊第58頁</t>
    <phoneticPr fontId="2" type="noConversion"/>
  </si>
  <si>
    <t>「單號」冊第59頁</t>
    <phoneticPr fontId="2" type="noConversion"/>
  </si>
  <si>
    <t>「單號」冊第60頁</t>
    <phoneticPr fontId="2" type="noConversion"/>
  </si>
  <si>
    <t>「單號」冊第61頁</t>
    <phoneticPr fontId="2" type="noConversion"/>
  </si>
  <si>
    <t>「單號」冊第62頁</t>
    <phoneticPr fontId="2" type="noConversion"/>
  </si>
  <si>
    <t>「單號」冊第64頁</t>
    <phoneticPr fontId="2" type="noConversion"/>
  </si>
  <si>
    <t>「單號」冊第65頁</t>
    <phoneticPr fontId="2" type="noConversion"/>
  </si>
  <si>
    <t>「單號」冊第66頁</t>
    <phoneticPr fontId="2" type="noConversion"/>
  </si>
  <si>
    <t>「單號」冊第67頁</t>
    <phoneticPr fontId="2" type="noConversion"/>
  </si>
  <si>
    <t>「單號」冊第68頁</t>
    <phoneticPr fontId="2" type="noConversion"/>
  </si>
  <si>
    <t>「單號」冊第69-70頁</t>
    <phoneticPr fontId="2" type="noConversion"/>
  </si>
  <si>
    <t>「單號」冊第71頁</t>
    <phoneticPr fontId="2" type="noConversion"/>
  </si>
  <si>
    <t>「單號」冊第72頁</t>
    <phoneticPr fontId="2" type="noConversion"/>
  </si>
  <si>
    <t>「單號」冊第73頁</t>
    <phoneticPr fontId="2" type="noConversion"/>
  </si>
  <si>
    <t>「單號」冊第74頁</t>
    <phoneticPr fontId="2" type="noConversion"/>
  </si>
  <si>
    <t>「單號」冊第75頁</t>
    <phoneticPr fontId="2" type="noConversion"/>
  </si>
  <si>
    <t>「單號」冊第76頁</t>
    <phoneticPr fontId="2" type="noConversion"/>
  </si>
  <si>
    <t>「單號」冊第77頁</t>
    <phoneticPr fontId="2" type="noConversion"/>
  </si>
  <si>
    <t>「單號」冊第78頁</t>
    <phoneticPr fontId="2" type="noConversion"/>
  </si>
  <si>
    <t>「單號」冊第79頁</t>
    <phoneticPr fontId="2" type="noConversion"/>
  </si>
  <si>
    <t>「單號」冊第80頁</t>
    <phoneticPr fontId="2" type="noConversion"/>
  </si>
  <si>
    <t>「單號」冊第81頁</t>
    <phoneticPr fontId="2" type="noConversion"/>
  </si>
  <si>
    <t>「單號」冊第82頁</t>
    <phoneticPr fontId="2" type="noConversion"/>
  </si>
  <si>
    <t>「單號」冊第83頁</t>
    <phoneticPr fontId="2" type="noConversion"/>
  </si>
  <si>
    <t>「單號」冊第84頁</t>
    <phoneticPr fontId="2" type="noConversion"/>
  </si>
  <si>
    <t>「單號」冊第85頁</t>
    <phoneticPr fontId="2" type="noConversion"/>
  </si>
  <si>
    <t>「單號」冊第86頁</t>
    <phoneticPr fontId="2" type="noConversion"/>
  </si>
  <si>
    <t>「單號」冊第87頁</t>
    <phoneticPr fontId="2" type="noConversion"/>
  </si>
  <si>
    <t>「單號」冊第88頁</t>
    <phoneticPr fontId="2" type="noConversion"/>
  </si>
  <si>
    <t>「單號」冊第89頁</t>
    <phoneticPr fontId="2" type="noConversion"/>
  </si>
  <si>
    <t>「單號」冊第91頁</t>
    <phoneticPr fontId="2" type="noConversion"/>
  </si>
  <si>
    <t>「單號」冊第92頁</t>
    <phoneticPr fontId="2" type="noConversion"/>
  </si>
  <si>
    <t>「單號」冊第93頁</t>
    <phoneticPr fontId="2" type="noConversion"/>
  </si>
  <si>
    <t>「單號」冊第94頁</t>
    <phoneticPr fontId="2" type="noConversion"/>
  </si>
  <si>
    <t>「單號」冊第95頁</t>
    <phoneticPr fontId="2" type="noConversion"/>
  </si>
  <si>
    <t>「單號」冊第96頁</t>
    <phoneticPr fontId="2" type="noConversion"/>
  </si>
  <si>
    <t>「單號」冊第97頁</t>
    <phoneticPr fontId="2" type="noConversion"/>
  </si>
  <si>
    <t>「單號」冊第98頁</t>
    <phoneticPr fontId="2" type="noConversion"/>
  </si>
  <si>
    <t>「單號」冊第99頁</t>
    <phoneticPr fontId="2" type="noConversion"/>
  </si>
  <si>
    <t>「單號」冊第100頁</t>
    <phoneticPr fontId="2" type="noConversion"/>
  </si>
  <si>
    <t>「單號」冊第101頁</t>
    <phoneticPr fontId="2" type="noConversion"/>
  </si>
  <si>
    <t>「單號」冊第102頁</t>
    <phoneticPr fontId="2" type="noConversion"/>
  </si>
  <si>
    <t>「單號」冊第103頁</t>
    <phoneticPr fontId="2" type="noConversion"/>
  </si>
  <si>
    <t>「單號」冊第104頁</t>
    <phoneticPr fontId="2" type="noConversion"/>
  </si>
  <si>
    <t>「單號」冊第106頁</t>
    <phoneticPr fontId="2" type="noConversion"/>
  </si>
  <si>
    <t>陳江山</t>
    <phoneticPr fontId="7" type="noConversion"/>
  </si>
  <si>
    <t>黃聰明</t>
    <phoneticPr fontId="7" type="noConversion"/>
  </si>
  <si>
    <t>0421</t>
    <phoneticPr fontId="7" type="noConversion"/>
  </si>
  <si>
    <t>1105</t>
    <phoneticPr fontId="7" type="noConversion"/>
  </si>
  <si>
    <t>楊宗霖</t>
    <phoneticPr fontId="7" type="noConversion"/>
  </si>
  <si>
    <t>第4頁</t>
    <phoneticPr fontId="2" type="noConversion"/>
  </si>
  <si>
    <t>第6頁</t>
  </si>
  <si>
    <t>100 12/6*5440 101 1/25*750</t>
    <phoneticPr fontId="2" type="noConversion"/>
  </si>
  <si>
    <t>第8頁</t>
  </si>
  <si>
    <t>不明</t>
    <phoneticPr fontId="2" type="noConversion"/>
  </si>
  <si>
    <t>第9頁</t>
  </si>
  <si>
    <t>溫大慶</t>
    <phoneticPr fontId="7" type="noConversion"/>
  </si>
  <si>
    <t>汪漢禎</t>
    <phoneticPr fontId="7" type="noConversion"/>
  </si>
  <si>
    <t>扣押物箱內編號19-3-4第49頁</t>
    <phoneticPr fontId="2" type="noConversion"/>
  </si>
  <si>
    <t>扣押物箱內編號19-3-4第50頁</t>
    <phoneticPr fontId="2" type="noConversion"/>
  </si>
  <si>
    <t>起訴書漏載</t>
    <phoneticPr fontId="2" type="noConversion"/>
  </si>
  <si>
    <t>扣押物箱內編號19-3-4第51頁</t>
    <phoneticPr fontId="2" type="noConversion"/>
  </si>
  <si>
    <t>扣押物箱內編號19-3-4第52頁</t>
    <phoneticPr fontId="2" type="noConversion"/>
  </si>
  <si>
    <t>扣押物箱內編號19-3-4第53頁</t>
    <phoneticPr fontId="2" type="noConversion"/>
  </si>
  <si>
    <t>扣押物箱內編號19-3-4第54頁</t>
    <phoneticPr fontId="2" type="noConversion"/>
  </si>
  <si>
    <t>扣押物箱內編號19-3-4第55頁</t>
    <phoneticPr fontId="2" type="noConversion"/>
  </si>
  <si>
    <t>扣押物箱內編號19-3-4第56頁</t>
    <phoneticPr fontId="2" type="noConversion"/>
  </si>
  <si>
    <t>扣押物箱內編號19-3-4第57頁</t>
    <phoneticPr fontId="2" type="noConversion"/>
  </si>
  <si>
    <t>扣押物箱內編號19-3-4第58頁</t>
    <phoneticPr fontId="2" type="noConversion"/>
  </si>
  <si>
    <t>扣押物箱內編號19-3-4第59頁</t>
    <phoneticPr fontId="2" type="noConversion"/>
  </si>
  <si>
    <t>扣押物箱內編號19-3-4第61頁</t>
    <phoneticPr fontId="2" type="noConversion"/>
  </si>
  <si>
    <t>扣押物箱內編號19-3-4第62頁</t>
    <phoneticPr fontId="2" type="noConversion"/>
  </si>
  <si>
    <t>扣押物箱內編號19-3-4第63頁</t>
    <phoneticPr fontId="2" type="noConversion"/>
  </si>
  <si>
    <t>扣押物箱內編號19-3-4第64頁</t>
    <phoneticPr fontId="2" type="noConversion"/>
  </si>
  <si>
    <t>扣押物箱內編號19-3-4第65頁</t>
    <phoneticPr fontId="2" type="noConversion"/>
  </si>
  <si>
    <t>扣押物箱內編號19-3-4第66頁</t>
    <phoneticPr fontId="2" type="noConversion"/>
  </si>
  <si>
    <t>扣押物箱內編號19-3-4第67頁</t>
    <phoneticPr fontId="2" type="noConversion"/>
  </si>
  <si>
    <t>扣押物箱內編號19-3-4第68頁</t>
    <phoneticPr fontId="2" type="noConversion"/>
  </si>
  <si>
    <t>扣押物箱內編號19-3-4第69頁</t>
    <phoneticPr fontId="2" type="noConversion"/>
  </si>
  <si>
    <t>扣押物箱內編號19-3-6第2頁</t>
    <phoneticPr fontId="2" type="noConversion"/>
  </si>
  <si>
    <t>扣押物箱內編號19-3-6第3頁</t>
    <phoneticPr fontId="2" type="noConversion"/>
  </si>
  <si>
    <t>扣押物箱內編號19-3-6第4頁</t>
    <phoneticPr fontId="2" type="noConversion"/>
  </si>
  <si>
    <t>99年1月至99年3月</t>
    <phoneticPr fontId="2" type="noConversion"/>
  </si>
  <si>
    <t>99年4月至99年5月</t>
    <phoneticPr fontId="2" type="noConversion"/>
  </si>
  <si>
    <t>99年6月至100年3月</t>
    <phoneticPr fontId="2" type="noConversion"/>
  </si>
  <si>
    <t>99年10月至100年3月</t>
    <phoneticPr fontId="2" type="noConversion"/>
  </si>
  <si>
    <t>99年8月至100年1月間</t>
    <phoneticPr fontId="2" type="noConversion"/>
  </si>
  <si>
    <r>
      <t>1</t>
    </r>
    <r>
      <rPr>
        <sz val="12"/>
        <color theme="1"/>
        <rFont val="新細明體"/>
        <family val="1"/>
        <charset val="136"/>
        <scheme val="minor"/>
      </rPr>
      <t>107</t>
    </r>
    <phoneticPr fontId="7" type="noConversion"/>
  </si>
  <si>
    <r>
      <t>1</t>
    </r>
    <r>
      <rPr>
        <sz val="12"/>
        <color theme="1"/>
        <rFont val="新細明體"/>
        <family val="1"/>
        <charset val="136"/>
        <scheme val="minor"/>
      </rPr>
      <t>107</t>
    </r>
    <phoneticPr fontId="2" type="noConversion"/>
  </si>
  <si>
    <r>
      <t>111</t>
    </r>
    <r>
      <rPr>
        <sz val="12"/>
        <color theme="1"/>
        <rFont val="新細明體"/>
        <family val="1"/>
        <charset val="136"/>
        <scheme val="minor"/>
      </rPr>
      <t>1</t>
    </r>
    <phoneticPr fontId="7" type="noConversion"/>
  </si>
  <si>
    <r>
      <t>1</t>
    </r>
    <r>
      <rPr>
        <sz val="12"/>
        <color theme="1"/>
        <rFont val="新細明體"/>
        <family val="1"/>
        <charset val="136"/>
        <scheme val="minor"/>
      </rPr>
      <t>118</t>
    </r>
    <phoneticPr fontId="7" type="noConversion"/>
  </si>
  <si>
    <r>
      <t>120</t>
    </r>
    <r>
      <rPr>
        <sz val="12"/>
        <color theme="1"/>
        <rFont val="新細明體"/>
        <family val="1"/>
        <charset val="136"/>
        <scheme val="minor"/>
      </rPr>
      <t>7</t>
    </r>
    <phoneticPr fontId="7" type="noConversion"/>
  </si>
  <si>
    <r>
      <t>11</t>
    </r>
    <r>
      <rPr>
        <sz val="12"/>
        <color theme="1"/>
        <rFont val="新細明體"/>
        <family val="1"/>
        <charset val="136"/>
        <scheme val="minor"/>
      </rPr>
      <t>05</t>
    </r>
    <phoneticPr fontId="7" type="noConversion"/>
  </si>
  <si>
    <r>
      <t>0</t>
    </r>
    <r>
      <rPr>
        <sz val="12"/>
        <color theme="1"/>
        <rFont val="新細明體"/>
        <family val="1"/>
        <charset val="136"/>
        <scheme val="minor"/>
      </rPr>
      <t>206</t>
    </r>
    <phoneticPr fontId="2" type="noConversion"/>
  </si>
  <si>
    <r>
      <t>1</t>
    </r>
    <r>
      <rPr>
        <sz val="12"/>
        <color theme="1"/>
        <rFont val="新細明體"/>
        <family val="1"/>
        <charset val="136"/>
        <scheme val="minor"/>
      </rPr>
      <t>027</t>
    </r>
    <phoneticPr fontId="7" type="noConversion"/>
  </si>
  <si>
    <r>
      <t>12</t>
    </r>
    <r>
      <rPr>
        <sz val="12"/>
        <color theme="1"/>
        <rFont val="新細明體"/>
        <family val="1"/>
        <charset val="136"/>
        <scheme val="minor"/>
      </rPr>
      <t>10</t>
    </r>
    <phoneticPr fontId="7" type="noConversion"/>
  </si>
  <si>
    <r>
      <t>1</t>
    </r>
    <r>
      <rPr>
        <sz val="12"/>
        <color theme="1"/>
        <rFont val="新細明體"/>
        <family val="1"/>
        <charset val="136"/>
        <scheme val="minor"/>
      </rPr>
      <t>222</t>
    </r>
    <phoneticPr fontId="2" type="noConversion"/>
  </si>
  <si>
    <r>
      <t>1</t>
    </r>
    <r>
      <rPr>
        <sz val="12"/>
        <color theme="1"/>
        <rFont val="新細明體"/>
        <family val="1"/>
        <charset val="136"/>
        <scheme val="minor"/>
      </rPr>
      <t>031</t>
    </r>
    <phoneticPr fontId="7" type="noConversion"/>
  </si>
  <si>
    <r>
      <t>1</t>
    </r>
    <r>
      <rPr>
        <sz val="12"/>
        <color theme="1"/>
        <rFont val="新細明體"/>
        <family val="1"/>
        <charset val="136"/>
        <scheme val="minor"/>
      </rPr>
      <t>031</t>
    </r>
    <phoneticPr fontId="2" type="noConversion"/>
  </si>
  <si>
    <r>
      <t>1</t>
    </r>
    <r>
      <rPr>
        <sz val="12"/>
        <color theme="1"/>
        <rFont val="新細明體"/>
        <family val="1"/>
        <charset val="136"/>
        <scheme val="minor"/>
      </rPr>
      <t>231</t>
    </r>
    <phoneticPr fontId="2" type="noConversion"/>
  </si>
  <si>
    <r>
      <t>0</t>
    </r>
    <r>
      <rPr>
        <sz val="12"/>
        <color theme="1"/>
        <rFont val="新細明體"/>
        <family val="1"/>
        <charset val="136"/>
        <scheme val="minor"/>
      </rPr>
      <t>301</t>
    </r>
    <phoneticPr fontId="2" type="noConversion"/>
  </si>
  <si>
    <r>
      <t>0</t>
    </r>
    <r>
      <rPr>
        <sz val="12"/>
        <color theme="1"/>
        <rFont val="新細明體"/>
        <family val="1"/>
        <charset val="136"/>
        <scheme val="minor"/>
      </rPr>
      <t>726</t>
    </r>
    <phoneticPr fontId="2" type="noConversion"/>
  </si>
  <si>
    <r>
      <t>0</t>
    </r>
    <r>
      <rPr>
        <sz val="12"/>
        <color theme="1"/>
        <rFont val="新細明體"/>
        <family val="1"/>
        <charset val="136"/>
        <scheme val="minor"/>
      </rPr>
      <t>625</t>
    </r>
    <phoneticPr fontId="2" type="noConversion"/>
  </si>
  <si>
    <r>
      <t>1</t>
    </r>
    <r>
      <rPr>
        <sz val="12"/>
        <color theme="1"/>
        <rFont val="新細明體"/>
        <family val="1"/>
        <charset val="136"/>
        <scheme val="minor"/>
      </rPr>
      <t>109</t>
    </r>
    <phoneticPr fontId="2" type="noConversion"/>
  </si>
  <si>
    <r>
      <t>0</t>
    </r>
    <r>
      <rPr>
        <sz val="12"/>
        <color theme="1"/>
        <rFont val="新細明體"/>
        <family val="1"/>
        <charset val="136"/>
        <scheme val="minor"/>
      </rPr>
      <t>827</t>
    </r>
    <phoneticPr fontId="2" type="noConversion"/>
  </si>
  <si>
    <r>
      <t>0</t>
    </r>
    <r>
      <rPr>
        <sz val="12"/>
        <color theme="1"/>
        <rFont val="新細明體"/>
        <family val="1"/>
        <charset val="136"/>
        <scheme val="minor"/>
      </rPr>
      <t>914</t>
    </r>
    <phoneticPr fontId="7" type="noConversion"/>
  </si>
  <si>
    <r>
      <t>112</t>
    </r>
    <r>
      <rPr>
        <sz val="12"/>
        <color theme="1"/>
        <rFont val="新細明體"/>
        <family val="1"/>
        <charset val="136"/>
        <scheme val="minor"/>
      </rPr>
      <t>6</t>
    </r>
    <phoneticPr fontId="7" type="noConversion"/>
  </si>
  <si>
    <r>
      <t>11</t>
    </r>
    <r>
      <rPr>
        <sz val="12"/>
        <color theme="1"/>
        <rFont val="新細明體"/>
        <family val="1"/>
        <charset val="136"/>
        <scheme val="minor"/>
      </rPr>
      <t>12</t>
    </r>
    <phoneticPr fontId="7" type="noConversion"/>
  </si>
  <si>
    <r>
      <t>1</t>
    </r>
    <r>
      <rPr>
        <sz val="12"/>
        <color theme="1"/>
        <rFont val="新細明體"/>
        <family val="1"/>
        <charset val="136"/>
        <scheme val="minor"/>
      </rPr>
      <t>003</t>
    </r>
    <phoneticPr fontId="2" type="noConversion"/>
  </si>
  <si>
    <r>
      <t>0</t>
    </r>
    <r>
      <rPr>
        <sz val="12"/>
        <color theme="1"/>
        <rFont val="新細明體"/>
        <family val="1"/>
        <charset val="136"/>
        <scheme val="minor"/>
      </rPr>
      <t>917</t>
    </r>
    <phoneticPr fontId="2" type="noConversion"/>
  </si>
  <si>
    <r>
      <t>0</t>
    </r>
    <r>
      <rPr>
        <sz val="12"/>
        <color theme="1"/>
        <rFont val="新細明體"/>
        <family val="1"/>
        <charset val="136"/>
        <scheme val="minor"/>
      </rPr>
      <t>810</t>
    </r>
    <phoneticPr fontId="2" type="noConversion"/>
  </si>
  <si>
    <r>
      <t>0</t>
    </r>
    <r>
      <rPr>
        <sz val="12"/>
        <color theme="1"/>
        <rFont val="新細明體"/>
        <family val="1"/>
        <charset val="136"/>
        <scheme val="minor"/>
      </rPr>
      <t>922</t>
    </r>
    <phoneticPr fontId="2" type="noConversion"/>
  </si>
  <si>
    <r>
      <t>1</t>
    </r>
    <r>
      <rPr>
        <sz val="12"/>
        <color theme="1"/>
        <rFont val="新細明體"/>
        <family val="1"/>
        <charset val="136"/>
        <scheme val="minor"/>
      </rPr>
      <t>016</t>
    </r>
    <phoneticPr fontId="2" type="noConversion"/>
  </si>
  <si>
    <r>
      <t>1</t>
    </r>
    <r>
      <rPr>
        <sz val="12"/>
        <color theme="1"/>
        <rFont val="新細明體"/>
        <family val="1"/>
        <charset val="136"/>
        <scheme val="minor"/>
      </rPr>
      <t>017</t>
    </r>
    <phoneticPr fontId="2" type="noConversion"/>
  </si>
  <si>
    <r>
      <t>1</t>
    </r>
    <r>
      <rPr>
        <sz val="12"/>
        <color theme="1"/>
        <rFont val="新細明體"/>
        <family val="1"/>
        <charset val="136"/>
        <scheme val="minor"/>
      </rPr>
      <t>027</t>
    </r>
    <phoneticPr fontId="2" type="noConversion"/>
  </si>
  <si>
    <r>
      <t>0</t>
    </r>
    <r>
      <rPr>
        <sz val="12"/>
        <color theme="1"/>
        <rFont val="新細明體"/>
        <family val="1"/>
        <charset val="136"/>
        <scheme val="minor"/>
      </rPr>
      <t>411</t>
    </r>
    <phoneticPr fontId="7" type="noConversion"/>
  </si>
  <si>
    <r>
      <t>110</t>
    </r>
    <r>
      <rPr>
        <sz val="12"/>
        <color theme="1"/>
        <rFont val="新細明體"/>
        <family val="1"/>
        <charset val="136"/>
        <scheme val="minor"/>
      </rPr>
      <t>1</t>
    </r>
    <phoneticPr fontId="7" type="noConversion"/>
  </si>
  <si>
    <r>
      <t>0</t>
    </r>
    <r>
      <rPr>
        <sz val="12"/>
        <color theme="1"/>
        <rFont val="新細明體"/>
        <family val="1"/>
        <charset val="136"/>
        <scheme val="minor"/>
      </rPr>
      <t>114</t>
    </r>
    <phoneticPr fontId="7" type="noConversion"/>
  </si>
  <si>
    <r>
      <t>06</t>
    </r>
    <r>
      <rPr>
        <sz val="12"/>
        <color theme="1"/>
        <rFont val="新細明體"/>
        <family val="1"/>
        <charset val="136"/>
        <scheme val="minor"/>
      </rPr>
      <t>22</t>
    </r>
    <phoneticPr fontId="7" type="noConversion"/>
  </si>
  <si>
    <r>
      <t>1</t>
    </r>
    <r>
      <rPr>
        <sz val="12"/>
        <color theme="1"/>
        <rFont val="新細明體"/>
        <family val="1"/>
        <charset val="136"/>
        <scheme val="minor"/>
      </rPr>
      <t>029</t>
    </r>
    <phoneticPr fontId="7" type="noConversion"/>
  </si>
  <si>
    <r>
      <t>041</t>
    </r>
    <r>
      <rPr>
        <sz val="12"/>
        <color theme="1"/>
        <rFont val="新細明體"/>
        <family val="1"/>
        <charset val="136"/>
        <scheme val="minor"/>
      </rPr>
      <t>1</t>
    </r>
    <phoneticPr fontId="7" type="noConversion"/>
  </si>
  <si>
    <r>
      <t>051</t>
    </r>
    <r>
      <rPr>
        <sz val="12"/>
        <color theme="1"/>
        <rFont val="新細明體"/>
        <family val="1"/>
        <charset val="136"/>
        <scheme val="minor"/>
      </rPr>
      <t>0</t>
    </r>
    <phoneticPr fontId="7" type="noConversion"/>
  </si>
  <si>
    <t>繳息合計</t>
    <phoneticPr fontId="2" type="noConversion"/>
  </si>
  <si>
    <t>計算資料</t>
    <phoneticPr fontId="2" type="noConversion"/>
  </si>
  <si>
    <t>99/8/2~102/1/20</t>
    <phoneticPr fontId="2" type="noConversion"/>
  </si>
  <si>
    <t>元一當鋪</t>
    <phoneticPr fontId="2" type="noConversion"/>
  </si>
  <si>
    <t>102/1/1~102/1/22</t>
    <phoneticPr fontId="2" type="noConversion"/>
  </si>
  <si>
    <t>元崗當鋪</t>
    <phoneticPr fontId="2" type="noConversion"/>
  </si>
  <si>
    <t>101年7月~102年1月22日</t>
    <phoneticPr fontId="2" type="noConversion"/>
  </si>
  <si>
    <t>元喆當鋪</t>
    <phoneticPr fontId="2" type="noConversion"/>
  </si>
  <si>
    <t>101年11月~102年1月22日</t>
    <phoneticPr fontId="2" type="noConversion"/>
  </si>
  <si>
    <t>元一當鋪 合計</t>
  </si>
  <si>
    <t>元崗當鋪 合計</t>
  </si>
  <si>
    <r>
      <t>9</t>
    </r>
    <r>
      <rPr>
        <sz val="12"/>
        <color theme="1"/>
        <rFont val="新細明體"/>
        <family val="1"/>
        <charset val="136"/>
        <scheme val="minor"/>
      </rPr>
      <t>6、97年間至100年10月間</t>
    </r>
    <phoneticPr fontId="2" type="noConversion"/>
  </si>
  <si>
    <t>20幾萬元</t>
    <phoneticPr fontId="2" type="noConversion"/>
  </si>
  <si>
    <r>
      <t>9</t>
    </r>
    <r>
      <rPr>
        <sz val="12"/>
        <color theme="1"/>
        <rFont val="新細明體"/>
        <family val="1"/>
        <charset val="136"/>
        <scheme val="minor"/>
      </rPr>
      <t>9、100年間起一年</t>
    </r>
    <phoneticPr fontId="2" type="noConversion"/>
  </si>
  <si>
    <t>3至5萬元</t>
    <phoneticPr fontId="2" type="noConversion"/>
  </si>
  <si>
    <r>
      <t>98年初起至</t>
    </r>
    <r>
      <rPr>
        <sz val="12"/>
        <color theme="1"/>
        <rFont val="新細明體"/>
        <family val="1"/>
        <charset val="136"/>
        <scheme val="minor"/>
      </rPr>
      <t>100年4月</t>
    </r>
    <phoneticPr fontId="2" type="noConversion"/>
  </si>
  <si>
    <t>97年間起</t>
    <phoneticPr fontId="2" type="noConversion"/>
  </si>
  <si>
    <t>陸續多次借款，金額在1萬至10萬之間</t>
    <phoneticPr fontId="2" type="noConversion"/>
  </si>
  <si>
    <t>99年3、4月間</t>
    <phoneticPr fontId="2" type="noConversion"/>
  </si>
  <si>
    <t>方士祥</t>
    <phoneticPr fontId="2" type="noConversion"/>
  </si>
  <si>
    <t>丁銘宏</t>
    <phoneticPr fontId="2" type="noConversion"/>
  </si>
  <si>
    <t>張良盛</t>
    <phoneticPr fontId="2" type="noConversion"/>
  </si>
  <si>
    <t>A8</t>
    <phoneticPr fontId="2" type="noConversion"/>
  </si>
  <si>
    <t>吳火星</t>
    <phoneticPr fontId="2" type="noConversion"/>
  </si>
  <si>
    <t>吳志忠</t>
    <phoneticPr fontId="2" type="noConversion"/>
  </si>
  <si>
    <t>吳秀雄</t>
    <phoneticPr fontId="2" type="noConversion"/>
  </si>
  <si>
    <t>瑞誠當鋪合計</t>
    <phoneticPr fontId="2" type="noConversion"/>
  </si>
  <si>
    <t>詹淑平</t>
    <phoneticPr fontId="7" type="noConversion"/>
  </si>
  <si>
    <t>岳子紹</t>
    <phoneticPr fontId="7" type="noConversion"/>
  </si>
  <si>
    <t>0419</t>
    <phoneticPr fontId="7" type="noConversion"/>
  </si>
  <si>
    <t>季宸龍</t>
    <phoneticPr fontId="7" type="noConversion"/>
  </si>
  <si>
    <t>0211</t>
    <phoneticPr fontId="7" type="noConversion"/>
  </si>
  <si>
    <t>0831</t>
    <phoneticPr fontId="7" type="noConversion"/>
  </si>
  <si>
    <t>王泓元</t>
    <phoneticPr fontId="7" type="noConversion"/>
  </si>
  <si>
    <t>蔡來發</t>
    <phoneticPr fontId="7" type="noConversion"/>
  </si>
  <si>
    <t>1012</t>
    <phoneticPr fontId="7" type="noConversion"/>
  </si>
  <si>
    <t>王名洋</t>
    <phoneticPr fontId="7" type="noConversion"/>
  </si>
  <si>
    <t>林瀛洲</t>
    <phoneticPr fontId="7" type="noConversion"/>
  </si>
  <si>
    <t>王廉戰</t>
    <phoneticPr fontId="7" type="noConversion"/>
  </si>
  <si>
    <t>0507</t>
    <phoneticPr fontId="7" type="noConversion"/>
  </si>
  <si>
    <t>黃紫龍</t>
    <phoneticPr fontId="7" type="noConversion"/>
  </si>
  <si>
    <t>0222</t>
    <phoneticPr fontId="7" type="noConversion"/>
  </si>
  <si>
    <t>0303</t>
    <phoneticPr fontId="7" type="noConversion"/>
  </si>
  <si>
    <t>0813</t>
    <phoneticPr fontId="7" type="noConversion"/>
  </si>
  <si>
    <t>蘇宜長</t>
    <phoneticPr fontId="7" type="noConversion"/>
  </si>
  <si>
    <t>0405</t>
    <phoneticPr fontId="7" type="noConversion"/>
  </si>
  <si>
    <t>0501</t>
    <phoneticPr fontId="7" type="noConversion"/>
  </si>
  <si>
    <t>鍾慶龍</t>
    <phoneticPr fontId="7" type="noConversion"/>
  </si>
  <si>
    <t>高福隆</t>
    <phoneticPr fontId="7" type="noConversion"/>
  </si>
  <si>
    <t>1201</t>
    <phoneticPr fontId="7" type="noConversion"/>
  </si>
  <si>
    <t>1215</t>
    <phoneticPr fontId="7" type="noConversion"/>
  </si>
  <si>
    <t>0330</t>
    <phoneticPr fontId="7" type="noConversion"/>
  </si>
  <si>
    <t>0416</t>
    <phoneticPr fontId="7" type="noConversion"/>
  </si>
  <si>
    <t>0716</t>
    <phoneticPr fontId="7" type="noConversion"/>
  </si>
  <si>
    <t>0907</t>
    <phoneticPr fontId="7" type="noConversion"/>
  </si>
  <si>
    <t>1016</t>
    <phoneticPr fontId="7" type="noConversion"/>
  </si>
  <si>
    <t>1013</t>
    <phoneticPr fontId="7" type="noConversion"/>
  </si>
  <si>
    <t>0312</t>
    <phoneticPr fontId="7" type="noConversion"/>
  </si>
  <si>
    <t>蘇俊嘉</t>
    <phoneticPr fontId="7" type="noConversion"/>
  </si>
  <si>
    <t>1203</t>
    <phoneticPr fontId="7" type="noConversion"/>
  </si>
  <si>
    <t>0111</t>
    <phoneticPr fontId="7" type="noConversion"/>
  </si>
  <si>
    <t>羅廣發</t>
    <phoneticPr fontId="7" type="noConversion"/>
  </si>
  <si>
    <t>1206</t>
    <phoneticPr fontId="7" type="noConversion"/>
  </si>
  <si>
    <t>0109</t>
    <phoneticPr fontId="7" type="noConversion"/>
  </si>
  <si>
    <t>0206</t>
    <phoneticPr fontId="7" type="noConversion"/>
  </si>
  <si>
    <t>0418</t>
    <phoneticPr fontId="7" type="noConversion"/>
  </si>
  <si>
    <t>0302</t>
    <phoneticPr fontId="7" type="noConversion"/>
  </si>
  <si>
    <t>0420</t>
    <phoneticPr fontId="7" type="noConversion"/>
  </si>
  <si>
    <t>0425</t>
    <phoneticPr fontId="7" type="noConversion"/>
  </si>
  <si>
    <t>0517</t>
    <phoneticPr fontId="7" type="noConversion"/>
  </si>
  <si>
    <t>0522</t>
    <phoneticPr fontId="7" type="noConversion"/>
  </si>
  <si>
    <t>0609</t>
    <phoneticPr fontId="7" type="noConversion"/>
  </si>
  <si>
    <t>0711</t>
    <phoneticPr fontId="7" type="noConversion"/>
  </si>
  <si>
    <t>0918</t>
    <phoneticPr fontId="7" type="noConversion"/>
  </si>
  <si>
    <t>孫承鵬</t>
    <phoneticPr fontId="7" type="noConversion"/>
  </si>
  <si>
    <t>0725</t>
    <phoneticPr fontId="7" type="noConversion"/>
  </si>
  <si>
    <t>0920</t>
    <phoneticPr fontId="7" type="noConversion"/>
  </si>
  <si>
    <t>0508</t>
    <phoneticPr fontId="7" type="noConversion"/>
  </si>
  <si>
    <t>0228</t>
    <phoneticPr fontId="7" type="noConversion"/>
  </si>
  <si>
    <t>郭陳源</t>
    <phoneticPr fontId="2" type="noConversion"/>
  </si>
  <si>
    <t>蕭  宗</t>
    <phoneticPr fontId="2" type="noConversion"/>
  </si>
  <si>
    <t>11/14 375</t>
    <phoneticPr fontId="2" type="noConversion"/>
  </si>
  <si>
    <t>11/11 375 11/12 2250</t>
    <phoneticPr fontId="2" type="noConversion"/>
  </si>
  <si>
    <t>11/14 935</t>
    <phoneticPr fontId="2" type="noConversion"/>
  </si>
  <si>
    <t>洪守仁</t>
    <phoneticPr fontId="2" type="noConversion"/>
  </si>
  <si>
    <t>張  鈞</t>
    <phoneticPr fontId="2" type="noConversion"/>
  </si>
  <si>
    <t>戴應能</t>
    <phoneticPr fontId="2" type="noConversion"/>
  </si>
  <si>
    <t>10/24 2625 10/28 1125 11/2 375</t>
    <phoneticPr fontId="2" type="noConversion"/>
  </si>
  <si>
    <t>施純堯</t>
    <phoneticPr fontId="2" type="noConversion"/>
  </si>
  <si>
    <t>11/15 1875</t>
    <phoneticPr fontId="2" type="noConversion"/>
  </si>
  <si>
    <t>11/16 375 11/16 375</t>
    <phoneticPr fontId="2" type="noConversion"/>
  </si>
  <si>
    <t>11/17 375 11/18 4125</t>
    <phoneticPr fontId="2" type="noConversion"/>
  </si>
  <si>
    <t>11/18 1500</t>
    <phoneticPr fontId="2" type="noConversion"/>
  </si>
  <si>
    <t>11/17 375 11/19 1125</t>
    <phoneticPr fontId="2" type="noConversion"/>
  </si>
  <si>
    <t>11/3 1125</t>
    <phoneticPr fontId="2" type="noConversion"/>
  </si>
  <si>
    <t>11/19 185</t>
    <phoneticPr fontId="2" type="noConversion"/>
  </si>
  <si>
    <t>11/16 375</t>
    <phoneticPr fontId="2" type="noConversion"/>
  </si>
  <si>
    <t>11/18 1125 11/19 375</t>
    <phoneticPr fontId="2" type="noConversion"/>
  </si>
  <si>
    <t>11/16 750 11/17 375</t>
    <phoneticPr fontId="2" type="noConversion"/>
  </si>
  <si>
    <t>林基坤</t>
    <phoneticPr fontId="2" type="noConversion"/>
  </si>
  <si>
    <t>9/12 3750 9/26 1125</t>
    <phoneticPr fontId="2" type="noConversion"/>
  </si>
  <si>
    <t>11/20 1125</t>
    <phoneticPr fontId="2" type="noConversion"/>
  </si>
  <si>
    <t>洗志和</t>
    <phoneticPr fontId="2" type="noConversion"/>
  </si>
  <si>
    <t>11/17 750 11/19 1125 11/21 185</t>
    <phoneticPr fontId="2" type="noConversion"/>
  </si>
  <si>
    <t>11/21 185 11/21 185</t>
    <phoneticPr fontId="2" type="noConversion"/>
  </si>
  <si>
    <t>11/13 1685 11/15 1685 11/20 560 11/21 375</t>
    <phoneticPr fontId="2" type="noConversion"/>
  </si>
  <si>
    <t>王  德</t>
    <phoneticPr fontId="2" type="noConversion"/>
  </si>
  <si>
    <t>11/22 375</t>
    <phoneticPr fontId="2" type="noConversion"/>
  </si>
  <si>
    <t>11/17 560 11/18 1125 11/19 1875 11/20 560</t>
    <phoneticPr fontId="2" type="noConversion"/>
  </si>
  <si>
    <t>11/22 1125 11/24 1125 11/25 750</t>
    <phoneticPr fontId="2" type="noConversion"/>
  </si>
  <si>
    <t>11/23 1500</t>
    <phoneticPr fontId="2" type="noConversion"/>
  </si>
  <si>
    <t>11/22 375 11/23 750</t>
    <phoneticPr fontId="2" type="noConversion"/>
  </si>
  <si>
    <t xml:space="preserve">11/25 560 </t>
    <phoneticPr fontId="2" type="noConversion"/>
  </si>
  <si>
    <t>11/25(3分)1350</t>
    <phoneticPr fontId="2" type="noConversion"/>
  </si>
  <si>
    <t>11/24 750 11/24 750</t>
    <phoneticPr fontId="2" type="noConversion"/>
  </si>
  <si>
    <t>高浩順</t>
    <phoneticPr fontId="2" type="noConversion"/>
  </si>
  <si>
    <t>高斌展</t>
    <phoneticPr fontId="2" type="noConversion"/>
  </si>
  <si>
    <t>高樹人</t>
    <phoneticPr fontId="2" type="noConversion"/>
  </si>
  <si>
    <t>張文信</t>
    <phoneticPr fontId="2" type="noConversion"/>
  </si>
  <si>
    <t>張木滉</t>
    <phoneticPr fontId="2" type="noConversion"/>
  </si>
  <si>
    <t>張永裕</t>
    <phoneticPr fontId="2" type="noConversion"/>
  </si>
  <si>
    <t>張永鑫</t>
    <phoneticPr fontId="2" type="noConversion"/>
  </si>
  <si>
    <t>張立港</t>
    <phoneticPr fontId="2" type="noConversion"/>
  </si>
  <si>
    <t>張志清</t>
    <phoneticPr fontId="2" type="noConversion"/>
  </si>
  <si>
    <t>張志祥</t>
    <phoneticPr fontId="2" type="noConversion"/>
  </si>
  <si>
    <t>9(B)</t>
    <phoneticPr fontId="2" type="noConversion"/>
  </si>
  <si>
    <t>張志惠</t>
    <phoneticPr fontId="2" type="noConversion"/>
  </si>
  <si>
    <t>張育誠</t>
    <phoneticPr fontId="2" type="noConversion"/>
  </si>
  <si>
    <t>張明文</t>
    <phoneticPr fontId="2" type="noConversion"/>
  </si>
  <si>
    <t>張明輝</t>
    <phoneticPr fontId="2" type="noConversion"/>
  </si>
  <si>
    <t>張昭瑜</t>
    <phoneticPr fontId="2" type="noConversion"/>
  </si>
  <si>
    <t>張為傅</t>
    <phoneticPr fontId="2" type="noConversion"/>
  </si>
  <si>
    <t>張孫德</t>
    <phoneticPr fontId="2" type="noConversion"/>
  </si>
  <si>
    <t>張家銘</t>
    <phoneticPr fontId="2" type="noConversion"/>
  </si>
  <si>
    <t>張峻榕</t>
    <phoneticPr fontId="2" type="noConversion"/>
  </si>
  <si>
    <t>張振豪</t>
    <phoneticPr fontId="2" type="noConversion"/>
  </si>
  <si>
    <t>張國泰</t>
    <phoneticPr fontId="2" type="noConversion"/>
  </si>
  <si>
    <t>張淑媛</t>
    <phoneticPr fontId="2" type="noConversion"/>
  </si>
  <si>
    <t>張清國</t>
    <phoneticPr fontId="2" type="noConversion"/>
  </si>
  <si>
    <t>張清標</t>
    <phoneticPr fontId="2" type="noConversion"/>
  </si>
  <si>
    <t>張惠萍</t>
    <phoneticPr fontId="2" type="noConversion"/>
  </si>
  <si>
    <t>32(B)</t>
    <phoneticPr fontId="2" type="noConversion"/>
  </si>
  <si>
    <t>張錫源</t>
    <phoneticPr fontId="2" type="noConversion"/>
  </si>
  <si>
    <t>1(B)</t>
    <phoneticPr fontId="2" type="noConversion"/>
  </si>
  <si>
    <t>張耀童</t>
    <phoneticPr fontId="2" type="noConversion"/>
  </si>
  <si>
    <t>戚秀玲</t>
    <phoneticPr fontId="2" type="noConversion"/>
  </si>
  <si>
    <t>曹詠泰</t>
    <phoneticPr fontId="2" type="noConversion"/>
  </si>
  <si>
    <t>梁華勝</t>
    <phoneticPr fontId="2" type="noConversion"/>
  </si>
  <si>
    <t>31(B)</t>
    <phoneticPr fontId="2" type="noConversion"/>
  </si>
  <si>
    <t>梁錦昌</t>
    <phoneticPr fontId="2" type="noConversion"/>
  </si>
  <si>
    <t>莊文鎮</t>
    <phoneticPr fontId="2" type="noConversion"/>
  </si>
  <si>
    <t>許弘昇</t>
    <phoneticPr fontId="2" type="noConversion"/>
  </si>
  <si>
    <t>許俊夫</t>
    <phoneticPr fontId="2" type="noConversion"/>
  </si>
  <si>
    <t>許梅</t>
    <phoneticPr fontId="2" type="noConversion"/>
  </si>
  <si>
    <t>許清松</t>
    <phoneticPr fontId="2" type="noConversion"/>
  </si>
  <si>
    <t>許清雲</t>
    <phoneticPr fontId="2" type="noConversion"/>
  </si>
  <si>
    <t>許榮春</t>
    <phoneticPr fontId="2" type="noConversion"/>
  </si>
  <si>
    <t>郭忠陞</t>
    <phoneticPr fontId="2" type="noConversion"/>
  </si>
  <si>
    <t>郭耿吉</t>
    <phoneticPr fontId="2" type="noConversion"/>
  </si>
  <si>
    <t>郭榮明</t>
    <phoneticPr fontId="2" type="noConversion"/>
  </si>
  <si>
    <t>郭遠貴</t>
    <phoneticPr fontId="2" type="noConversion"/>
  </si>
  <si>
    <t>陳文雄</t>
    <phoneticPr fontId="2" type="noConversion"/>
  </si>
  <si>
    <t>13(B)</t>
    <phoneticPr fontId="2" type="noConversion"/>
  </si>
  <si>
    <t>陳文輝</t>
    <phoneticPr fontId="2" type="noConversion"/>
  </si>
  <si>
    <t>陳永濬</t>
    <phoneticPr fontId="2" type="noConversion"/>
  </si>
  <si>
    <t>陳永鑫</t>
    <phoneticPr fontId="2" type="noConversion"/>
  </si>
  <si>
    <t>陳甘池</t>
    <phoneticPr fontId="2" type="noConversion"/>
  </si>
  <si>
    <t>陳旭雄</t>
    <phoneticPr fontId="2" type="noConversion"/>
  </si>
  <si>
    <t>陳孝龍</t>
    <phoneticPr fontId="2" type="noConversion"/>
  </si>
  <si>
    <t>陳來聰</t>
    <phoneticPr fontId="2" type="noConversion"/>
  </si>
  <si>
    <t>陳侑忠</t>
    <phoneticPr fontId="2" type="noConversion"/>
  </si>
  <si>
    <t>6(B)</t>
    <phoneticPr fontId="2" type="noConversion"/>
  </si>
  <si>
    <t>陳和平</t>
    <phoneticPr fontId="2" type="noConversion"/>
  </si>
  <si>
    <t>陳明伝</t>
    <phoneticPr fontId="2" type="noConversion"/>
  </si>
  <si>
    <t>陳明信</t>
    <phoneticPr fontId="2" type="noConversion"/>
  </si>
  <si>
    <t>7(B)</t>
    <phoneticPr fontId="2" type="noConversion"/>
  </si>
  <si>
    <t>陳金土</t>
    <phoneticPr fontId="2" type="noConversion"/>
  </si>
  <si>
    <t>陳俊名</t>
    <phoneticPr fontId="2" type="noConversion"/>
  </si>
  <si>
    <t>陳俊宇</t>
    <phoneticPr fontId="2" type="noConversion"/>
  </si>
  <si>
    <t>陳俊寬</t>
    <phoneticPr fontId="2" type="noConversion"/>
  </si>
  <si>
    <t>陳信宏</t>
    <phoneticPr fontId="2" type="noConversion"/>
  </si>
  <si>
    <t>陳冠霖</t>
    <phoneticPr fontId="2" type="noConversion"/>
  </si>
  <si>
    <t>陳建得</t>
    <phoneticPr fontId="2" type="noConversion"/>
  </si>
  <si>
    <t>15(B)</t>
    <phoneticPr fontId="2" type="noConversion"/>
  </si>
  <si>
    <t>陳建龍</t>
    <phoneticPr fontId="2" type="noConversion"/>
  </si>
  <si>
    <t>陳政忠</t>
    <phoneticPr fontId="2" type="noConversion"/>
  </si>
  <si>
    <t>陳昱達</t>
    <phoneticPr fontId="2" type="noConversion"/>
  </si>
  <si>
    <t>陳敏仁</t>
    <phoneticPr fontId="2" type="noConversion"/>
  </si>
  <si>
    <t>30(B)</t>
    <phoneticPr fontId="2" type="noConversion"/>
  </si>
  <si>
    <t>陳敏郎</t>
    <phoneticPr fontId="2" type="noConversion"/>
  </si>
  <si>
    <t>陳欽城</t>
    <phoneticPr fontId="2" type="noConversion"/>
  </si>
  <si>
    <t>陳焬明</t>
    <phoneticPr fontId="2" type="noConversion"/>
  </si>
  <si>
    <t>陳琦珍</t>
    <phoneticPr fontId="2" type="noConversion"/>
  </si>
  <si>
    <t>陳萬盛</t>
    <phoneticPr fontId="2" type="noConversion"/>
  </si>
  <si>
    <t>陳漢池</t>
    <phoneticPr fontId="2" type="noConversion"/>
  </si>
  <si>
    <t>陳耀創</t>
    <phoneticPr fontId="2" type="noConversion"/>
  </si>
  <si>
    <t>陶思忠</t>
    <phoneticPr fontId="2" type="noConversion"/>
  </si>
  <si>
    <t>傅鴻志</t>
    <phoneticPr fontId="2" type="noConversion"/>
  </si>
  <si>
    <t>彭展威</t>
    <phoneticPr fontId="2" type="noConversion"/>
  </si>
  <si>
    <t>曾許裕</t>
    <phoneticPr fontId="2" type="noConversion"/>
  </si>
  <si>
    <t>曾瑞昌</t>
    <phoneticPr fontId="2" type="noConversion"/>
  </si>
  <si>
    <t>曾銘寬</t>
    <phoneticPr fontId="2" type="noConversion"/>
  </si>
  <si>
    <t>游芳銘</t>
    <phoneticPr fontId="2" type="noConversion"/>
  </si>
  <si>
    <t>游酌懿</t>
    <phoneticPr fontId="2" type="noConversion"/>
  </si>
  <si>
    <t>游榮春</t>
    <phoneticPr fontId="2" type="noConversion"/>
  </si>
  <si>
    <t>湯家銘</t>
    <phoneticPr fontId="2" type="noConversion"/>
  </si>
  <si>
    <t>程孝穎</t>
    <phoneticPr fontId="2" type="noConversion"/>
  </si>
  <si>
    <t>華棟彬</t>
    <phoneticPr fontId="2" type="noConversion"/>
  </si>
  <si>
    <t>黃川訓</t>
    <phoneticPr fontId="2" type="noConversion"/>
  </si>
  <si>
    <t>黃正德</t>
    <phoneticPr fontId="2" type="noConversion"/>
  </si>
  <si>
    <t>黃守仁</t>
    <phoneticPr fontId="2" type="noConversion"/>
  </si>
  <si>
    <t>黃明賢</t>
    <phoneticPr fontId="2" type="noConversion"/>
  </si>
  <si>
    <t>黃金生</t>
    <phoneticPr fontId="2" type="noConversion"/>
  </si>
  <si>
    <t>黃俊傑</t>
    <phoneticPr fontId="2" type="noConversion"/>
  </si>
  <si>
    <t>黃俊瑋</t>
    <phoneticPr fontId="2" type="noConversion"/>
  </si>
  <si>
    <t>黃冠源</t>
    <phoneticPr fontId="2" type="noConversion"/>
  </si>
  <si>
    <t>黃致中</t>
    <phoneticPr fontId="2" type="noConversion"/>
  </si>
  <si>
    <t>黃桂芳</t>
    <phoneticPr fontId="2" type="noConversion"/>
  </si>
  <si>
    <t>黃啟剛</t>
    <phoneticPr fontId="2" type="noConversion"/>
  </si>
  <si>
    <t>黃培養</t>
    <phoneticPr fontId="2" type="noConversion"/>
  </si>
  <si>
    <t>24(B)</t>
    <phoneticPr fontId="2" type="noConversion"/>
  </si>
  <si>
    <t>黃勝旺</t>
    <phoneticPr fontId="2" type="noConversion"/>
  </si>
  <si>
    <t>黃湘穎</t>
    <phoneticPr fontId="2" type="noConversion"/>
  </si>
  <si>
    <t>黃超淵</t>
    <phoneticPr fontId="2" type="noConversion"/>
  </si>
  <si>
    <t>黃榮彬</t>
    <phoneticPr fontId="2" type="noConversion"/>
  </si>
  <si>
    <t>黃榮興</t>
    <phoneticPr fontId="2" type="noConversion"/>
  </si>
  <si>
    <t>黃遠超</t>
    <phoneticPr fontId="2" type="noConversion"/>
  </si>
  <si>
    <t>黃賜福</t>
    <phoneticPr fontId="2" type="noConversion"/>
  </si>
  <si>
    <t>黃璿中</t>
    <phoneticPr fontId="2" type="noConversion"/>
  </si>
  <si>
    <t>楊文聰</t>
    <phoneticPr fontId="2" type="noConversion"/>
  </si>
  <si>
    <t>楊忠勳</t>
    <phoneticPr fontId="2" type="noConversion"/>
  </si>
  <si>
    <t>楊南山</t>
    <phoneticPr fontId="2" type="noConversion"/>
  </si>
  <si>
    <t>楊氣碖</t>
    <phoneticPr fontId="2" type="noConversion"/>
  </si>
  <si>
    <t>楊錦松</t>
    <phoneticPr fontId="2" type="noConversion"/>
  </si>
  <si>
    <t>楊錫榮</t>
    <phoneticPr fontId="2" type="noConversion"/>
  </si>
  <si>
    <t>溫大慶</t>
    <phoneticPr fontId="2" type="noConversion"/>
  </si>
  <si>
    <t>溫志忠</t>
    <phoneticPr fontId="2" type="noConversion"/>
  </si>
  <si>
    <t>葉伝莊</t>
    <phoneticPr fontId="2" type="noConversion"/>
  </si>
  <si>
    <t>葉泳德</t>
    <phoneticPr fontId="2" type="noConversion"/>
  </si>
  <si>
    <t>葉俊麟</t>
    <phoneticPr fontId="2" type="noConversion"/>
  </si>
  <si>
    <t>葉福聰</t>
    <phoneticPr fontId="2" type="noConversion"/>
  </si>
  <si>
    <t>葛天德</t>
    <phoneticPr fontId="2" type="noConversion"/>
  </si>
  <si>
    <t>葛天賦</t>
    <phoneticPr fontId="2" type="noConversion"/>
  </si>
  <si>
    <t>董顯聰</t>
    <phoneticPr fontId="2" type="noConversion"/>
  </si>
  <si>
    <t>江佑益</t>
    <phoneticPr fontId="2" type="noConversion"/>
  </si>
  <si>
    <t>郭博源</t>
    <phoneticPr fontId="2" type="noConversion"/>
  </si>
  <si>
    <t>陳建宏</t>
    <phoneticPr fontId="2" type="noConversion"/>
  </si>
  <si>
    <t>陳國才</t>
    <phoneticPr fontId="2" type="noConversion"/>
  </si>
  <si>
    <t>林劍平</t>
    <phoneticPr fontId="2" type="noConversion"/>
  </si>
  <si>
    <t>謝耀禧</t>
    <phoneticPr fontId="2" type="noConversion"/>
  </si>
  <si>
    <t>李定興</t>
    <phoneticPr fontId="2" type="noConversion"/>
  </si>
  <si>
    <t>陳振哲</t>
    <phoneticPr fontId="2" type="noConversion"/>
  </si>
  <si>
    <t>吳永徹</t>
    <phoneticPr fontId="2" type="noConversion"/>
  </si>
  <si>
    <t>鄭立揚</t>
    <phoneticPr fontId="2" type="noConversion"/>
  </si>
  <si>
    <t>楊海威</t>
    <phoneticPr fontId="2" type="noConversion"/>
  </si>
  <si>
    <t>林啟良</t>
    <phoneticPr fontId="2" type="noConversion"/>
  </si>
  <si>
    <t>劉惠輝</t>
    <phoneticPr fontId="2" type="noConversion"/>
  </si>
  <si>
    <t>施煥泉</t>
    <phoneticPr fontId="2" type="noConversion"/>
  </si>
  <si>
    <t>暨樹棋</t>
    <phoneticPr fontId="2" type="noConversion"/>
  </si>
  <si>
    <t>方應欽</t>
    <phoneticPr fontId="2" type="noConversion"/>
  </si>
  <si>
    <t>杭永亮</t>
    <phoneticPr fontId="2" type="noConversion"/>
  </si>
  <si>
    <t>賴榮生</t>
    <phoneticPr fontId="2" type="noConversion"/>
  </si>
  <si>
    <t>林照界</t>
    <phoneticPr fontId="2" type="noConversion"/>
  </si>
  <si>
    <t xml:space="preserve">按被告林佩鳳102年4月30日之偵訊時供述（A20卷第2779-2783頁），借款分為兩種，一種為「不分期」借款，一種為「分期」借款：
（1）前者係指僅繳利息不還本之借款模式，計息方式係半個月（即「計息週期」為15天）計息一次，每借款1萬元每月合計繳交利息750元，其中利息250元、倉棧費500元，月利率7.5％（=750/10,000）；
（2）後者係指借款金額連本帶利分10期（每期7日）清償完畢之借款模式，以借款1萬元為例，即分10期清償，每期（每7日）須償還本金1000元及利息175元（合計1175元）；「分期」借款者，因每一期均有攤還本金，故其月利率必較按十期後才一次償還本利所計算得出之簡單平均報酬率7％（即總利息/本金=(175*10)/10,000/10*4）更高，惟因影響不大，故採有利被告之簡化算法，僅以月利率7%作為「分期」借款之利率，併此說明。        </t>
    <phoneticPr fontId="2" type="noConversion"/>
  </si>
  <si>
    <t>合法利率(月)
（註4）</t>
    <phoneticPr fontId="2" type="noConversion"/>
  </si>
  <si>
    <t>按現行當鋪業法之規定，借款年利率最高不得超過30％，即月利率2.5％，99年12月29日修正前合法之借款年利率最高不得超過48％，即月利率4％。</t>
    <phoneticPr fontId="2" type="noConversion"/>
  </si>
  <si>
    <t>11/24 935</t>
    <phoneticPr fontId="2" type="noConversion"/>
  </si>
  <si>
    <t>11/8 2625</t>
    <phoneticPr fontId="2" type="noConversion"/>
  </si>
  <si>
    <t>李仕強</t>
    <phoneticPr fontId="2" type="noConversion"/>
  </si>
  <si>
    <t>7/7 4125 7/22 4125 7/9 2250 7/24 2250 7/13 3000</t>
    <phoneticPr fontId="2" type="noConversion"/>
  </si>
  <si>
    <t>11/23 4875 11/24 375 11/29 750</t>
    <phoneticPr fontId="2" type="noConversion"/>
  </si>
  <si>
    <t>11/21 4125</t>
    <phoneticPr fontId="2" type="noConversion"/>
  </si>
  <si>
    <t>11/24 1125 11/26 1875</t>
    <phoneticPr fontId="2" type="noConversion"/>
  </si>
  <si>
    <t>10/25 560 11/26 185</t>
    <phoneticPr fontId="2" type="noConversion"/>
  </si>
  <si>
    <t>11/23 4500 11/24 750</t>
    <phoneticPr fontId="2" type="noConversion"/>
  </si>
  <si>
    <t>11/23 2250 11/26 1125</t>
    <phoneticPr fontId="2" type="noConversion"/>
  </si>
  <si>
    <t>陳  隆</t>
    <phoneticPr fontId="2" type="noConversion"/>
  </si>
  <si>
    <t>11/12 1125 11/17 375 11/18 1125</t>
    <phoneticPr fontId="2" type="noConversion"/>
  </si>
  <si>
    <t>11/27 1875</t>
    <phoneticPr fontId="2" type="noConversion"/>
  </si>
  <si>
    <t>11/27 375</t>
    <phoneticPr fontId="2" type="noConversion"/>
  </si>
  <si>
    <t>11/27 375 11/28 1500 11/30 1500</t>
    <phoneticPr fontId="2" type="noConversion"/>
  </si>
  <si>
    <t>蔡政儒</t>
    <phoneticPr fontId="2" type="noConversion"/>
  </si>
  <si>
    <t xml:space="preserve">7/13 4125 7/28 4125 8/12 4125 8/27 4125 7/29 2250 8/13 2250 8/28 2250 8/3 1310 8/18 1310 9/2 1310 </t>
    <phoneticPr fontId="2" type="noConversion"/>
  </si>
  <si>
    <t>11/28 1125</t>
    <phoneticPr fontId="2" type="noConversion"/>
  </si>
  <si>
    <t>11/27 2250</t>
    <phoneticPr fontId="2" type="noConversion"/>
  </si>
  <si>
    <t>11/28 1125 11/30 1875</t>
    <phoneticPr fontId="2" type="noConversion"/>
  </si>
  <si>
    <t>11/29 375</t>
    <phoneticPr fontId="2" type="noConversion"/>
  </si>
  <si>
    <t>張文叔</t>
    <phoneticPr fontId="2" type="noConversion"/>
  </si>
  <si>
    <t>9/14 6750 9/29 6750 10/14 6750 9/22 750 10/7 750</t>
    <phoneticPr fontId="2" type="noConversion"/>
  </si>
  <si>
    <t>11/29 935</t>
    <phoneticPr fontId="2" type="noConversion"/>
  </si>
  <si>
    <t>11/29 750 11/30 1125</t>
    <phoneticPr fontId="2" type="noConversion"/>
  </si>
  <si>
    <t>11/29 1125 11/30 560</t>
    <phoneticPr fontId="2" type="noConversion"/>
  </si>
  <si>
    <t>11/29 375 11/30 1125</t>
    <phoneticPr fontId="2" type="noConversion"/>
  </si>
  <si>
    <t>11/28 1685 11/30 1685</t>
    <phoneticPr fontId="2" type="noConversion"/>
  </si>
  <si>
    <t>11/30 1875</t>
    <phoneticPr fontId="2" type="noConversion"/>
  </si>
  <si>
    <t>曾文良</t>
    <phoneticPr fontId="2" type="noConversion"/>
  </si>
  <si>
    <t>9/2 3750 9/17 3750</t>
    <phoneticPr fontId="2" type="noConversion"/>
  </si>
  <si>
    <t>10/22 750</t>
    <phoneticPr fontId="2" type="noConversion"/>
  </si>
  <si>
    <t>11/16 1875 11/17 750</t>
    <phoneticPr fontId="2" type="noConversion"/>
  </si>
  <si>
    <t>12/4 375</t>
    <phoneticPr fontId="2" type="noConversion"/>
  </si>
  <si>
    <t>12/2 750</t>
    <phoneticPr fontId="2" type="noConversion"/>
  </si>
  <si>
    <t>12/2 375 11/11 375 11/21 1125</t>
    <phoneticPr fontId="2" type="noConversion"/>
  </si>
  <si>
    <t>12/2 375 12/29 750 12/1 750</t>
    <phoneticPr fontId="2" type="noConversion"/>
  </si>
  <si>
    <t>12/1 375 12/2 2250</t>
    <phoneticPr fontId="2" type="noConversion"/>
  </si>
  <si>
    <t>12/1 375 12/1 375 12/7 1125 12/19 1125 12/10 750 12/16 375 12/16 375</t>
    <phoneticPr fontId="2" type="noConversion"/>
  </si>
  <si>
    <t>11/2 750</t>
    <phoneticPr fontId="2" type="noConversion"/>
  </si>
  <si>
    <t>12/14 1310 12/15(林)1125</t>
    <phoneticPr fontId="2" type="noConversion"/>
  </si>
  <si>
    <t>12/3 1500</t>
    <phoneticPr fontId="2" type="noConversion"/>
  </si>
  <si>
    <t>12/4 185</t>
    <phoneticPr fontId="2" type="noConversion"/>
  </si>
  <si>
    <t>11/23 2625 11/27 1125 12/2 375</t>
    <phoneticPr fontId="2" type="noConversion"/>
  </si>
  <si>
    <t>12/5 1125</t>
    <phoneticPr fontId="2" type="noConversion"/>
  </si>
  <si>
    <t>12/3 1125 12/4 375</t>
    <phoneticPr fontId="2" type="noConversion"/>
  </si>
  <si>
    <t>12/4 1125 12/6 185</t>
    <phoneticPr fontId="2" type="noConversion"/>
  </si>
  <si>
    <t>12/5 560 12/6 375</t>
    <phoneticPr fontId="2" type="noConversion"/>
  </si>
  <si>
    <t>12/2 375 12/4 375</t>
    <phoneticPr fontId="2" type="noConversion"/>
  </si>
  <si>
    <t>12/3 1125</t>
    <phoneticPr fontId="2" type="noConversion"/>
  </si>
  <si>
    <t>12/7 375</t>
    <phoneticPr fontId="2" type="noConversion"/>
  </si>
  <si>
    <t>12/6 375</t>
    <phoneticPr fontId="2" type="noConversion"/>
  </si>
  <si>
    <t>12/8 1500 12/9 935</t>
    <phoneticPr fontId="2" type="noConversion"/>
  </si>
  <si>
    <t>12/10 560</t>
    <phoneticPr fontId="2" type="noConversion"/>
  </si>
  <si>
    <t xml:space="preserve"> 12/10(3分)1350</t>
    <phoneticPr fontId="2" type="noConversion"/>
  </si>
  <si>
    <t>利息-朱進龍1分8-10</t>
  </si>
  <si>
    <t>利息-朱家欣22利3/8-3/23</t>
  </si>
  <si>
    <t>利息-徐潤祥0.5分-4</t>
  </si>
  <si>
    <t>利息-高淡如1分-1</t>
  </si>
  <si>
    <t>利息-高淡如3利3/20-4/5</t>
  </si>
  <si>
    <t>利息-羅廣發1分-4</t>
  </si>
  <si>
    <t>利息-劉能營1利3/15-3/30</t>
  </si>
  <si>
    <t>利息-李可立2分7-10</t>
  </si>
  <si>
    <t>利息-李可立2分-1</t>
  </si>
  <si>
    <t>利息-李可立3利3/16-4/1</t>
  </si>
  <si>
    <t>利息-陳新元5利3/15-3/30</t>
  </si>
  <si>
    <t>利息-鄭文彬</t>
  </si>
  <si>
    <t>利息-鄭文彬2利3/15-3/30</t>
  </si>
  <si>
    <t>利息-陳新元1分-3</t>
  </si>
  <si>
    <t>利息-何秋輝2利</t>
  </si>
  <si>
    <t>利息-吳志忠2分 4-10</t>
  </si>
  <si>
    <t>利息-吳志忠2分 -1</t>
  </si>
  <si>
    <t>利息-楊明杰</t>
  </si>
  <si>
    <t>借支-楊明杰4利3/16-4/1</t>
  </si>
  <si>
    <t>利息-楊明杰2分-1</t>
  </si>
  <si>
    <t>利息-史健隆</t>
  </si>
  <si>
    <t>利息-史健隆14利3/16-4/1</t>
  </si>
  <si>
    <t>利息-蔡文林4.5利3/16-4/1</t>
  </si>
  <si>
    <t>利息-史健隆16利3/13-3/28</t>
  </si>
  <si>
    <t>利息-張春益1分-3</t>
  </si>
  <si>
    <t>利息-詹淑平3利3/16-4/1</t>
  </si>
  <si>
    <t>利息-張義隆1分-6</t>
  </si>
  <si>
    <t>利息-林俊華</t>
  </si>
  <si>
    <t>利息-林俊華3分-1</t>
  </si>
  <si>
    <t>利息-姚文龍1分-3</t>
  </si>
  <si>
    <t>利息-張志清1.5分-4</t>
  </si>
  <si>
    <t>利息-張志清2利3/14-3/29</t>
  </si>
  <si>
    <t>利息-張志清2利3/17-4/2</t>
  </si>
  <si>
    <t>利息-張志清2利3/19-4/4</t>
  </si>
  <si>
    <t>利息-王天佑3利3/17-4/2</t>
  </si>
  <si>
    <t>利息-吳志忠3利3/14-3/29</t>
  </si>
  <si>
    <t>利息-吳志忠3利3/15-3/30</t>
  </si>
  <si>
    <t>利息-吳志忠3利2/22-3/22</t>
  </si>
  <si>
    <t>利息-吳志忠5利3/7-3/22</t>
  </si>
  <si>
    <t>利息-吳志忠4利3/14-3/29</t>
  </si>
  <si>
    <t>借支-黃明建3利</t>
  </si>
  <si>
    <t>借支-黃明建3利2/10-2/25</t>
  </si>
  <si>
    <t>劉能營1分-2</t>
  </si>
  <si>
    <t>借支.利息-王廉戰1.5分-2</t>
  </si>
  <si>
    <t>12/21 1125 12/26 2250</t>
    <phoneticPr fontId="2" type="noConversion"/>
  </si>
  <si>
    <t>12/19 750 12/20 1310 12/24 375</t>
    <phoneticPr fontId="2" type="noConversion"/>
  </si>
  <si>
    <t>12/23 1125 12/24 1500</t>
    <phoneticPr fontId="2" type="noConversion"/>
  </si>
  <si>
    <t>12/6 4125 12/18 1125 12/19 375 12/21 4125</t>
    <phoneticPr fontId="2" type="noConversion"/>
  </si>
  <si>
    <t>12/26 750 12/27 375</t>
    <phoneticPr fontId="2" type="noConversion"/>
  </si>
  <si>
    <t>12/27 750 12/27 2060</t>
    <phoneticPr fontId="2" type="noConversion"/>
  </si>
  <si>
    <t>12/29 750 12/30 560</t>
    <phoneticPr fontId="2" type="noConversion"/>
  </si>
  <si>
    <t>12/27 1125</t>
    <phoneticPr fontId="2" type="noConversion"/>
  </si>
  <si>
    <t>12/18 4125 12/22 375</t>
    <phoneticPr fontId="2" type="noConversion"/>
  </si>
  <si>
    <t>12/27 375</t>
    <phoneticPr fontId="2" type="noConversion"/>
  </si>
  <si>
    <t>12/28 1125</t>
    <phoneticPr fontId="2" type="noConversion"/>
  </si>
  <si>
    <t>12/28 1500 12/30 1500</t>
    <phoneticPr fontId="2" type="noConversion"/>
  </si>
  <si>
    <t>12/23 1125 12/24 1500 12/26 375 12/27 2250 12/31 375</t>
    <phoneticPr fontId="2" type="noConversion"/>
  </si>
  <si>
    <t>12/29 1125 12/30 560</t>
    <phoneticPr fontId="2" type="noConversion"/>
  </si>
  <si>
    <t>12/28 1685 12/30 1685</t>
    <phoneticPr fontId="2" type="noConversion"/>
  </si>
  <si>
    <t>12/28 375 12/30 560</t>
    <phoneticPr fontId="2" type="noConversion"/>
  </si>
  <si>
    <t>12/22 1125 12/24 1125 12/25 750</t>
    <phoneticPr fontId="2" type="noConversion"/>
  </si>
  <si>
    <t>7/28 3000 8/12 3000 8/6 4125 8/8 2250</t>
    <phoneticPr fontId="2" type="noConversion"/>
  </si>
  <si>
    <t>10/29 6750 11/13 6750 11/28 6750 11/6 750 11/21 750</t>
    <phoneticPr fontId="2" type="noConversion"/>
  </si>
  <si>
    <t>12/29 935</t>
    <phoneticPr fontId="2" type="noConversion"/>
  </si>
  <si>
    <t>9/11 4125 9/26 4125 10/11 4125 9/12 2250 9/27 2250 9/17 1310 10/2 1310</t>
    <phoneticPr fontId="2" type="noConversion"/>
  </si>
  <si>
    <t>12/30 1875</t>
    <phoneticPr fontId="2" type="noConversion"/>
  </si>
  <si>
    <t>12/24 750 12/24(陳)750 12/26 1125 12/27 375</t>
    <phoneticPr fontId="2" type="noConversion"/>
  </si>
  <si>
    <t>12/29 375 12/29 375 12/30 1125 12/31 1125</t>
    <phoneticPr fontId="2" type="noConversion"/>
  </si>
  <si>
    <t>12/31 375 12/31 375</t>
    <phoneticPr fontId="2" type="noConversion"/>
  </si>
  <si>
    <t>1/1 375</t>
    <phoneticPr fontId="2" type="noConversion"/>
  </si>
  <si>
    <t>1/1 750</t>
    <phoneticPr fontId="2" type="noConversion"/>
  </si>
  <si>
    <t>12/29 750 12/31 750 1/1 375</t>
    <phoneticPr fontId="2" type="noConversion"/>
  </si>
  <si>
    <t xml:space="preserve">1/2 1500 </t>
    <phoneticPr fontId="2" type="noConversion"/>
  </si>
  <si>
    <t>第3頁</t>
    <phoneticPr fontId="2" type="noConversion"/>
  </si>
  <si>
    <t>第4頁</t>
  </si>
  <si>
    <t>第5頁</t>
  </si>
  <si>
    <t>備註</t>
    <phoneticPr fontId="2" type="noConversion"/>
  </si>
  <si>
    <t>12/8 2625</t>
    <phoneticPr fontId="2" type="noConversion"/>
  </si>
  <si>
    <t>1/11 1125 1/6 375 1/17 1125 1/18 1125</t>
    <phoneticPr fontId="2" type="noConversion"/>
  </si>
  <si>
    <t>第5頁反面</t>
    <phoneticPr fontId="2" type="noConversion"/>
  </si>
  <si>
    <t>第6頁</t>
    <phoneticPr fontId="2" type="noConversion"/>
  </si>
  <si>
    <t>第7頁</t>
  </si>
  <si>
    <t>第7頁反面</t>
    <phoneticPr fontId="2" type="noConversion"/>
  </si>
  <si>
    <t>不明</t>
    <phoneticPr fontId="2" type="noConversion"/>
  </si>
  <si>
    <t>12/25(3分)1350</t>
    <phoneticPr fontId="2" type="noConversion"/>
  </si>
  <si>
    <t>第8頁</t>
    <phoneticPr fontId="2" type="noConversion"/>
  </si>
  <si>
    <t xml:space="preserve">12/19 185 12/20 1125 12/22 375 12/25 560  </t>
    <phoneticPr fontId="2" type="noConversion"/>
  </si>
  <si>
    <t xml:space="preserve">12/26 2250 </t>
    <phoneticPr fontId="2" type="noConversion"/>
  </si>
  <si>
    <t>12/27 1875 12/29 375</t>
  </si>
  <si>
    <t xml:space="preserve">1/3 185 </t>
    <phoneticPr fontId="2" type="noConversion"/>
  </si>
  <si>
    <t>扣押物箱內編號19-3-6第5頁</t>
    <phoneticPr fontId="2" type="noConversion"/>
  </si>
  <si>
    <t>扣押物箱內編號19-3-6第6頁</t>
    <phoneticPr fontId="2" type="noConversion"/>
  </si>
  <si>
    <t>扣押物箱內編號19-3-6第11頁</t>
    <phoneticPr fontId="2" type="noConversion"/>
  </si>
  <si>
    <t>扣押物箱內編號19-3-6第12頁</t>
    <phoneticPr fontId="2" type="noConversion"/>
  </si>
  <si>
    <t>扣押物箱內編號19-3-6第14頁</t>
    <phoneticPr fontId="2" type="noConversion"/>
  </si>
  <si>
    <t>扣押物箱內編號19-3-6第15頁</t>
    <phoneticPr fontId="2" type="noConversion"/>
  </si>
  <si>
    <t>扣押物箱內編號19-3-6第16頁</t>
    <phoneticPr fontId="2" type="noConversion"/>
  </si>
  <si>
    <t>扣押物箱內編號19-3-6第17頁</t>
    <phoneticPr fontId="2" type="noConversion"/>
  </si>
  <si>
    <t>扣押物箱內編號19-3-6第20頁</t>
    <phoneticPr fontId="2" type="noConversion"/>
  </si>
  <si>
    <t>扣押物箱內編號19-3-6第21頁</t>
    <phoneticPr fontId="2" type="noConversion"/>
  </si>
  <si>
    <t>扣押物箱內編號19-3-6第25頁</t>
    <phoneticPr fontId="2" type="noConversion"/>
  </si>
  <si>
    <t>扣押物箱內編號19-3-6第26頁</t>
    <phoneticPr fontId="2" type="noConversion"/>
  </si>
  <si>
    <t>扣押物箱內編號19-3-6第27頁</t>
    <phoneticPr fontId="2" type="noConversion"/>
  </si>
  <si>
    <t>扣押物箱內編號19-3-6第31頁</t>
    <phoneticPr fontId="2" type="noConversion"/>
  </si>
  <si>
    <t>扣押物箱內編號19-3-6第32頁</t>
    <phoneticPr fontId="2" type="noConversion"/>
  </si>
  <si>
    <t>扣押物箱內編號19-3-6第33頁</t>
    <phoneticPr fontId="2" type="noConversion"/>
  </si>
  <si>
    <t>扣押物箱內編號19-3-6第34頁</t>
    <phoneticPr fontId="2" type="noConversion"/>
  </si>
  <si>
    <t>扣押物箱內編號19-3-6第36頁</t>
    <phoneticPr fontId="2" type="noConversion"/>
  </si>
  <si>
    <t>扣押物箱內編號19-3-6第39頁</t>
    <phoneticPr fontId="2" type="noConversion"/>
  </si>
  <si>
    <t>扣押物箱內編號19-3-6第40頁</t>
    <phoneticPr fontId="2" type="noConversion"/>
  </si>
  <si>
    <t>扣押物箱內編號19-3-6第41頁</t>
    <phoneticPr fontId="2" type="noConversion"/>
  </si>
  <si>
    <t>扣押物箱內編號19-3-6第43頁</t>
    <phoneticPr fontId="2" type="noConversion"/>
  </si>
  <si>
    <t>編號</t>
    <phoneticPr fontId="2" type="noConversion"/>
  </si>
  <si>
    <t>扣押物箱內編號19-21第1頁</t>
  </si>
  <si>
    <t>扣押物箱內編號19-21第2頁</t>
  </si>
  <si>
    <t>扣押物箱內編號19-21第3頁</t>
  </si>
  <si>
    <t>扣押物箱內編號19-21第4頁</t>
  </si>
  <si>
    <t>扣押物箱內編號19-21第5頁</t>
  </si>
  <si>
    <t>扣押物箱內編號19-21第6頁</t>
  </si>
  <si>
    <t>扣押物箱內編號19-21第7頁</t>
  </si>
  <si>
    <t>扣押物箱內編號19-21第8頁</t>
  </si>
  <si>
    <t>扣押物箱內編號19-21第9頁</t>
  </si>
  <si>
    <t>扣押物箱內編號19-21第10頁</t>
  </si>
  <si>
    <t>扣押物箱內編號19-21第11頁</t>
  </si>
  <si>
    <t>扣押物箱內編號19-21第12頁</t>
  </si>
  <si>
    <t>扣押物箱內編號19-21第13頁</t>
  </si>
  <si>
    <t>扣押物箱內編號19-21第14頁</t>
  </si>
  <si>
    <t>註1：</t>
    <phoneticPr fontId="2" type="noConversion"/>
  </si>
  <si>
    <t>註2：</t>
    <phoneticPr fontId="2" type="noConversion"/>
  </si>
  <si>
    <t>註3：</t>
    <phoneticPr fontId="2" type="noConversion"/>
  </si>
  <si>
    <t>0616</t>
    <phoneticPr fontId="7" type="noConversion"/>
  </si>
  <si>
    <t>0825</t>
    <phoneticPr fontId="7" type="noConversion"/>
  </si>
  <si>
    <t>陳三奇</t>
    <phoneticPr fontId="7" type="noConversion"/>
  </si>
  <si>
    <t>陳慕棣</t>
    <phoneticPr fontId="7" type="noConversion"/>
  </si>
  <si>
    <t>1122</t>
    <phoneticPr fontId="7" type="noConversion"/>
  </si>
  <si>
    <t>0131</t>
    <phoneticPr fontId="7" type="noConversion"/>
  </si>
  <si>
    <t>侯瑞澤</t>
    <phoneticPr fontId="7" type="noConversion"/>
  </si>
  <si>
    <t>丁威頓</t>
    <phoneticPr fontId="7" type="noConversion"/>
  </si>
  <si>
    <t>吳敬章</t>
    <phoneticPr fontId="2" type="noConversion"/>
  </si>
  <si>
    <t>吳寶田</t>
    <phoneticPr fontId="2" type="noConversion"/>
  </si>
  <si>
    <t>呂東昇</t>
    <phoneticPr fontId="2" type="noConversion"/>
  </si>
  <si>
    <t>李正吉</t>
    <phoneticPr fontId="2" type="noConversion"/>
  </si>
  <si>
    <t>李永成</t>
    <phoneticPr fontId="2" type="noConversion"/>
  </si>
  <si>
    <t>李吳宗</t>
    <phoneticPr fontId="2" type="noConversion"/>
  </si>
  <si>
    <t>李俊良</t>
    <phoneticPr fontId="2" type="noConversion"/>
  </si>
  <si>
    <t>李俊慶</t>
    <phoneticPr fontId="2" type="noConversion"/>
  </si>
  <si>
    <t>李保忠</t>
    <phoneticPr fontId="2" type="noConversion"/>
  </si>
  <si>
    <t>李偉倫</t>
    <phoneticPr fontId="2" type="noConversion"/>
  </si>
  <si>
    <t>李啟德</t>
    <phoneticPr fontId="2" type="noConversion"/>
  </si>
  <si>
    <t>23(B)</t>
    <phoneticPr fontId="2" type="noConversion"/>
  </si>
  <si>
    <t>李國安</t>
    <phoneticPr fontId="2" type="noConversion"/>
  </si>
  <si>
    <t>李國誠</t>
    <phoneticPr fontId="2" type="noConversion"/>
  </si>
  <si>
    <t>李逸儒</t>
    <phoneticPr fontId="2" type="noConversion"/>
  </si>
  <si>
    <t>22(B)</t>
    <phoneticPr fontId="2" type="noConversion"/>
  </si>
  <si>
    <t>李榮宗</t>
    <phoneticPr fontId="2" type="noConversion"/>
  </si>
  <si>
    <t>李魁榮</t>
    <phoneticPr fontId="2" type="noConversion"/>
  </si>
  <si>
    <t>李錦龍</t>
    <phoneticPr fontId="2" type="noConversion"/>
  </si>
  <si>
    <t>沈光智</t>
    <phoneticPr fontId="2" type="noConversion"/>
  </si>
  <si>
    <t>周太郎</t>
    <phoneticPr fontId="2" type="noConversion"/>
  </si>
  <si>
    <t>周文川</t>
    <phoneticPr fontId="2" type="noConversion"/>
  </si>
  <si>
    <t>周佑德</t>
    <phoneticPr fontId="2" type="noConversion"/>
  </si>
  <si>
    <t>周志賢</t>
    <phoneticPr fontId="2" type="noConversion"/>
  </si>
  <si>
    <t>周秀鳳</t>
    <phoneticPr fontId="2" type="noConversion"/>
  </si>
  <si>
    <t>周明松</t>
    <phoneticPr fontId="2" type="noConversion"/>
  </si>
  <si>
    <t>周俊治</t>
    <phoneticPr fontId="2" type="noConversion"/>
  </si>
  <si>
    <t>周德雄</t>
    <phoneticPr fontId="2" type="noConversion"/>
  </si>
  <si>
    <t>孟光亞</t>
    <phoneticPr fontId="2" type="noConversion"/>
  </si>
  <si>
    <t>官正忠</t>
    <phoneticPr fontId="2" type="noConversion"/>
  </si>
  <si>
    <t>官光民</t>
    <phoneticPr fontId="2" type="noConversion"/>
  </si>
  <si>
    <t>20(B)</t>
    <phoneticPr fontId="2" type="noConversion"/>
  </si>
  <si>
    <t>「單號」冊第107頁</t>
    <phoneticPr fontId="2" type="noConversion"/>
  </si>
  <si>
    <t>「單號」冊第108頁</t>
    <phoneticPr fontId="2" type="noConversion"/>
  </si>
  <si>
    <t>「單號」冊第109頁</t>
    <phoneticPr fontId="2" type="noConversion"/>
  </si>
  <si>
    <t>「單號」冊第110頁</t>
    <phoneticPr fontId="2" type="noConversion"/>
  </si>
  <si>
    <t>「單號」冊第111頁</t>
    <phoneticPr fontId="2" type="noConversion"/>
  </si>
  <si>
    <t>「單號」冊第112頁</t>
    <phoneticPr fontId="2" type="noConversion"/>
  </si>
  <si>
    <t>「單號」冊第113頁</t>
    <phoneticPr fontId="2" type="noConversion"/>
  </si>
  <si>
    <t>「單號」冊第114頁</t>
    <phoneticPr fontId="2" type="noConversion"/>
  </si>
  <si>
    <t>「單號」冊第115頁</t>
    <phoneticPr fontId="2" type="noConversion"/>
  </si>
  <si>
    <t>「單號」冊第116頁</t>
    <phoneticPr fontId="2" type="noConversion"/>
  </si>
  <si>
    <t>「單號」冊第117頁</t>
    <phoneticPr fontId="2" type="noConversion"/>
  </si>
  <si>
    <t>「單號」冊第118頁</t>
    <phoneticPr fontId="2" type="noConversion"/>
  </si>
  <si>
    <t>「單號」冊第119頁</t>
    <phoneticPr fontId="2" type="noConversion"/>
  </si>
  <si>
    <t>「單號」冊第120頁</t>
    <phoneticPr fontId="2" type="noConversion"/>
  </si>
  <si>
    <t>「單號」冊第121頁</t>
    <phoneticPr fontId="2" type="noConversion"/>
  </si>
  <si>
    <t>「單號」冊第122頁</t>
    <phoneticPr fontId="2" type="noConversion"/>
  </si>
  <si>
    <t>「單號」冊第123頁</t>
    <phoneticPr fontId="2" type="noConversion"/>
  </si>
  <si>
    <t>「單號」冊第124頁</t>
    <phoneticPr fontId="2" type="noConversion"/>
  </si>
  <si>
    <t>「單號」冊第125頁</t>
    <phoneticPr fontId="2" type="noConversion"/>
  </si>
  <si>
    <t>「單號」冊第126頁</t>
    <phoneticPr fontId="2" type="noConversion"/>
  </si>
  <si>
    <t>「單號」冊第127頁</t>
    <phoneticPr fontId="2" type="noConversion"/>
  </si>
  <si>
    <t>「單號」冊第128頁</t>
    <phoneticPr fontId="2" type="noConversion"/>
  </si>
  <si>
    <t>「單號」冊第129頁</t>
    <phoneticPr fontId="2" type="noConversion"/>
  </si>
  <si>
    <t>「單號」冊第130頁</t>
    <phoneticPr fontId="2" type="noConversion"/>
  </si>
  <si>
    <t>「單號」冊第131頁</t>
    <phoneticPr fontId="2" type="noConversion"/>
  </si>
  <si>
    <t>「單號」冊第132頁</t>
    <phoneticPr fontId="2" type="noConversion"/>
  </si>
  <si>
    <t>「單號」冊第133頁</t>
    <phoneticPr fontId="2" type="noConversion"/>
  </si>
  <si>
    <t>「單號」冊第134頁</t>
    <phoneticPr fontId="2" type="noConversion"/>
  </si>
  <si>
    <t>「單號」冊第135頁</t>
    <phoneticPr fontId="2" type="noConversion"/>
  </si>
  <si>
    <t>「單號」冊第136頁</t>
    <phoneticPr fontId="2" type="noConversion"/>
  </si>
  <si>
    <t>「單號」冊第137頁</t>
    <phoneticPr fontId="2" type="noConversion"/>
  </si>
  <si>
    <t>「單號」冊第138頁</t>
    <phoneticPr fontId="2" type="noConversion"/>
  </si>
  <si>
    <t>「單號」冊第139頁</t>
    <phoneticPr fontId="2" type="noConversion"/>
  </si>
  <si>
    <t>「單號」冊第140頁</t>
    <phoneticPr fontId="2" type="noConversion"/>
  </si>
  <si>
    <t>「單號」冊第141頁</t>
    <phoneticPr fontId="2" type="noConversion"/>
  </si>
  <si>
    <t>「單號」冊第142頁</t>
    <phoneticPr fontId="2" type="noConversion"/>
  </si>
  <si>
    <t>「單號」冊第143頁</t>
    <phoneticPr fontId="2" type="noConversion"/>
  </si>
  <si>
    <t>「單號」冊第144頁</t>
    <phoneticPr fontId="2" type="noConversion"/>
  </si>
  <si>
    <t>林子洹</t>
    <phoneticPr fontId="2" type="noConversion"/>
  </si>
  <si>
    <t>林文輝</t>
    <phoneticPr fontId="2" type="noConversion"/>
  </si>
  <si>
    <t>林世杰</t>
    <phoneticPr fontId="2" type="noConversion"/>
  </si>
  <si>
    <t>林立</t>
    <phoneticPr fontId="2" type="noConversion"/>
  </si>
  <si>
    <r>
      <t>（</t>
    </r>
    <r>
      <rPr>
        <sz val="12"/>
        <color theme="1"/>
        <rFont val="新細明體"/>
        <family val="1"/>
        <charset val="136"/>
        <scheme val="minor"/>
      </rPr>
      <t>1</t>
    </r>
    <r>
      <rPr>
        <sz val="12"/>
        <color indexed="8"/>
        <rFont val="新細明體"/>
        <family val="1"/>
        <charset val="136"/>
      </rPr>
      <t>）按被告林冠福</t>
    </r>
    <r>
      <rPr>
        <sz val="12"/>
        <color theme="1"/>
        <rFont val="新細明體"/>
        <family val="1"/>
        <charset val="136"/>
        <scheme val="minor"/>
      </rPr>
      <t>102</t>
    </r>
    <r>
      <rPr>
        <sz val="12"/>
        <color indexed="8"/>
        <rFont val="新細明體"/>
        <family val="1"/>
        <charset val="136"/>
      </rPr>
      <t>年</t>
    </r>
    <r>
      <rPr>
        <sz val="12"/>
        <color theme="1"/>
        <rFont val="新細明體"/>
        <family val="1"/>
        <charset val="136"/>
        <scheme val="minor"/>
      </rPr>
      <t>5</t>
    </r>
    <r>
      <rPr>
        <sz val="12"/>
        <color indexed="8"/>
        <rFont val="新細明體"/>
        <family val="1"/>
        <charset val="136"/>
      </rPr>
      <t>月</t>
    </r>
    <r>
      <rPr>
        <sz val="12"/>
        <color theme="1"/>
        <rFont val="新細明體"/>
        <family val="1"/>
        <charset val="136"/>
        <scheme val="minor"/>
      </rPr>
      <t>1</t>
    </r>
    <r>
      <rPr>
        <sz val="12"/>
        <color indexed="8"/>
        <rFont val="新細明體"/>
        <family val="1"/>
        <charset val="136"/>
      </rPr>
      <t>日偵訊時供述（</t>
    </r>
    <r>
      <rPr>
        <sz val="12"/>
        <color theme="1"/>
        <rFont val="新細明體"/>
        <family val="1"/>
        <charset val="136"/>
        <scheme val="minor"/>
      </rPr>
      <t>A30</t>
    </r>
    <r>
      <rPr>
        <sz val="12"/>
        <color indexed="8"/>
        <rFont val="新細明體"/>
        <family val="1"/>
        <charset val="136"/>
      </rPr>
      <t>卷第</t>
    </r>
    <r>
      <rPr>
        <sz val="12"/>
        <color theme="1"/>
        <rFont val="新細明體"/>
        <family val="1"/>
        <charset val="136"/>
        <scheme val="minor"/>
      </rPr>
      <t>57頁</t>
    </r>
    <r>
      <rPr>
        <sz val="12"/>
        <color indexed="8"/>
        <rFont val="新細明體"/>
        <family val="1"/>
        <charset val="136"/>
      </rPr>
      <t>）內容所示，「分期」攤還本息者均係每</t>
    </r>
    <r>
      <rPr>
        <sz val="12"/>
        <color theme="1"/>
        <rFont val="新細明體"/>
        <family val="1"/>
        <charset val="136"/>
        <scheme val="minor"/>
      </rPr>
      <t>7</t>
    </r>
    <r>
      <rPr>
        <sz val="12"/>
        <color indexed="8"/>
        <rFont val="新細明體"/>
        <family val="1"/>
        <charset val="136"/>
      </rPr>
      <t>天為一期收一次款，分</t>
    </r>
    <r>
      <rPr>
        <sz val="12"/>
        <color theme="1"/>
        <rFont val="新細明體"/>
        <family val="1"/>
        <charset val="136"/>
        <scheme val="minor"/>
      </rPr>
      <t>10</t>
    </r>
    <r>
      <rPr>
        <sz val="12"/>
        <color indexed="8"/>
        <rFont val="新細明體"/>
        <family val="1"/>
        <charset val="136"/>
      </rPr>
      <t>期攤還本息，計息方式是以借款</t>
    </r>
    <r>
      <rPr>
        <sz val="12"/>
        <color theme="1"/>
        <rFont val="新細明體"/>
        <family val="1"/>
        <charset val="136"/>
        <scheme val="minor"/>
      </rPr>
      <t>1</t>
    </r>
    <r>
      <rPr>
        <sz val="12"/>
        <color indexed="8"/>
        <rFont val="新細明體"/>
        <family val="1"/>
        <charset val="136"/>
      </rPr>
      <t>萬元（分</t>
    </r>
    <r>
      <rPr>
        <sz val="12"/>
        <color theme="1"/>
        <rFont val="新細明體"/>
        <family val="1"/>
        <charset val="136"/>
        <scheme val="minor"/>
      </rPr>
      <t>10</t>
    </r>
    <r>
      <rPr>
        <sz val="12"/>
        <color indexed="8"/>
        <rFont val="新細明體"/>
        <family val="1"/>
        <charset val="136"/>
      </rPr>
      <t>期）每個禮拜還</t>
    </r>
    <r>
      <rPr>
        <sz val="12"/>
        <color theme="1"/>
        <rFont val="新細明體"/>
        <family val="1"/>
        <charset val="136"/>
        <scheme val="minor"/>
      </rPr>
      <t>1150</t>
    </r>
    <r>
      <rPr>
        <sz val="12"/>
        <color indexed="8"/>
        <rFont val="新細明體"/>
        <family val="1"/>
        <charset val="136"/>
      </rPr>
      <t>元本利和，</t>
    </r>
    <r>
      <rPr>
        <sz val="12"/>
        <color theme="1"/>
        <rFont val="新細明體"/>
        <family val="1"/>
        <charset val="136"/>
        <scheme val="minor"/>
      </rPr>
      <t>核與</t>
    </r>
    <r>
      <rPr>
        <sz val="12"/>
        <color indexed="8"/>
        <rFont val="新細明體"/>
        <family val="1"/>
        <charset val="136"/>
      </rPr>
      <t>102 綠保字第691 號扣押物品清單編號19「隨身碟」（係起訴書非供述證據編號10）內所示檔案「追蹤表」（檔案路徑：「桌面」資料夾--&gt; 「新增資料夾（3） 」 ）所示還款情況相同（以該檔案「</t>
    </r>
    <r>
      <rPr>
        <sz val="12"/>
        <color theme="1"/>
        <rFont val="新細明體"/>
        <family val="1"/>
        <charset val="136"/>
        <scheme val="minor"/>
      </rPr>
      <t>A002</t>
    </r>
    <r>
      <rPr>
        <sz val="12"/>
        <color indexed="8"/>
        <rFont val="新細明體"/>
        <family val="1"/>
        <charset val="136"/>
      </rPr>
      <t>吳志忠」工作表為例，其第三欄第二個表格所示借款</t>
    </r>
    <r>
      <rPr>
        <sz val="12"/>
        <color theme="1"/>
        <rFont val="新細明體"/>
        <family val="1"/>
        <charset val="136"/>
        <scheme val="minor"/>
      </rPr>
      <t>2</t>
    </r>
    <r>
      <rPr>
        <sz val="12"/>
        <color indexed="8"/>
        <rFont val="新細明體"/>
        <family val="1"/>
        <charset val="136"/>
      </rPr>
      <t>萬元，每</t>
    </r>
    <r>
      <rPr>
        <sz val="12"/>
        <color theme="1"/>
        <rFont val="新細明體"/>
        <family val="1"/>
        <charset val="136"/>
        <scheme val="minor"/>
      </rPr>
      <t>7</t>
    </r>
    <r>
      <rPr>
        <sz val="12"/>
        <color indexed="8"/>
        <rFont val="新細明體"/>
        <family val="1"/>
        <charset val="136"/>
      </rPr>
      <t>日須還本息</t>
    </r>
    <r>
      <rPr>
        <sz val="12"/>
        <color theme="1"/>
        <rFont val="新細明體"/>
        <family val="1"/>
        <charset val="136"/>
        <scheme val="minor"/>
      </rPr>
      <t>2300</t>
    </r>
    <r>
      <rPr>
        <sz val="12"/>
        <color indexed="8"/>
        <rFont val="新細明體"/>
        <family val="1"/>
        <charset val="136"/>
      </rPr>
      <t>元，其中</t>
    </r>
    <r>
      <rPr>
        <sz val="12"/>
        <color theme="1"/>
        <rFont val="新細明體"/>
        <family val="1"/>
        <charset val="136"/>
        <scheme val="minor"/>
      </rPr>
      <t>300</t>
    </r>
    <r>
      <rPr>
        <sz val="12"/>
        <color indexed="8"/>
        <rFont val="新細明體"/>
        <family val="1"/>
        <charset val="136"/>
      </rPr>
      <t>元為利息，</t>
    </r>
    <r>
      <rPr>
        <sz val="12"/>
        <color theme="1"/>
        <rFont val="新細明體"/>
        <family val="1"/>
        <charset val="136"/>
        <scheme val="minor"/>
      </rPr>
      <t>2000</t>
    </r>
    <r>
      <rPr>
        <sz val="12"/>
        <color indexed="8"/>
        <rFont val="新細明體"/>
        <family val="1"/>
        <charset val="136"/>
      </rPr>
      <t>元為本金），可證合豐當鋪內「分期還款」之借款，其借款利率為月息</t>
    </r>
    <r>
      <rPr>
        <sz val="12"/>
        <color theme="1"/>
        <rFont val="新細明體"/>
        <family val="1"/>
        <charset val="136"/>
        <scheme val="minor"/>
      </rPr>
      <t>6％（=(300*10)/20,000/10*4））。其餘「不分期」攤還本息者，按被告林冠福102年4月15日偵訊時供述（A30卷第6-7頁）內容所示，每借款1萬元，每月利息750元，其中倉棧費500元，月息250元，月息為7.5％（=750/10,000）。</t>
    </r>
    <r>
      <rPr>
        <sz val="12"/>
        <color indexed="8"/>
        <rFont val="新細明體"/>
        <family val="1"/>
        <charset val="136"/>
      </rPr>
      <t xml:space="preserve"> 
（</t>
    </r>
    <r>
      <rPr>
        <sz val="12"/>
        <color theme="1"/>
        <rFont val="新細明體"/>
        <family val="1"/>
        <charset val="136"/>
        <scheme val="minor"/>
      </rPr>
      <t>2</t>
    </r>
    <r>
      <rPr>
        <sz val="12"/>
        <color indexed="8"/>
        <rFont val="新細明體"/>
        <family val="1"/>
        <charset val="136"/>
      </rPr>
      <t>）「分期」借款者，因每一期均有攤還本金，且當「分期」借款者借新還舊時（即追蹤表下方註明「洗」字樣者），借款人實際可取得之新借款項係先扣除舊借款尚未清償的本利和後之餘額，故其月利率必較十期後才一次償還本利所計算得出之簡單平均報酬率</t>
    </r>
    <r>
      <rPr>
        <sz val="12"/>
        <color theme="1"/>
        <rFont val="新細明體"/>
        <family val="1"/>
        <charset val="136"/>
        <scheme val="minor"/>
      </rPr>
      <t>6</t>
    </r>
    <r>
      <rPr>
        <sz val="12"/>
        <color indexed="8"/>
        <rFont val="新細明體"/>
        <family val="1"/>
        <charset val="136"/>
      </rPr>
      <t>％（即總利息</t>
    </r>
    <r>
      <rPr>
        <sz val="12"/>
        <color theme="1"/>
        <rFont val="新細明體"/>
        <family val="1"/>
        <charset val="136"/>
        <scheme val="minor"/>
      </rPr>
      <t>/</t>
    </r>
    <r>
      <rPr>
        <sz val="12"/>
        <color indexed="8"/>
        <rFont val="新細明體"/>
        <family val="1"/>
        <charset val="136"/>
      </rPr>
      <t>本金</t>
    </r>
    <r>
      <rPr>
        <sz val="12"/>
        <color theme="1"/>
        <rFont val="新細明體"/>
        <family val="1"/>
        <charset val="136"/>
        <scheme val="minor"/>
      </rPr>
      <t>=(150*10)/10000/10*4</t>
    </r>
    <r>
      <rPr>
        <sz val="12"/>
        <color indexed="8"/>
        <rFont val="新細明體"/>
        <family val="1"/>
        <charset val="136"/>
      </rPr>
      <t>）為高，惟因影響不大，故採有利被告之簡化算法，僅以月利率</t>
    </r>
    <r>
      <rPr>
        <sz val="12"/>
        <color theme="1"/>
        <rFont val="新細明體"/>
        <family val="1"/>
        <charset val="136"/>
        <scheme val="minor"/>
      </rPr>
      <t>6%</t>
    </r>
    <r>
      <rPr>
        <sz val="12"/>
        <color indexed="8"/>
        <rFont val="新細明體"/>
        <family val="1"/>
        <charset val="136"/>
      </rPr>
      <t>作為「分期」借款之利率，併此說明。</t>
    </r>
    <phoneticPr fontId="2" type="noConversion"/>
  </si>
  <si>
    <t>「犯罪所得」欄之計算方式為：（即扣除當鋪業得合法收取按月利率2.5％計算之利息後，所得之金額）
1.計息週期為「分期」者：[G]=本金*（月利率-2.5％）後經換算之週期利率*繳息次數＝[A]*｛([B]-2.5％)*0.25｝*[E]
2.計息週期為「15天」者：[G]=本金*（月利率-2.5％）後經換算之週期利率*繳息次數＝[A]*｛([B]-2.5％)*[C]/30｝*[E]</t>
    <phoneticPr fontId="2" type="noConversion"/>
  </si>
  <si>
    <r>
      <t>A14 卷</t>
    </r>
    <r>
      <rPr>
        <sz val="12"/>
        <color theme="1"/>
        <rFont val="新細明體"/>
        <family val="1"/>
        <charset val="136"/>
        <scheme val="minor"/>
      </rPr>
      <t>第</t>
    </r>
    <r>
      <rPr>
        <sz val="12"/>
        <color indexed="8"/>
        <rFont val="新細明體"/>
        <family val="1"/>
        <charset val="136"/>
      </rPr>
      <t>1010-1029頁、</t>
    </r>
    <r>
      <rPr>
        <sz val="12"/>
        <color theme="1"/>
        <rFont val="新細明體"/>
        <family val="1"/>
        <charset val="136"/>
        <scheme val="minor"/>
      </rPr>
      <t>第1030-1032頁、本院卷十一第301頁</t>
    </r>
    <phoneticPr fontId="2" type="noConversion"/>
  </si>
  <si>
    <t>B17卷第31-35頁、A16卷第1813-1820頁、本院卷十一第301頁</t>
    <phoneticPr fontId="2" type="noConversion"/>
  </si>
  <si>
    <t>A62 卷第126-128 頁、A4卷第50-53反頁、A16卷第1821-1825頁、本院卷十一第301頁</t>
    <phoneticPr fontId="2" type="noConversion"/>
  </si>
  <si>
    <t>B3卷第228-235頁、第237頁反面-240頁、本院卷十一第301頁</t>
    <phoneticPr fontId="2" type="noConversion"/>
  </si>
  <si>
    <r>
      <t>A13卷第765-765之20頁、第</t>
    </r>
    <r>
      <rPr>
        <sz val="12"/>
        <color theme="1"/>
        <rFont val="新細明體"/>
        <family val="1"/>
        <charset val="136"/>
        <scheme val="minor"/>
      </rPr>
      <t>766-768</t>
    </r>
    <r>
      <rPr>
        <sz val="12"/>
        <color indexed="8"/>
        <rFont val="新細明體"/>
        <family val="1"/>
        <charset val="136"/>
      </rPr>
      <t>頁、本院卷十一第</t>
    </r>
    <r>
      <rPr>
        <sz val="12"/>
        <color theme="1"/>
        <rFont val="新細明體"/>
        <family val="1"/>
        <charset val="136"/>
        <scheme val="minor"/>
      </rPr>
      <t>341頁反面</t>
    </r>
    <phoneticPr fontId="2" type="noConversion"/>
  </si>
  <si>
    <r>
      <t>A16 卷第1715-1738 頁、第</t>
    </r>
    <r>
      <rPr>
        <sz val="12"/>
        <color theme="1"/>
        <rFont val="新細明體"/>
        <family val="1"/>
        <charset val="136"/>
        <scheme val="minor"/>
      </rPr>
      <t xml:space="preserve">1740-1743 </t>
    </r>
    <r>
      <rPr>
        <sz val="12"/>
        <color indexed="8"/>
        <rFont val="新細明體"/>
        <family val="1"/>
        <charset val="136"/>
      </rPr>
      <t>頁、本院卷十一第</t>
    </r>
    <r>
      <rPr>
        <sz val="12"/>
        <color theme="1"/>
        <rFont val="新細明體"/>
        <family val="1"/>
        <charset val="136"/>
        <scheme val="minor"/>
      </rPr>
      <t>341</t>
    </r>
    <r>
      <rPr>
        <sz val="12"/>
        <color indexed="8"/>
        <rFont val="新細明體"/>
        <family val="1"/>
        <charset val="136"/>
      </rPr>
      <t>頁反面</t>
    </r>
    <phoneticPr fontId="2" type="noConversion"/>
  </si>
  <si>
    <r>
      <t>A4卷第72-74頁、</t>
    </r>
    <r>
      <rPr>
        <sz val="12"/>
        <color theme="1"/>
        <rFont val="新細明體"/>
        <family val="1"/>
        <charset val="136"/>
        <scheme val="minor"/>
      </rPr>
      <t>A12</t>
    </r>
    <r>
      <rPr>
        <sz val="12"/>
        <color indexed="8"/>
        <rFont val="新細明體"/>
        <family val="1"/>
        <charset val="136"/>
      </rPr>
      <t>卷第</t>
    </r>
    <r>
      <rPr>
        <sz val="12"/>
        <color theme="1"/>
        <rFont val="新細明體"/>
        <family val="1"/>
        <charset val="136"/>
        <scheme val="minor"/>
      </rPr>
      <t>513-519</t>
    </r>
    <r>
      <rPr>
        <sz val="12"/>
        <color indexed="8"/>
        <rFont val="新細明體"/>
        <family val="1"/>
        <charset val="136"/>
      </rPr>
      <t>頁、</t>
    </r>
    <r>
      <rPr>
        <sz val="12"/>
        <color theme="1"/>
        <rFont val="新細明體"/>
        <family val="1"/>
        <charset val="136"/>
        <scheme val="minor"/>
      </rPr>
      <t>A2</t>
    </r>
    <r>
      <rPr>
        <sz val="12"/>
        <color indexed="8"/>
        <rFont val="新細明體"/>
        <family val="1"/>
        <charset val="136"/>
      </rPr>
      <t>卷第</t>
    </r>
    <r>
      <rPr>
        <sz val="12"/>
        <color theme="1"/>
        <rFont val="新細明體"/>
        <family val="1"/>
        <charset val="136"/>
        <scheme val="minor"/>
      </rPr>
      <t>233-235</t>
    </r>
    <r>
      <rPr>
        <sz val="12"/>
        <color indexed="8"/>
        <rFont val="新細明體"/>
        <family val="1"/>
        <charset val="136"/>
      </rPr>
      <t>頁、本院卷十一第</t>
    </r>
    <r>
      <rPr>
        <sz val="12"/>
        <color theme="1"/>
        <rFont val="新細明體"/>
        <family val="1"/>
        <charset val="136"/>
        <scheme val="minor"/>
      </rPr>
      <t>341</t>
    </r>
    <r>
      <rPr>
        <sz val="12"/>
        <color indexed="8"/>
        <rFont val="新細明體"/>
        <family val="1"/>
        <charset val="136"/>
      </rPr>
      <t>頁反面</t>
    </r>
    <phoneticPr fontId="2" type="noConversion"/>
  </si>
  <si>
    <t>A2卷第16-21頁、第40-46頁、第278-280頁、本院卷十一第341頁反面</t>
    <phoneticPr fontId="2" type="noConversion"/>
  </si>
  <si>
    <t>A21卷第2917-2918頁、本院卷十一第341頁反面</t>
    <phoneticPr fontId="2" type="noConversion"/>
  </si>
  <si>
    <t>B14卷第3095-3102頁、第3103-3112頁、本院卷十一第306-313反面、347-348頁</t>
    <phoneticPr fontId="2" type="noConversion"/>
  </si>
  <si>
    <r>
      <t>證人証述之繳息方式係每</t>
    </r>
    <r>
      <rPr>
        <sz val="12"/>
        <color theme="1"/>
        <rFont val="新細明體"/>
        <family val="1"/>
        <charset val="136"/>
        <scheme val="minor"/>
      </rPr>
      <t>10天每萬元900元（A32卷第3-6頁），與其他證人証述每月月息係9％（即每萬元每月利息900元）之內容不符，經被告黃瑞桐以證人身份作證時確認對麥宗龍之放款利率係月息9％（本院卷十一第348頁反面），可見證人麥宗龍之証述應係借款時間久遠而有記憶錯誤之情形，應以月息9％較為可採。</t>
    </r>
    <phoneticPr fontId="2" type="noConversion"/>
  </si>
  <si>
    <t>不明</t>
    <phoneticPr fontId="2" type="noConversion"/>
  </si>
  <si>
    <r>
      <t>1.卷證出處為A3卷第53-58頁、A16卷第1803-1808頁。
2.</t>
    </r>
    <r>
      <rPr>
        <sz val="12"/>
        <color indexed="8"/>
        <rFont val="新細明體"/>
        <family val="1"/>
        <charset val="136"/>
      </rPr>
      <t>最後一筆借款2萬元，其証述與其他證人及被告所述放款利率及繳息方式不同，應係證人借款時間久遠而有記憶錯誤之情形，應以月息</t>
    </r>
    <r>
      <rPr>
        <sz val="12"/>
        <color theme="1"/>
        <rFont val="新細明體"/>
        <family val="1"/>
        <charset val="136"/>
        <scheme val="minor"/>
      </rPr>
      <t>9</t>
    </r>
    <r>
      <rPr>
        <sz val="12"/>
        <color indexed="8"/>
        <rFont val="新細明體"/>
        <family val="1"/>
        <charset val="136"/>
      </rPr>
      <t>％（</t>
    </r>
    <r>
      <rPr>
        <sz val="12"/>
        <color theme="1"/>
        <rFont val="新細明體"/>
        <family val="1"/>
        <charset val="136"/>
        <scheme val="minor"/>
      </rPr>
      <t>99年底前</t>
    </r>
    <r>
      <rPr>
        <sz val="12"/>
        <color indexed="8"/>
        <rFont val="新細明體"/>
        <family val="1"/>
        <charset val="136"/>
      </rPr>
      <t>）及</t>
    </r>
    <r>
      <rPr>
        <sz val="12"/>
        <color theme="1"/>
        <rFont val="新細明體"/>
        <family val="1"/>
        <charset val="136"/>
        <scheme val="minor"/>
      </rPr>
      <t>7.5％（100年以後）</t>
    </r>
    <r>
      <rPr>
        <sz val="12"/>
        <color indexed="8"/>
        <rFont val="新細明體"/>
        <family val="1"/>
        <charset val="136"/>
      </rPr>
      <t xml:space="preserve">較為可採。
</t>
    </r>
    <r>
      <rPr>
        <sz val="12"/>
        <color theme="1"/>
        <rFont val="新細明體"/>
        <family val="1"/>
        <charset val="136"/>
        <scheme val="minor"/>
      </rPr>
      <t/>
    </r>
    <phoneticPr fontId="2" type="noConversion"/>
  </si>
  <si>
    <t>1/13 1310</t>
    <phoneticPr fontId="2" type="noConversion"/>
  </si>
  <si>
    <t>1/17 1125</t>
    <phoneticPr fontId="2" type="noConversion"/>
  </si>
  <si>
    <t>1/21 935</t>
    <phoneticPr fontId="2" type="noConversion"/>
  </si>
  <si>
    <t>第22頁反面</t>
    <phoneticPr fontId="2" type="noConversion"/>
  </si>
  <si>
    <t>11/1 1125</t>
    <phoneticPr fontId="2" type="noConversion"/>
  </si>
  <si>
    <t>11/6 375</t>
    <phoneticPr fontId="2" type="noConversion"/>
  </si>
  <si>
    <t>11/15 1125</t>
    <phoneticPr fontId="2" type="noConversion"/>
  </si>
  <si>
    <t>11/16 1125</t>
    <phoneticPr fontId="2" type="noConversion"/>
  </si>
  <si>
    <t>11/21 375</t>
    <phoneticPr fontId="2" type="noConversion"/>
  </si>
  <si>
    <t>12/1 1125</t>
    <phoneticPr fontId="2" type="noConversion"/>
  </si>
  <si>
    <t>12/6 375</t>
    <phoneticPr fontId="2" type="noConversion"/>
  </si>
  <si>
    <t>12/21 375</t>
    <phoneticPr fontId="2" type="noConversion"/>
  </si>
  <si>
    <t>第23頁</t>
    <phoneticPr fontId="2" type="noConversion"/>
  </si>
  <si>
    <t>第23頁反面</t>
    <phoneticPr fontId="2" type="noConversion"/>
  </si>
  <si>
    <t>1/5 375</t>
    <phoneticPr fontId="2" type="noConversion"/>
  </si>
  <si>
    <t>1/20 375</t>
    <phoneticPr fontId="2" type="noConversion"/>
  </si>
  <si>
    <t>11/8 4875</t>
    <phoneticPr fontId="2" type="noConversion"/>
  </si>
  <si>
    <t>第24頁</t>
    <phoneticPr fontId="2" type="noConversion"/>
  </si>
  <si>
    <t>第25頁</t>
  </si>
  <si>
    <t>12/16 750</t>
    <phoneticPr fontId="2" type="noConversion"/>
  </si>
  <si>
    <t>12/17 375</t>
    <phoneticPr fontId="2" type="noConversion"/>
  </si>
  <si>
    <t>1/15 750</t>
    <phoneticPr fontId="2" type="noConversion"/>
  </si>
  <si>
    <t>1/16 375</t>
    <phoneticPr fontId="2" type="noConversion"/>
  </si>
  <si>
    <t>第25頁反面</t>
    <phoneticPr fontId="2" type="noConversion"/>
  </si>
  <si>
    <t>11/5 560</t>
    <phoneticPr fontId="2" type="noConversion"/>
  </si>
  <si>
    <t>12/13 1685</t>
    <phoneticPr fontId="2" type="noConversion"/>
  </si>
  <si>
    <t>12/15 1685</t>
    <phoneticPr fontId="2" type="noConversion"/>
  </si>
  <si>
    <t>編
號</t>
    <phoneticPr fontId="2" type="noConversion"/>
  </si>
  <si>
    <t>卷證出處
（註1）</t>
    <phoneticPr fontId="2" type="noConversion"/>
  </si>
  <si>
    <t>（註2）</t>
    <phoneticPr fontId="2" type="noConversion"/>
  </si>
  <si>
    <t>註1：</t>
    <phoneticPr fontId="2" type="noConversion"/>
  </si>
  <si>
    <t>註2：</t>
    <phoneticPr fontId="2" type="noConversion"/>
  </si>
  <si>
    <t>陳明傳</t>
    <phoneticPr fontId="2" type="noConversion"/>
  </si>
  <si>
    <t>不明</t>
    <phoneticPr fontId="2" type="noConversion"/>
  </si>
  <si>
    <t>1227</t>
    <phoneticPr fontId="7" type="noConversion"/>
  </si>
  <si>
    <t>伍思全</t>
    <phoneticPr fontId="7" type="noConversion"/>
  </si>
  <si>
    <t>0105</t>
    <phoneticPr fontId="7" type="noConversion"/>
  </si>
  <si>
    <t>0209</t>
    <phoneticPr fontId="7" type="noConversion"/>
  </si>
  <si>
    <t>0810</t>
    <phoneticPr fontId="7" type="noConversion"/>
  </si>
  <si>
    <t>0305</t>
    <phoneticPr fontId="7" type="noConversion"/>
  </si>
  <si>
    <t>0503</t>
    <phoneticPr fontId="7" type="noConversion"/>
  </si>
  <si>
    <t>0516</t>
    <phoneticPr fontId="7" type="noConversion"/>
  </si>
  <si>
    <t>0905</t>
    <phoneticPr fontId="7" type="noConversion"/>
  </si>
  <si>
    <t>0817</t>
    <phoneticPr fontId="7" type="noConversion"/>
  </si>
  <si>
    <t>0925</t>
    <phoneticPr fontId="7" type="noConversion"/>
  </si>
  <si>
    <t>陳宗信</t>
    <phoneticPr fontId="7" type="noConversion"/>
  </si>
  <si>
    <t>0202</t>
    <phoneticPr fontId="7" type="noConversion"/>
  </si>
  <si>
    <t>0426</t>
    <phoneticPr fontId="7" type="noConversion"/>
  </si>
  <si>
    <t>0308</t>
    <phoneticPr fontId="7" type="noConversion"/>
  </si>
  <si>
    <t>謝自來</t>
    <phoneticPr fontId="7" type="noConversion"/>
  </si>
  <si>
    <t>林瑞祥</t>
    <phoneticPr fontId="7" type="noConversion"/>
  </si>
  <si>
    <t>1229</t>
    <phoneticPr fontId="7" type="noConversion"/>
  </si>
  <si>
    <t>0409</t>
    <phoneticPr fontId="7" type="noConversion"/>
  </si>
  <si>
    <t>0410</t>
    <phoneticPr fontId="7" type="noConversion"/>
  </si>
  <si>
    <t>0528</t>
    <phoneticPr fontId="7" type="noConversion"/>
  </si>
  <si>
    <t>0611</t>
    <phoneticPr fontId="7" type="noConversion"/>
  </si>
  <si>
    <t>0622</t>
    <phoneticPr fontId="7" type="noConversion"/>
  </si>
  <si>
    <t>0730</t>
    <phoneticPr fontId="7" type="noConversion"/>
  </si>
  <si>
    <t>10/2 3750 10/17 3750 11/1 3750 11/16 3750</t>
    <phoneticPr fontId="2" type="noConversion"/>
  </si>
  <si>
    <t>第11頁</t>
    <phoneticPr fontId="2" type="noConversion"/>
  </si>
  <si>
    <t>第11頁反面</t>
    <phoneticPr fontId="2" type="noConversion"/>
  </si>
  <si>
    <t>第12頁</t>
    <phoneticPr fontId="2" type="noConversion"/>
  </si>
  <si>
    <t>第13頁</t>
  </si>
  <si>
    <t>11/14 1310 11/15(林)1125</t>
    <phoneticPr fontId="2" type="noConversion"/>
  </si>
  <si>
    <t>11/29 1310 11/30(林) 1125</t>
    <phoneticPr fontId="2" type="noConversion"/>
  </si>
  <si>
    <t>第13頁反面</t>
    <phoneticPr fontId="2" type="noConversion"/>
  </si>
  <si>
    <t>12/26 1875 12/29 1310 12/30(林)1125</t>
    <phoneticPr fontId="2" type="noConversion"/>
  </si>
  <si>
    <t>1/14(林) 1125</t>
    <phoneticPr fontId="2" type="noConversion"/>
  </si>
  <si>
    <t>第14頁</t>
    <phoneticPr fontId="2" type="noConversion"/>
  </si>
  <si>
    <t>第14頁反面</t>
    <phoneticPr fontId="2" type="noConversion"/>
  </si>
  <si>
    <t>第15頁</t>
    <phoneticPr fontId="2" type="noConversion"/>
  </si>
  <si>
    <t>第16頁</t>
  </si>
  <si>
    <t>第16頁反面</t>
    <phoneticPr fontId="2" type="noConversion"/>
  </si>
  <si>
    <t>11/3 2250</t>
    <phoneticPr fontId="2" type="noConversion"/>
  </si>
  <si>
    <t>11/5 750</t>
    <phoneticPr fontId="2" type="noConversion"/>
  </si>
  <si>
    <t>11/8 1125</t>
    <phoneticPr fontId="2" type="noConversion"/>
  </si>
  <si>
    <t>11/11 1125</t>
    <phoneticPr fontId="2" type="noConversion"/>
  </si>
  <si>
    <t>11/14 750</t>
    <phoneticPr fontId="2" type="noConversion"/>
  </si>
  <si>
    <t>11/15 1125</t>
    <phoneticPr fontId="2" type="noConversion"/>
  </si>
  <si>
    <t>11/18 2250</t>
    <phoneticPr fontId="2" type="noConversion"/>
  </si>
  <si>
    <t>11/20 750</t>
    <phoneticPr fontId="2" type="noConversion"/>
  </si>
  <si>
    <t>11/23 1125</t>
    <phoneticPr fontId="2" type="noConversion"/>
  </si>
  <si>
    <t>11/26 1125</t>
    <phoneticPr fontId="2" type="noConversion"/>
  </si>
  <si>
    <t>12/3 2250</t>
    <phoneticPr fontId="2" type="noConversion"/>
  </si>
  <si>
    <t>12/5 750</t>
    <phoneticPr fontId="2" type="noConversion"/>
  </si>
  <si>
    <t>12/8 1125</t>
    <phoneticPr fontId="2" type="noConversion"/>
  </si>
  <si>
    <t>12/11 1125</t>
    <phoneticPr fontId="2" type="noConversion"/>
  </si>
  <si>
    <t>12/14 750</t>
    <phoneticPr fontId="2" type="noConversion"/>
  </si>
  <si>
    <t>12/15 1125</t>
    <phoneticPr fontId="2" type="noConversion"/>
  </si>
  <si>
    <t>12/18 2250</t>
    <phoneticPr fontId="2" type="noConversion"/>
  </si>
  <si>
    <t>12/26 1125</t>
    <phoneticPr fontId="2" type="noConversion"/>
  </si>
  <si>
    <t>第17頁</t>
    <phoneticPr fontId="2" type="noConversion"/>
  </si>
  <si>
    <t>12/29 750</t>
    <phoneticPr fontId="2" type="noConversion"/>
  </si>
  <si>
    <t>12/30 1125</t>
    <phoneticPr fontId="2" type="noConversion"/>
  </si>
  <si>
    <t>1/14 1125</t>
    <phoneticPr fontId="2" type="noConversion"/>
  </si>
  <si>
    <t>第17頁反面</t>
    <phoneticPr fontId="2" type="noConversion"/>
  </si>
  <si>
    <t>11/4 2625</t>
    <phoneticPr fontId="2" type="noConversion"/>
  </si>
  <si>
    <t>11/5 375</t>
    <phoneticPr fontId="2" type="noConversion"/>
  </si>
  <si>
    <t>11/7 375</t>
    <phoneticPr fontId="2" type="noConversion"/>
  </si>
  <si>
    <t>11/9 185</t>
    <phoneticPr fontId="2" type="noConversion"/>
  </si>
  <si>
    <t>11/11 185</t>
    <phoneticPr fontId="2" type="noConversion"/>
  </si>
  <si>
    <t>11/14 750</t>
    <phoneticPr fontId="2" type="noConversion"/>
  </si>
  <si>
    <t>11/10 560</t>
    <phoneticPr fontId="2" type="noConversion"/>
  </si>
  <si>
    <t>11/19 2625</t>
    <phoneticPr fontId="2" type="noConversion"/>
  </si>
  <si>
    <t>11/20 375</t>
    <phoneticPr fontId="2" type="noConversion"/>
  </si>
  <si>
    <t>11/22 375</t>
    <phoneticPr fontId="2" type="noConversion"/>
  </si>
  <si>
    <t>11/24 185</t>
    <phoneticPr fontId="2" type="noConversion"/>
  </si>
  <si>
    <t>11/29 750</t>
    <phoneticPr fontId="2" type="noConversion"/>
  </si>
  <si>
    <t>12/4 2625</t>
    <phoneticPr fontId="2" type="noConversion"/>
  </si>
  <si>
    <t>12/5 375</t>
    <phoneticPr fontId="2" type="noConversion"/>
  </si>
  <si>
    <t>12/7 375</t>
    <phoneticPr fontId="2" type="noConversion"/>
  </si>
  <si>
    <t>12/9 185</t>
    <phoneticPr fontId="2" type="noConversion"/>
  </si>
  <si>
    <t>12/14 750</t>
    <phoneticPr fontId="2" type="noConversion"/>
  </si>
  <si>
    <t>12/25 560</t>
    <phoneticPr fontId="2" type="noConversion"/>
  </si>
  <si>
    <t>12/26 185</t>
    <phoneticPr fontId="2" type="noConversion"/>
  </si>
  <si>
    <t>12/29 750</t>
    <phoneticPr fontId="2" type="noConversion"/>
  </si>
  <si>
    <t>第18頁</t>
    <phoneticPr fontId="2" type="noConversion"/>
  </si>
  <si>
    <t>1/3 2625</t>
    <phoneticPr fontId="2" type="noConversion"/>
  </si>
  <si>
    <t>1/4 375</t>
    <phoneticPr fontId="2" type="noConversion"/>
  </si>
  <si>
    <t>1/6 375</t>
    <phoneticPr fontId="2" type="noConversion"/>
  </si>
  <si>
    <t>1/8 185</t>
    <phoneticPr fontId="2" type="noConversion"/>
  </si>
  <si>
    <t>1/9 560</t>
    <phoneticPr fontId="2" type="noConversion"/>
  </si>
  <si>
    <t>1/10 185</t>
    <phoneticPr fontId="2" type="noConversion"/>
  </si>
  <si>
    <t>1/13 750</t>
    <phoneticPr fontId="2" type="noConversion"/>
  </si>
  <si>
    <t>1/21 375</t>
    <phoneticPr fontId="2" type="noConversion"/>
  </si>
  <si>
    <t>第18頁反面</t>
    <phoneticPr fontId="2" type="noConversion"/>
  </si>
  <si>
    <t>第19頁</t>
    <phoneticPr fontId="2" type="noConversion"/>
  </si>
  <si>
    <t>11/9 375</t>
    <phoneticPr fontId="2" type="noConversion"/>
  </si>
  <si>
    <t>11/14 375</t>
    <phoneticPr fontId="2" type="noConversion"/>
  </si>
  <si>
    <t>11/24 6375</t>
    <phoneticPr fontId="2" type="noConversion"/>
  </si>
  <si>
    <t>11/29 375</t>
    <phoneticPr fontId="2" type="noConversion"/>
  </si>
  <si>
    <t>12/9 6375</t>
    <phoneticPr fontId="2" type="noConversion"/>
  </si>
  <si>
    <t>12/14 375</t>
    <phoneticPr fontId="2" type="noConversion"/>
  </si>
  <si>
    <t>12/24 6375</t>
    <phoneticPr fontId="2" type="noConversion"/>
  </si>
  <si>
    <t>12/29 375</t>
    <phoneticPr fontId="2" type="noConversion"/>
  </si>
  <si>
    <t>1/8 6375</t>
    <phoneticPr fontId="2" type="noConversion"/>
  </si>
  <si>
    <t>1/13 375</t>
    <phoneticPr fontId="2" type="noConversion"/>
  </si>
  <si>
    <t>第19頁反面</t>
    <phoneticPr fontId="2" type="noConversion"/>
  </si>
  <si>
    <t>第20頁</t>
    <phoneticPr fontId="2" type="noConversion"/>
  </si>
  <si>
    <t>11/1 750</t>
    <phoneticPr fontId="2" type="noConversion"/>
  </si>
  <si>
    <t>11/11 1125</t>
    <phoneticPr fontId="2" type="noConversion"/>
  </si>
  <si>
    <t>11/12 1685</t>
    <phoneticPr fontId="2" type="noConversion"/>
  </si>
  <si>
    <t>11/13 1500</t>
    <phoneticPr fontId="2" type="noConversion"/>
  </si>
  <si>
    <t>11/14 1125</t>
    <phoneticPr fontId="2" type="noConversion"/>
  </si>
  <si>
    <t>11/15 560</t>
    <phoneticPr fontId="2" type="noConversion"/>
  </si>
  <si>
    <t>11/16 375</t>
    <phoneticPr fontId="2" type="noConversion"/>
  </si>
  <si>
    <t>11/26 1125</t>
    <phoneticPr fontId="2" type="noConversion"/>
  </si>
  <si>
    <t>11/27 1685</t>
    <phoneticPr fontId="2" type="noConversion"/>
  </si>
  <si>
    <t>11/28 1500</t>
    <phoneticPr fontId="2" type="noConversion"/>
  </si>
  <si>
    <t>12/1 375</t>
    <phoneticPr fontId="2" type="noConversion"/>
  </si>
  <si>
    <t>12/11 1125</t>
    <phoneticPr fontId="2" type="noConversion"/>
  </si>
  <si>
    <t>12/12 1685</t>
    <phoneticPr fontId="2" type="noConversion"/>
  </si>
  <si>
    <t>12/26 1125</t>
    <phoneticPr fontId="2" type="noConversion"/>
  </si>
  <si>
    <t>12/27 1685</t>
    <phoneticPr fontId="2" type="noConversion"/>
  </si>
  <si>
    <t>12/28 1500</t>
    <phoneticPr fontId="2" type="noConversion"/>
  </si>
  <si>
    <r>
      <t>0</t>
    </r>
    <r>
      <rPr>
        <sz val="12"/>
        <color theme="1"/>
        <rFont val="新細明體"/>
        <family val="1"/>
        <charset val="136"/>
        <scheme val="minor"/>
      </rPr>
      <t>714</t>
    </r>
    <phoneticPr fontId="2" type="noConversion"/>
  </si>
  <si>
    <t>「雙號」冊第38頁</t>
    <phoneticPr fontId="2" type="noConversion"/>
  </si>
  <si>
    <t>「雙號」冊第39頁</t>
    <phoneticPr fontId="2" type="noConversion"/>
  </si>
  <si>
    <t>「雙號」冊第40頁</t>
    <phoneticPr fontId="2" type="noConversion"/>
  </si>
  <si>
    <t>「雙號」冊第41頁</t>
    <phoneticPr fontId="2" type="noConversion"/>
  </si>
  <si>
    <t>「雙號」冊第42頁</t>
    <phoneticPr fontId="2" type="noConversion"/>
  </si>
  <si>
    <t>「雙號」冊第43頁</t>
    <phoneticPr fontId="2" type="noConversion"/>
  </si>
  <si>
    <t>「雙號」冊第44頁</t>
    <phoneticPr fontId="2" type="noConversion"/>
  </si>
  <si>
    <t>「雙號」冊第45頁</t>
    <phoneticPr fontId="2" type="noConversion"/>
  </si>
  <si>
    <t>「雙號」冊第46頁</t>
    <phoneticPr fontId="2" type="noConversion"/>
  </si>
  <si>
    <t>「雙號」冊第47頁</t>
    <phoneticPr fontId="2" type="noConversion"/>
  </si>
  <si>
    <t>「雙號」冊第48頁</t>
    <phoneticPr fontId="2" type="noConversion"/>
  </si>
  <si>
    <t>「雙號」冊第49頁</t>
    <phoneticPr fontId="2" type="noConversion"/>
  </si>
  <si>
    <t>「雙號」冊第50頁</t>
    <phoneticPr fontId="2" type="noConversion"/>
  </si>
  <si>
    <t>「雙號」冊第51頁</t>
    <phoneticPr fontId="2" type="noConversion"/>
  </si>
  <si>
    <t>「雙號」冊第52頁</t>
    <phoneticPr fontId="2" type="noConversion"/>
  </si>
  <si>
    <t>「雙號」冊第53頁</t>
    <phoneticPr fontId="2" type="noConversion"/>
  </si>
  <si>
    <t>「雙號」冊第54頁</t>
    <phoneticPr fontId="2" type="noConversion"/>
  </si>
  <si>
    <t>「雙號」冊第55頁</t>
    <phoneticPr fontId="2" type="noConversion"/>
  </si>
  <si>
    <t>「雙號」冊第56頁</t>
    <phoneticPr fontId="2" type="noConversion"/>
  </si>
  <si>
    <t>「雙號」冊第57頁</t>
    <phoneticPr fontId="2" type="noConversion"/>
  </si>
  <si>
    <t>「雙號」冊第58頁</t>
    <phoneticPr fontId="2" type="noConversion"/>
  </si>
  <si>
    <t>「雙號」冊第59頁</t>
    <phoneticPr fontId="2" type="noConversion"/>
  </si>
  <si>
    <t>「雙號」冊第60頁</t>
    <phoneticPr fontId="2" type="noConversion"/>
  </si>
  <si>
    <t>「雙號」冊第61頁</t>
    <phoneticPr fontId="2" type="noConversion"/>
  </si>
  <si>
    <t>「雙號」冊第63頁</t>
    <phoneticPr fontId="2" type="noConversion"/>
  </si>
  <si>
    <t>「雙號」冊第64頁</t>
    <phoneticPr fontId="2" type="noConversion"/>
  </si>
  <si>
    <t>「雙號」冊第65頁</t>
    <phoneticPr fontId="2" type="noConversion"/>
  </si>
  <si>
    <t>「雙號」冊第66頁</t>
    <phoneticPr fontId="2" type="noConversion"/>
  </si>
  <si>
    <t>「雙號」冊第67頁</t>
    <phoneticPr fontId="2" type="noConversion"/>
  </si>
  <si>
    <t>「雙號」冊第68頁</t>
    <phoneticPr fontId="2" type="noConversion"/>
  </si>
  <si>
    <t>「雙號」冊第69頁</t>
    <phoneticPr fontId="2" type="noConversion"/>
  </si>
  <si>
    <t>「雙號」冊第70頁</t>
    <phoneticPr fontId="2" type="noConversion"/>
  </si>
  <si>
    <t>「雙號」冊第71頁</t>
    <phoneticPr fontId="2" type="noConversion"/>
  </si>
  <si>
    <t>0928</t>
    <phoneticPr fontId="7" type="noConversion"/>
  </si>
  <si>
    <t>0307</t>
    <phoneticPr fontId="7" type="noConversion"/>
  </si>
  <si>
    <t>0313</t>
    <phoneticPr fontId="7" type="noConversion"/>
  </si>
  <si>
    <t>0430</t>
    <phoneticPr fontId="7" type="noConversion"/>
  </si>
  <si>
    <t>1015</t>
    <phoneticPr fontId="7" type="noConversion"/>
  </si>
  <si>
    <t>0807</t>
    <phoneticPr fontId="7" type="noConversion"/>
  </si>
  <si>
    <t>[A]本金</t>
    <phoneticPr fontId="2" type="noConversion"/>
  </si>
  <si>
    <t>註4：</t>
    <phoneticPr fontId="2" type="noConversion"/>
  </si>
  <si>
    <t>[C]計息週期(天)(註3)</t>
    <phoneticPr fontId="2" type="noConversion"/>
  </si>
  <si>
    <t>[D]第一次
繳息日</t>
    <phoneticPr fontId="2" type="noConversion"/>
  </si>
  <si>
    <t>[E]繳息
次數</t>
    <phoneticPr fontId="2" type="noConversion"/>
  </si>
  <si>
    <t>[F]已繳利息(註4)</t>
    <phoneticPr fontId="2" type="noConversion"/>
  </si>
  <si>
    <t>[G]犯罪所得
(註5)</t>
    <phoneticPr fontId="2" type="noConversion"/>
  </si>
  <si>
    <t>註5：</t>
  </si>
  <si>
    <t>「已繳利息」欄之計算方式為：
1.計息週期為「分期」者：[F]=本金*換算之週期利率*繳息次數＝[A]*（[B]*0.25）*[E]
2.計息週期為「15天」者：[F]=本金*換算之週期利率*繳息次數＝[A]*（[B]*[C]/30）*[E]</t>
    <phoneticPr fontId="2" type="noConversion"/>
  </si>
  <si>
    <t>1114</t>
    <phoneticPr fontId="7" type="noConversion"/>
  </si>
  <si>
    <t>0323</t>
    <phoneticPr fontId="7" type="noConversion"/>
  </si>
  <si>
    <t>0502</t>
    <phoneticPr fontId="7" type="noConversion"/>
  </si>
  <si>
    <t>0619</t>
    <phoneticPr fontId="7" type="noConversion"/>
  </si>
  <si>
    <t>0717</t>
    <phoneticPr fontId="7" type="noConversion"/>
  </si>
  <si>
    <t>0731</t>
    <phoneticPr fontId="7" type="noConversion"/>
  </si>
  <si>
    <t>汪利輝</t>
    <phoneticPr fontId="7" type="noConversion"/>
  </si>
  <si>
    <t>0602</t>
    <phoneticPr fontId="7" type="noConversion"/>
  </si>
  <si>
    <t>陳舜德</t>
    <phoneticPr fontId="7" type="noConversion"/>
  </si>
  <si>
    <t>0604</t>
    <phoneticPr fontId="7" type="noConversion"/>
  </si>
  <si>
    <t>1104</t>
    <phoneticPr fontId="7" type="noConversion"/>
  </si>
  <si>
    <t>0404</t>
    <phoneticPr fontId="7" type="noConversion"/>
  </si>
  <si>
    <t>0615</t>
    <phoneticPr fontId="7" type="noConversion"/>
  </si>
  <si>
    <t>1115</t>
    <phoneticPr fontId="7" type="noConversion"/>
  </si>
  <si>
    <t>0415</t>
    <phoneticPr fontId="7" type="noConversion"/>
  </si>
  <si>
    <t>0510</t>
    <phoneticPr fontId="7" type="noConversion"/>
  </si>
  <si>
    <t>陳文良</t>
    <phoneticPr fontId="7" type="noConversion"/>
  </si>
  <si>
    <t>0223</t>
    <phoneticPr fontId="7" type="noConversion"/>
  </si>
  <si>
    <t>張松生</t>
    <phoneticPr fontId="7" type="noConversion"/>
  </si>
  <si>
    <t>1127</t>
    <phoneticPr fontId="7" type="noConversion"/>
  </si>
  <si>
    <t>吳正德</t>
    <phoneticPr fontId="7" type="noConversion"/>
  </si>
  <si>
    <t>矯永利</t>
    <phoneticPr fontId="7" type="noConversion"/>
  </si>
  <si>
    <t>0208</t>
    <phoneticPr fontId="7" type="noConversion"/>
  </si>
  <si>
    <t>李啟堅</t>
    <phoneticPr fontId="7" type="noConversion"/>
  </si>
  <si>
    <t>1214</t>
    <phoneticPr fontId="7" type="noConversion"/>
  </si>
  <si>
    <t>施天予</t>
    <phoneticPr fontId="7" type="noConversion"/>
  </si>
  <si>
    <t>1205</t>
    <phoneticPr fontId="7" type="noConversion"/>
  </si>
  <si>
    <t>1221</t>
    <phoneticPr fontId="7" type="noConversion"/>
  </si>
  <si>
    <t>0112</t>
    <phoneticPr fontId="7" type="noConversion"/>
  </si>
  <si>
    <t>張昌寰</t>
    <phoneticPr fontId="7" type="noConversion"/>
  </si>
  <si>
    <t>羅源福</t>
    <phoneticPr fontId="7" type="noConversion"/>
  </si>
  <si>
    <t>0924</t>
    <phoneticPr fontId="7" type="noConversion"/>
  </si>
  <si>
    <t>0129</t>
    <phoneticPr fontId="7" type="noConversion"/>
  </si>
  <si>
    <t>許帥</t>
    <phoneticPr fontId="7" type="noConversion"/>
  </si>
  <si>
    <t>0108</t>
    <phoneticPr fontId="7" type="noConversion"/>
  </si>
  <si>
    <t>曾俊聰</t>
    <phoneticPr fontId="7" type="noConversion"/>
  </si>
  <si>
    <t>洪詩穎</t>
    <phoneticPr fontId="7" type="noConversion"/>
  </si>
  <si>
    <t>張福裕</t>
    <phoneticPr fontId="7" type="noConversion"/>
  </si>
  <si>
    <t>伍思富</t>
    <phoneticPr fontId="7" type="noConversion"/>
  </si>
  <si>
    <t>0921</t>
    <phoneticPr fontId="7" type="noConversion"/>
  </si>
  <si>
    <t>楊懋勳</t>
    <phoneticPr fontId="7" type="noConversion"/>
  </si>
  <si>
    <t>廖宜祥</t>
    <phoneticPr fontId="7" type="noConversion"/>
  </si>
  <si>
    <t>0927</t>
    <phoneticPr fontId="7" type="noConversion"/>
  </si>
  <si>
    <t>1109</t>
    <phoneticPr fontId="7" type="noConversion"/>
  </si>
  <si>
    <t>1224</t>
    <phoneticPr fontId="7" type="noConversion"/>
  </si>
  <si>
    <t>連志萍</t>
    <phoneticPr fontId="7" type="noConversion"/>
  </si>
  <si>
    <t>李政翰</t>
    <phoneticPr fontId="7" type="noConversion"/>
  </si>
  <si>
    <t>徐家承</t>
    <phoneticPr fontId="7" type="noConversion"/>
  </si>
  <si>
    <t>蔡榮濱</t>
    <phoneticPr fontId="7" type="noConversion"/>
  </si>
  <si>
    <t>0304</t>
    <phoneticPr fontId="7" type="noConversion"/>
  </si>
  <si>
    <t>施政雄</t>
    <phoneticPr fontId="7" type="noConversion"/>
  </si>
  <si>
    <t>王賢才</t>
    <phoneticPr fontId="7" type="noConversion"/>
  </si>
  <si>
    <t>1009</t>
    <phoneticPr fontId="7" type="noConversion"/>
  </si>
  <si>
    <t>羅志全</t>
    <phoneticPr fontId="7" type="noConversion"/>
  </si>
  <si>
    <t>金勝勳</t>
    <phoneticPr fontId="7" type="noConversion"/>
  </si>
  <si>
    <t>楊耀閔</t>
    <phoneticPr fontId="7" type="noConversion"/>
  </si>
  <si>
    <t>何宜達</t>
    <phoneticPr fontId="7" type="noConversion"/>
  </si>
  <si>
    <t>廖茂芳</t>
    <phoneticPr fontId="7" type="noConversion"/>
  </si>
  <si>
    <t>王楷仁</t>
    <phoneticPr fontId="7" type="noConversion"/>
  </si>
  <si>
    <t>陳耀雄</t>
    <phoneticPr fontId="7" type="noConversion"/>
  </si>
  <si>
    <t>0301</t>
    <phoneticPr fontId="7" type="noConversion"/>
  </si>
  <si>
    <t>張新源</t>
    <phoneticPr fontId="7" type="noConversion"/>
  </si>
  <si>
    <t>卓佳慶</t>
    <phoneticPr fontId="7" type="noConversion"/>
  </si>
  <si>
    <t>陳威翰</t>
    <phoneticPr fontId="7" type="noConversion"/>
  </si>
  <si>
    <t>0321</t>
    <phoneticPr fontId="7" type="noConversion"/>
  </si>
  <si>
    <t>洪明興</t>
    <phoneticPr fontId="7" type="noConversion"/>
  </si>
  <si>
    <t>張維煌</t>
    <phoneticPr fontId="7" type="noConversion"/>
  </si>
  <si>
    <t>0327</t>
    <phoneticPr fontId="7" type="noConversion"/>
  </si>
  <si>
    <t>林隆鍇</t>
    <phoneticPr fontId="7" type="noConversion"/>
  </si>
  <si>
    <t>范敬宗</t>
    <phoneticPr fontId="7" type="noConversion"/>
  </si>
  <si>
    <t>曾文麒</t>
    <phoneticPr fontId="7" type="noConversion"/>
  </si>
  <si>
    <t>1112</t>
    <phoneticPr fontId="7" type="noConversion"/>
  </si>
  <si>
    <t>李晉廣</t>
    <phoneticPr fontId="7" type="noConversion"/>
  </si>
  <si>
    <t>蔡嘉淋</t>
    <phoneticPr fontId="7" type="noConversion"/>
  </si>
  <si>
    <t>王文華</t>
    <phoneticPr fontId="7" type="noConversion"/>
  </si>
  <si>
    <t>古國偉</t>
    <phoneticPr fontId="7" type="noConversion"/>
  </si>
  <si>
    <t>蔡聰益</t>
    <phoneticPr fontId="7" type="noConversion"/>
  </si>
  <si>
    <t>陳聰明</t>
    <phoneticPr fontId="7" type="noConversion"/>
  </si>
  <si>
    <t>張德誌</t>
    <phoneticPr fontId="7" type="noConversion"/>
  </si>
  <si>
    <t>王瀚陽</t>
    <phoneticPr fontId="7" type="noConversion"/>
  </si>
  <si>
    <t>林坤增</t>
    <phoneticPr fontId="7" type="noConversion"/>
  </si>
  <si>
    <t>魏鵬煌</t>
    <phoneticPr fontId="7" type="noConversion"/>
  </si>
  <si>
    <t>林峰均</t>
    <phoneticPr fontId="7" type="noConversion"/>
  </si>
  <si>
    <t>吳耀明</t>
    <phoneticPr fontId="7" type="noConversion"/>
  </si>
  <si>
    <t>1123</t>
    <phoneticPr fontId="7" type="noConversion"/>
  </si>
  <si>
    <t>陳萬龍</t>
    <phoneticPr fontId="7" type="noConversion"/>
  </si>
  <si>
    <t>劉東河</t>
    <phoneticPr fontId="7" type="noConversion"/>
  </si>
  <si>
    <t>林宏彬</t>
    <phoneticPr fontId="7" type="noConversion"/>
  </si>
  <si>
    <t>李誠福</t>
    <phoneticPr fontId="7" type="noConversion"/>
  </si>
  <si>
    <t>胡家麟</t>
    <phoneticPr fontId="7" type="noConversion"/>
  </si>
  <si>
    <t>張棋銘</t>
    <phoneticPr fontId="7" type="noConversion"/>
  </si>
  <si>
    <t>林進財</t>
    <phoneticPr fontId="7" type="noConversion"/>
  </si>
  <si>
    <t>莊勝發</t>
    <phoneticPr fontId="7" type="noConversion"/>
  </si>
  <si>
    <t>蘇彥哲</t>
    <phoneticPr fontId="7" type="noConversion"/>
  </si>
  <si>
    <t>陳永材</t>
    <phoneticPr fontId="7" type="noConversion"/>
  </si>
  <si>
    <t>許進棋</t>
    <phoneticPr fontId="7" type="noConversion"/>
  </si>
  <si>
    <t>陳文同</t>
    <phoneticPr fontId="7" type="noConversion"/>
  </si>
  <si>
    <t>彭海修</t>
    <phoneticPr fontId="7" type="noConversion"/>
  </si>
  <si>
    <t>1231</t>
    <phoneticPr fontId="7" type="noConversion"/>
  </si>
  <si>
    <t>張瑋倫</t>
    <phoneticPr fontId="7" type="noConversion"/>
  </si>
  <si>
    <t>許正松</t>
    <phoneticPr fontId="7" type="noConversion"/>
  </si>
  <si>
    <t>楊月英</t>
    <phoneticPr fontId="7" type="noConversion"/>
  </si>
  <si>
    <t>蕭瀚緯</t>
    <phoneticPr fontId="7" type="noConversion"/>
  </si>
  <si>
    <t>0104</t>
    <phoneticPr fontId="7" type="noConversion"/>
  </si>
  <si>
    <t>黃偉銘</t>
    <phoneticPr fontId="7" type="noConversion"/>
  </si>
  <si>
    <t>郭天民</t>
    <phoneticPr fontId="7" type="noConversion"/>
  </si>
  <si>
    <t>黃健瑀</t>
    <phoneticPr fontId="7" type="noConversion"/>
  </si>
  <si>
    <t>黃亦坤</t>
    <phoneticPr fontId="7" type="noConversion"/>
  </si>
  <si>
    <t>羅哲評</t>
    <phoneticPr fontId="7" type="noConversion"/>
  </si>
  <si>
    <t>0315</t>
    <phoneticPr fontId="7" type="noConversion"/>
  </si>
  <si>
    <t>劉政鴻</t>
    <phoneticPr fontId="7" type="noConversion"/>
  </si>
  <si>
    <t>0119</t>
    <phoneticPr fontId="7" type="noConversion"/>
  </si>
  <si>
    <t>蔡孟宗</t>
    <phoneticPr fontId="7" type="noConversion"/>
  </si>
  <si>
    <t>陳富長</t>
    <phoneticPr fontId="7" type="noConversion"/>
  </si>
  <si>
    <t>曾捷明</t>
    <phoneticPr fontId="7" type="noConversion"/>
  </si>
  <si>
    <t>許志青</t>
    <phoneticPr fontId="7" type="noConversion"/>
  </si>
  <si>
    <t>林妤軒</t>
    <phoneticPr fontId="2" type="noConversion"/>
  </si>
  <si>
    <t>4(B)</t>
    <phoneticPr fontId="2" type="noConversion"/>
  </si>
  <si>
    <t>林育鋒</t>
    <phoneticPr fontId="2" type="noConversion"/>
  </si>
  <si>
    <t>林宗明</t>
    <phoneticPr fontId="2" type="noConversion"/>
  </si>
  <si>
    <t>林俊名</t>
    <phoneticPr fontId="2" type="noConversion"/>
  </si>
  <si>
    <t>林俊騰</t>
    <phoneticPr fontId="2" type="noConversion"/>
  </si>
  <si>
    <t>林冠福</t>
    <phoneticPr fontId="2" type="noConversion"/>
  </si>
  <si>
    <t>林貴皓</t>
    <phoneticPr fontId="2" type="noConversion"/>
  </si>
  <si>
    <t>林聖二</t>
    <phoneticPr fontId="2" type="noConversion"/>
  </si>
  <si>
    <t>林嘉宏</t>
    <phoneticPr fontId="2" type="noConversion"/>
  </si>
  <si>
    <t>林廖嘉</t>
    <phoneticPr fontId="2" type="noConversion"/>
  </si>
  <si>
    <t>註2：</t>
    <phoneticPr fontId="2" type="noConversion"/>
  </si>
  <si>
    <t>犯罪所得（註2）</t>
    <phoneticPr fontId="2" type="noConversion"/>
  </si>
  <si>
    <t>扣除合法利息（註2）</t>
    <phoneticPr fontId="2" type="noConversion"/>
  </si>
  <si>
    <t>當鋪名稱（註1）</t>
    <phoneticPr fontId="2" type="noConversion"/>
  </si>
  <si>
    <t>註1：</t>
    <phoneticPr fontId="2" type="noConversion"/>
  </si>
  <si>
    <t>證據出處
（註1）</t>
    <phoneticPr fontId="2" type="noConversion"/>
  </si>
  <si>
    <t>註2：</t>
    <phoneticPr fontId="2" type="noConversion"/>
  </si>
  <si>
    <t>註1：</t>
    <phoneticPr fontId="2" type="noConversion"/>
  </si>
  <si>
    <t>註3：</t>
    <phoneticPr fontId="2" type="noConversion"/>
  </si>
  <si>
    <t>19(B)</t>
    <phoneticPr fontId="2" type="noConversion"/>
  </si>
  <si>
    <t>洪春寶</t>
    <phoneticPr fontId="2" type="noConversion"/>
  </si>
  <si>
    <t>洪清濱</t>
    <phoneticPr fontId="2" type="noConversion"/>
  </si>
  <si>
    <t>洪超政</t>
    <phoneticPr fontId="2" type="noConversion"/>
  </si>
  <si>
    <t>胡安國</t>
    <phoneticPr fontId="2" type="noConversion"/>
  </si>
  <si>
    <t>胡育誠</t>
    <phoneticPr fontId="2" type="noConversion"/>
  </si>
  <si>
    <t>胡國鼎</t>
    <phoneticPr fontId="2" type="noConversion"/>
  </si>
  <si>
    <t>范世榮</t>
    <phoneticPr fontId="2" type="noConversion"/>
  </si>
  <si>
    <t>范姜天佑</t>
    <phoneticPr fontId="2" type="noConversion"/>
  </si>
  <si>
    <t>國泰當鋪 合計</t>
    <phoneticPr fontId="2" type="noConversion"/>
  </si>
  <si>
    <t>95年12月至100年8月</t>
    <phoneticPr fontId="2" type="noConversion"/>
  </si>
  <si>
    <t>1/13 750</t>
    <phoneticPr fontId="2" type="noConversion"/>
  </si>
  <si>
    <t>朱鵬達</t>
    <phoneticPr fontId="2" type="noConversion"/>
  </si>
  <si>
    <t>江永隆</t>
    <phoneticPr fontId="2" type="noConversion"/>
  </si>
  <si>
    <t>江國良</t>
    <phoneticPr fontId="2" type="noConversion"/>
  </si>
  <si>
    <t>江超洋</t>
    <phoneticPr fontId="2" type="noConversion"/>
  </si>
  <si>
    <t>江銘偉</t>
    <phoneticPr fontId="2" type="noConversion"/>
  </si>
  <si>
    <t>18(B)</t>
    <phoneticPr fontId="2" type="noConversion"/>
  </si>
  <si>
    <t>何忠明</t>
    <phoneticPr fontId="2" type="noConversion"/>
  </si>
  <si>
    <t>何博厚</t>
    <phoneticPr fontId="2" type="noConversion"/>
  </si>
  <si>
    <t>何學忠</t>
    <phoneticPr fontId="2" type="noConversion"/>
  </si>
  <si>
    <t>何嶺東</t>
    <phoneticPr fontId="2" type="noConversion"/>
  </si>
  <si>
    <t>17(B)</t>
    <phoneticPr fontId="2" type="noConversion"/>
  </si>
  <si>
    <t>吳文欽</t>
    <phoneticPr fontId="2" type="noConversion"/>
  </si>
  <si>
    <r>
      <t>A13卷第730之4-730之21頁、</t>
    </r>
    <r>
      <rPr>
        <sz val="12"/>
        <color indexed="8"/>
        <rFont val="新細明體"/>
        <family val="1"/>
        <charset val="136"/>
      </rPr>
      <t>第</t>
    </r>
    <r>
      <rPr>
        <sz val="12"/>
        <color theme="1"/>
        <rFont val="新細明體"/>
        <family val="1"/>
        <charset val="136"/>
        <scheme val="minor"/>
      </rPr>
      <t>732-735</t>
    </r>
    <r>
      <rPr>
        <sz val="12"/>
        <color indexed="8"/>
        <rFont val="新細明體"/>
        <family val="1"/>
        <charset val="136"/>
      </rPr>
      <t>頁</t>
    </r>
    <phoneticPr fontId="2" type="noConversion"/>
  </si>
  <si>
    <t>陳定祥</t>
    <phoneticPr fontId="2" type="noConversion"/>
  </si>
  <si>
    <t>A20卷第2833-2836 頁</t>
    <phoneticPr fontId="2" type="noConversion"/>
  </si>
  <si>
    <r>
      <t>A20卷</t>
    </r>
    <r>
      <rPr>
        <sz val="12"/>
        <color theme="1"/>
        <rFont val="新細明體"/>
        <family val="1"/>
        <charset val="136"/>
        <scheme val="minor"/>
      </rPr>
      <t>第</t>
    </r>
    <r>
      <rPr>
        <sz val="12"/>
        <color indexed="8"/>
        <rFont val="新細明體"/>
        <family val="1"/>
        <charset val="136"/>
      </rPr>
      <t>2793-2795頁</t>
    </r>
    <phoneticPr fontId="2" type="noConversion"/>
  </si>
  <si>
    <t>A2卷第250-253頁、第40-46頁、第282-283頁</t>
    <phoneticPr fontId="2" type="noConversion"/>
  </si>
  <si>
    <t>A8</t>
    <phoneticPr fontId="2" type="noConversion"/>
  </si>
  <si>
    <t>黃春生</t>
    <phoneticPr fontId="2" type="noConversion"/>
  </si>
  <si>
    <t>呂宗哲</t>
    <phoneticPr fontId="2" type="noConversion"/>
  </si>
  <si>
    <t>陳建華</t>
    <phoneticPr fontId="2" type="noConversion"/>
  </si>
  <si>
    <t>B3卷第228-235頁、第237頁反面-240頁</t>
    <phoneticPr fontId="2" type="noConversion"/>
  </si>
  <si>
    <t>A21卷第2983-2988頁</t>
    <phoneticPr fontId="2" type="noConversion"/>
  </si>
  <si>
    <t>A12</t>
    <phoneticPr fontId="2" type="noConversion"/>
  </si>
  <si>
    <t>12/3 1125</t>
    <phoneticPr fontId="2" type="noConversion"/>
  </si>
  <si>
    <t>12/4 1875</t>
    <phoneticPr fontId="2" type="noConversion"/>
  </si>
  <si>
    <t>12/5 560</t>
    <phoneticPr fontId="2" type="noConversion"/>
  </si>
  <si>
    <t>12/7 935</t>
    <phoneticPr fontId="2" type="noConversion"/>
  </si>
  <si>
    <t>12/11 750</t>
    <phoneticPr fontId="2" type="noConversion"/>
  </si>
  <si>
    <t>12/14 1310</t>
    <phoneticPr fontId="2" type="noConversion"/>
  </si>
  <si>
    <t>12/26 750</t>
    <phoneticPr fontId="2" type="noConversion"/>
  </si>
  <si>
    <t>12/29 1310</t>
    <phoneticPr fontId="2" type="noConversion"/>
  </si>
  <si>
    <t>第22頁</t>
    <phoneticPr fontId="2" type="noConversion"/>
  </si>
  <si>
    <t>1/1 560</t>
    <phoneticPr fontId="2" type="noConversion"/>
  </si>
  <si>
    <t>1/2 1125</t>
    <phoneticPr fontId="2" type="noConversion"/>
  </si>
  <si>
    <t>1/3 1875</t>
    <phoneticPr fontId="2" type="noConversion"/>
  </si>
  <si>
    <t>1/4 560</t>
    <phoneticPr fontId="2" type="noConversion"/>
  </si>
  <si>
    <t>1/6 935</t>
    <phoneticPr fontId="2" type="noConversion"/>
  </si>
  <si>
    <t>1/10 750</t>
    <phoneticPr fontId="2" type="noConversion"/>
  </si>
  <si>
    <t>朱海鳳</t>
    <phoneticPr fontId="2" type="noConversion"/>
  </si>
  <si>
    <r>
      <t>9</t>
    </r>
    <r>
      <rPr>
        <sz val="12"/>
        <color theme="1"/>
        <rFont val="新細明體"/>
        <family val="1"/>
        <charset val="136"/>
        <scheme val="minor"/>
      </rPr>
      <t>8年2月2日</t>
    </r>
    <phoneticPr fontId="2" type="noConversion"/>
  </si>
  <si>
    <r>
      <t>9</t>
    </r>
    <r>
      <rPr>
        <sz val="12"/>
        <color theme="1"/>
        <rFont val="新細明體"/>
        <family val="1"/>
        <charset val="136"/>
        <scheme val="minor"/>
      </rPr>
      <t>8年2月23日</t>
    </r>
    <phoneticPr fontId="2" type="noConversion"/>
  </si>
  <si>
    <t>不明</t>
  </si>
  <si>
    <t>不明</t>
    <phoneticPr fontId="2" type="noConversion"/>
  </si>
  <si>
    <t>台北地檢署102年度偵緝字第20號起訴書
台北地方法院102年度審簡字第894號判決書</t>
    <phoneticPr fontId="2" type="noConversion"/>
  </si>
  <si>
    <t>葉福聰</t>
  </si>
  <si>
    <t>葉福聰</t>
    <phoneticPr fontId="2" type="noConversion"/>
  </si>
  <si>
    <t>100年11月5日至11月28日</t>
    <phoneticPr fontId="2" type="noConversion"/>
  </si>
  <si>
    <t>至少7.5%</t>
    <phoneticPr fontId="2" type="noConversion"/>
  </si>
  <si>
    <r>
      <t>1</t>
    </r>
    <r>
      <rPr>
        <sz val="12"/>
        <color theme="1"/>
        <rFont val="新細明體"/>
        <family val="1"/>
        <charset val="136"/>
        <scheme val="minor"/>
      </rPr>
      <t>00年5月1日至11月4日</t>
    </r>
    <phoneticPr fontId="2" type="noConversion"/>
  </si>
  <si>
    <r>
      <t>1</t>
    </r>
    <r>
      <rPr>
        <sz val="12"/>
        <color theme="1"/>
        <rFont val="新細明體"/>
        <family val="1"/>
        <charset val="136"/>
        <scheme val="minor"/>
      </rPr>
      <t>00年4月20日至4月30日</t>
    </r>
    <phoneticPr fontId="2" type="noConversion"/>
  </si>
  <si>
    <t>台北地方法院101年度易字第813號判決書
台灣高等法院102年度上易字第54號判決書</t>
    <phoneticPr fontId="2" type="noConversion"/>
  </si>
  <si>
    <t>陳志松</t>
    <phoneticPr fontId="2" type="noConversion"/>
  </si>
  <si>
    <t>100年10月14日</t>
    <phoneticPr fontId="2" type="noConversion"/>
  </si>
  <si>
    <t>99年11月16日</t>
    <phoneticPr fontId="2" type="noConversion"/>
  </si>
  <si>
    <t xml:space="preserve">台北地方法院101年度簡字第3619號判決書
</t>
    <phoneticPr fontId="2" type="noConversion"/>
  </si>
  <si>
    <t>陳舜德</t>
    <phoneticPr fontId="2" type="noConversion"/>
  </si>
  <si>
    <r>
      <t>9</t>
    </r>
    <r>
      <rPr>
        <sz val="12"/>
        <color theme="1"/>
        <rFont val="新細明體"/>
        <family val="1"/>
        <charset val="136"/>
        <scheme val="minor"/>
      </rPr>
      <t>7年11月間起約一年</t>
    </r>
    <phoneticPr fontId="2" type="noConversion"/>
  </si>
  <si>
    <t>新北地方法院100年度訴字第1538號判決書</t>
    <phoneticPr fontId="2" type="noConversion"/>
  </si>
  <si>
    <r>
      <t>9</t>
    </r>
    <r>
      <rPr>
        <sz val="12"/>
        <color theme="1"/>
        <rFont val="新細明體"/>
        <family val="1"/>
        <charset val="136"/>
        <scheme val="minor"/>
      </rPr>
      <t>8年7月22日起至同年12月初</t>
    </r>
    <phoneticPr fontId="2" type="noConversion"/>
  </si>
  <si>
    <t>12/12 375</t>
    <phoneticPr fontId="2" type="noConversion"/>
  </si>
  <si>
    <t>12/14 5435</t>
    <phoneticPr fontId="2" type="noConversion"/>
  </si>
  <si>
    <t>鄒政來</t>
    <phoneticPr fontId="2" type="noConversion"/>
  </si>
  <si>
    <t>廖伝瀧</t>
    <phoneticPr fontId="2" type="noConversion"/>
  </si>
  <si>
    <t>廖雄輝</t>
    <phoneticPr fontId="2" type="noConversion"/>
  </si>
  <si>
    <t>5(B)</t>
    <phoneticPr fontId="2" type="noConversion"/>
  </si>
  <si>
    <t>熊明興</t>
    <phoneticPr fontId="2" type="noConversion"/>
  </si>
  <si>
    <t>劉文龍</t>
    <phoneticPr fontId="2" type="noConversion"/>
  </si>
  <si>
    <t>12(B)</t>
    <phoneticPr fontId="2" type="noConversion"/>
  </si>
  <si>
    <t>劉正文</t>
    <phoneticPr fontId="2" type="noConversion"/>
  </si>
  <si>
    <t>劉正德</t>
    <phoneticPr fontId="2" type="noConversion"/>
  </si>
  <si>
    <r>
      <t>1</t>
    </r>
    <r>
      <rPr>
        <sz val="12"/>
        <color theme="1"/>
        <rFont val="新細明體"/>
        <family val="1"/>
        <charset val="136"/>
        <scheme val="minor"/>
      </rPr>
      <t>114</t>
    </r>
    <phoneticPr fontId="7" type="noConversion"/>
  </si>
  <si>
    <r>
      <t>1</t>
    </r>
    <r>
      <rPr>
        <sz val="12"/>
        <color theme="1"/>
        <rFont val="新細明體"/>
        <family val="1"/>
        <charset val="136"/>
        <scheme val="minor"/>
      </rPr>
      <t>2</t>
    </r>
    <r>
      <rPr>
        <sz val="12"/>
        <color indexed="8"/>
        <rFont val="新細明體"/>
        <family val="1"/>
        <charset val="136"/>
      </rPr>
      <t>09</t>
    </r>
    <phoneticPr fontId="7" type="noConversion"/>
  </si>
  <si>
    <r>
      <t>0</t>
    </r>
    <r>
      <rPr>
        <sz val="12"/>
        <color theme="1"/>
        <rFont val="新細明體"/>
        <family val="1"/>
        <charset val="136"/>
        <scheme val="minor"/>
      </rPr>
      <t>4</t>
    </r>
    <r>
      <rPr>
        <sz val="12"/>
        <color indexed="8"/>
        <rFont val="新細明體"/>
        <family val="1"/>
        <charset val="136"/>
      </rPr>
      <t>29</t>
    </r>
    <phoneticPr fontId="7" type="noConversion"/>
  </si>
  <si>
    <r>
      <t>0</t>
    </r>
    <r>
      <rPr>
        <sz val="12"/>
        <color theme="1"/>
        <rFont val="新細明體"/>
        <family val="1"/>
        <charset val="136"/>
        <scheme val="minor"/>
      </rPr>
      <t>225</t>
    </r>
    <phoneticPr fontId="2" type="noConversion"/>
  </si>
  <si>
    <r>
      <t>1</t>
    </r>
    <r>
      <rPr>
        <sz val="12"/>
        <color theme="1"/>
        <rFont val="新細明體"/>
        <family val="1"/>
        <charset val="136"/>
        <scheme val="minor"/>
      </rPr>
      <t>129</t>
    </r>
    <phoneticPr fontId="2" type="noConversion"/>
  </si>
  <si>
    <r>
      <t>0</t>
    </r>
    <r>
      <rPr>
        <sz val="12"/>
        <color theme="1"/>
        <rFont val="新細明體"/>
        <family val="1"/>
        <charset val="136"/>
        <scheme val="minor"/>
      </rPr>
      <t>425</t>
    </r>
    <phoneticPr fontId="7" type="noConversion"/>
  </si>
  <si>
    <r>
      <t>1</t>
    </r>
    <r>
      <rPr>
        <sz val="12"/>
        <color theme="1"/>
        <rFont val="新細明體"/>
        <family val="1"/>
        <charset val="136"/>
        <scheme val="minor"/>
      </rPr>
      <t>010</t>
    </r>
    <phoneticPr fontId="7" type="noConversion"/>
  </si>
  <si>
    <r>
      <t>03</t>
    </r>
    <r>
      <rPr>
        <sz val="12"/>
        <color theme="1"/>
        <rFont val="新細明體"/>
        <family val="1"/>
        <charset val="136"/>
        <scheme val="minor"/>
      </rPr>
      <t>0</t>
    </r>
    <r>
      <rPr>
        <sz val="12"/>
        <color indexed="8"/>
        <rFont val="新細明體"/>
        <family val="1"/>
        <charset val="136"/>
      </rPr>
      <t>5</t>
    </r>
    <phoneticPr fontId="7" type="noConversion"/>
  </si>
  <si>
    <r>
      <t>0</t>
    </r>
    <r>
      <rPr>
        <sz val="12"/>
        <color theme="1"/>
        <rFont val="新細明體"/>
        <family val="1"/>
        <charset val="136"/>
        <scheme val="minor"/>
      </rPr>
      <t>3</t>
    </r>
    <r>
      <rPr>
        <sz val="12"/>
        <color indexed="8"/>
        <rFont val="新細明體"/>
        <family val="1"/>
        <charset val="136"/>
      </rPr>
      <t>13</t>
    </r>
    <phoneticPr fontId="7" type="noConversion"/>
  </si>
  <si>
    <r>
      <t>07</t>
    </r>
    <r>
      <rPr>
        <sz val="12"/>
        <color theme="1"/>
        <rFont val="新細明體"/>
        <family val="1"/>
        <charset val="136"/>
        <scheme val="minor"/>
      </rPr>
      <t>11</t>
    </r>
    <phoneticPr fontId="7" type="noConversion"/>
  </si>
  <si>
    <r>
      <t>07</t>
    </r>
    <r>
      <rPr>
        <sz val="12"/>
        <color theme="1"/>
        <rFont val="新細明體"/>
        <family val="1"/>
        <charset val="136"/>
        <scheme val="minor"/>
      </rPr>
      <t>11</t>
    </r>
    <phoneticPr fontId="7" type="noConversion"/>
  </si>
  <si>
    <r>
      <t>0</t>
    </r>
    <r>
      <rPr>
        <sz val="12"/>
        <color theme="1"/>
        <rFont val="新細明體"/>
        <family val="1"/>
        <charset val="136"/>
        <scheme val="minor"/>
      </rPr>
      <t>829</t>
    </r>
    <phoneticPr fontId="7" type="noConversion"/>
  </si>
  <si>
    <t>1026</t>
    <phoneticPr fontId="7" type="noConversion"/>
  </si>
  <si>
    <r>
      <t>0</t>
    </r>
    <r>
      <rPr>
        <sz val="12"/>
        <color theme="1"/>
        <rFont val="新細明體"/>
        <family val="1"/>
        <charset val="136"/>
        <scheme val="minor"/>
      </rPr>
      <t>401</t>
    </r>
    <phoneticPr fontId="7" type="noConversion"/>
  </si>
  <si>
    <r>
      <t>04</t>
    </r>
    <r>
      <rPr>
        <sz val="12"/>
        <color theme="1"/>
        <rFont val="新細明體"/>
        <family val="1"/>
        <charset val="136"/>
        <scheme val="minor"/>
      </rPr>
      <t>01</t>
    </r>
    <phoneticPr fontId="7" type="noConversion"/>
  </si>
  <si>
    <t>分期</t>
    <phoneticPr fontId="7" type="noConversion"/>
  </si>
  <si>
    <t>1/14 560</t>
    <phoneticPr fontId="2" type="noConversion"/>
  </si>
  <si>
    <t>第20頁反面</t>
    <phoneticPr fontId="2" type="noConversion"/>
  </si>
  <si>
    <t>11/3 750</t>
    <phoneticPr fontId="2" type="noConversion"/>
  </si>
  <si>
    <t>11/13 560</t>
    <phoneticPr fontId="2" type="noConversion"/>
  </si>
  <si>
    <t>11/18 750</t>
    <phoneticPr fontId="2" type="noConversion"/>
  </si>
  <si>
    <t>11/15 375</t>
    <phoneticPr fontId="2" type="noConversion"/>
  </si>
  <si>
    <t>11/28 560</t>
    <phoneticPr fontId="2" type="noConversion"/>
  </si>
  <si>
    <t>11/30 375</t>
    <phoneticPr fontId="2" type="noConversion"/>
  </si>
  <si>
    <t>12/3 750</t>
    <phoneticPr fontId="2" type="noConversion"/>
  </si>
  <si>
    <t>12/13 560</t>
    <phoneticPr fontId="2" type="noConversion"/>
  </si>
  <si>
    <t>12/15 375</t>
    <phoneticPr fontId="2" type="noConversion"/>
  </si>
  <si>
    <t>12/18 750</t>
    <phoneticPr fontId="2" type="noConversion"/>
  </si>
  <si>
    <t>12/20 375</t>
    <phoneticPr fontId="2" type="noConversion"/>
  </si>
  <si>
    <t>12/28 560</t>
    <phoneticPr fontId="2" type="noConversion"/>
  </si>
  <si>
    <t>12/30 375</t>
    <phoneticPr fontId="2" type="noConversion"/>
  </si>
  <si>
    <t>第21頁</t>
    <phoneticPr fontId="2" type="noConversion"/>
  </si>
  <si>
    <t>1/2 750</t>
    <phoneticPr fontId="2" type="noConversion"/>
  </si>
  <si>
    <t>1/12 560</t>
    <phoneticPr fontId="2" type="noConversion"/>
  </si>
  <si>
    <t>1/14 375</t>
    <phoneticPr fontId="2" type="noConversion"/>
  </si>
  <si>
    <t>第21頁反面</t>
    <phoneticPr fontId="2" type="noConversion"/>
  </si>
  <si>
    <t>11/2 560</t>
    <phoneticPr fontId="2" type="noConversion"/>
  </si>
  <si>
    <t>11/3 1125 11/4 1875</t>
    <phoneticPr fontId="2" type="noConversion"/>
  </si>
  <si>
    <t>11/5 560</t>
    <phoneticPr fontId="2" type="noConversion"/>
  </si>
  <si>
    <t>11/7 935</t>
    <phoneticPr fontId="2" type="noConversion"/>
  </si>
  <si>
    <t>11/11 750</t>
    <phoneticPr fontId="2" type="noConversion"/>
  </si>
  <si>
    <t>11/14 1310</t>
    <phoneticPr fontId="2" type="noConversion"/>
  </si>
  <si>
    <t>11/22 935</t>
    <phoneticPr fontId="2" type="noConversion"/>
  </si>
  <si>
    <t>11/26 750</t>
    <phoneticPr fontId="2" type="noConversion"/>
  </si>
  <si>
    <t>11/29 1310</t>
    <phoneticPr fontId="2" type="noConversion"/>
  </si>
  <si>
    <t>12/2 560</t>
    <phoneticPr fontId="2" type="noConversion"/>
  </si>
  <si>
    <t>1/13 5435</t>
    <phoneticPr fontId="2" type="noConversion"/>
  </si>
  <si>
    <t>第46頁</t>
    <phoneticPr fontId="2" type="noConversion"/>
  </si>
  <si>
    <t>12/16 3750</t>
    <phoneticPr fontId="2" type="noConversion"/>
  </si>
  <si>
    <t>12/31 3750</t>
    <phoneticPr fontId="2" type="noConversion"/>
  </si>
  <si>
    <t>1/15 3750</t>
    <phoneticPr fontId="2" type="noConversion"/>
  </si>
  <si>
    <t>1/22 1125</t>
    <phoneticPr fontId="2" type="noConversion"/>
  </si>
  <si>
    <t>第46反面</t>
    <phoneticPr fontId="2" type="noConversion"/>
  </si>
  <si>
    <t>江良俊</t>
    <phoneticPr fontId="7" type="noConversion"/>
  </si>
  <si>
    <t>0325</t>
    <phoneticPr fontId="7" type="noConversion"/>
  </si>
  <si>
    <t>鄭坤彰</t>
    <phoneticPr fontId="7" type="noConversion"/>
  </si>
  <si>
    <t>陳威宏</t>
    <phoneticPr fontId="7" type="noConversion"/>
  </si>
  <si>
    <t>林建成</t>
    <phoneticPr fontId="7" type="noConversion"/>
  </si>
  <si>
    <t>0126</t>
    <phoneticPr fontId="7" type="noConversion"/>
  </si>
  <si>
    <t>周明煌</t>
    <phoneticPr fontId="7" type="noConversion"/>
  </si>
  <si>
    <t>平士昇</t>
    <phoneticPr fontId="7" type="noConversion"/>
  </si>
  <si>
    <t>0328</t>
    <phoneticPr fontId="7" type="noConversion"/>
  </si>
  <si>
    <t>黃金雄</t>
    <phoneticPr fontId="7" type="noConversion"/>
  </si>
  <si>
    <t>0318</t>
    <phoneticPr fontId="7" type="noConversion"/>
  </si>
  <si>
    <t>陳元嘉</t>
    <phoneticPr fontId="7" type="noConversion"/>
  </si>
  <si>
    <t>林子覺</t>
    <phoneticPr fontId="7" type="noConversion"/>
  </si>
  <si>
    <t>王天佑</t>
    <phoneticPr fontId="7" type="noConversion"/>
  </si>
  <si>
    <t>0902</t>
    <phoneticPr fontId="7" type="noConversion"/>
  </si>
  <si>
    <t>林奎彰</t>
    <phoneticPr fontId="2" type="noConversion"/>
  </si>
  <si>
    <t>林建國</t>
    <phoneticPr fontId="2" type="noConversion"/>
  </si>
  <si>
    <t>林春進</t>
    <phoneticPr fontId="2" type="noConversion"/>
  </si>
  <si>
    <t>林昭淵</t>
    <phoneticPr fontId="2" type="noConversion"/>
  </si>
  <si>
    <t>1124</t>
    <phoneticPr fontId="7" type="noConversion"/>
  </si>
  <si>
    <t>1125</t>
    <phoneticPr fontId="7" type="noConversion"/>
  </si>
  <si>
    <t>1126</t>
    <phoneticPr fontId="7" type="noConversion"/>
  </si>
  <si>
    <t>1128</t>
    <phoneticPr fontId="7" type="noConversion"/>
  </si>
  <si>
    <t>1021</t>
    <phoneticPr fontId="7" type="noConversion"/>
  </si>
  <si>
    <t>1129</t>
    <phoneticPr fontId="7" type="noConversion"/>
  </si>
  <si>
    <t>黃炳煌</t>
    <phoneticPr fontId="7" type="noConversion"/>
  </si>
  <si>
    <t>0529</t>
    <phoneticPr fontId="7" type="noConversion"/>
  </si>
  <si>
    <t>0511</t>
    <phoneticPr fontId="7" type="noConversion"/>
  </si>
  <si>
    <t>黃明建</t>
    <phoneticPr fontId="7" type="noConversion"/>
  </si>
  <si>
    <t>0114</t>
    <phoneticPr fontId="7" type="noConversion"/>
  </si>
  <si>
    <t>0614</t>
    <phoneticPr fontId="7" type="noConversion"/>
  </si>
  <si>
    <t>1207</t>
    <phoneticPr fontId="7" type="noConversion"/>
  </si>
  <si>
    <t>0122</t>
    <phoneticPr fontId="7" type="noConversion"/>
  </si>
  <si>
    <t>1228</t>
    <phoneticPr fontId="7" type="noConversion"/>
  </si>
  <si>
    <t>林家緯</t>
    <phoneticPr fontId="7" type="noConversion"/>
  </si>
  <si>
    <t>0509</t>
    <phoneticPr fontId="7" type="noConversion"/>
  </si>
  <si>
    <t>0816</t>
    <phoneticPr fontId="7" type="noConversion"/>
  </si>
  <si>
    <t>黃晴燦</t>
    <phoneticPr fontId="7" type="noConversion"/>
  </si>
  <si>
    <t>林慧玲</t>
    <phoneticPr fontId="2" type="noConversion"/>
  </si>
  <si>
    <t>林慶祥</t>
    <phoneticPr fontId="2" type="noConversion"/>
  </si>
  <si>
    <t>26(B)</t>
    <phoneticPr fontId="2" type="noConversion"/>
  </si>
  <si>
    <t>林鍈松</t>
    <phoneticPr fontId="2" type="noConversion"/>
  </si>
  <si>
    <t>邱文賢</t>
    <phoneticPr fontId="2" type="noConversion"/>
  </si>
  <si>
    <t>邱玉樹</t>
    <phoneticPr fontId="2" type="noConversion"/>
  </si>
  <si>
    <t>14(B)</t>
    <phoneticPr fontId="2" type="noConversion"/>
  </si>
  <si>
    <t>邱金樹</t>
    <phoneticPr fontId="2" type="noConversion"/>
  </si>
  <si>
    <t>邱國祥</t>
    <phoneticPr fontId="2" type="noConversion"/>
  </si>
  <si>
    <t>邱萬福</t>
    <phoneticPr fontId="2" type="noConversion"/>
  </si>
  <si>
    <t>俞吳衛</t>
    <phoneticPr fontId="2" type="noConversion"/>
  </si>
  <si>
    <t>施宏旻</t>
    <phoneticPr fontId="2" type="noConversion"/>
  </si>
  <si>
    <t>施廷昱</t>
    <phoneticPr fontId="2" type="noConversion"/>
  </si>
  <si>
    <t>施俞安</t>
    <phoneticPr fontId="2" type="noConversion"/>
  </si>
  <si>
    <t>柯偉銘</t>
    <phoneticPr fontId="2" type="noConversion"/>
  </si>
  <si>
    <t>洪文燦</t>
    <phoneticPr fontId="2" type="noConversion"/>
  </si>
  <si>
    <t>洪金和</t>
    <phoneticPr fontId="2" type="noConversion"/>
  </si>
  <si>
    <t>摘要</t>
  </si>
  <si>
    <t>摘要</t>
    <phoneticPr fontId="2" type="noConversion"/>
  </si>
  <si>
    <t>起訴書誤載金額為「1880」</t>
    <phoneticPr fontId="2" type="noConversion"/>
  </si>
  <si>
    <t>「單號」冊第145頁</t>
    <phoneticPr fontId="2" type="noConversion"/>
  </si>
  <si>
    <t>「單號」冊第146頁</t>
    <phoneticPr fontId="2" type="noConversion"/>
  </si>
  <si>
    <t>「單號」冊第147頁</t>
    <phoneticPr fontId="2" type="noConversion"/>
  </si>
  <si>
    <t>「單號」冊第148頁</t>
    <phoneticPr fontId="2" type="noConversion"/>
  </si>
  <si>
    <t>「單號」冊第149頁</t>
    <phoneticPr fontId="2" type="noConversion"/>
  </si>
  <si>
    <t>「單號」冊第150頁</t>
    <phoneticPr fontId="2" type="noConversion"/>
  </si>
  <si>
    <t>「單號」冊第151頁</t>
    <phoneticPr fontId="2" type="noConversion"/>
  </si>
  <si>
    <t>「單號」冊第152頁</t>
    <phoneticPr fontId="2" type="noConversion"/>
  </si>
  <si>
    <t>「單號」冊第154頁</t>
    <phoneticPr fontId="2" type="noConversion"/>
  </si>
  <si>
    <t>「單號」冊第155頁</t>
    <phoneticPr fontId="2" type="noConversion"/>
  </si>
  <si>
    <t>「單號」冊第156頁</t>
    <phoneticPr fontId="2" type="noConversion"/>
  </si>
  <si>
    <t>「單號」冊第157頁</t>
    <phoneticPr fontId="2" type="noConversion"/>
  </si>
  <si>
    <t>「單號」冊第158頁</t>
    <phoneticPr fontId="2" type="noConversion"/>
  </si>
  <si>
    <t>「單號」冊第159頁</t>
    <phoneticPr fontId="2" type="noConversion"/>
  </si>
  <si>
    <t>蘆志遠</t>
    <phoneticPr fontId="2" type="noConversion"/>
  </si>
  <si>
    <t>起訴書誤載姓名為「鄭元隆」</t>
    <phoneticPr fontId="2" type="noConversion"/>
  </si>
  <si>
    <t>鄭源隆</t>
    <phoneticPr fontId="2" type="noConversion"/>
  </si>
  <si>
    <t>起訴書誤載姓名為「何應嶔」</t>
    <phoneticPr fontId="2" type="noConversion"/>
  </si>
  <si>
    <t>何映嶔</t>
    <phoneticPr fontId="2" type="noConversion"/>
  </si>
  <si>
    <t>起訴書誤載姓名為「許宏儒」</t>
    <phoneticPr fontId="2" type="noConversion"/>
  </si>
  <si>
    <t>許弘儒</t>
    <phoneticPr fontId="2" type="noConversion"/>
  </si>
  <si>
    <t>平土昇</t>
    <phoneticPr fontId="2" type="noConversion"/>
  </si>
  <si>
    <t>起訴書誤載姓名為「范光宇」</t>
    <phoneticPr fontId="2" type="noConversion"/>
  </si>
  <si>
    <t>范光宏</t>
    <phoneticPr fontId="2" type="noConversion"/>
  </si>
  <si>
    <t>李延佶</t>
    <phoneticPr fontId="2" type="noConversion"/>
  </si>
  <si>
    <t>起訴書誤載姓名為「許民鳳」</t>
    <phoneticPr fontId="2" type="noConversion"/>
  </si>
  <si>
    <t>「犯罪所得」欄之計算方式為：（即扣除當鋪業合法收受利率2.5分利息後之所得）
1.計息週期為「分期」者：[H]=本金*（月利率-2.5％）後經換算之週期利率*繳息次數＝[A]*｛([E]-2.5％)*0.25｝*[D]
2.計息週期為「15天」者：[H]=本金*（月利率-2.5％）後經換算之週期利率*繳息次數＝[A]*｛([E]-2.5％)*[F]/30｝*[D]</t>
    <phoneticPr fontId="2" type="noConversion"/>
  </si>
  <si>
    <t>「雙號」冊第72頁</t>
    <phoneticPr fontId="2" type="noConversion"/>
  </si>
  <si>
    <t>「雙號」冊第73頁</t>
    <phoneticPr fontId="2" type="noConversion"/>
  </si>
  <si>
    <t>「雙號」冊第74頁</t>
    <phoneticPr fontId="2" type="noConversion"/>
  </si>
  <si>
    <t>「雙號」冊第75頁</t>
    <phoneticPr fontId="2" type="noConversion"/>
  </si>
  <si>
    <t>「雙號」冊第76頁</t>
    <phoneticPr fontId="2" type="noConversion"/>
  </si>
  <si>
    <t>「雙號」冊第77頁</t>
    <phoneticPr fontId="2" type="noConversion"/>
  </si>
  <si>
    <t>「雙號」冊第78頁</t>
    <phoneticPr fontId="2" type="noConversion"/>
  </si>
  <si>
    <t>「雙號」冊第79頁</t>
    <phoneticPr fontId="2" type="noConversion"/>
  </si>
  <si>
    <t>「雙號」冊第80頁</t>
    <phoneticPr fontId="2" type="noConversion"/>
  </si>
  <si>
    <t>「雙號」冊第81頁</t>
    <phoneticPr fontId="2" type="noConversion"/>
  </si>
  <si>
    <t>「雙號」冊第82頁</t>
    <phoneticPr fontId="2" type="noConversion"/>
  </si>
  <si>
    <t>「雙號」冊第83頁</t>
    <phoneticPr fontId="2" type="noConversion"/>
  </si>
  <si>
    <t>「雙號」冊第85頁</t>
    <phoneticPr fontId="2" type="noConversion"/>
  </si>
  <si>
    <t>「雙號」冊第87頁</t>
    <phoneticPr fontId="2" type="noConversion"/>
  </si>
  <si>
    <t>「雙號」冊第88頁</t>
    <phoneticPr fontId="2" type="noConversion"/>
  </si>
  <si>
    <t>「雙號」冊第89頁</t>
    <phoneticPr fontId="2" type="noConversion"/>
  </si>
  <si>
    <t>「雙號」冊第90頁</t>
    <phoneticPr fontId="2" type="noConversion"/>
  </si>
  <si>
    <t>「雙號」冊第91頁</t>
    <phoneticPr fontId="2" type="noConversion"/>
  </si>
  <si>
    <t>「雙號」冊第92頁</t>
    <phoneticPr fontId="2" type="noConversion"/>
  </si>
  <si>
    <t>「雙號」冊第93頁</t>
    <phoneticPr fontId="2" type="noConversion"/>
  </si>
  <si>
    <t>「雙號」冊第94頁</t>
    <phoneticPr fontId="2" type="noConversion"/>
  </si>
  <si>
    <t>「雙號」冊第95頁</t>
    <phoneticPr fontId="2" type="noConversion"/>
  </si>
  <si>
    <t>「雙號」冊第96頁</t>
    <phoneticPr fontId="2" type="noConversion"/>
  </si>
  <si>
    <t>「雙號」冊第97頁</t>
    <phoneticPr fontId="2" type="noConversion"/>
  </si>
  <si>
    <t>「雙號」冊第98頁</t>
    <phoneticPr fontId="2" type="noConversion"/>
  </si>
  <si>
    <t>「雙號」冊第99頁</t>
    <phoneticPr fontId="2" type="noConversion"/>
  </si>
  <si>
    <t>「雙號」冊第100頁</t>
    <phoneticPr fontId="2" type="noConversion"/>
  </si>
  <si>
    <t>「雙號」冊第101頁</t>
    <phoneticPr fontId="2" type="noConversion"/>
  </si>
  <si>
    <t>「雙號」冊第102頁</t>
    <phoneticPr fontId="2" type="noConversion"/>
  </si>
  <si>
    <t>「雙號」冊第103頁</t>
    <phoneticPr fontId="2" type="noConversion"/>
  </si>
  <si>
    <t>「雙號」冊第104頁</t>
    <phoneticPr fontId="2" type="noConversion"/>
  </si>
  <si>
    <t>「雙號」冊第105頁</t>
    <phoneticPr fontId="2" type="noConversion"/>
  </si>
  <si>
    <t>「雙號」冊第106頁</t>
    <phoneticPr fontId="2" type="noConversion"/>
  </si>
  <si>
    <t>「雙號」冊第107頁</t>
    <phoneticPr fontId="2" type="noConversion"/>
  </si>
  <si>
    <t>「雙號」冊第108頁</t>
    <phoneticPr fontId="2" type="noConversion"/>
  </si>
  <si>
    <t>「雙號」冊第109頁</t>
    <phoneticPr fontId="2" type="noConversion"/>
  </si>
  <si>
    <t>「雙號」冊第110頁</t>
    <phoneticPr fontId="2" type="noConversion"/>
  </si>
  <si>
    <t>「雙號」冊第111頁</t>
    <phoneticPr fontId="2" type="noConversion"/>
  </si>
  <si>
    <t>「雙號」冊第112頁</t>
    <phoneticPr fontId="2" type="noConversion"/>
  </si>
  <si>
    <t>「雙號」冊第113頁</t>
    <phoneticPr fontId="2" type="noConversion"/>
  </si>
  <si>
    <t>「雙號」冊第114頁</t>
    <phoneticPr fontId="2" type="noConversion"/>
  </si>
  <si>
    <t>「雙號」冊第115頁</t>
    <phoneticPr fontId="2" type="noConversion"/>
  </si>
  <si>
    <t>「雙號」冊第116頁</t>
    <phoneticPr fontId="2" type="noConversion"/>
  </si>
  <si>
    <t>「雙號」冊第117頁</t>
    <phoneticPr fontId="2" type="noConversion"/>
  </si>
  <si>
    <t>「雙號」冊第118頁</t>
    <phoneticPr fontId="2" type="noConversion"/>
  </si>
  <si>
    <t>「雙號」冊第119頁</t>
    <phoneticPr fontId="2" type="noConversion"/>
  </si>
  <si>
    <t>「雙號」冊第120頁</t>
    <phoneticPr fontId="2" type="noConversion"/>
  </si>
  <si>
    <t>「雙號」冊第121頁</t>
    <phoneticPr fontId="2" type="noConversion"/>
  </si>
  <si>
    <t>「雙號」冊第122頁</t>
    <phoneticPr fontId="2" type="noConversion"/>
  </si>
  <si>
    <t>「雙號」冊第123頁</t>
    <phoneticPr fontId="2" type="noConversion"/>
  </si>
  <si>
    <t>「雙號」冊第124頁</t>
    <phoneticPr fontId="2" type="noConversion"/>
  </si>
  <si>
    <t>「雙號」冊第125頁</t>
    <phoneticPr fontId="2" type="noConversion"/>
  </si>
  <si>
    <t>「雙號」冊第126頁</t>
    <phoneticPr fontId="2" type="noConversion"/>
  </si>
  <si>
    <t>「雙號」冊第127頁</t>
    <phoneticPr fontId="2" type="noConversion"/>
  </si>
  <si>
    <t>「雙號」冊第128頁</t>
    <phoneticPr fontId="2" type="noConversion"/>
  </si>
  <si>
    <t>「雙號」冊第129頁</t>
    <phoneticPr fontId="2" type="noConversion"/>
  </si>
  <si>
    <t>「雙號」冊第130頁</t>
    <phoneticPr fontId="2" type="noConversion"/>
  </si>
  <si>
    <t>「雙號」冊第131頁</t>
    <phoneticPr fontId="2" type="noConversion"/>
  </si>
  <si>
    <t>「雙號」冊第132頁</t>
    <phoneticPr fontId="2" type="noConversion"/>
  </si>
  <si>
    <t>「雙號」冊第133頁</t>
    <phoneticPr fontId="2" type="noConversion"/>
  </si>
  <si>
    <t>「雙號」冊第134頁</t>
    <phoneticPr fontId="2" type="noConversion"/>
  </si>
  <si>
    <t>「雙號」冊第135頁</t>
    <phoneticPr fontId="2" type="noConversion"/>
  </si>
  <si>
    <t>「雙號」冊第136頁</t>
    <phoneticPr fontId="2" type="noConversion"/>
  </si>
  <si>
    <t>「雙號」冊第137頁</t>
    <phoneticPr fontId="2" type="noConversion"/>
  </si>
  <si>
    <t>「雙號」冊第138頁</t>
    <phoneticPr fontId="2" type="noConversion"/>
  </si>
  <si>
    <t>「雙號」冊第139頁</t>
    <phoneticPr fontId="2" type="noConversion"/>
  </si>
  <si>
    <t>「雙號」冊第140頁</t>
    <phoneticPr fontId="2" type="noConversion"/>
  </si>
  <si>
    <t>「雙號」冊第141頁</t>
    <phoneticPr fontId="2" type="noConversion"/>
  </si>
  <si>
    <t>「雙號」冊第142頁</t>
    <phoneticPr fontId="2" type="noConversion"/>
  </si>
  <si>
    <t>「雙號」冊第143頁</t>
    <phoneticPr fontId="2" type="noConversion"/>
  </si>
  <si>
    <t>0204</t>
    <phoneticPr fontId="7" type="noConversion"/>
  </si>
  <si>
    <t>0907</t>
    <phoneticPr fontId="7" type="noConversion"/>
  </si>
  <si>
    <t>0709</t>
    <phoneticPr fontId="7" type="noConversion"/>
  </si>
  <si>
    <t>0917</t>
    <phoneticPr fontId="7" type="noConversion"/>
  </si>
  <si>
    <t>1123</t>
    <phoneticPr fontId="7" type="noConversion"/>
  </si>
  <si>
    <t>0220</t>
    <phoneticPr fontId="7" type="noConversion"/>
  </si>
  <si>
    <t>0304</t>
    <phoneticPr fontId="7" type="noConversion"/>
  </si>
  <si>
    <t>莊文瑞</t>
    <phoneticPr fontId="7" type="noConversion"/>
  </si>
  <si>
    <t>0104</t>
    <phoneticPr fontId="7" type="noConversion"/>
  </si>
  <si>
    <t>0401</t>
    <phoneticPr fontId="7" type="noConversion"/>
  </si>
  <si>
    <t>0526</t>
    <phoneticPr fontId="7" type="noConversion"/>
  </si>
  <si>
    <t>0824</t>
    <phoneticPr fontId="7" type="noConversion"/>
  </si>
  <si>
    <t>陳國豐</t>
    <phoneticPr fontId="7" type="noConversion"/>
  </si>
  <si>
    <t>0705</t>
    <phoneticPr fontId="7" type="noConversion"/>
  </si>
  <si>
    <t>0321</t>
    <phoneticPr fontId="7" type="noConversion"/>
  </si>
  <si>
    <t>朱家欣</t>
    <phoneticPr fontId="7" type="noConversion"/>
  </si>
  <si>
    <t>1021</t>
    <phoneticPr fontId="7" type="noConversion"/>
  </si>
  <si>
    <t>1028</t>
    <phoneticPr fontId="7" type="noConversion"/>
  </si>
  <si>
    <t>0102</t>
    <phoneticPr fontId="7" type="noConversion"/>
  </si>
  <si>
    <t>1114</t>
    <phoneticPr fontId="7" type="noConversion"/>
  </si>
  <si>
    <t>0109</t>
    <phoneticPr fontId="7" type="noConversion"/>
  </si>
  <si>
    <t>0221</t>
    <phoneticPr fontId="7" type="noConversion"/>
  </si>
  <si>
    <t>劉能營</t>
    <phoneticPr fontId="7" type="noConversion"/>
  </si>
  <si>
    <t>0307</t>
    <phoneticPr fontId="7" type="noConversion"/>
  </si>
  <si>
    <t>0311</t>
    <phoneticPr fontId="7" type="noConversion"/>
  </si>
  <si>
    <t>0419</t>
    <phoneticPr fontId="7" type="noConversion"/>
  </si>
  <si>
    <t>0121</t>
    <phoneticPr fontId="7" type="noConversion"/>
  </si>
  <si>
    <t>0703</t>
    <phoneticPr fontId="7" type="noConversion"/>
  </si>
  <si>
    <t>0609</t>
    <phoneticPr fontId="7" type="noConversion"/>
  </si>
  <si>
    <t>1009</t>
    <phoneticPr fontId="7" type="noConversion"/>
  </si>
  <si>
    <t>0516</t>
    <phoneticPr fontId="7" type="noConversion"/>
  </si>
  <si>
    <t>1019</t>
    <phoneticPr fontId="7" type="noConversion"/>
  </si>
  <si>
    <t>0216</t>
    <phoneticPr fontId="7" type="noConversion"/>
  </si>
  <si>
    <t>0518</t>
    <phoneticPr fontId="7" type="noConversion"/>
  </si>
  <si>
    <t>0314</t>
    <phoneticPr fontId="7" type="noConversion"/>
  </si>
  <si>
    <t>0630</t>
    <phoneticPr fontId="7" type="noConversion"/>
  </si>
  <si>
    <t>李柱龍</t>
    <phoneticPr fontId="7" type="noConversion"/>
  </si>
  <si>
    <t>何映嶔</t>
    <phoneticPr fontId="7" type="noConversion"/>
  </si>
  <si>
    <t>0923</t>
    <phoneticPr fontId="7" type="noConversion"/>
  </si>
  <si>
    <t>0423</t>
    <phoneticPr fontId="7" type="noConversion"/>
  </si>
  <si>
    <t>1218</t>
    <phoneticPr fontId="7" type="noConversion"/>
  </si>
  <si>
    <t>1031</t>
    <phoneticPr fontId="7" type="noConversion"/>
  </si>
  <si>
    <t>0425</t>
    <phoneticPr fontId="7" type="noConversion"/>
  </si>
  <si>
    <t>1231</t>
    <phoneticPr fontId="7" type="noConversion"/>
  </si>
  <si>
    <t>0105</t>
    <phoneticPr fontId="7" type="noConversion"/>
  </si>
  <si>
    <t>蔡如龍</t>
    <phoneticPr fontId="7" type="noConversion"/>
  </si>
  <si>
    <t>廖培富</t>
    <phoneticPr fontId="7" type="noConversion"/>
  </si>
  <si>
    <t>0606</t>
    <phoneticPr fontId="7" type="noConversion"/>
  </si>
  <si>
    <t>1204</t>
    <phoneticPr fontId="7" type="noConversion"/>
  </si>
  <si>
    <t>0416</t>
    <phoneticPr fontId="7" type="noConversion"/>
  </si>
  <si>
    <t>0717</t>
    <phoneticPr fontId="7" type="noConversion"/>
  </si>
  <si>
    <t>1106</t>
    <phoneticPr fontId="7" type="noConversion"/>
  </si>
  <si>
    <t>張琪松</t>
    <phoneticPr fontId="7" type="noConversion"/>
  </si>
  <si>
    <t>莊秋明</t>
    <phoneticPr fontId="7" type="noConversion"/>
  </si>
  <si>
    <t>史健隆</t>
    <phoneticPr fontId="7" type="noConversion"/>
  </si>
  <si>
    <t>0614</t>
    <phoneticPr fontId="7" type="noConversion"/>
  </si>
  <si>
    <t>0531</t>
    <phoneticPr fontId="7" type="noConversion"/>
  </si>
  <si>
    <t>0508</t>
    <phoneticPr fontId="7" type="noConversion"/>
  </si>
  <si>
    <t>0222</t>
    <phoneticPr fontId="7" type="noConversion"/>
  </si>
  <si>
    <t>0330</t>
    <phoneticPr fontId="7" type="noConversion"/>
  </si>
  <si>
    <t>0422</t>
    <phoneticPr fontId="7" type="noConversion"/>
  </si>
  <si>
    <t>楊維源</t>
    <phoneticPr fontId="7" type="noConversion"/>
  </si>
  <si>
    <t>0318</t>
    <phoneticPr fontId="7" type="noConversion"/>
  </si>
  <si>
    <t>王興業</t>
    <phoneticPr fontId="7" type="noConversion"/>
  </si>
  <si>
    <t>林武練</t>
    <phoneticPr fontId="7" type="noConversion"/>
  </si>
  <si>
    <t>胡國鼎</t>
    <phoneticPr fontId="7" type="noConversion"/>
  </si>
  <si>
    <t>張春輝</t>
    <phoneticPr fontId="7" type="noConversion"/>
  </si>
  <si>
    <t>0619</t>
    <phoneticPr fontId="7" type="noConversion"/>
  </si>
  <si>
    <t>張文聰</t>
    <phoneticPr fontId="7" type="noConversion"/>
  </si>
  <si>
    <t>李榮聰</t>
    <phoneticPr fontId="7" type="noConversion"/>
  </si>
  <si>
    <t>0312</t>
    <phoneticPr fontId="7" type="noConversion"/>
  </si>
  <si>
    <t>0409</t>
    <phoneticPr fontId="7" type="noConversion"/>
  </si>
  <si>
    <t>0313</t>
    <phoneticPr fontId="7" type="noConversion"/>
  </si>
  <si>
    <t>0521</t>
    <phoneticPr fontId="7" type="noConversion"/>
  </si>
  <si>
    <t>分期</t>
    <phoneticPr fontId="7" type="noConversion"/>
  </si>
  <si>
    <t>0318</t>
    <phoneticPr fontId="7" type="noConversion"/>
  </si>
  <si>
    <t>0619</t>
    <phoneticPr fontId="7" type="noConversion"/>
  </si>
  <si>
    <t>江勝松</t>
    <phoneticPr fontId="7" type="noConversion"/>
  </si>
  <si>
    <t>0614</t>
    <phoneticPr fontId="7" type="noConversion"/>
  </si>
  <si>
    <t>0425</t>
    <phoneticPr fontId="7" type="noConversion"/>
  </si>
  <si>
    <t>0510</t>
    <phoneticPr fontId="7" type="noConversion"/>
  </si>
  <si>
    <t>鄭汝棟</t>
    <phoneticPr fontId="7" type="noConversion"/>
  </si>
  <si>
    <t>0604</t>
    <phoneticPr fontId="7" type="noConversion"/>
  </si>
  <si>
    <t>劉樹偉</t>
    <phoneticPr fontId="7" type="noConversion"/>
  </si>
  <si>
    <t>0502</t>
    <phoneticPr fontId="7" type="noConversion"/>
  </si>
  <si>
    <t>0314</t>
    <phoneticPr fontId="7" type="noConversion"/>
  </si>
  <si>
    <t>0608</t>
    <phoneticPr fontId="7" type="noConversion"/>
  </si>
  <si>
    <t>0822</t>
    <phoneticPr fontId="7" type="noConversion"/>
  </si>
  <si>
    <t>0405</t>
    <phoneticPr fontId="7" type="noConversion"/>
  </si>
  <si>
    <t>0714</t>
    <phoneticPr fontId="7" type="noConversion"/>
  </si>
  <si>
    <t>1014</t>
    <phoneticPr fontId="7" type="noConversion"/>
  </si>
  <si>
    <t>盧俊杰</t>
    <phoneticPr fontId="7" type="noConversion"/>
  </si>
  <si>
    <t>0419</t>
    <phoneticPr fontId="7" type="noConversion"/>
  </si>
  <si>
    <t>0316</t>
    <phoneticPr fontId="7" type="noConversion"/>
  </si>
  <si>
    <t>徐潤祥</t>
    <phoneticPr fontId="7" type="noConversion"/>
  </si>
  <si>
    <t>徐慧忠</t>
    <phoneticPr fontId="7" type="noConversion"/>
  </si>
  <si>
    <t>顏錦興</t>
    <phoneticPr fontId="7" type="noConversion"/>
  </si>
  <si>
    <t>林垂發</t>
    <phoneticPr fontId="7" type="noConversion"/>
  </si>
  <si>
    <t>呂正希</t>
    <phoneticPr fontId="7" type="noConversion"/>
  </si>
  <si>
    <t>張智鈞</t>
    <phoneticPr fontId="7" type="noConversion"/>
  </si>
  <si>
    <t>韋思修</t>
    <phoneticPr fontId="7" type="noConversion"/>
  </si>
  <si>
    <t>蘇春欽</t>
    <phoneticPr fontId="7" type="noConversion"/>
  </si>
  <si>
    <t>曾阿生</t>
    <phoneticPr fontId="7" type="noConversion"/>
  </si>
  <si>
    <t>100年2月至102年3月</t>
    <phoneticPr fontId="2" type="noConversion"/>
  </si>
  <si>
    <t>簡茂森</t>
    <phoneticPr fontId="2" type="noConversion"/>
  </si>
  <si>
    <t>林賢忠</t>
    <phoneticPr fontId="2" type="noConversion"/>
  </si>
  <si>
    <t>利息-宮世寶2分-4</t>
  </si>
  <si>
    <t>利息-黃超淵0.5分-4</t>
  </si>
  <si>
    <t>利息-蘇培勇1分-2</t>
  </si>
  <si>
    <t>利息-許明智</t>
  </si>
  <si>
    <t>扣押物箱內編號19-3-2第16頁</t>
    <phoneticPr fontId="2" type="noConversion"/>
  </si>
  <si>
    <t>扣押物箱內編號19-3-2第20頁</t>
    <phoneticPr fontId="2" type="noConversion"/>
  </si>
  <si>
    <t>扣押物箱內編號19-3-2第21頁</t>
    <phoneticPr fontId="2" type="noConversion"/>
  </si>
  <si>
    <t>扣押物箱內編號19-3-2第22頁</t>
    <phoneticPr fontId="2" type="noConversion"/>
  </si>
  <si>
    <t>扣押物箱內編號19-3-2第23頁</t>
    <phoneticPr fontId="2" type="noConversion"/>
  </si>
  <si>
    <t>扣押物箱內編號19-3-2第24頁</t>
    <phoneticPr fontId="2" type="noConversion"/>
  </si>
  <si>
    <t>98年7、8月</t>
    <phoneticPr fontId="2" type="noConversion"/>
  </si>
  <si>
    <t>洗志和</t>
    <phoneticPr fontId="2" type="noConversion"/>
  </si>
  <si>
    <t>劉秋火</t>
    <phoneticPr fontId="2" type="noConversion"/>
  </si>
  <si>
    <t>施純堯</t>
    <phoneticPr fontId="4" type="noConversion"/>
  </si>
  <si>
    <t>0628</t>
    <phoneticPr fontId="7" type="noConversion"/>
  </si>
  <si>
    <t>0302</t>
    <phoneticPr fontId="7" type="noConversion"/>
  </si>
  <si>
    <t>0720</t>
    <phoneticPr fontId="7" type="noConversion"/>
  </si>
  <si>
    <t>0114</t>
    <phoneticPr fontId="7" type="noConversion"/>
  </si>
  <si>
    <t>0925</t>
    <phoneticPr fontId="7" type="noConversion"/>
  </si>
  <si>
    <t>0825</t>
    <phoneticPr fontId="7" type="noConversion"/>
  </si>
  <si>
    <t>0403</t>
    <phoneticPr fontId="7" type="noConversion"/>
  </si>
  <si>
    <t>黃錦雀</t>
    <phoneticPr fontId="7" type="noConversion"/>
  </si>
  <si>
    <t>0409</t>
    <phoneticPr fontId="7" type="noConversion"/>
  </si>
  <si>
    <t>施忠成</t>
    <phoneticPr fontId="7" type="noConversion"/>
  </si>
  <si>
    <t>1004</t>
    <phoneticPr fontId="7" type="noConversion"/>
  </si>
  <si>
    <t>0316</t>
    <phoneticPr fontId="7" type="noConversion"/>
  </si>
  <si>
    <t>0816</t>
    <phoneticPr fontId="7" type="noConversion"/>
  </si>
  <si>
    <t>1007</t>
    <phoneticPr fontId="7" type="noConversion"/>
  </si>
  <si>
    <t>0227</t>
    <phoneticPr fontId="7" type="noConversion"/>
  </si>
  <si>
    <t>0313</t>
    <phoneticPr fontId="7" type="noConversion"/>
  </si>
  <si>
    <t>0524</t>
    <phoneticPr fontId="7" type="noConversion"/>
  </si>
  <si>
    <t>1210</t>
    <phoneticPr fontId="7" type="noConversion"/>
  </si>
  <si>
    <t>0727</t>
    <phoneticPr fontId="7" type="noConversion"/>
  </si>
  <si>
    <t>溫盛益</t>
    <phoneticPr fontId="7" type="noConversion"/>
  </si>
  <si>
    <t>0427</t>
    <phoneticPr fontId="7" type="noConversion"/>
  </si>
  <si>
    <t>1119</t>
    <phoneticPr fontId="7" type="noConversion"/>
  </si>
  <si>
    <t>0315</t>
    <phoneticPr fontId="7" type="noConversion"/>
  </si>
  <si>
    <t>0218</t>
    <phoneticPr fontId="7" type="noConversion"/>
  </si>
  <si>
    <t>0325</t>
    <phoneticPr fontId="7" type="noConversion"/>
  </si>
  <si>
    <t>1016</t>
    <phoneticPr fontId="7" type="noConversion"/>
  </si>
  <si>
    <t>0910</t>
    <phoneticPr fontId="7" type="noConversion"/>
  </si>
  <si>
    <t>0905</t>
    <phoneticPr fontId="7" type="noConversion"/>
  </si>
  <si>
    <t>朱春榮</t>
    <phoneticPr fontId="7" type="noConversion"/>
  </si>
  <si>
    <t>0728</t>
    <phoneticPr fontId="7" type="noConversion"/>
  </si>
  <si>
    <t>0309</t>
    <phoneticPr fontId="7" type="noConversion"/>
  </si>
  <si>
    <t>潘元吉</t>
    <phoneticPr fontId="7" type="noConversion"/>
  </si>
  <si>
    <t>0411</t>
    <phoneticPr fontId="7" type="noConversion"/>
  </si>
  <si>
    <t>0626</t>
    <phoneticPr fontId="7" type="noConversion"/>
  </si>
  <si>
    <t>0913</t>
    <phoneticPr fontId="7" type="noConversion"/>
  </si>
  <si>
    <t>0504</t>
    <phoneticPr fontId="7" type="noConversion"/>
  </si>
  <si>
    <t>0405</t>
    <phoneticPr fontId="7" type="noConversion"/>
  </si>
  <si>
    <t>0522</t>
    <phoneticPr fontId="7" type="noConversion"/>
  </si>
  <si>
    <t>1117</t>
    <phoneticPr fontId="7" type="noConversion"/>
  </si>
  <si>
    <t>1208</t>
    <phoneticPr fontId="7" type="noConversion"/>
  </si>
  <si>
    <t>1226</t>
    <phoneticPr fontId="7" type="noConversion"/>
  </si>
  <si>
    <t>0426</t>
    <phoneticPr fontId="7" type="noConversion"/>
  </si>
  <si>
    <t>0503</t>
    <phoneticPr fontId="7" type="noConversion"/>
  </si>
  <si>
    <t>0507</t>
    <phoneticPr fontId="7" type="noConversion"/>
  </si>
  <si>
    <t>0509</t>
    <phoneticPr fontId="7" type="noConversion"/>
  </si>
  <si>
    <t>0605</t>
    <phoneticPr fontId="7" type="noConversion"/>
  </si>
  <si>
    <t>廖文進</t>
    <phoneticPr fontId="7" type="noConversion"/>
  </si>
  <si>
    <t>0616</t>
    <phoneticPr fontId="7" type="noConversion"/>
  </si>
  <si>
    <t>0301</t>
    <phoneticPr fontId="7" type="noConversion"/>
  </si>
  <si>
    <t>0527</t>
    <phoneticPr fontId="7" type="noConversion"/>
  </si>
  <si>
    <t>1012</t>
    <phoneticPr fontId="7" type="noConversion"/>
  </si>
  <si>
    <t>0928</t>
    <phoneticPr fontId="7" type="noConversion"/>
  </si>
  <si>
    <t>0324</t>
    <phoneticPr fontId="7" type="noConversion"/>
  </si>
  <si>
    <t>0916</t>
    <phoneticPr fontId="7" type="noConversion"/>
  </si>
  <si>
    <t>1215</t>
    <phoneticPr fontId="7" type="noConversion"/>
  </si>
  <si>
    <t>0107</t>
    <phoneticPr fontId="7" type="noConversion"/>
  </si>
  <si>
    <t>1129</t>
    <phoneticPr fontId="7" type="noConversion"/>
  </si>
  <si>
    <t>0312</t>
    <phoneticPr fontId="7" type="noConversion"/>
  </si>
  <si>
    <t>0713</t>
    <phoneticPr fontId="7" type="noConversion"/>
  </si>
  <si>
    <t>0812</t>
    <phoneticPr fontId="7" type="noConversion"/>
  </si>
  <si>
    <t>黃祖生</t>
    <phoneticPr fontId="7" type="noConversion"/>
  </si>
  <si>
    <t>譚有慶</t>
    <phoneticPr fontId="7" type="noConversion"/>
  </si>
  <si>
    <t>0208</t>
    <phoneticPr fontId="7" type="noConversion"/>
  </si>
  <si>
    <t>1018</t>
    <phoneticPr fontId="7" type="noConversion"/>
  </si>
  <si>
    <t>0101</t>
    <phoneticPr fontId="7" type="noConversion"/>
  </si>
  <si>
    <t>0822</t>
    <phoneticPr fontId="7" type="noConversion"/>
  </si>
  <si>
    <t>0320</t>
    <phoneticPr fontId="7" type="noConversion"/>
  </si>
  <si>
    <t>1216</t>
    <phoneticPr fontId="7" type="noConversion"/>
  </si>
  <si>
    <t>0412</t>
    <phoneticPr fontId="7" type="noConversion"/>
  </si>
  <si>
    <t>許皓凱</t>
    <phoneticPr fontId="7" type="noConversion"/>
  </si>
  <si>
    <t>潘寬龍</t>
    <phoneticPr fontId="7" type="noConversion"/>
  </si>
  <si>
    <t>0303</t>
    <phoneticPr fontId="7" type="noConversion"/>
  </si>
  <si>
    <t>0927</t>
    <phoneticPr fontId="7" type="noConversion"/>
  </si>
  <si>
    <t>0511</t>
    <phoneticPr fontId="7" type="noConversion"/>
  </si>
  <si>
    <t>1001</t>
    <phoneticPr fontId="7" type="noConversion"/>
  </si>
  <si>
    <t>1201</t>
    <phoneticPr fontId="7" type="noConversion"/>
  </si>
  <si>
    <t>潘泰龍</t>
    <phoneticPr fontId="7" type="noConversion"/>
  </si>
  <si>
    <t>1025</t>
    <phoneticPr fontId="7" type="noConversion"/>
  </si>
  <si>
    <t>0712</t>
    <phoneticPr fontId="7" type="noConversion"/>
  </si>
  <si>
    <t>0521</t>
    <phoneticPr fontId="7" type="noConversion"/>
  </si>
  <si>
    <t>0906</t>
    <phoneticPr fontId="7" type="noConversion"/>
  </si>
  <si>
    <t>0629</t>
    <phoneticPr fontId="7" type="noConversion"/>
  </si>
  <si>
    <t>1006</t>
    <phoneticPr fontId="7" type="noConversion"/>
  </si>
  <si>
    <t>1227</t>
    <phoneticPr fontId="7" type="noConversion"/>
  </si>
  <si>
    <t>1124</t>
    <phoneticPr fontId="7" type="noConversion"/>
  </si>
  <si>
    <t>陳瑞集</t>
    <phoneticPr fontId="7" type="noConversion"/>
  </si>
  <si>
    <t>1024</t>
    <phoneticPr fontId="7" type="noConversion"/>
  </si>
  <si>
    <t>0201</t>
    <phoneticPr fontId="7" type="noConversion"/>
  </si>
  <si>
    <t>0306</t>
    <phoneticPr fontId="7" type="noConversion"/>
  </si>
  <si>
    <t>0430</t>
    <phoneticPr fontId="7" type="noConversion"/>
  </si>
  <si>
    <t>0604</t>
    <phoneticPr fontId="7" type="noConversion"/>
  </si>
  <si>
    <t>華柏學</t>
    <phoneticPr fontId="7" type="noConversion"/>
  </si>
  <si>
    <t>0607</t>
    <phoneticPr fontId="7" type="noConversion"/>
  </si>
  <si>
    <t>1106</t>
    <phoneticPr fontId="7" type="noConversion"/>
  </si>
  <si>
    <t>張志清</t>
    <phoneticPr fontId="7" type="noConversion"/>
  </si>
  <si>
    <t>1222</t>
    <phoneticPr fontId="7" type="noConversion"/>
  </si>
  <si>
    <t>張進樹</t>
    <phoneticPr fontId="7" type="noConversion"/>
  </si>
  <si>
    <t>1026</t>
    <phoneticPr fontId="7" type="noConversion"/>
  </si>
  <si>
    <t>1226</t>
    <phoneticPr fontId="7" type="noConversion"/>
  </si>
  <si>
    <t>鄭瑞泰</t>
    <phoneticPr fontId="7" type="noConversion"/>
  </si>
  <si>
    <t>甘義興</t>
    <phoneticPr fontId="7" type="noConversion"/>
  </si>
  <si>
    <t>林弘毅</t>
    <phoneticPr fontId="7" type="noConversion"/>
  </si>
  <si>
    <t>0621</t>
    <phoneticPr fontId="7" type="noConversion"/>
  </si>
  <si>
    <t>0906</t>
    <phoneticPr fontId="7" type="noConversion"/>
  </si>
  <si>
    <t>1121</t>
    <phoneticPr fontId="7" type="noConversion"/>
  </si>
  <si>
    <t>徐信之</t>
    <phoneticPr fontId="7" type="noConversion"/>
  </si>
  <si>
    <t>0629</t>
    <phoneticPr fontId="7" type="noConversion"/>
  </si>
  <si>
    <t>張志嘉</t>
    <phoneticPr fontId="7" type="noConversion"/>
  </si>
  <si>
    <t>廖哲斌</t>
    <phoneticPr fontId="7" type="noConversion"/>
  </si>
  <si>
    <t>許誌明</t>
    <phoneticPr fontId="7" type="noConversion"/>
  </si>
  <si>
    <t>劉維璟</t>
    <phoneticPr fontId="7" type="noConversion"/>
  </si>
  <si>
    <t>0703</t>
    <phoneticPr fontId="7" type="noConversion"/>
  </si>
  <si>
    <t>鄭聰智</t>
    <phoneticPr fontId="7" type="noConversion"/>
  </si>
  <si>
    <t>蘇廣成</t>
    <phoneticPr fontId="7" type="noConversion"/>
  </si>
  <si>
    <t>1103</t>
    <phoneticPr fontId="7" type="noConversion"/>
  </si>
  <si>
    <t>周有建</t>
    <phoneticPr fontId="7" type="noConversion"/>
  </si>
  <si>
    <t>0710</t>
    <phoneticPr fontId="7" type="noConversion"/>
  </si>
  <si>
    <t>黃錦川</t>
    <phoneticPr fontId="7" type="noConversion"/>
  </si>
  <si>
    <t>王泳泉</t>
    <phoneticPr fontId="7" type="noConversion"/>
  </si>
  <si>
    <t>吳光昊</t>
    <phoneticPr fontId="7" type="noConversion"/>
  </si>
  <si>
    <t>1018</t>
    <phoneticPr fontId="7" type="noConversion"/>
  </si>
  <si>
    <t>謝明賢</t>
    <phoneticPr fontId="7" type="noConversion"/>
  </si>
  <si>
    <t>黃俊傑</t>
    <phoneticPr fontId="7" type="noConversion"/>
  </si>
  <si>
    <t>鄭士鴻</t>
    <phoneticPr fontId="7" type="noConversion"/>
  </si>
  <si>
    <t>曾銘琪</t>
    <phoneticPr fontId="7" type="noConversion"/>
  </si>
  <si>
    <t>陳生福</t>
    <phoneticPr fontId="7" type="noConversion"/>
  </si>
  <si>
    <t>0724</t>
    <phoneticPr fontId="7" type="noConversion"/>
  </si>
  <si>
    <t>張雲旭</t>
    <phoneticPr fontId="7" type="noConversion"/>
  </si>
  <si>
    <t>0803</t>
    <phoneticPr fontId="7" type="noConversion"/>
  </si>
  <si>
    <t>張谷陽</t>
    <phoneticPr fontId="7" type="noConversion"/>
  </si>
  <si>
    <t>林世平</t>
    <phoneticPr fontId="7" type="noConversion"/>
  </si>
  <si>
    <t>1213</t>
    <phoneticPr fontId="7" type="noConversion"/>
  </si>
  <si>
    <t xml:space="preserve">1/4 1125 1/6 375 </t>
  </si>
  <si>
    <t>第8頁反面</t>
    <phoneticPr fontId="2" type="noConversion"/>
  </si>
  <si>
    <t>第9頁</t>
    <phoneticPr fontId="2" type="noConversion"/>
  </si>
  <si>
    <t>第9頁反面</t>
    <phoneticPr fontId="2" type="noConversion"/>
  </si>
  <si>
    <t>第10頁</t>
    <phoneticPr fontId="2" type="noConversion"/>
  </si>
  <si>
    <t>第10頁反面</t>
    <phoneticPr fontId="2" type="noConversion"/>
  </si>
  <si>
    <t>扣押物箱內編號19-3-2第25頁</t>
    <phoneticPr fontId="2" type="noConversion"/>
  </si>
  <si>
    <t>扣押物箱內編號19-3-2第26頁</t>
    <phoneticPr fontId="2" type="noConversion"/>
  </si>
  <si>
    <t>12/27 375</t>
    <phoneticPr fontId="2" type="noConversion"/>
  </si>
  <si>
    <t>12/29 5435</t>
    <phoneticPr fontId="2" type="noConversion"/>
  </si>
  <si>
    <t>第45反面</t>
    <phoneticPr fontId="2" type="noConversion"/>
  </si>
  <si>
    <t>1/11 375</t>
    <phoneticPr fontId="2" type="noConversion"/>
  </si>
  <si>
    <t>丙全當鋪因已於100年10月15日登記停業，本案搜索時未能扣得相關帳冊（詳檢察官102年7月26日補充理由書），故僅能依證人証述計算犯罪所得。</t>
    <phoneticPr fontId="2" type="noConversion"/>
  </si>
  <si>
    <t>起訴書誤將元崗當鋪「繳息小計」、「犯罪所得小計」之金額重複計入「繳息合計」欄、「犯罪所得」欄中。</t>
    <phoneticPr fontId="2" type="noConversion"/>
  </si>
  <si>
    <t>[B]月利率
(註3)</t>
    <phoneticPr fontId="2" type="noConversion"/>
  </si>
  <si>
    <t>1.卷證出處為A17卷第1989-1996 頁。
2.第一筆分期攤還本息之借款，係每萬元每七天還150元（其中1000為本金，150為利息），分十期繳清；第二筆分期攤還本息之借款，係每萬元每七天還1175元（其中1000為本金，175為利息），同為十期繳清。</t>
    <phoneticPr fontId="2" type="noConversion"/>
  </si>
  <si>
    <t>林傳興</t>
    <phoneticPr fontId="2" type="noConversion"/>
  </si>
  <si>
    <t>A21卷第2968-2970頁</t>
    <phoneticPr fontId="2" type="noConversion"/>
  </si>
  <si>
    <r>
      <t>9</t>
    </r>
    <r>
      <rPr>
        <sz val="12"/>
        <color theme="1"/>
        <rFont val="新細明體"/>
        <family val="1"/>
        <charset val="136"/>
        <scheme val="minor"/>
      </rPr>
      <t>9年間</t>
    </r>
    <phoneticPr fontId="2" type="noConversion"/>
  </si>
  <si>
    <r>
      <t>1</t>
    </r>
    <r>
      <rPr>
        <sz val="12"/>
        <color theme="1"/>
        <rFont val="新細明體"/>
        <family val="1"/>
        <charset val="136"/>
        <scheme val="minor"/>
      </rPr>
      <t>00年3月11日至100年9月</t>
    </r>
    <phoneticPr fontId="2" type="noConversion"/>
  </si>
  <si>
    <t>A15卷第1192-1208頁</t>
    <phoneticPr fontId="2" type="noConversion"/>
  </si>
  <si>
    <t>郭承翰</t>
    <phoneticPr fontId="2" type="noConversion"/>
  </si>
  <si>
    <t>100年1月1日至102年1月</t>
    <phoneticPr fontId="2" type="noConversion"/>
  </si>
  <si>
    <t>第43頁</t>
    <phoneticPr fontId="2" type="noConversion"/>
  </si>
  <si>
    <t>11/11 2625</t>
    <phoneticPr fontId="2" type="noConversion"/>
  </si>
  <si>
    <t>第44頁</t>
  </si>
  <si>
    <t>11/25 4875</t>
    <phoneticPr fontId="2" type="noConversion"/>
  </si>
  <si>
    <t>12/10 4875</t>
    <phoneticPr fontId="2" type="noConversion"/>
  </si>
  <si>
    <t>12/25 4875</t>
    <phoneticPr fontId="2" type="noConversion"/>
  </si>
  <si>
    <t>1/9 4875</t>
    <phoneticPr fontId="2" type="noConversion"/>
  </si>
  <si>
    <t>第44反面</t>
    <phoneticPr fontId="2" type="noConversion"/>
  </si>
  <si>
    <t>第45頁</t>
    <phoneticPr fontId="2" type="noConversion"/>
  </si>
  <si>
    <t>借款及繳息期間
（註3）</t>
    <phoneticPr fontId="2" type="noConversion"/>
  </si>
  <si>
    <t>99年間至102年4月12日</t>
    <phoneticPr fontId="2" type="noConversion"/>
  </si>
  <si>
    <t>100年11月至102年1月27日</t>
    <phoneticPr fontId="2" type="noConversion"/>
  </si>
  <si>
    <t>101年12月29日至102年3月18日</t>
    <phoneticPr fontId="2" type="noConversion"/>
  </si>
  <si>
    <t>102年1月18日至102年3月18日</t>
    <phoneticPr fontId="2" type="noConversion"/>
  </si>
  <si>
    <t>已繳利息
（註2及註3）</t>
    <phoneticPr fontId="2" type="noConversion"/>
  </si>
  <si>
    <t>犯罪所得
（註2及註3）</t>
    <phoneticPr fontId="2" type="noConversion"/>
  </si>
  <si>
    <t>李如駿</t>
    <phoneticPr fontId="2" type="noConversion"/>
  </si>
  <si>
    <t>王周來</t>
    <phoneticPr fontId="2" type="noConversion"/>
  </si>
  <si>
    <t>元喆當鋪</t>
    <phoneticPr fontId="2" type="noConversion"/>
  </si>
  <si>
    <t>「雙號」冊第27頁</t>
    <phoneticPr fontId="2" type="noConversion"/>
  </si>
  <si>
    <t>「雙號」冊第28頁</t>
    <phoneticPr fontId="2" type="noConversion"/>
  </si>
  <si>
    <t>「雙號」冊第29頁</t>
    <phoneticPr fontId="2" type="noConversion"/>
  </si>
  <si>
    <t>「雙號」冊第30頁</t>
    <phoneticPr fontId="2" type="noConversion"/>
  </si>
  <si>
    <t>「雙號」冊第31頁</t>
    <phoneticPr fontId="2" type="noConversion"/>
  </si>
  <si>
    <t>「雙號」冊第32頁</t>
    <phoneticPr fontId="2" type="noConversion"/>
  </si>
  <si>
    <t>「雙號」冊第33頁</t>
    <phoneticPr fontId="2" type="noConversion"/>
  </si>
  <si>
    <t>「雙號」冊第34頁</t>
    <phoneticPr fontId="2" type="noConversion"/>
  </si>
  <si>
    <t>「雙號」冊第35頁</t>
    <phoneticPr fontId="2" type="noConversion"/>
  </si>
  <si>
    <t>「雙號」冊第36頁</t>
    <phoneticPr fontId="2" type="noConversion"/>
  </si>
  <si>
    <t>「雙號」冊第37頁</t>
    <phoneticPr fontId="2" type="noConversion"/>
  </si>
  <si>
    <r>
      <t>11</t>
    </r>
    <r>
      <rPr>
        <sz val="12"/>
        <color theme="1"/>
        <rFont val="新細明體"/>
        <family val="1"/>
        <charset val="136"/>
        <scheme val="minor"/>
      </rPr>
      <t>01</t>
    </r>
    <phoneticPr fontId="7" type="noConversion"/>
  </si>
  <si>
    <r>
      <t>1</t>
    </r>
    <r>
      <rPr>
        <sz val="12"/>
        <color theme="1"/>
        <rFont val="新細明體"/>
        <family val="1"/>
        <charset val="136"/>
        <scheme val="minor"/>
      </rPr>
      <t>0</t>
    </r>
    <r>
      <rPr>
        <sz val="12"/>
        <color indexed="8"/>
        <rFont val="新細明體"/>
        <family val="1"/>
        <charset val="136"/>
      </rPr>
      <t>17</t>
    </r>
    <phoneticPr fontId="7" type="noConversion"/>
  </si>
  <si>
    <r>
      <t>1</t>
    </r>
    <r>
      <rPr>
        <sz val="12"/>
        <color theme="1"/>
        <rFont val="新細明體"/>
        <family val="1"/>
        <charset val="136"/>
        <scheme val="minor"/>
      </rPr>
      <t>2</t>
    </r>
    <r>
      <rPr>
        <sz val="12"/>
        <color indexed="8"/>
        <rFont val="新細明體"/>
        <family val="1"/>
        <charset val="136"/>
      </rPr>
      <t>29</t>
    </r>
    <phoneticPr fontId="7" type="noConversion"/>
  </si>
  <si>
    <r>
      <t>1</t>
    </r>
    <r>
      <rPr>
        <sz val="12"/>
        <color theme="1"/>
        <rFont val="新細明體"/>
        <family val="1"/>
        <charset val="136"/>
        <scheme val="minor"/>
      </rPr>
      <t>217</t>
    </r>
    <phoneticPr fontId="7" type="noConversion"/>
  </si>
  <si>
    <r>
      <t>0</t>
    </r>
    <r>
      <rPr>
        <sz val="12"/>
        <color theme="1"/>
        <rFont val="新細明體"/>
        <family val="1"/>
        <charset val="136"/>
        <scheme val="minor"/>
      </rPr>
      <t>126</t>
    </r>
    <phoneticPr fontId="7" type="noConversion"/>
  </si>
  <si>
    <r>
      <t>01</t>
    </r>
    <r>
      <rPr>
        <sz val="12"/>
        <color theme="1"/>
        <rFont val="新細明體"/>
        <family val="1"/>
        <charset val="136"/>
        <scheme val="minor"/>
      </rPr>
      <t>0</t>
    </r>
    <r>
      <rPr>
        <sz val="12"/>
        <color indexed="8"/>
        <rFont val="新細明體"/>
        <family val="1"/>
        <charset val="136"/>
      </rPr>
      <t>4</t>
    </r>
    <phoneticPr fontId="7" type="noConversion"/>
  </si>
  <si>
    <r>
      <t>0</t>
    </r>
    <r>
      <rPr>
        <sz val="12"/>
        <color theme="1"/>
        <rFont val="新細明體"/>
        <family val="1"/>
        <charset val="136"/>
        <scheme val="minor"/>
      </rPr>
      <t>428</t>
    </r>
    <phoneticPr fontId="2" type="noConversion"/>
  </si>
  <si>
    <r>
      <t>0</t>
    </r>
    <r>
      <rPr>
        <sz val="12"/>
        <color theme="1"/>
        <rFont val="新細明體"/>
        <family val="1"/>
        <charset val="136"/>
        <scheme val="minor"/>
      </rPr>
      <t>325</t>
    </r>
    <phoneticPr fontId="2" type="noConversion"/>
  </si>
  <si>
    <r>
      <t>1</t>
    </r>
    <r>
      <rPr>
        <sz val="12"/>
        <color theme="1"/>
        <rFont val="新細明體"/>
        <family val="1"/>
        <charset val="136"/>
        <scheme val="minor"/>
      </rPr>
      <t>00</t>
    </r>
    <r>
      <rPr>
        <sz val="12"/>
        <color indexed="8"/>
        <rFont val="新細明體"/>
        <family val="1"/>
        <charset val="136"/>
      </rPr>
      <t>7</t>
    </r>
    <phoneticPr fontId="7" type="noConversion"/>
  </si>
  <si>
    <r>
      <t>0</t>
    </r>
    <r>
      <rPr>
        <sz val="12"/>
        <color theme="1"/>
        <rFont val="新細明體"/>
        <family val="1"/>
        <charset val="136"/>
        <scheme val="minor"/>
      </rPr>
      <t>827</t>
    </r>
    <phoneticPr fontId="2" type="noConversion"/>
  </si>
  <si>
    <r>
      <t>0</t>
    </r>
    <r>
      <rPr>
        <sz val="12"/>
        <color theme="1"/>
        <rFont val="新細明體"/>
        <family val="1"/>
        <charset val="136"/>
        <scheme val="minor"/>
      </rPr>
      <t>502</t>
    </r>
    <phoneticPr fontId="7" type="noConversion"/>
  </si>
  <si>
    <r>
      <t>1</t>
    </r>
    <r>
      <rPr>
        <sz val="12"/>
        <color theme="1"/>
        <rFont val="新細明體"/>
        <family val="1"/>
        <charset val="136"/>
        <scheme val="minor"/>
      </rPr>
      <t>221</t>
    </r>
    <phoneticPr fontId="7" type="noConversion"/>
  </si>
  <si>
    <r>
      <t>0</t>
    </r>
    <r>
      <rPr>
        <sz val="12"/>
        <color theme="1"/>
        <rFont val="新細明體"/>
        <family val="1"/>
        <charset val="136"/>
        <scheme val="minor"/>
      </rPr>
      <t>205</t>
    </r>
    <phoneticPr fontId="2" type="noConversion"/>
  </si>
  <si>
    <r>
      <t>040</t>
    </r>
    <r>
      <rPr>
        <sz val="12"/>
        <color theme="1"/>
        <rFont val="新細明體"/>
        <family val="1"/>
        <charset val="136"/>
        <scheme val="minor"/>
      </rPr>
      <t>2</t>
    </r>
    <phoneticPr fontId="7" type="noConversion"/>
  </si>
  <si>
    <r>
      <t>070</t>
    </r>
    <r>
      <rPr>
        <sz val="12"/>
        <color theme="1"/>
        <rFont val="新細明體"/>
        <family val="1"/>
        <charset val="136"/>
        <scheme val="minor"/>
      </rPr>
      <t>2</t>
    </r>
    <phoneticPr fontId="7" type="noConversion"/>
  </si>
  <si>
    <r>
      <t>0</t>
    </r>
    <r>
      <rPr>
        <sz val="12"/>
        <color theme="1"/>
        <rFont val="新細明體"/>
        <family val="1"/>
        <charset val="136"/>
        <scheme val="minor"/>
      </rPr>
      <t>702</t>
    </r>
    <phoneticPr fontId="2" type="noConversion"/>
  </si>
  <si>
    <r>
      <t>02</t>
    </r>
    <r>
      <rPr>
        <sz val="12"/>
        <color theme="1"/>
        <rFont val="新細明體"/>
        <family val="1"/>
        <charset val="136"/>
        <scheme val="minor"/>
      </rPr>
      <t>10</t>
    </r>
    <phoneticPr fontId="7" type="noConversion"/>
  </si>
  <si>
    <r>
      <t>03</t>
    </r>
    <r>
      <rPr>
        <sz val="12"/>
        <color theme="1"/>
        <rFont val="新細明體"/>
        <family val="1"/>
        <charset val="136"/>
        <scheme val="minor"/>
      </rPr>
      <t>12</t>
    </r>
    <phoneticPr fontId="7" type="noConversion"/>
  </si>
  <si>
    <r>
      <t>分期-</t>
    </r>
    <r>
      <rPr>
        <sz val="12"/>
        <color theme="1"/>
        <rFont val="新細明體"/>
        <family val="1"/>
        <charset val="136"/>
        <scheme val="minor"/>
      </rPr>
      <t>30天</t>
    </r>
    <phoneticPr fontId="7" type="noConversion"/>
  </si>
  <si>
    <r>
      <t>01</t>
    </r>
    <r>
      <rPr>
        <sz val="12"/>
        <color theme="1"/>
        <rFont val="新細明體"/>
        <family val="1"/>
        <charset val="136"/>
        <scheme val="minor"/>
      </rPr>
      <t>14</t>
    </r>
    <phoneticPr fontId="7" type="noConversion"/>
  </si>
  <si>
    <r>
      <t>06</t>
    </r>
    <r>
      <rPr>
        <sz val="12"/>
        <color theme="1"/>
        <rFont val="新細明體"/>
        <family val="1"/>
        <charset val="136"/>
        <scheme val="minor"/>
      </rPr>
      <t>09</t>
    </r>
    <phoneticPr fontId="7" type="noConversion"/>
  </si>
  <si>
    <r>
      <t>1</t>
    </r>
    <r>
      <rPr>
        <sz val="12"/>
        <color theme="1"/>
        <rFont val="新細明體"/>
        <family val="1"/>
        <charset val="136"/>
        <scheme val="minor"/>
      </rPr>
      <t>228</t>
    </r>
    <phoneticPr fontId="2" type="noConversion"/>
  </si>
  <si>
    <t>12/14 375</t>
    <phoneticPr fontId="2" type="noConversion"/>
  </si>
  <si>
    <t>12/13 1500 12/14 1125</t>
    <phoneticPr fontId="2" type="noConversion"/>
  </si>
  <si>
    <t>12/14 935</t>
    <phoneticPr fontId="2" type="noConversion"/>
  </si>
  <si>
    <t>12/15 560 12/16 375</t>
    <phoneticPr fontId="2" type="noConversion"/>
  </si>
  <si>
    <t>12/25 1125 12/16 1125</t>
    <phoneticPr fontId="2" type="noConversion"/>
  </si>
  <si>
    <t>12/15 2435 12/16 375</t>
    <phoneticPr fontId="2" type="noConversion"/>
  </si>
  <si>
    <t>100年9月至102年1月</t>
    <phoneticPr fontId="2" type="noConversion"/>
  </si>
  <si>
    <r>
      <t>100年</t>
    </r>
    <r>
      <rPr>
        <sz val="12"/>
        <color theme="1"/>
        <rFont val="新細明體"/>
        <family val="1"/>
        <charset val="136"/>
        <scheme val="minor"/>
      </rPr>
      <t>4月至102年1月</t>
    </r>
    <phoneticPr fontId="2" type="noConversion"/>
  </si>
  <si>
    <t>黃祖生</t>
    <phoneticPr fontId="2" type="noConversion"/>
  </si>
  <si>
    <t>A20卷第2797-2802頁</t>
    <phoneticPr fontId="2" type="noConversion"/>
  </si>
  <si>
    <t>陸續借9萬元</t>
    <phoneticPr fontId="2" type="noConversion"/>
  </si>
  <si>
    <t>陸續借到
35萬元</t>
    <phoneticPr fontId="2" type="noConversion"/>
  </si>
  <si>
    <r>
      <t>1</t>
    </r>
    <r>
      <rPr>
        <sz val="12"/>
        <color theme="1"/>
        <rFont val="新細明體"/>
        <family val="1"/>
        <charset val="136"/>
        <scheme val="minor"/>
      </rPr>
      <t>00年10、11月間起至102年1月底</t>
    </r>
    <phoneticPr fontId="2" type="noConversion"/>
  </si>
  <si>
    <t>李坤南</t>
    <phoneticPr fontId="2" type="noConversion"/>
  </si>
  <si>
    <t>100年間起至101年</t>
    <phoneticPr fontId="2" type="noConversion"/>
  </si>
  <si>
    <t>A21卷第2933-2934頁</t>
    <phoneticPr fontId="2" type="noConversion"/>
  </si>
  <si>
    <t>陸續借7萬元</t>
    <phoneticPr fontId="2" type="noConversion"/>
  </si>
  <si>
    <t>101年6月起</t>
    <phoneticPr fontId="2" type="noConversion"/>
  </si>
  <si>
    <t>林寶堂</t>
    <phoneticPr fontId="2" type="noConversion"/>
  </si>
  <si>
    <t>王以德</t>
    <phoneticPr fontId="2" type="noConversion"/>
  </si>
  <si>
    <t>101年6月28日至102年1月22日</t>
    <phoneticPr fontId="2" type="noConversion"/>
  </si>
  <si>
    <r>
      <t>A20卷第2651-2666頁、</t>
    </r>
    <r>
      <rPr>
        <sz val="12"/>
        <color theme="1"/>
        <rFont val="新細明體"/>
        <family val="1"/>
        <charset val="136"/>
        <scheme val="minor"/>
      </rPr>
      <t>A20</t>
    </r>
    <r>
      <rPr>
        <sz val="12"/>
        <color indexed="8"/>
        <rFont val="新細明體"/>
        <family val="1"/>
        <charset val="136"/>
      </rPr>
      <t>卷第</t>
    </r>
    <r>
      <rPr>
        <sz val="12"/>
        <color theme="1"/>
        <rFont val="新細明體"/>
        <family val="1"/>
        <charset val="136"/>
        <scheme val="minor"/>
      </rPr>
      <t>2667-2706</t>
    </r>
    <r>
      <rPr>
        <sz val="12"/>
        <color indexed="8"/>
        <rFont val="新細明體"/>
        <family val="1"/>
        <charset val="136"/>
      </rPr>
      <t>頁</t>
    </r>
    <phoneticPr fontId="2" type="noConversion"/>
  </si>
  <si>
    <t>張榮興</t>
    <phoneticPr fontId="2" type="noConversion"/>
  </si>
  <si>
    <t>周茂正</t>
    <phoneticPr fontId="2" type="noConversion"/>
  </si>
  <si>
    <t>98、99年間至100 年8 月中</t>
    <phoneticPr fontId="2" type="noConversion"/>
  </si>
  <si>
    <t>李文龍</t>
    <phoneticPr fontId="2" type="noConversion"/>
  </si>
  <si>
    <t>A19 卷第2331-2333 頁</t>
    <phoneticPr fontId="2" type="noConversion"/>
  </si>
  <si>
    <t>陳瑞章</t>
  </si>
  <si>
    <t>王進財</t>
    <phoneticPr fontId="2" type="noConversion"/>
  </si>
  <si>
    <t>扣押物箱內編號19-3-2第28頁</t>
    <phoneticPr fontId="2" type="noConversion"/>
  </si>
  <si>
    <t>扣押物箱內編號19-3-2第29頁</t>
    <phoneticPr fontId="2" type="noConversion"/>
  </si>
  <si>
    <t>扣押物箱內編號19-3-2第30頁</t>
    <phoneticPr fontId="2" type="noConversion"/>
  </si>
  <si>
    <t>扣押物箱內編號19-3-2第31頁</t>
    <phoneticPr fontId="2" type="noConversion"/>
  </si>
  <si>
    <t>起訴書漏載</t>
    <phoneticPr fontId="2" type="noConversion"/>
  </si>
  <si>
    <t>備註</t>
    <phoneticPr fontId="2" type="noConversion"/>
  </si>
  <si>
    <t>扣押物箱內編號19-3-2第32頁</t>
    <phoneticPr fontId="2" type="noConversion"/>
  </si>
  <si>
    <t>扣押物箱內編號19-3-2第33頁</t>
    <phoneticPr fontId="2" type="noConversion"/>
  </si>
  <si>
    <t>扣押物箱內編號19-3-2第34頁</t>
    <phoneticPr fontId="2" type="noConversion"/>
  </si>
  <si>
    <t>扣押物箱內編號19-3-2第36頁</t>
    <phoneticPr fontId="2" type="noConversion"/>
  </si>
  <si>
    <t>扣押物箱內編號19-3-2第37頁</t>
    <phoneticPr fontId="2" type="noConversion"/>
  </si>
  <si>
    <t>扣押物箱內編號19-3-3第1頁</t>
    <phoneticPr fontId="2" type="noConversion"/>
  </si>
  <si>
    <t>扣押物箱內編號19-3-3第2頁</t>
    <phoneticPr fontId="2" type="noConversion"/>
  </si>
  <si>
    <t>扣押物箱內編號19-3-3第3頁</t>
    <phoneticPr fontId="2" type="noConversion"/>
  </si>
  <si>
    <t>起訴書重複計算一次</t>
    <phoneticPr fontId="2" type="noConversion"/>
  </si>
  <si>
    <t>扣押物箱內編號19-3-3第4頁</t>
    <phoneticPr fontId="2" type="noConversion"/>
  </si>
  <si>
    <t>扣押物箱內編號19-3-3第5頁</t>
    <phoneticPr fontId="2" type="noConversion"/>
  </si>
  <si>
    <t>扣押物箱內編號19-3-3第6頁</t>
    <phoneticPr fontId="2" type="noConversion"/>
  </si>
  <si>
    <t>扣押物箱內編號19-3-3第7頁</t>
    <phoneticPr fontId="2" type="noConversion"/>
  </si>
  <si>
    <t>利息-吳志忠12.1利3/6-3/21</t>
  </si>
  <si>
    <t>利息-華棟彬5利3/1-4/1</t>
  </si>
  <si>
    <t>利息-華棟彬2利3/15-3/30</t>
  </si>
  <si>
    <t>利息-華棟彬12利3/8-3/23</t>
  </si>
  <si>
    <t>利息-華棟彬2利3/10-3/25</t>
  </si>
  <si>
    <t>1/2 1125</t>
    <phoneticPr fontId="2" type="noConversion"/>
  </si>
  <si>
    <t>1/1 935</t>
    <phoneticPr fontId="2" type="noConversion"/>
  </si>
  <si>
    <t>1/2 4125</t>
    <phoneticPr fontId="2" type="noConversion"/>
  </si>
  <si>
    <t>1/3 1125</t>
    <phoneticPr fontId="2" type="noConversion"/>
  </si>
  <si>
    <t>1/3 750 1/4 1310</t>
    <phoneticPr fontId="2" type="noConversion"/>
  </si>
  <si>
    <t>1/4 1125</t>
    <phoneticPr fontId="2" type="noConversion"/>
  </si>
  <si>
    <t>1/5 185</t>
    <phoneticPr fontId="2" type="noConversion"/>
  </si>
  <si>
    <t>第40頁</t>
    <phoneticPr fontId="2" type="noConversion"/>
  </si>
  <si>
    <t>11/7 1125</t>
    <phoneticPr fontId="2" type="noConversion"/>
  </si>
  <si>
    <t>11/9 1125</t>
    <phoneticPr fontId="2" type="noConversion"/>
  </si>
  <si>
    <t>11/10 750</t>
    <phoneticPr fontId="2" type="noConversion"/>
  </si>
  <si>
    <t>第40反面</t>
    <phoneticPr fontId="2" type="noConversion"/>
  </si>
  <si>
    <t>1/6 1125</t>
    <phoneticPr fontId="2" type="noConversion"/>
  </si>
  <si>
    <t>1/21 1125</t>
    <phoneticPr fontId="2" type="noConversion"/>
  </si>
  <si>
    <t>11/9 3375</t>
    <phoneticPr fontId="2" type="noConversion"/>
  </si>
  <si>
    <t>11/24 3375</t>
    <phoneticPr fontId="2" type="noConversion"/>
  </si>
  <si>
    <t>12/9 3375</t>
    <phoneticPr fontId="2" type="noConversion"/>
  </si>
  <si>
    <t>第41頁</t>
    <phoneticPr fontId="2" type="noConversion"/>
  </si>
  <si>
    <t>第41反面</t>
    <phoneticPr fontId="2" type="noConversion"/>
  </si>
  <si>
    <t>12/24 3375</t>
    <phoneticPr fontId="2" type="noConversion"/>
  </si>
  <si>
    <t>1/8 3375</t>
    <phoneticPr fontId="2" type="noConversion"/>
  </si>
  <si>
    <t>第42頁</t>
    <phoneticPr fontId="2" type="noConversion"/>
  </si>
  <si>
    <t>11/14 750</t>
    <phoneticPr fontId="2" type="noConversion"/>
  </si>
  <si>
    <t>11/17 375</t>
    <phoneticPr fontId="2" type="noConversion"/>
  </si>
  <si>
    <t>11/19 375</t>
    <phoneticPr fontId="2" type="noConversion"/>
  </si>
  <si>
    <t>11/29 750</t>
    <phoneticPr fontId="2" type="noConversion"/>
  </si>
  <si>
    <t>12/17 375</t>
    <phoneticPr fontId="2" type="noConversion"/>
  </si>
  <si>
    <t>12/19 375</t>
    <phoneticPr fontId="2" type="noConversion"/>
  </si>
  <si>
    <t>第42反面</t>
    <phoneticPr fontId="2" type="noConversion"/>
  </si>
  <si>
    <t>1/1 375</t>
    <phoneticPr fontId="2" type="noConversion"/>
  </si>
  <si>
    <t>1/3 375</t>
    <phoneticPr fontId="2" type="noConversion"/>
  </si>
  <si>
    <t>國泰當鋪</t>
    <phoneticPr fontId="2" type="noConversion"/>
  </si>
  <si>
    <t>國泰當鋪</t>
    <phoneticPr fontId="2" type="noConversion"/>
  </si>
  <si>
    <t>丙全當鋪 合計</t>
    <phoneticPr fontId="2" type="noConversion"/>
  </si>
  <si>
    <t>林順義</t>
  </si>
  <si>
    <r>
      <t>9</t>
    </r>
    <r>
      <rPr>
        <sz val="12"/>
        <color theme="1"/>
        <rFont val="新細明體"/>
        <family val="1"/>
        <charset val="136"/>
        <scheme val="minor"/>
      </rPr>
      <t>6年6月起至99年9月</t>
    </r>
    <phoneticPr fontId="2" type="noConversion"/>
  </si>
  <si>
    <r>
      <t>9</t>
    </r>
    <r>
      <rPr>
        <sz val="12"/>
        <color theme="1"/>
        <rFont val="新細明體"/>
        <family val="1"/>
        <charset val="136"/>
        <scheme val="minor"/>
      </rPr>
      <t>8年6月起至99年9月</t>
    </r>
    <phoneticPr fontId="2" type="noConversion"/>
  </si>
  <si>
    <t>7天（分期
攤還本息）</t>
    <phoneticPr fontId="2" type="noConversion"/>
  </si>
  <si>
    <t>元一當鋪</t>
    <phoneticPr fontId="2" type="noConversion"/>
  </si>
  <si>
    <t>王定承</t>
    <phoneticPr fontId="2" type="noConversion"/>
  </si>
  <si>
    <t>102年1月15日</t>
    <phoneticPr fontId="2" type="noConversion"/>
  </si>
  <si>
    <t>0726</t>
    <phoneticPr fontId="7" type="noConversion"/>
  </si>
  <si>
    <t>0218</t>
    <phoneticPr fontId="7" type="noConversion"/>
  </si>
  <si>
    <t>利率(月)</t>
    <phoneticPr fontId="2" type="noConversion"/>
  </si>
  <si>
    <t>計息週期(天)</t>
    <phoneticPr fontId="2" type="noConversion"/>
  </si>
  <si>
    <t>元一當鋪</t>
    <phoneticPr fontId="2" type="noConversion"/>
  </si>
  <si>
    <t>麥宗龍</t>
    <phoneticPr fontId="2" type="noConversion"/>
  </si>
  <si>
    <t>王功成</t>
    <phoneticPr fontId="2" type="noConversion"/>
  </si>
  <si>
    <t>元一當鋪</t>
    <phoneticPr fontId="2" type="noConversion"/>
  </si>
  <si>
    <t>林明德</t>
    <phoneticPr fontId="2" type="noConversion"/>
  </si>
  <si>
    <t>99、100年間</t>
    <phoneticPr fontId="2" type="noConversion"/>
  </si>
  <si>
    <t>元崗當鋪</t>
    <phoneticPr fontId="2" type="noConversion"/>
  </si>
  <si>
    <t>元崗當鋪</t>
    <phoneticPr fontId="2" type="noConversion"/>
  </si>
  <si>
    <t>元一當鋪</t>
    <phoneticPr fontId="2" type="noConversion"/>
  </si>
  <si>
    <t>扣押物箱內編號19-3-4第1頁</t>
    <phoneticPr fontId="2" type="noConversion"/>
  </si>
  <si>
    <t>扣押物箱內編號19-3-4第2頁</t>
    <phoneticPr fontId="2" type="noConversion"/>
  </si>
  <si>
    <t>扣押物箱內編號19-3-4第3頁</t>
    <phoneticPr fontId="2" type="noConversion"/>
  </si>
  <si>
    <t>扣押物箱內編號19-3-4第4頁</t>
    <phoneticPr fontId="2" type="noConversion"/>
  </si>
  <si>
    <t>扣押物箱內編號19-3-4第5頁</t>
    <phoneticPr fontId="2" type="noConversion"/>
  </si>
  <si>
    <t>扣押物箱內編號19-3-4第6頁</t>
    <phoneticPr fontId="2" type="noConversion"/>
  </si>
  <si>
    <t>扣押物箱內編號19-3-4第7頁</t>
    <phoneticPr fontId="2" type="noConversion"/>
  </si>
  <si>
    <t>扣押物箱內編號19-3-4第9頁</t>
    <phoneticPr fontId="2" type="noConversion"/>
  </si>
  <si>
    <t>扣押物箱內編號19-3-4第10頁</t>
    <phoneticPr fontId="2" type="noConversion"/>
  </si>
  <si>
    <t>扣押物箱內編號19-3-4第11頁</t>
    <phoneticPr fontId="2" type="noConversion"/>
  </si>
  <si>
    <t>扣押物箱內編號19-3-4第14頁</t>
    <phoneticPr fontId="2" type="noConversion"/>
  </si>
  <si>
    <t>扣押物箱內編號19-3-4第15頁</t>
    <phoneticPr fontId="2" type="noConversion"/>
  </si>
  <si>
    <t>扣押物箱內編號19-3-4第16頁</t>
    <phoneticPr fontId="2" type="noConversion"/>
  </si>
  <si>
    <t>扣押物箱內編號19-3-4第17頁</t>
    <phoneticPr fontId="2" type="noConversion"/>
  </si>
  <si>
    <t>起訴書誤載為2,656元</t>
    <phoneticPr fontId="2" type="noConversion"/>
  </si>
  <si>
    <t>扣押物箱內編號19-3-4第18頁</t>
    <phoneticPr fontId="2" type="noConversion"/>
  </si>
  <si>
    <t>扣押物箱內編號19-3-4第19頁</t>
    <phoneticPr fontId="2" type="noConversion"/>
  </si>
  <si>
    <t>扣押物箱內編號19-3-4第20頁</t>
    <phoneticPr fontId="2" type="noConversion"/>
  </si>
  <si>
    <t>扣押物箱內編號19-3-4第21頁</t>
    <phoneticPr fontId="2" type="noConversion"/>
  </si>
  <si>
    <t>扣押物箱內編號19-3-4第22頁</t>
    <phoneticPr fontId="2" type="noConversion"/>
  </si>
  <si>
    <t>扣押物箱內編號19-3-4第25頁</t>
    <phoneticPr fontId="2" type="noConversion"/>
  </si>
  <si>
    <t>扣押物箱內編號19-3-4第26頁</t>
    <phoneticPr fontId="2" type="noConversion"/>
  </si>
  <si>
    <t>扣押物箱內編號19-3-4第27頁</t>
    <phoneticPr fontId="2" type="noConversion"/>
  </si>
  <si>
    <t>扣押物箱內編號19-3-4第29頁</t>
    <phoneticPr fontId="2" type="noConversion"/>
  </si>
  <si>
    <t>扣押物箱內編號19-3-4第30頁</t>
    <phoneticPr fontId="2" type="noConversion"/>
  </si>
  <si>
    <t>扣押物箱內編號19-3-4第31頁</t>
    <phoneticPr fontId="2" type="noConversion"/>
  </si>
  <si>
    <t>扣押物箱內編號19-3-4第32頁</t>
    <phoneticPr fontId="2" type="noConversion"/>
  </si>
  <si>
    <t>扣押物箱內編號19-3-4第33頁</t>
    <phoneticPr fontId="2" type="noConversion"/>
  </si>
  <si>
    <t>扣押物箱內編號19-3-4第35頁</t>
    <phoneticPr fontId="2" type="noConversion"/>
  </si>
  <si>
    <t>扣押物箱內編號19-3-4第34頁</t>
    <phoneticPr fontId="2" type="noConversion"/>
  </si>
  <si>
    <t>扣押物箱內編號19-3-4第36頁</t>
    <phoneticPr fontId="2" type="noConversion"/>
  </si>
  <si>
    <t>扣押物箱內編號19-3-4第38頁</t>
    <phoneticPr fontId="2" type="noConversion"/>
  </si>
  <si>
    <t>扣押物箱內編號19-3-4第40頁</t>
    <phoneticPr fontId="2" type="noConversion"/>
  </si>
  <si>
    <t>扣押物箱內編號19-3-4第41頁</t>
    <phoneticPr fontId="2" type="noConversion"/>
  </si>
  <si>
    <t>扣押物箱內編號19-3-4第43頁</t>
    <phoneticPr fontId="2" type="noConversion"/>
  </si>
  <si>
    <t>扣押物箱內編號19-3-4第44頁</t>
    <phoneticPr fontId="2" type="noConversion"/>
  </si>
  <si>
    <t>扣押物箱內編號19-3-4第47頁</t>
    <phoneticPr fontId="2" type="noConversion"/>
  </si>
  <si>
    <t>扣押物箱內編號19-3-4第48頁</t>
    <phoneticPr fontId="2" type="noConversion"/>
  </si>
  <si>
    <t>21(B)</t>
    <phoneticPr fontId="2" type="noConversion"/>
  </si>
  <si>
    <t>林茂新</t>
    <phoneticPr fontId="2" type="noConversion"/>
  </si>
  <si>
    <t>林家緯</t>
    <phoneticPr fontId="2" type="noConversion"/>
  </si>
  <si>
    <t>林庭旭</t>
    <phoneticPr fontId="2" type="noConversion"/>
  </si>
  <si>
    <t>林許裕</t>
    <phoneticPr fontId="2" type="noConversion"/>
  </si>
  <si>
    <t>林陸舜</t>
    <phoneticPr fontId="2" type="noConversion"/>
  </si>
  <si>
    <t>林景良</t>
    <phoneticPr fontId="2" type="noConversion"/>
  </si>
  <si>
    <t>林欽榮</t>
    <phoneticPr fontId="2" type="noConversion"/>
  </si>
  <si>
    <t>0402</t>
    <phoneticPr fontId="7" type="noConversion"/>
  </si>
  <si>
    <t>張永鑫</t>
    <phoneticPr fontId="7" type="noConversion"/>
  </si>
  <si>
    <t>0708</t>
    <phoneticPr fontId="7" type="noConversion"/>
  </si>
  <si>
    <t>0624</t>
    <phoneticPr fontId="7" type="noConversion"/>
  </si>
  <si>
    <t>0930</t>
    <phoneticPr fontId="7" type="noConversion"/>
  </si>
  <si>
    <t>陳源樑</t>
    <phoneticPr fontId="7" type="noConversion"/>
  </si>
  <si>
    <t>鄭明德</t>
    <phoneticPr fontId="7" type="noConversion"/>
  </si>
  <si>
    <t>0406</t>
    <phoneticPr fontId="7" type="noConversion"/>
  </si>
  <si>
    <t>0106</t>
    <phoneticPr fontId="7" type="noConversion"/>
  </si>
  <si>
    <t>0923</t>
    <phoneticPr fontId="7" type="noConversion"/>
  </si>
  <si>
    <t>陳鴻輝</t>
    <phoneticPr fontId="7" type="noConversion"/>
  </si>
  <si>
    <t>吳志忠</t>
    <phoneticPr fontId="7" type="noConversion"/>
  </si>
  <si>
    <t>許添盛</t>
    <phoneticPr fontId="7" type="noConversion"/>
  </si>
  <si>
    <t>林隆基</t>
    <phoneticPr fontId="7" type="noConversion"/>
  </si>
  <si>
    <t>何財興</t>
    <phoneticPr fontId="7" type="noConversion"/>
  </si>
  <si>
    <t>彭德欽</t>
    <phoneticPr fontId="7" type="noConversion"/>
  </si>
  <si>
    <t>蘇明助</t>
    <phoneticPr fontId="7" type="noConversion"/>
  </si>
  <si>
    <t>施建仲</t>
    <phoneticPr fontId="7" type="noConversion"/>
  </si>
  <si>
    <t>0226</t>
    <phoneticPr fontId="7" type="noConversion"/>
  </si>
  <si>
    <t>劉新基</t>
    <phoneticPr fontId="7" type="noConversion"/>
  </si>
  <si>
    <t>1030</t>
    <phoneticPr fontId="7" type="noConversion"/>
  </si>
  <si>
    <t>涂明秀</t>
    <phoneticPr fontId="7" type="noConversion"/>
  </si>
  <si>
    <t>蔡智忠</t>
    <phoneticPr fontId="7" type="noConversion"/>
  </si>
  <si>
    <t>許宗吉</t>
    <phoneticPr fontId="7" type="noConversion"/>
  </si>
  <si>
    <t>姚文龍</t>
    <phoneticPr fontId="7" type="noConversion"/>
  </si>
  <si>
    <t>張文信</t>
    <phoneticPr fontId="7" type="noConversion"/>
  </si>
  <si>
    <t>李春重</t>
    <phoneticPr fontId="7" type="noConversion"/>
  </si>
  <si>
    <t>趙超雲</t>
    <phoneticPr fontId="7" type="noConversion"/>
  </si>
  <si>
    <t>周賢哲</t>
    <phoneticPr fontId="7" type="noConversion"/>
  </si>
  <si>
    <t>李緯群</t>
    <phoneticPr fontId="7" type="noConversion"/>
  </si>
  <si>
    <t>0929</t>
    <phoneticPr fontId="7" type="noConversion"/>
  </si>
  <si>
    <t>李岳龍</t>
    <phoneticPr fontId="7" type="noConversion"/>
  </si>
  <si>
    <t>1001</t>
    <phoneticPr fontId="7" type="noConversion"/>
  </si>
  <si>
    <t>1028</t>
    <phoneticPr fontId="7" type="noConversion"/>
  </si>
  <si>
    <t>林鍈松</t>
    <phoneticPr fontId="7" type="noConversion"/>
  </si>
  <si>
    <t>郭建廷</t>
    <phoneticPr fontId="7" type="noConversion"/>
  </si>
  <si>
    <t>李進順</t>
    <phoneticPr fontId="7" type="noConversion"/>
  </si>
  <si>
    <t>1202</t>
    <phoneticPr fontId="7" type="noConversion"/>
  </si>
  <si>
    <t>蘇志端</t>
    <phoneticPr fontId="7" type="noConversion"/>
  </si>
  <si>
    <t>李東陽</t>
    <phoneticPr fontId="7" type="noConversion"/>
  </si>
  <si>
    <t>羅鴻麟</t>
    <phoneticPr fontId="7" type="noConversion"/>
  </si>
  <si>
    <t>徐志榮</t>
    <phoneticPr fontId="7" type="noConversion"/>
  </si>
  <si>
    <t>高浩順</t>
    <phoneticPr fontId="7" type="noConversion"/>
  </si>
  <si>
    <t>楊明宗</t>
    <phoneticPr fontId="7" type="noConversion"/>
  </si>
  <si>
    <t>許文進</t>
    <phoneticPr fontId="7" type="noConversion"/>
  </si>
  <si>
    <t>郭泰煌</t>
    <phoneticPr fontId="7" type="noConversion"/>
  </si>
  <si>
    <t>王贊鈞</t>
    <phoneticPr fontId="7" type="noConversion"/>
  </si>
  <si>
    <t>廖傅瀧</t>
    <phoneticPr fontId="7" type="noConversion"/>
  </si>
  <si>
    <t>鄭志亮</t>
    <phoneticPr fontId="7" type="noConversion"/>
  </si>
  <si>
    <t>賴正鉉</t>
    <phoneticPr fontId="7" type="noConversion"/>
  </si>
  <si>
    <t>蔣永年</t>
    <phoneticPr fontId="7" type="noConversion"/>
  </si>
  <si>
    <t>徐村民</t>
    <phoneticPr fontId="7" type="noConversion"/>
  </si>
  <si>
    <t>張瓊繇</t>
    <phoneticPr fontId="7" type="noConversion"/>
  </si>
  <si>
    <t>林玉安</t>
    <phoneticPr fontId="7" type="noConversion"/>
  </si>
  <si>
    <t>楊俊彥</t>
    <phoneticPr fontId="7" type="noConversion"/>
  </si>
  <si>
    <t>0703</t>
    <phoneticPr fontId="7" type="noConversion"/>
  </si>
  <si>
    <t>0730</t>
    <phoneticPr fontId="7" type="noConversion"/>
  </si>
  <si>
    <t>0501</t>
    <phoneticPr fontId="7" type="noConversion"/>
  </si>
  <si>
    <t>0924</t>
    <phoneticPr fontId="7" type="noConversion"/>
  </si>
  <si>
    <t>1007</t>
    <phoneticPr fontId="7" type="noConversion"/>
  </si>
  <si>
    <t>0121</t>
    <phoneticPr fontId="7" type="noConversion"/>
  </si>
  <si>
    <t>0206</t>
    <phoneticPr fontId="7" type="noConversion"/>
  </si>
  <si>
    <t>0607</t>
    <phoneticPr fontId="7" type="noConversion"/>
  </si>
  <si>
    <t>林致誠</t>
    <phoneticPr fontId="7" type="noConversion"/>
  </si>
  <si>
    <t>0802</t>
    <phoneticPr fontId="7" type="noConversion"/>
  </si>
  <si>
    <t>0322</t>
    <phoneticPr fontId="7" type="noConversion"/>
  </si>
  <si>
    <t>0117</t>
    <phoneticPr fontId="7" type="noConversion"/>
  </si>
  <si>
    <t>0306</t>
    <phoneticPr fontId="7" type="noConversion"/>
  </si>
  <si>
    <t>0416</t>
    <phoneticPr fontId="7" type="noConversion"/>
  </si>
  <si>
    <t>0514</t>
    <phoneticPr fontId="7" type="noConversion"/>
  </si>
  <si>
    <t>0602</t>
    <phoneticPr fontId="7" type="noConversion"/>
  </si>
  <si>
    <t>0623</t>
    <phoneticPr fontId="7" type="noConversion"/>
  </si>
  <si>
    <t>0716</t>
    <phoneticPr fontId="7" type="noConversion"/>
  </si>
  <si>
    <t>0613</t>
    <phoneticPr fontId="7" type="noConversion"/>
  </si>
  <si>
    <t>宋鳴遠</t>
    <phoneticPr fontId="7" type="noConversion"/>
  </si>
  <si>
    <t>0326</t>
    <phoneticPr fontId="7" type="noConversion"/>
  </si>
  <si>
    <t>0531</t>
    <phoneticPr fontId="7" type="noConversion"/>
  </si>
  <si>
    <t>吳承鴻</t>
    <phoneticPr fontId="7" type="noConversion"/>
  </si>
  <si>
    <t>江永成</t>
    <phoneticPr fontId="7" type="noConversion"/>
  </si>
  <si>
    <t>陳偉雄</t>
    <phoneticPr fontId="7" type="noConversion"/>
  </si>
  <si>
    <t>徐源隆</t>
    <phoneticPr fontId="7" type="noConversion"/>
  </si>
  <si>
    <t>丁一鳴</t>
    <phoneticPr fontId="7" type="noConversion"/>
  </si>
  <si>
    <t>李可立</t>
    <phoneticPr fontId="7" type="noConversion"/>
  </si>
  <si>
    <t>陳該得</t>
    <phoneticPr fontId="7" type="noConversion"/>
  </si>
  <si>
    <t>12/12 560</t>
    <phoneticPr fontId="2" type="noConversion"/>
  </si>
  <si>
    <t>12/14 2810</t>
    <phoneticPr fontId="2" type="noConversion"/>
  </si>
  <si>
    <t>12/25 1500</t>
    <phoneticPr fontId="2" type="noConversion"/>
  </si>
  <si>
    <t>12/27 560</t>
    <phoneticPr fontId="2" type="noConversion"/>
  </si>
  <si>
    <t>12/29 2810</t>
    <phoneticPr fontId="2" type="noConversion"/>
  </si>
  <si>
    <t>第33頁反面</t>
    <phoneticPr fontId="2" type="noConversion"/>
  </si>
  <si>
    <t>1/5 1125</t>
    <phoneticPr fontId="2" type="noConversion"/>
  </si>
  <si>
    <t>1/7 2250</t>
    <phoneticPr fontId="2" type="noConversion"/>
  </si>
  <si>
    <t>1/13 2810</t>
    <phoneticPr fontId="2" type="noConversion"/>
  </si>
  <si>
    <t>1/20 1125</t>
    <phoneticPr fontId="2" type="noConversion"/>
  </si>
  <si>
    <t>11/14 3750</t>
    <phoneticPr fontId="2" type="noConversion"/>
  </si>
  <si>
    <t>11/29 3750</t>
    <phoneticPr fontId="2" type="noConversion"/>
  </si>
  <si>
    <t>12/14 3750</t>
    <phoneticPr fontId="2" type="noConversion"/>
  </si>
  <si>
    <t>12/29 3750</t>
    <phoneticPr fontId="2" type="noConversion"/>
  </si>
  <si>
    <t>第34頁</t>
    <phoneticPr fontId="2" type="noConversion"/>
  </si>
  <si>
    <t>第34頁反面</t>
    <phoneticPr fontId="2" type="noConversion"/>
  </si>
  <si>
    <t>1/13 3750</t>
    <phoneticPr fontId="2" type="noConversion"/>
  </si>
  <si>
    <t>1/17 750</t>
    <phoneticPr fontId="2" type="noConversion"/>
  </si>
  <si>
    <t>第35頁</t>
    <phoneticPr fontId="2" type="noConversion"/>
  </si>
  <si>
    <t>11/4 750</t>
    <phoneticPr fontId="2" type="noConversion"/>
  </si>
  <si>
    <t>11/5 1310</t>
    <phoneticPr fontId="2" type="noConversion"/>
  </si>
  <si>
    <t>11/11 375</t>
    <phoneticPr fontId="2" type="noConversion"/>
  </si>
  <si>
    <t>11/13 375</t>
    <phoneticPr fontId="2" type="noConversion"/>
  </si>
  <si>
    <t>11/19 750</t>
    <phoneticPr fontId="2" type="noConversion"/>
  </si>
  <si>
    <t>11/20 1310</t>
    <phoneticPr fontId="2" type="noConversion"/>
  </si>
  <si>
    <t>11/26 375</t>
    <phoneticPr fontId="2" type="noConversion"/>
  </si>
  <si>
    <t>11/28 375</t>
    <phoneticPr fontId="2" type="noConversion"/>
  </si>
  <si>
    <t>11/30 560</t>
    <phoneticPr fontId="2" type="noConversion"/>
  </si>
  <si>
    <t xml:space="preserve">12/4 750 </t>
    <phoneticPr fontId="2" type="noConversion"/>
  </si>
  <si>
    <t>12/5 1310</t>
    <phoneticPr fontId="2" type="noConversion"/>
  </si>
  <si>
    <t>12/11 375</t>
    <phoneticPr fontId="2" type="noConversion"/>
  </si>
  <si>
    <t>12/13 375</t>
    <phoneticPr fontId="2" type="noConversion"/>
  </si>
  <si>
    <t>12/15 560</t>
    <phoneticPr fontId="2" type="noConversion"/>
  </si>
  <si>
    <t>12/26 375</t>
    <phoneticPr fontId="2" type="noConversion"/>
  </si>
  <si>
    <t>第35頁反面</t>
    <phoneticPr fontId="2" type="noConversion"/>
  </si>
  <si>
    <t>第36頁</t>
    <phoneticPr fontId="2" type="noConversion"/>
  </si>
  <si>
    <t>11/27 750</t>
    <phoneticPr fontId="2" type="noConversion"/>
  </si>
  <si>
    <t>11/30 3000</t>
    <phoneticPr fontId="2" type="noConversion"/>
  </si>
  <si>
    <t>1/11 750 1/11 2060</t>
    <phoneticPr fontId="2" type="noConversion"/>
  </si>
  <si>
    <t>1/14 3000</t>
    <phoneticPr fontId="2" type="noConversion"/>
  </si>
  <si>
    <t>1/16 185</t>
    <phoneticPr fontId="2" type="noConversion"/>
  </si>
  <si>
    <t>第36頁反面</t>
    <phoneticPr fontId="2" type="noConversion"/>
  </si>
  <si>
    <t>第37頁</t>
    <phoneticPr fontId="2" type="noConversion"/>
  </si>
  <si>
    <t>11/13 1125</t>
    <phoneticPr fontId="2" type="noConversion"/>
  </si>
  <si>
    <t>11/15 1875</t>
    <phoneticPr fontId="2" type="noConversion"/>
  </si>
  <si>
    <t>12/30 3000 1/1 185</t>
    <phoneticPr fontId="2" type="noConversion"/>
  </si>
  <si>
    <t>吳  春</t>
    <phoneticPr fontId="2" type="noConversion"/>
  </si>
  <si>
    <t>11/1 2625</t>
    <phoneticPr fontId="2" type="noConversion"/>
  </si>
  <si>
    <t>第38頁</t>
  </si>
  <si>
    <t>第38頁反面</t>
    <phoneticPr fontId="2" type="noConversion"/>
  </si>
  <si>
    <t>12/31 2625</t>
    <phoneticPr fontId="2" type="noConversion"/>
  </si>
  <si>
    <t>第39頁</t>
    <phoneticPr fontId="2" type="noConversion"/>
  </si>
  <si>
    <t xml:space="preserve">12/2 750 </t>
    <phoneticPr fontId="2" type="noConversion"/>
  </si>
  <si>
    <t>12/1 1875</t>
    <phoneticPr fontId="2" type="noConversion"/>
  </si>
  <si>
    <t xml:space="preserve">12/16 1875 </t>
    <phoneticPr fontId="2" type="noConversion"/>
  </si>
  <si>
    <t>12/17 750 12/31 1875</t>
  </si>
  <si>
    <t>1/1 750</t>
    <phoneticPr fontId="2" type="noConversion"/>
  </si>
  <si>
    <t>1/15 1875</t>
    <phoneticPr fontId="2" type="noConversion"/>
  </si>
  <si>
    <t>第39頁反面</t>
    <phoneticPr fontId="2" type="noConversion"/>
  </si>
  <si>
    <t>1/4 560 1/5 375 1/10 750 1/12 1685</t>
    <phoneticPr fontId="2" type="noConversion"/>
  </si>
  <si>
    <t>1/5 375</t>
    <phoneticPr fontId="2" type="noConversion"/>
  </si>
  <si>
    <t>1/2 2250 1/4 750 1/6 375 1/7 1125</t>
    <phoneticPr fontId="2" type="noConversion"/>
  </si>
  <si>
    <t>1/7 2625</t>
    <phoneticPr fontId="2" type="noConversion"/>
  </si>
  <si>
    <t>1/2 1125 1/3 375</t>
    <phoneticPr fontId="2" type="noConversion"/>
  </si>
  <si>
    <t>1/6 375</t>
    <phoneticPr fontId="2" type="noConversion"/>
  </si>
  <si>
    <t>1/7 1500</t>
    <phoneticPr fontId="2" type="noConversion"/>
  </si>
  <si>
    <t>1/7 1125 1/8 1500</t>
    <phoneticPr fontId="2" type="noConversion"/>
  </si>
  <si>
    <t>1/8 750 1/8(陳)750</t>
    <phoneticPr fontId="2" type="noConversion"/>
  </si>
  <si>
    <t>1/8 935</t>
    <phoneticPr fontId="2" type="noConversion"/>
  </si>
  <si>
    <t>1/6 375 1/7 750 1/8 1875</t>
    <phoneticPr fontId="2" type="noConversion"/>
  </si>
  <si>
    <t>1/8 1125</t>
    <phoneticPr fontId="2" type="noConversion"/>
  </si>
  <si>
    <t>1/8 1125 1/9 750</t>
    <phoneticPr fontId="2" type="noConversion"/>
  </si>
  <si>
    <t>1/7 4500 1/13 750</t>
    <phoneticPr fontId="2" type="noConversion"/>
  </si>
  <si>
    <t>1/7 1125</t>
    <phoneticPr fontId="2" type="noConversion"/>
  </si>
  <si>
    <t>1/11 375</t>
    <phoneticPr fontId="2" type="noConversion"/>
  </si>
  <si>
    <t>1/10 1125 1/11 1685 1/12 1500 1/13 1125</t>
    <phoneticPr fontId="2" type="noConversion"/>
  </si>
  <si>
    <t>1/8 375 1/10 375 1/12 375</t>
    <phoneticPr fontId="2" type="noConversion"/>
  </si>
  <si>
    <t>1/10 1125 1/11 375</t>
    <phoneticPr fontId="2" type="noConversion"/>
  </si>
  <si>
    <t>1/10 1125 1/13 750</t>
    <phoneticPr fontId="2" type="noConversion"/>
  </si>
  <si>
    <t>1/9 1500 1/11 560</t>
    <phoneticPr fontId="2" type="noConversion"/>
  </si>
  <si>
    <t>1/10 750 1/11 375</t>
    <phoneticPr fontId="2" type="noConversion"/>
  </si>
  <si>
    <t>1/13 375 1/13 375</t>
    <phoneticPr fontId="2" type="noConversion"/>
  </si>
  <si>
    <t>1/5 4125</t>
    <phoneticPr fontId="2" type="noConversion"/>
  </si>
  <si>
    <t>1/10 1875 1/13 1310</t>
    <phoneticPr fontId="2" type="noConversion"/>
  </si>
  <si>
    <t>1/13 935</t>
    <phoneticPr fontId="2" type="noConversion"/>
  </si>
  <si>
    <t>利息-許明智10利3/6-3/21</t>
  </si>
  <si>
    <t>利息-張義隆3利3/6-3/21</t>
  </si>
  <si>
    <t>利息-蘇培勇1分3-4</t>
  </si>
  <si>
    <t>利息-羅廣發1分-3</t>
  </si>
  <si>
    <t>利息潘寬龍</t>
  </si>
  <si>
    <t>利息-潘寬龍1分-6</t>
  </si>
  <si>
    <t>扣押物箱內編號19-3-3第8頁</t>
    <phoneticPr fontId="2" type="noConversion"/>
  </si>
  <si>
    <t>扣押物箱內編號19-3-3第9頁</t>
    <phoneticPr fontId="2" type="noConversion"/>
  </si>
  <si>
    <t>扣押物箱內編號19-3-3第10頁</t>
    <phoneticPr fontId="2" type="noConversion"/>
  </si>
  <si>
    <t>扣押物箱內編號19-3-3第12頁</t>
    <phoneticPr fontId="2" type="noConversion"/>
  </si>
  <si>
    <t>扣押物箱內編號19-3-3第14頁</t>
    <phoneticPr fontId="2" type="noConversion"/>
  </si>
  <si>
    <t>扣押物箱內編號19-3-3第15頁</t>
    <phoneticPr fontId="2" type="noConversion"/>
  </si>
  <si>
    <t>扣押物箱內編號19-3-3第16頁</t>
    <phoneticPr fontId="2" type="noConversion"/>
  </si>
  <si>
    <t>扣押物箱內編號19-3-3第17頁</t>
    <phoneticPr fontId="2" type="noConversion"/>
  </si>
  <si>
    <t>扣押物箱內編號19-3-3第18頁</t>
    <phoneticPr fontId="2" type="noConversion"/>
  </si>
  <si>
    <t>扣押物箱內編號19-3-3第19頁</t>
    <phoneticPr fontId="2" type="noConversion"/>
  </si>
  <si>
    <t>扣押物箱內編號19-3-3第20頁</t>
    <phoneticPr fontId="2" type="noConversion"/>
  </si>
  <si>
    <t>扣押物箱內編號19-3-3第21頁</t>
    <phoneticPr fontId="2" type="noConversion"/>
  </si>
  <si>
    <t>扣押物箱內編號19-3-3第22頁</t>
    <phoneticPr fontId="2" type="noConversion"/>
  </si>
  <si>
    <t>扣押物箱內編號19-3-3第23頁</t>
    <phoneticPr fontId="2" type="noConversion"/>
  </si>
  <si>
    <t>扣押物箱內編號19-3-3第24頁</t>
    <phoneticPr fontId="2" type="noConversion"/>
  </si>
  <si>
    <t>扣押物箱內編號19-3-3第25頁</t>
    <phoneticPr fontId="2" type="noConversion"/>
  </si>
  <si>
    <t>扣押物箱內編號19-3-3第26頁</t>
    <phoneticPr fontId="2" type="noConversion"/>
  </si>
  <si>
    <t>扣押物箱內編號19-3-3第27頁</t>
    <phoneticPr fontId="2" type="noConversion"/>
  </si>
  <si>
    <t>扣押物箱內編號19-3-3第28頁</t>
    <phoneticPr fontId="2" type="noConversion"/>
  </si>
  <si>
    <t>扣押物箱內編號19-3-3第30頁</t>
    <phoneticPr fontId="2" type="noConversion"/>
  </si>
  <si>
    <t>扣押物箱內編號19-3-3第31頁</t>
    <phoneticPr fontId="2" type="noConversion"/>
  </si>
  <si>
    <t>扣押物箱內編號19-3-3第32頁</t>
    <phoneticPr fontId="2" type="noConversion"/>
  </si>
  <si>
    <t>許民風</t>
    <phoneticPr fontId="2" type="noConversion"/>
  </si>
  <si>
    <t>「雙號」冊第1頁</t>
    <phoneticPr fontId="2" type="noConversion"/>
  </si>
  <si>
    <t>「雙號」冊第2頁</t>
    <phoneticPr fontId="2" type="noConversion"/>
  </si>
  <si>
    <t>「雙號」冊第3頁</t>
    <phoneticPr fontId="2" type="noConversion"/>
  </si>
  <si>
    <t>「雙號」冊第4頁</t>
    <phoneticPr fontId="2" type="noConversion"/>
  </si>
  <si>
    <t>「雙號」冊第5頁</t>
    <phoneticPr fontId="2" type="noConversion"/>
  </si>
  <si>
    <t>「雙號」冊第6頁</t>
    <phoneticPr fontId="2" type="noConversion"/>
  </si>
  <si>
    <t>「雙號」冊第7頁</t>
    <phoneticPr fontId="2" type="noConversion"/>
  </si>
  <si>
    <t>「雙號」冊第8頁</t>
    <phoneticPr fontId="2" type="noConversion"/>
  </si>
  <si>
    <t>「雙號」冊第9頁</t>
    <phoneticPr fontId="2" type="noConversion"/>
  </si>
  <si>
    <t>「雙號」冊第10頁</t>
    <phoneticPr fontId="2" type="noConversion"/>
  </si>
  <si>
    <t>「雙號」冊第11頁</t>
    <phoneticPr fontId="2" type="noConversion"/>
  </si>
  <si>
    <t>「雙號」冊第12頁</t>
    <phoneticPr fontId="2" type="noConversion"/>
  </si>
  <si>
    <t>「雙號」冊第13頁</t>
    <phoneticPr fontId="2" type="noConversion"/>
  </si>
  <si>
    <t>「雙號」冊第14頁</t>
    <phoneticPr fontId="2" type="noConversion"/>
  </si>
  <si>
    <t>「雙號」冊第15頁</t>
    <phoneticPr fontId="2" type="noConversion"/>
  </si>
  <si>
    <t>「雙號」冊第16頁</t>
    <phoneticPr fontId="2" type="noConversion"/>
  </si>
  <si>
    <t>「雙號」冊第17頁</t>
    <phoneticPr fontId="2" type="noConversion"/>
  </si>
  <si>
    <t>「雙號」冊第18頁</t>
    <phoneticPr fontId="2" type="noConversion"/>
  </si>
  <si>
    <t>「雙號」冊第19頁</t>
    <phoneticPr fontId="2" type="noConversion"/>
  </si>
  <si>
    <t>「雙號」冊第20頁</t>
    <phoneticPr fontId="2" type="noConversion"/>
  </si>
  <si>
    <t>「雙號」冊第21頁</t>
    <phoneticPr fontId="2" type="noConversion"/>
  </si>
  <si>
    <t>「雙號」冊第22頁</t>
    <phoneticPr fontId="2" type="noConversion"/>
  </si>
  <si>
    <t>「雙號」冊第23頁</t>
    <phoneticPr fontId="2" type="noConversion"/>
  </si>
  <si>
    <t>「雙號」冊第24頁</t>
    <phoneticPr fontId="2" type="noConversion"/>
  </si>
  <si>
    <t>「雙號」冊第25頁</t>
    <phoneticPr fontId="2" type="noConversion"/>
  </si>
  <si>
    <t>「雙號」冊第26頁</t>
    <phoneticPr fontId="2" type="noConversion"/>
  </si>
  <si>
    <t>編號</t>
    <phoneticPr fontId="2" type="noConversion"/>
  </si>
  <si>
    <t>元崗當鋪合計（註2）</t>
    <phoneticPr fontId="2" type="noConversion"/>
  </si>
  <si>
    <t>上開編號1-6之當鋪合計</t>
    <phoneticPr fontId="2" type="noConversion"/>
  </si>
  <si>
    <t>上開編號1-7之當鋪合計</t>
    <phoneticPr fontId="2" type="noConversion"/>
  </si>
  <si>
    <t>利息-陳慕棣3利2/20-3/5</t>
  </si>
  <si>
    <t>分期利息-陳慕棣</t>
  </si>
  <si>
    <t>分期利息-陳慕棣1分-1</t>
  </si>
  <si>
    <t>利息-楊文鐘</t>
  </si>
  <si>
    <t>利息-楊文鐘10利2/20-3/5</t>
  </si>
  <si>
    <t>利息-黃超淵</t>
  </si>
  <si>
    <t>利息-黃超淵0.5分-2</t>
  </si>
  <si>
    <t>分期利息-潘寬龍1分-4</t>
  </si>
  <si>
    <t>利息-李可立2利 2/21-3/6</t>
  </si>
  <si>
    <t>利息-宮世寶</t>
  </si>
  <si>
    <t>利息-宮世寶2分-2</t>
  </si>
  <si>
    <t>利息-湯家銘</t>
  </si>
  <si>
    <t>利息-湯家銘2.5利2/21-3/6</t>
  </si>
  <si>
    <t>利息-王蔡傳</t>
  </si>
  <si>
    <t>利息-王蔡傳10利2/17-2/22</t>
  </si>
  <si>
    <t>利息-王廉戰</t>
  </si>
  <si>
    <t>利息-王廉戰1分6-10</t>
  </si>
  <si>
    <t>利息-王廉戰1.5分-1</t>
  </si>
  <si>
    <t>利息-江勝松</t>
  </si>
  <si>
    <t>利息-江勝松1分-3</t>
  </si>
  <si>
    <t>利息-羅廣發</t>
  </si>
  <si>
    <t>利息-羅廣發1分-1</t>
  </si>
  <si>
    <t>利息-蔡文林</t>
  </si>
  <si>
    <t>利息-蔡文林1.5利2/22-3/7</t>
  </si>
  <si>
    <t>利息-吳志忠</t>
  </si>
  <si>
    <t>利息-吳志忠2分-1</t>
  </si>
  <si>
    <t>利息-丁一鳴</t>
  </si>
  <si>
    <t>利息-丁一鳴1分-2</t>
  </si>
  <si>
    <t>利息-司守義</t>
  </si>
  <si>
    <t>利息-司守義20利2/23-3/8</t>
  </si>
  <si>
    <t>利息-朱進龍</t>
  </si>
  <si>
    <t>利息-朱進龍1分-4</t>
  </si>
  <si>
    <t>分期利息-黃超淵</t>
  </si>
  <si>
    <t>分期利息-黃超淵1分-1</t>
  </si>
  <si>
    <t>利息-朱家欣</t>
  </si>
  <si>
    <t>利息-朱家欣22利2/23-3/8</t>
  </si>
  <si>
    <t>利息-潘元吉</t>
  </si>
  <si>
    <t>利息-潘元吉2利2/23-3/8</t>
  </si>
  <si>
    <t>利息-李可立1分-6</t>
  </si>
  <si>
    <t>利息-李可立2分-4</t>
  </si>
  <si>
    <t>利息-鄭宇軒</t>
  </si>
  <si>
    <t>利息-鄭宇軒0.4利2/6-2/22</t>
  </si>
  <si>
    <t>利息-林靝</t>
  </si>
  <si>
    <t>利息-林靝0.3利2/9-2/22</t>
  </si>
  <si>
    <t>利息-徐潤祥</t>
  </si>
  <si>
    <t>利息-徐潤祥0.5分-1</t>
  </si>
  <si>
    <t>利息-陳新元</t>
  </si>
  <si>
    <t>利息-陳新元2利2/24-3/9</t>
  </si>
  <si>
    <t>利息-何秋輝1分-4</t>
  </si>
  <si>
    <t>利息-張志清1.5分-1</t>
  </si>
  <si>
    <t>利息-張義隆</t>
  </si>
  <si>
    <t>利息-張義隆1分-3</t>
  </si>
  <si>
    <t>利息-蘇培勇</t>
  </si>
  <si>
    <t>利息-蘇培勇1分-1</t>
  </si>
  <si>
    <t>利息-張春輝</t>
  </si>
  <si>
    <t>利息-張春輝1分-6</t>
  </si>
  <si>
    <t>利息-華棟彬</t>
  </si>
  <si>
    <t>利息-華棟1分-2</t>
  </si>
  <si>
    <t>利息-郭明富</t>
  </si>
  <si>
    <t>利息-郭明富3利/25-3/10</t>
  </si>
  <si>
    <t>利息-劉志鵬13利2/23-3/8</t>
  </si>
  <si>
    <t>利息-吳志忠3利2/14-2/29 2/29-3/14</t>
  </si>
  <si>
    <t>利息-吳志忠3利2/15-2/29 2/29-3/15</t>
  </si>
  <si>
    <t>利息-吳志忠5利2/7-2/22  2/22-3/7</t>
  </si>
  <si>
    <t>利息-吳志忠4利2/14-2/29 2/29-3/14</t>
  </si>
  <si>
    <t>利息-華棟彬5利2/16-3/1</t>
  </si>
  <si>
    <t>利息-華棟彬2利2/15-2/29 2/29-3/15</t>
  </si>
  <si>
    <t>利息-華棟彬12利2/8-2/23 2/23-3/8</t>
  </si>
  <si>
    <t>利息-華棟彬2利2/10-2/25 2/25-3/10</t>
  </si>
  <si>
    <t>利息-華棟彬1利2/14-2/29 2/29-3/14</t>
  </si>
  <si>
    <t>註6：</t>
  </si>
  <si>
    <t>吳偉德</t>
    <phoneticPr fontId="7" type="noConversion"/>
  </si>
  <si>
    <t>利息-郭明富</t>
    <phoneticPr fontId="2" type="noConversion"/>
  </si>
  <si>
    <t>利息收入-王蔡傳</t>
    <phoneticPr fontId="2" type="noConversion"/>
  </si>
  <si>
    <t>分期利息收入-李鴻彬</t>
    <phoneticPr fontId="2" type="noConversion"/>
  </si>
  <si>
    <t>1/14 560 1/16 375 1/18 375</t>
    <phoneticPr fontId="2" type="noConversion"/>
  </si>
  <si>
    <t>1/11 2250 1/15 375</t>
    <phoneticPr fontId="2" type="noConversion"/>
  </si>
  <si>
    <t>1/16 375 1/17 4125</t>
    <phoneticPr fontId="2" type="noConversion"/>
  </si>
  <si>
    <t>1/20 375</t>
    <phoneticPr fontId="2" type="noConversion"/>
  </si>
  <si>
    <t>1/18 2625 1/19 375</t>
    <phoneticPr fontId="2" type="noConversion"/>
  </si>
  <si>
    <t>1/18 750 1/19 1310</t>
    <phoneticPr fontId="2" type="noConversion"/>
  </si>
  <si>
    <t>1/16 1125 1/22 750</t>
    <phoneticPr fontId="2" type="noConversion"/>
  </si>
  <si>
    <t>1/17 1125 1/18 375</t>
    <phoneticPr fontId="2" type="noConversion"/>
  </si>
  <si>
    <t>1/18 1125 1/20 185</t>
    <phoneticPr fontId="2" type="noConversion"/>
  </si>
  <si>
    <t>1/18 1875 1/19 560</t>
    <phoneticPr fontId="2" type="noConversion"/>
  </si>
  <si>
    <t>1/14 1500 1/21 375 1/22 750</t>
    <phoneticPr fontId="2" type="noConversion"/>
  </si>
  <si>
    <t>1/16 935</t>
    <phoneticPr fontId="2" type="noConversion"/>
  </si>
  <si>
    <t>1/17 750 1/19 375</t>
    <phoneticPr fontId="2" type="noConversion"/>
  </si>
  <si>
    <t>1/19 375 1/22 4500</t>
    <phoneticPr fontId="2" type="noConversion"/>
  </si>
  <si>
    <t>1/22 2625</t>
    <phoneticPr fontId="2" type="noConversion"/>
  </si>
  <si>
    <t>1/21 375</t>
    <phoneticPr fontId="2" type="noConversion"/>
  </si>
  <si>
    <t>1/22 1500</t>
    <phoneticPr fontId="2" type="noConversion"/>
  </si>
  <si>
    <t>1/22 2250 1/22 185</t>
    <phoneticPr fontId="2" type="noConversion"/>
  </si>
  <si>
    <t>1/9(3分)1350</t>
    <phoneticPr fontId="2" type="noConversion"/>
  </si>
  <si>
    <t>11/23 1125 11/24 1500 11/26 375</t>
    <phoneticPr fontId="2" type="noConversion"/>
  </si>
  <si>
    <t>12/16 375</t>
    <phoneticPr fontId="2" type="noConversion"/>
  </si>
  <si>
    <t>11/1 375 11/2 2250 11/7 375 11/10 560 11/15 2435</t>
    <phoneticPr fontId="2" type="noConversion"/>
  </si>
  <si>
    <t>利息金額</t>
    <phoneticPr fontId="2" type="noConversion"/>
  </si>
  <si>
    <t>助</t>
    <phoneticPr fontId="2" type="noConversion"/>
  </si>
  <si>
    <t>1/2 2440</t>
    <phoneticPr fontId="2" type="noConversion"/>
  </si>
  <si>
    <t>1/8*750 1/17*2440</t>
    <phoneticPr fontId="2" type="noConversion"/>
  </si>
  <si>
    <t>承</t>
    <phoneticPr fontId="2" type="noConversion"/>
  </si>
  <si>
    <t>101 1/24*11625</t>
    <phoneticPr fontId="2" type="noConversion"/>
  </si>
  <si>
    <t>昇昌</t>
    <phoneticPr fontId="2" type="noConversion"/>
  </si>
  <si>
    <t>1/2*2250</t>
    <phoneticPr fontId="2" type="noConversion"/>
  </si>
  <si>
    <t>治富</t>
    <phoneticPr fontId="2" type="noConversion"/>
  </si>
  <si>
    <t>1/2*1125 1/7*375 1/10*375 1/11*190</t>
    <phoneticPr fontId="2" type="noConversion"/>
  </si>
  <si>
    <t>1/3*190</t>
    <phoneticPr fontId="2" type="noConversion"/>
  </si>
  <si>
    <t>1/15*190 1/17*1125 1/18*190 1/22*375 1/26*190 1/25*375</t>
    <phoneticPr fontId="2" type="noConversion"/>
  </si>
  <si>
    <t>柱</t>
    <phoneticPr fontId="2" type="noConversion"/>
  </si>
  <si>
    <t>1/1*190</t>
    <phoneticPr fontId="2" type="noConversion"/>
  </si>
  <si>
    <r>
      <t>A15卷</t>
    </r>
    <r>
      <rPr>
        <sz val="12"/>
        <color theme="1"/>
        <rFont val="新細明體"/>
        <family val="1"/>
        <charset val="136"/>
        <scheme val="minor"/>
      </rPr>
      <t>第</t>
    </r>
    <r>
      <rPr>
        <sz val="12"/>
        <color indexed="8"/>
        <rFont val="新細明體"/>
        <family val="1"/>
        <charset val="136"/>
      </rPr>
      <t>1459-1468頁、</t>
    </r>
    <r>
      <rPr>
        <sz val="12"/>
        <color theme="1"/>
        <rFont val="新細明體"/>
        <family val="1"/>
        <charset val="136"/>
        <scheme val="minor"/>
      </rPr>
      <t>第1469-1472頁</t>
    </r>
    <phoneticPr fontId="2" type="noConversion"/>
  </si>
  <si>
    <t>A19 卷第2383-2401頁</t>
    <phoneticPr fontId="2" type="noConversion"/>
  </si>
  <si>
    <t>被害人
姓名</t>
    <phoneticPr fontId="2" type="noConversion"/>
  </si>
  <si>
    <t>劉遠輝</t>
    <phoneticPr fontId="2" type="noConversion"/>
  </si>
  <si>
    <t>96年間起</t>
    <phoneticPr fontId="2" type="noConversion"/>
  </si>
  <si>
    <t>9%、7.5％</t>
    <phoneticPr fontId="2" type="noConversion"/>
  </si>
  <si>
    <t>4%、2.5%</t>
    <phoneticPr fontId="2" type="noConversion"/>
  </si>
  <si>
    <t>張耀童</t>
    <phoneticPr fontId="2" type="noConversion"/>
  </si>
  <si>
    <r>
      <t>96年間起至</t>
    </r>
    <r>
      <rPr>
        <sz val="12"/>
        <color theme="1"/>
        <rFont val="新細明體"/>
        <family val="1"/>
        <charset val="136"/>
        <scheme val="minor"/>
      </rPr>
      <t>100年10月6日</t>
    </r>
    <phoneticPr fontId="2" type="noConversion"/>
  </si>
  <si>
    <t>10幾萬元</t>
  </si>
  <si>
    <t>張志惠</t>
    <phoneticPr fontId="2" type="noConversion"/>
  </si>
  <si>
    <t>94、95年間至102年1月23日</t>
    <phoneticPr fontId="2" type="noConversion"/>
  </si>
  <si>
    <t>97、98年間至102年1月23日</t>
    <phoneticPr fontId="2" type="noConversion"/>
  </si>
  <si>
    <t>99年3月24日至100年9月12日</t>
    <phoneticPr fontId="2" type="noConversion"/>
  </si>
  <si>
    <t>99年8月11日至100年12月</t>
    <phoneticPr fontId="2" type="noConversion"/>
  </si>
  <si>
    <t>96年3月6日至99年12月30日</t>
    <phoneticPr fontId="2" type="noConversion"/>
  </si>
  <si>
    <t>100年5月5日至102年2月23日</t>
    <phoneticPr fontId="2" type="noConversion"/>
  </si>
  <si>
    <r>
      <t>99年底至100年</t>
    </r>
    <r>
      <rPr>
        <sz val="12"/>
        <color theme="1"/>
        <rFont val="新細明體"/>
        <family val="1"/>
        <charset val="136"/>
        <scheme val="minor"/>
      </rPr>
      <t>2月底</t>
    </r>
    <phoneticPr fontId="2" type="noConversion"/>
  </si>
  <si>
    <t>100年2月起至102年2月28日</t>
    <phoneticPr fontId="2" type="noConversion"/>
  </si>
  <si>
    <t>4%、2.5%</t>
    <phoneticPr fontId="2" type="noConversion"/>
  </si>
  <si>
    <t>101年3、4月間</t>
    <phoneticPr fontId="2" type="noConversion"/>
  </si>
  <si>
    <t>瑞誠當鋪</t>
    <phoneticPr fontId="2" type="noConversion"/>
  </si>
  <si>
    <t>瑞誠當鋪 合計</t>
    <phoneticPr fontId="2" type="noConversion"/>
  </si>
  <si>
    <t>A6</t>
    <phoneticPr fontId="2" type="noConversion"/>
  </si>
  <si>
    <t>100年1月起至102年2月初</t>
    <phoneticPr fontId="2" type="noConversion"/>
  </si>
  <si>
    <t>陳和平</t>
    <phoneticPr fontId="2" type="noConversion"/>
  </si>
  <si>
    <r>
      <t>9</t>
    </r>
    <r>
      <rPr>
        <sz val="12"/>
        <color theme="1"/>
        <rFont val="新細明體"/>
        <family val="1"/>
        <charset val="136"/>
        <scheme val="minor"/>
      </rPr>
      <t>8、99年間至100 年10月</t>
    </r>
    <phoneticPr fontId="2" type="noConversion"/>
  </si>
  <si>
    <t>99年3月25日起</t>
    <phoneticPr fontId="2" type="noConversion"/>
  </si>
  <si>
    <r>
      <t>99年7月</t>
    </r>
    <r>
      <rPr>
        <sz val="12"/>
        <color theme="1"/>
        <rFont val="新細明體"/>
        <family val="1"/>
        <charset val="136"/>
        <scheme val="minor"/>
      </rPr>
      <t>21日起</t>
    </r>
    <phoneticPr fontId="2" type="noConversion"/>
  </si>
  <si>
    <t>A15卷第1210-1213頁、第1219-1221頁</t>
  </si>
  <si>
    <t>張木炎</t>
    <phoneticPr fontId="2" type="noConversion"/>
  </si>
  <si>
    <r>
      <t>9</t>
    </r>
    <r>
      <rPr>
        <sz val="12"/>
        <color theme="1"/>
        <rFont val="新細明體"/>
        <family val="1"/>
        <charset val="136"/>
        <scheme val="minor"/>
      </rPr>
      <t>9年4月13日至100年9月</t>
    </r>
    <phoneticPr fontId="2" type="noConversion"/>
  </si>
  <si>
    <t>100年7月起至101 年12月21日</t>
    <phoneticPr fontId="2" type="noConversion"/>
  </si>
  <si>
    <r>
      <t>A</t>
    </r>
    <r>
      <rPr>
        <sz val="12"/>
        <color theme="1"/>
        <rFont val="新細明體"/>
        <family val="1"/>
        <charset val="136"/>
        <scheme val="minor"/>
      </rPr>
      <t>4</t>
    </r>
    <phoneticPr fontId="2" type="noConversion"/>
  </si>
  <si>
    <t>A4</t>
    <phoneticPr fontId="2" type="noConversion"/>
  </si>
  <si>
    <t>B6卷第623-664頁、第665-669之1頁</t>
    <phoneticPr fontId="2" type="noConversion"/>
  </si>
  <si>
    <r>
      <t>9</t>
    </r>
    <r>
      <rPr>
        <sz val="12"/>
        <color theme="1"/>
        <rFont val="新細明體"/>
        <family val="1"/>
        <charset val="136"/>
        <scheme val="minor"/>
      </rPr>
      <t>9年12月28日至100年9月</t>
    </r>
    <phoneticPr fontId="2" type="noConversion"/>
  </si>
  <si>
    <t>100年10月6日至102年1月10日</t>
    <phoneticPr fontId="2" type="noConversion"/>
  </si>
  <si>
    <t>吳聰勝</t>
    <phoneticPr fontId="2" type="noConversion"/>
  </si>
  <si>
    <t>99年12月23日至100年5月初</t>
    <phoneticPr fontId="2" type="noConversion"/>
  </si>
  <si>
    <r>
      <t>A3卷第78-82頁、</t>
    </r>
    <r>
      <rPr>
        <sz val="12"/>
        <color theme="1"/>
        <rFont val="新細明體"/>
        <family val="1"/>
        <charset val="136"/>
        <scheme val="minor"/>
      </rPr>
      <t>A32</t>
    </r>
    <r>
      <rPr>
        <sz val="12"/>
        <color indexed="8"/>
        <rFont val="新細明體"/>
        <family val="1"/>
        <charset val="136"/>
      </rPr>
      <t>卷第</t>
    </r>
    <r>
      <rPr>
        <sz val="12"/>
        <color theme="1"/>
        <rFont val="新細明體"/>
        <family val="1"/>
        <charset val="136"/>
        <scheme val="minor"/>
      </rPr>
      <t>10-13</t>
    </r>
    <r>
      <rPr>
        <sz val="12"/>
        <color indexed="8"/>
        <rFont val="新細明體"/>
        <family val="1"/>
        <charset val="136"/>
      </rPr>
      <t>頁</t>
    </r>
    <phoneticPr fontId="2" type="noConversion"/>
  </si>
  <si>
    <t>許進昌</t>
    <phoneticPr fontId="2" type="noConversion"/>
  </si>
  <si>
    <r>
      <t>A3 卷第</t>
    </r>
    <r>
      <rPr>
        <sz val="12"/>
        <color theme="1"/>
        <rFont val="新細明體"/>
        <family val="1"/>
        <charset val="136"/>
        <scheme val="minor"/>
      </rPr>
      <t>83-87</t>
    </r>
    <r>
      <rPr>
        <sz val="12"/>
        <color indexed="8"/>
        <rFont val="新細明體"/>
        <family val="1"/>
        <charset val="136"/>
      </rPr>
      <t>頁、</t>
    </r>
    <r>
      <rPr>
        <sz val="12"/>
        <color theme="1"/>
        <rFont val="新細明體"/>
        <family val="1"/>
        <charset val="136"/>
        <scheme val="minor"/>
      </rPr>
      <t xml:space="preserve">A16 </t>
    </r>
    <r>
      <rPr>
        <sz val="12"/>
        <color indexed="8"/>
        <rFont val="新細明體"/>
        <family val="1"/>
        <charset val="136"/>
      </rPr>
      <t>卷第</t>
    </r>
    <r>
      <rPr>
        <sz val="12"/>
        <color theme="1"/>
        <rFont val="新細明體"/>
        <family val="1"/>
        <charset val="136"/>
        <scheme val="minor"/>
      </rPr>
      <t>1809-1810</t>
    </r>
    <r>
      <rPr>
        <sz val="12"/>
        <color indexed="8"/>
        <rFont val="新細明體"/>
        <family val="1"/>
        <charset val="136"/>
      </rPr>
      <t>頁</t>
    </r>
    <phoneticPr fontId="2" type="noConversion"/>
  </si>
  <si>
    <t>胡寶德</t>
    <phoneticPr fontId="2" type="noConversion"/>
  </si>
  <si>
    <t>陳志雄</t>
    <phoneticPr fontId="2" type="noConversion"/>
  </si>
  <si>
    <t>陳孟元</t>
    <phoneticPr fontId="2" type="noConversion"/>
  </si>
  <si>
    <r>
      <t>A3卷</t>
    </r>
    <r>
      <rPr>
        <sz val="12"/>
        <color theme="1"/>
        <rFont val="新細明體"/>
        <family val="1"/>
        <charset val="136"/>
        <scheme val="minor"/>
      </rPr>
      <t>第110-112頁、A18卷第2129-2130頁</t>
    </r>
    <phoneticPr fontId="2" type="noConversion"/>
  </si>
  <si>
    <r>
      <t>A3卷第</t>
    </r>
    <r>
      <rPr>
        <sz val="12"/>
        <color theme="1"/>
        <rFont val="新細明體"/>
        <family val="1"/>
        <charset val="136"/>
        <scheme val="minor"/>
      </rPr>
      <t>92-94</t>
    </r>
    <r>
      <rPr>
        <sz val="12"/>
        <color indexed="8"/>
        <rFont val="新細明體"/>
        <family val="1"/>
        <charset val="136"/>
      </rPr>
      <t>頁、</t>
    </r>
    <r>
      <rPr>
        <sz val="12"/>
        <color theme="1"/>
        <rFont val="新細明體"/>
        <family val="1"/>
        <charset val="136"/>
        <scheme val="minor"/>
      </rPr>
      <t xml:space="preserve">A17 </t>
    </r>
    <r>
      <rPr>
        <sz val="12"/>
        <color indexed="8"/>
        <rFont val="新細明體"/>
        <family val="1"/>
        <charset val="136"/>
      </rPr>
      <t>卷第</t>
    </r>
    <r>
      <rPr>
        <sz val="12"/>
        <color theme="1"/>
        <rFont val="新細明體"/>
        <family val="1"/>
        <charset val="136"/>
        <scheme val="minor"/>
      </rPr>
      <t>2040-2043</t>
    </r>
    <r>
      <rPr>
        <sz val="12"/>
        <color indexed="8"/>
        <rFont val="新細明體"/>
        <family val="1"/>
        <charset val="136"/>
      </rPr>
      <t>頁</t>
    </r>
    <phoneticPr fontId="2" type="noConversion"/>
  </si>
  <si>
    <r>
      <t>A3卷第117-125 頁、</t>
    </r>
    <r>
      <rPr>
        <sz val="12"/>
        <color theme="1"/>
        <rFont val="新細明體"/>
        <family val="1"/>
        <charset val="136"/>
        <scheme val="minor"/>
      </rPr>
      <t xml:space="preserve">A17 </t>
    </r>
    <r>
      <rPr>
        <sz val="12"/>
        <color indexed="8"/>
        <rFont val="新細明體"/>
        <family val="1"/>
        <charset val="136"/>
      </rPr>
      <t>卷第</t>
    </r>
    <r>
      <rPr>
        <sz val="12"/>
        <color theme="1"/>
        <rFont val="新細明體"/>
        <family val="1"/>
        <charset val="136"/>
        <scheme val="minor"/>
      </rPr>
      <t xml:space="preserve">2063-2064 </t>
    </r>
    <r>
      <rPr>
        <sz val="12"/>
        <color indexed="8"/>
        <rFont val="新細明體"/>
        <family val="1"/>
        <charset val="136"/>
      </rPr>
      <t>頁</t>
    </r>
    <phoneticPr fontId="2" type="noConversion"/>
  </si>
  <si>
    <t>100年4月起至101年9月15日</t>
    <phoneticPr fontId="2" type="noConversion"/>
  </si>
  <si>
    <t>A9</t>
    <phoneticPr fontId="2" type="noConversion"/>
  </si>
  <si>
    <t>A10</t>
    <phoneticPr fontId="2" type="noConversion"/>
  </si>
  <si>
    <t>100年間</t>
    <phoneticPr fontId="2" type="noConversion"/>
  </si>
  <si>
    <t>101年間</t>
    <phoneticPr fontId="2" type="noConversion"/>
  </si>
  <si>
    <t>按被告許達逸102年4月20日偵訊時供述（A20卷第2808-2811頁）所示，並依102 年刑保管1053號扣押物品清單編號1 「帳冊」【即扣押物箱內編號8-1（灰色資料夾），係起訴書非供述證據編號6】所示之帳冊資料，據以計算出元一當鋪已收取之利息金額。</t>
    <phoneticPr fontId="2" type="noConversion"/>
  </si>
  <si>
    <r>
      <t>資料來源為102 刑保管1061號扣押物品清單編號16「日報表」【即扣押物箱內編號11，係起訴書非供述證據編號11】。起訴書附表五</t>
    </r>
    <r>
      <rPr>
        <sz val="12"/>
        <color theme="1"/>
        <rFont val="新細明體"/>
        <family val="1"/>
        <charset val="136"/>
        <scheme val="minor"/>
      </rPr>
      <t>-5</t>
    </r>
    <r>
      <rPr>
        <sz val="12"/>
        <color indexed="8"/>
        <rFont val="新細明體"/>
        <family val="1"/>
        <charset val="136"/>
      </rPr>
      <t>誤載處，已修正如上開附表各欄位所示。</t>
    </r>
    <phoneticPr fontId="2" type="noConversion"/>
  </si>
  <si>
    <t>按被告林虹妏、蕭睿軒供述（A20卷第2603頁、A16卷第1562頁）內容所示，元崗當鋪借款之利息係每借款1萬元每月需繳交750元（月利率為7.5％，即750元/10,000元），其中利息250元、倉棧費500元，亦即依上開扣案物記載期間為101年7月至102年1月22日所收取之利息金額2,620,170元，其中包含每借款1萬元合法收取之利息每月250元及非法收取之倉棧費500元，因此此部分犯罪所得金額應限於每1萬元借款非法收取之倉棧費500元，而不包含得合法收取之月息250元，其計算式為：2,620,170元*[500/(500+250)] =1,746,780元。</t>
    <phoneticPr fontId="2" type="noConversion"/>
  </si>
  <si>
    <t>按被告林碧慧、黃詩文供述（A12卷第257頁反面、259頁、261頁反面、272頁、280頁、296頁）內容所示，元喆當鋪借款之利息係每借款1萬元每月需繳交750元（月利率為7.5％，即750元/10,000元），其中利息250元、倉棧費500元，亦即依上開扣案物記載期間為101年11月至102年1月22日所收取之利息金額1,094,395元，其中包含每借款1萬元得合法收取之利息250元及非法收取之倉棧費500元，因此此部分犯罪所得金額應限於每1萬元借款非法收取之倉棧費500元，而不包含得合法收取之月息250元，其計算式為：1,094,395元*[500/ (500+250)] =729,597元。</t>
    <phoneticPr fontId="2" type="noConversion"/>
  </si>
  <si>
    <t>按被告許達逸、黃瑞桐供述（A3卷第138頁反面、A12卷第413頁、A20卷第2809頁、A3卷第134頁反面）內容所示，元一當鋪向借款司機所收之利息皆為月息2.5%加上倉棧費5%（月利率為7.5％，即2.5％加上5％），且元一當鋪借款沒有分期清償方式，亦即依上開扣案物記載期間102年1月1日至102年1月22日所收取之利息金額47,095元，其中包含得合法收取之月息2.5%及非法收取之倉棧費5%，因此此部分犯罪所得金額應限於非法收取之倉棧費5%，而不包含得合法收取之月息2.5%，其計算式為：47,095元*[5%/(5%+2.5%)]=31,397元。</t>
    <phoneticPr fontId="2" type="noConversion"/>
  </si>
  <si>
    <t>利息-華棟彬1利2/19-2/25</t>
  </si>
  <si>
    <t>利息-華棟彬5利2/23-3/8</t>
  </si>
  <si>
    <t>利息-華棟彬1.5利2/24-3/9</t>
  </si>
  <si>
    <t>利息-張義雄</t>
  </si>
  <si>
    <t>利息-張義雄3利2/19-3/4</t>
  </si>
  <si>
    <t>利息-張義雄2利2/17-3/2</t>
  </si>
  <si>
    <t>利息-張義雄1利2/25-3/10</t>
  </si>
  <si>
    <t>利息-張義雄1利2/26-3/11</t>
  </si>
  <si>
    <t>利息-張義雄2利2/29-3/14</t>
  </si>
  <si>
    <t>利息-張義雄2利2/29-3/15</t>
  </si>
  <si>
    <t>利息-張義雄1利2/24-3/9</t>
  </si>
  <si>
    <t>利息-李可立2利2/25-3/10</t>
  </si>
  <si>
    <t>利息-劉能營</t>
  </si>
  <si>
    <t>利息-劉能營2利2/28-3/13</t>
  </si>
  <si>
    <t>利息-陳慕棣1分-2</t>
  </si>
  <si>
    <t>利息-李盈倩</t>
  </si>
  <si>
    <t>利息-李盈倩(電腦屬回)</t>
  </si>
  <si>
    <t>利息-黃明建</t>
  </si>
  <si>
    <t>利息-黃明建3利</t>
  </si>
  <si>
    <t>利息-張淑如</t>
  </si>
  <si>
    <t>利息-張淑如2/25-3/25</t>
  </si>
  <si>
    <t>利息-張淑如2分-1</t>
  </si>
  <si>
    <t>利息-范國敏2利2/25-3/10</t>
  </si>
  <si>
    <t>利息-蔡文林1利/27-3/12</t>
  </si>
  <si>
    <t>利息-蔡文林2分-1</t>
  </si>
  <si>
    <t>利息-張義隆2分-2</t>
  </si>
  <si>
    <t>利息-劉志鵬1分-2</t>
  </si>
  <si>
    <t>利息-張義隆1剁/27-3/12</t>
  </si>
  <si>
    <t>利息-潘寬龍</t>
  </si>
  <si>
    <t>利息-潘寬龍2分-1</t>
  </si>
  <si>
    <t>利息-潘寬龍1分-5</t>
  </si>
  <si>
    <t>利息-張志清2利2/27-3/12</t>
  </si>
  <si>
    <t>利息-張志清1利2/27-3/12</t>
  </si>
  <si>
    <t>利息-蔡文林2利2/27-3/12</t>
  </si>
  <si>
    <t>利息-楊文鐘3分-1</t>
  </si>
  <si>
    <t>利息-林子覺</t>
  </si>
  <si>
    <t>利息-林子覺2利2/27-3/12</t>
  </si>
  <si>
    <t>利息-林子覺2利2/29-3/15</t>
  </si>
  <si>
    <t>利息-林子覺2利3/12-3/27</t>
  </si>
  <si>
    <t>利息-王天佑1分-2</t>
  </si>
  <si>
    <t>利息-華棟彬1分3-10</t>
  </si>
  <si>
    <t>利息-蘇培勇1利2/27-3/12</t>
  </si>
  <si>
    <t>利息-潘元吉2分-2</t>
  </si>
  <si>
    <t>利息-張維煌</t>
  </si>
  <si>
    <t>利息-張維煌3利2/27-3/12</t>
  </si>
  <si>
    <t>利息-潘泰龍</t>
  </si>
  <si>
    <t>利息-潘泰龍11利2/27-3/12</t>
  </si>
  <si>
    <t>利息-陳慕棣2利2/28-3/13</t>
  </si>
  <si>
    <t>利息-黃超淵0.5分-3</t>
  </si>
  <si>
    <t>利息-蔡文林1利2/28-3/13</t>
  </si>
  <si>
    <t>利息-卓佳慶</t>
  </si>
  <si>
    <t>利息-卓佳慶2分-1</t>
  </si>
  <si>
    <t>利息-張義隆1利2/28-3/13</t>
  </si>
  <si>
    <t>利息-宮世寶2分-3</t>
  </si>
  <si>
    <t>利息-羅廣發1分-2</t>
  </si>
  <si>
    <t>利息-莊屘1分2/27-3/5</t>
  </si>
  <si>
    <t>利息-江勝松1分-4</t>
  </si>
  <si>
    <t>利息-劉能營1利2/29-3/15</t>
  </si>
  <si>
    <t>利息-朱進龍1分2/28-3/6</t>
  </si>
  <si>
    <t>利息-蔡文林2利2/29-3/15</t>
  </si>
  <si>
    <t>利息-吳志忠2分-2</t>
  </si>
  <si>
    <t>利息-劉志鵬2利2/29-3/15</t>
  </si>
  <si>
    <t>利息-鄭釧志</t>
  </si>
  <si>
    <t>利息-鄭釧志3分-1</t>
  </si>
  <si>
    <t>利息-鄭釧志2利2/29-3/15</t>
  </si>
  <si>
    <t>利息-吳志忠14利2/7-2/22 2/22-3/7</t>
  </si>
  <si>
    <t>利息-李可立14.8利2/8-2/23 2/23-3/8</t>
  </si>
  <si>
    <t>利息-姚文龍</t>
  </si>
  <si>
    <t>利息-姚文龍29.5利2/8-2/23 2/23-3/8</t>
  </si>
  <si>
    <t>利息-張維煌37.2利2/7-2/22 2/22-3/8</t>
  </si>
  <si>
    <t>利息-林瑞家</t>
  </si>
  <si>
    <t>利息-林瑞家4利2/29-3/14</t>
  </si>
  <si>
    <t>利息-丁一鳴1分-3</t>
  </si>
  <si>
    <t>利息-蔡文林2利/29-3/14</t>
  </si>
  <si>
    <t>利息-張志清2利2/29-3/14</t>
  </si>
  <si>
    <t>利息-徐潤祥0.5分-2</t>
  </si>
  <si>
    <t>利息-李可立1分-7</t>
  </si>
  <si>
    <t>利息-李可立2分-5</t>
  </si>
  <si>
    <t>利息-李可立3利3/1-3/16</t>
  </si>
  <si>
    <t>利息-莊屘2利3/1-3/16</t>
  </si>
  <si>
    <t>借支-朱進龍1利3/1-3/16</t>
  </si>
  <si>
    <t>利息-黃超淵1分-2</t>
  </si>
  <si>
    <t>利息-詹淑平</t>
  </si>
  <si>
    <t>利息-詹淑平3利3/1-3/16</t>
  </si>
  <si>
    <t>利息-何秋輝1分-5</t>
  </si>
  <si>
    <t>利息-何秋輝2利/3-3/18</t>
  </si>
  <si>
    <t>利息-陳新元1利/3-3/18</t>
  </si>
  <si>
    <t>利息-陳新元2利3/9-3/24</t>
  </si>
  <si>
    <t>利息-張永鑫3.5利3/2-3/17</t>
  </si>
  <si>
    <t>利息-陳新元1分-1</t>
  </si>
  <si>
    <t>利息-張志清1.5分-2</t>
  </si>
  <si>
    <t>利息-姚文龍1分-1</t>
  </si>
  <si>
    <t>利息-張志清2利/2-3/17</t>
  </si>
  <si>
    <t>利息-張義隆1分-4</t>
  </si>
  <si>
    <t>利息-張春益</t>
  </si>
  <si>
    <t>利息-張春益2利3/2-3/17</t>
  </si>
  <si>
    <t>.利息-張春益1分-1</t>
  </si>
  <si>
    <t>利息-王天佑3利3/2-3/17</t>
  </si>
  <si>
    <t>利息-華棟彬2利3/2-3/17</t>
  </si>
  <si>
    <t>利息-華棟彬1分-1</t>
  </si>
  <si>
    <t>利息-張春輝1分-7</t>
  </si>
  <si>
    <t>利息-黃志文</t>
  </si>
  <si>
    <t>利息-黃志文3利3/3-3/18</t>
  </si>
  <si>
    <t>利息-張義隆3利3/3-3/8</t>
  </si>
  <si>
    <t>利息-劉能營1分-3</t>
  </si>
  <si>
    <t>利息-張淑如2分 2-3</t>
  </si>
  <si>
    <t>利息-范國敏2利3/4-3/19</t>
  </si>
  <si>
    <t>利息-張志清2利3/4-3/19</t>
  </si>
  <si>
    <t>利息-紀世南</t>
  </si>
  <si>
    <t>利息-紀世南4利3/4-3/19</t>
  </si>
  <si>
    <t>利息-張義隆2分-3</t>
  </si>
  <si>
    <t>利息-劉志鵬3利3/5-3/20</t>
  </si>
  <si>
    <t>利息-劉志鵬1分-3</t>
  </si>
  <si>
    <t>0219</t>
    <phoneticPr fontId="7" type="noConversion"/>
  </si>
  <si>
    <t>林群億</t>
    <phoneticPr fontId="7" type="noConversion"/>
  </si>
  <si>
    <t>鐘志賢</t>
    <phoneticPr fontId="7" type="noConversion"/>
  </si>
  <si>
    <t>劉志強</t>
    <phoneticPr fontId="7" type="noConversion"/>
  </si>
  <si>
    <t>林焰龍</t>
    <phoneticPr fontId="7" type="noConversion"/>
  </si>
  <si>
    <t>林兆儒</t>
    <phoneticPr fontId="7" type="noConversion"/>
  </si>
  <si>
    <t>蘇泰源</t>
    <phoneticPr fontId="7" type="noConversion"/>
  </si>
  <si>
    <t>李鴻彬</t>
    <phoneticPr fontId="7" type="noConversion"/>
  </si>
  <si>
    <t>方士祥</t>
    <phoneticPr fontId="7" type="noConversion"/>
  </si>
  <si>
    <t>0103</t>
    <phoneticPr fontId="7" type="noConversion"/>
  </si>
  <si>
    <t>0130</t>
    <phoneticPr fontId="7" type="noConversion"/>
  </si>
  <si>
    <t>廖天助</t>
    <phoneticPr fontId="7" type="noConversion"/>
  </si>
  <si>
    <t>0515</t>
    <phoneticPr fontId="7" type="noConversion"/>
  </si>
  <si>
    <t>王慶龍</t>
    <phoneticPr fontId="7" type="noConversion"/>
  </si>
  <si>
    <t>1210</t>
    <phoneticPr fontId="7" type="noConversion"/>
  </si>
  <si>
    <t>0216</t>
    <phoneticPr fontId="7" type="noConversion"/>
  </si>
  <si>
    <t>0123</t>
    <phoneticPr fontId="7" type="noConversion"/>
  </si>
  <si>
    <t>林真辰</t>
    <phoneticPr fontId="7" type="noConversion"/>
  </si>
  <si>
    <t>0213</t>
    <phoneticPr fontId="7" type="noConversion"/>
  </si>
  <si>
    <t>黃千萬</t>
    <phoneticPr fontId="7" type="noConversion"/>
  </si>
  <si>
    <t>0412</t>
    <phoneticPr fontId="7" type="noConversion"/>
  </si>
  <si>
    <t>1220</t>
    <phoneticPr fontId="7" type="noConversion"/>
  </si>
  <si>
    <t>張逸和</t>
    <phoneticPr fontId="7" type="noConversion"/>
  </si>
  <si>
    <t>1006</t>
    <phoneticPr fontId="7" type="noConversion"/>
  </si>
  <si>
    <t>0117</t>
    <phoneticPr fontId="7" type="noConversion"/>
  </si>
  <si>
    <t>李樹霖</t>
    <phoneticPr fontId="7" type="noConversion"/>
  </si>
  <si>
    <t>1216</t>
    <phoneticPr fontId="7" type="noConversion"/>
  </si>
  <si>
    <t>0210</t>
    <phoneticPr fontId="7" type="noConversion"/>
  </si>
  <si>
    <t>0626</t>
    <phoneticPr fontId="7" type="noConversion"/>
  </si>
  <si>
    <t>0830</t>
    <phoneticPr fontId="7" type="noConversion"/>
  </si>
  <si>
    <t>郭明宙</t>
    <phoneticPr fontId="7" type="noConversion"/>
  </si>
  <si>
    <t>粘玉堂</t>
    <phoneticPr fontId="7" type="noConversion"/>
  </si>
  <si>
    <t>1219</t>
    <phoneticPr fontId="7" type="noConversion"/>
  </si>
  <si>
    <t>0820</t>
    <phoneticPr fontId="7" type="noConversion"/>
  </si>
  <si>
    <t>0520</t>
    <phoneticPr fontId="7" type="noConversion"/>
  </si>
  <si>
    <t>李文正</t>
    <phoneticPr fontId="7" type="noConversion"/>
  </si>
  <si>
    <t>0320</t>
    <phoneticPr fontId="7" type="noConversion"/>
  </si>
  <si>
    <t>0422</t>
    <phoneticPr fontId="7" type="noConversion"/>
  </si>
  <si>
    <t>0521</t>
    <phoneticPr fontId="7" type="noConversion"/>
  </si>
  <si>
    <t>0721</t>
    <phoneticPr fontId="7" type="noConversion"/>
  </si>
  <si>
    <t>魏其良</t>
    <phoneticPr fontId="7" type="noConversion"/>
  </si>
  <si>
    <t>0217</t>
    <phoneticPr fontId="7" type="noConversion"/>
  </si>
  <si>
    <t>0911</t>
    <phoneticPr fontId="7" type="noConversion"/>
  </si>
  <si>
    <t>1218</t>
    <phoneticPr fontId="7" type="noConversion"/>
  </si>
  <si>
    <t>0110</t>
    <phoneticPr fontId="7" type="noConversion"/>
  </si>
  <si>
    <t>游騰漢</t>
    <phoneticPr fontId="7" type="noConversion"/>
  </si>
  <si>
    <t>0610</t>
    <phoneticPr fontId="7" type="noConversion"/>
  </si>
  <si>
    <t>夏光慈</t>
    <phoneticPr fontId="7" type="noConversion"/>
  </si>
  <si>
    <t>1023</t>
    <phoneticPr fontId="7" type="noConversion"/>
  </si>
  <si>
    <t>0424</t>
    <phoneticPr fontId="7" type="noConversion"/>
  </si>
  <si>
    <t>0910</t>
    <phoneticPr fontId="7" type="noConversion"/>
  </si>
  <si>
    <t>1031</t>
    <phoneticPr fontId="7" type="noConversion"/>
  </si>
  <si>
    <t>0319</t>
    <phoneticPr fontId="7" type="noConversion"/>
  </si>
  <si>
    <t>0618</t>
    <phoneticPr fontId="7" type="noConversion"/>
  </si>
  <si>
    <t>0801</t>
    <phoneticPr fontId="7" type="noConversion"/>
  </si>
  <si>
    <t>0821</t>
    <phoneticPr fontId="7" type="noConversion"/>
  </si>
  <si>
    <t>黃維新</t>
    <phoneticPr fontId="7" type="noConversion"/>
  </si>
  <si>
    <t>0822</t>
    <phoneticPr fontId="7" type="noConversion"/>
  </si>
  <si>
    <t>曹詠泰</t>
    <phoneticPr fontId="7" type="noConversion"/>
  </si>
  <si>
    <t>陳金龍</t>
    <phoneticPr fontId="7" type="noConversion"/>
  </si>
  <si>
    <t>0102</t>
    <phoneticPr fontId="7" type="noConversion"/>
  </si>
  <si>
    <t>0316</t>
    <phoneticPr fontId="7" type="noConversion"/>
  </si>
  <si>
    <t>0309</t>
    <phoneticPr fontId="7" type="noConversion"/>
  </si>
  <si>
    <t>周祐德</t>
    <phoneticPr fontId="7" type="noConversion"/>
  </si>
  <si>
    <t>陳建霖</t>
    <phoneticPr fontId="7" type="noConversion"/>
  </si>
  <si>
    <t>0214</t>
    <phoneticPr fontId="7" type="noConversion"/>
  </si>
  <si>
    <t>0829</t>
    <phoneticPr fontId="7" type="noConversion"/>
  </si>
  <si>
    <t>1120</t>
    <phoneticPr fontId="7" type="noConversion"/>
  </si>
  <si>
    <t>謝明生</t>
    <phoneticPr fontId="7" type="noConversion"/>
  </si>
  <si>
    <t>0113</t>
    <phoneticPr fontId="7" type="noConversion"/>
  </si>
  <si>
    <t>0815</t>
    <phoneticPr fontId="7" type="noConversion"/>
  </si>
  <si>
    <t>0203</t>
    <phoneticPr fontId="7" type="noConversion"/>
  </si>
  <si>
    <t>0322</t>
    <phoneticPr fontId="7" type="noConversion"/>
  </si>
  <si>
    <t>鄭松德</t>
    <phoneticPr fontId="7" type="noConversion"/>
  </si>
  <si>
    <t>0227</t>
    <phoneticPr fontId="7" type="noConversion"/>
  </si>
  <si>
    <t>游錫銘</t>
    <phoneticPr fontId="7" type="noConversion"/>
  </si>
  <si>
    <t>呂明德</t>
    <phoneticPr fontId="7" type="noConversion"/>
  </si>
  <si>
    <t>0204</t>
    <phoneticPr fontId="7" type="noConversion"/>
  </si>
  <si>
    <t>0705</t>
    <phoneticPr fontId="7" type="noConversion"/>
  </si>
  <si>
    <t>卓木南</t>
    <phoneticPr fontId="7" type="noConversion"/>
  </si>
  <si>
    <t>0207</t>
    <phoneticPr fontId="7" type="noConversion"/>
  </si>
  <si>
    <t>0504</t>
    <phoneticPr fontId="7" type="noConversion"/>
  </si>
  <si>
    <t>0519</t>
    <phoneticPr fontId="7" type="noConversion"/>
  </si>
  <si>
    <t>李珍瑋</t>
    <phoneticPr fontId="7" type="noConversion"/>
  </si>
  <si>
    <t>0215</t>
    <phoneticPr fontId="7" type="noConversion"/>
  </si>
  <si>
    <t>項紀文</t>
    <phoneticPr fontId="7" type="noConversion"/>
  </si>
  <si>
    <t>0903</t>
    <phoneticPr fontId="7" type="noConversion"/>
  </si>
  <si>
    <t>陳進益</t>
    <phoneticPr fontId="7" type="noConversion"/>
  </si>
  <si>
    <t>郭俊國</t>
    <phoneticPr fontId="7" type="noConversion"/>
  </si>
  <si>
    <t>國泰當鋪</t>
  </si>
  <si>
    <t>97年7月起至100年2月</t>
    <phoneticPr fontId="2" type="noConversion"/>
  </si>
  <si>
    <t>合豐當鋪</t>
    <phoneticPr fontId="2" type="noConversion"/>
  </si>
  <si>
    <t>合豐當鋪 合計</t>
    <phoneticPr fontId="2" type="noConversion"/>
  </si>
  <si>
    <t>曹智豪</t>
    <phoneticPr fontId="2" type="noConversion"/>
  </si>
  <si>
    <t>蔣中民</t>
    <phoneticPr fontId="2" type="noConversion"/>
  </si>
  <si>
    <r>
      <t>9</t>
    </r>
    <r>
      <rPr>
        <sz val="12"/>
        <color theme="1"/>
        <rFont val="新細明體"/>
        <family val="1"/>
        <charset val="136"/>
        <scheme val="minor"/>
      </rPr>
      <t>8年4、5月起至7、8月</t>
    </r>
    <phoneticPr fontId="2" type="noConversion"/>
  </si>
  <si>
    <r>
      <t>9</t>
    </r>
    <r>
      <rPr>
        <sz val="12"/>
        <color theme="1"/>
        <rFont val="新細明體"/>
        <family val="1"/>
        <charset val="136"/>
        <scheme val="minor"/>
      </rPr>
      <t>8年8月間至11月間</t>
    </r>
    <phoneticPr fontId="2" type="noConversion"/>
  </si>
  <si>
    <r>
      <t>9</t>
    </r>
    <r>
      <rPr>
        <sz val="12"/>
        <color theme="1"/>
        <rFont val="新細明體"/>
        <family val="1"/>
        <charset val="136"/>
        <scheme val="minor"/>
      </rPr>
      <t>8年9、10月間至99年8月</t>
    </r>
    <phoneticPr fontId="2" type="noConversion"/>
  </si>
  <si>
    <r>
      <t>1</t>
    </r>
    <r>
      <rPr>
        <sz val="12"/>
        <color theme="1"/>
        <rFont val="新細明體"/>
        <family val="1"/>
        <charset val="136"/>
        <scheme val="minor"/>
      </rPr>
      <t>.卷證出處為A3卷第35-39頁、A3卷第40-48頁。
2.分期攤還本息部分，係每萬元每七天還1200元（其中1000為本金，200為利息），分十期。</t>
    </r>
    <phoneticPr fontId="2" type="noConversion"/>
  </si>
  <si>
    <t>7天（分期
攤還本息）</t>
    <phoneticPr fontId="2" type="noConversion"/>
  </si>
  <si>
    <t>廖振宏</t>
    <phoneticPr fontId="2" type="noConversion"/>
  </si>
  <si>
    <t>丙全當鋪</t>
  </si>
  <si>
    <t>丙全當鋪</t>
    <phoneticPr fontId="2" type="noConversion"/>
  </si>
  <si>
    <t>陳耀武</t>
    <phoneticPr fontId="2" type="noConversion"/>
  </si>
  <si>
    <t>98年9 月23日至99年1 月12日</t>
  </si>
  <si>
    <t>借款金額</t>
    <phoneticPr fontId="2" type="noConversion"/>
  </si>
  <si>
    <t>元一當鋪</t>
    <phoneticPr fontId="2" type="noConversion"/>
  </si>
  <si>
    <t>元一當鋪</t>
    <phoneticPr fontId="2" type="noConversion"/>
  </si>
  <si>
    <t>5-10萬元</t>
    <phoneticPr fontId="2" type="noConversion"/>
  </si>
  <si>
    <t>吳長宗</t>
    <phoneticPr fontId="2" type="noConversion"/>
  </si>
  <si>
    <t>A3</t>
    <phoneticPr fontId="2" type="noConversion"/>
  </si>
  <si>
    <t>9%、7.5％</t>
    <phoneticPr fontId="2" type="noConversion"/>
  </si>
  <si>
    <t>陳川竹</t>
    <phoneticPr fontId="2" type="noConversion"/>
  </si>
  <si>
    <t>丁威頓</t>
    <phoneticPr fontId="2" type="noConversion"/>
  </si>
  <si>
    <t>呂慶安</t>
    <phoneticPr fontId="2" type="noConversion"/>
  </si>
  <si>
    <t>柯偉松</t>
    <phoneticPr fontId="2" type="noConversion"/>
  </si>
  <si>
    <t>李德勝</t>
    <phoneticPr fontId="2" type="noConversion"/>
  </si>
  <si>
    <r>
      <t>9</t>
    </r>
    <r>
      <rPr>
        <sz val="12"/>
        <color theme="1"/>
        <rFont val="新細明體"/>
        <family val="1"/>
        <charset val="136"/>
        <scheme val="minor"/>
      </rPr>
      <t>9、100年間</t>
    </r>
    <phoneticPr fontId="2" type="noConversion"/>
  </si>
  <si>
    <t>藍萬結</t>
    <phoneticPr fontId="2" type="noConversion"/>
  </si>
  <si>
    <t>陳家俊</t>
    <phoneticPr fontId="2" type="noConversion"/>
  </si>
  <si>
    <t>李慶德</t>
    <phoneticPr fontId="2" type="noConversion"/>
  </si>
  <si>
    <t>范德福</t>
    <phoneticPr fontId="2" type="noConversion"/>
  </si>
  <si>
    <t>利息-張志清2利3/5-3/20</t>
  </si>
  <si>
    <t>利息-張志清10利3/5-3/20</t>
  </si>
  <si>
    <t>利息-張志清1.5分-3</t>
  </si>
  <si>
    <t>利息-張志清2利3/12-3/27</t>
  </si>
  <si>
    <t>利息-張志清1利3/12-3/27</t>
  </si>
  <si>
    <t>利息-莊屘8利3/5-3/20</t>
  </si>
  <si>
    <t>利息-莊屘1分-3</t>
  </si>
  <si>
    <t>利息-王天佑1分-3</t>
  </si>
  <si>
    <t>利息-張宏銘</t>
  </si>
  <si>
    <t>利息-張宏銘2分-1</t>
  </si>
  <si>
    <t>利息-張宏銘1利</t>
  </si>
  <si>
    <t>利息-林子覺2利3/5-3/20</t>
  </si>
  <si>
    <t>利息-林子覺2利3/7-3/22</t>
  </si>
  <si>
    <t>利息-林子覺2利3/15-3/31</t>
  </si>
  <si>
    <t>利息-謝六發</t>
  </si>
  <si>
    <t>利息-謝六發2利3/5-3/20</t>
  </si>
  <si>
    <t>利息-周宗玉6利3/5-3/20</t>
  </si>
  <si>
    <t>利息-周宗玉1分-1</t>
  </si>
  <si>
    <t>利息-張春輝1分-1</t>
  </si>
  <si>
    <t>利息-連永明11利3/4-3/19</t>
  </si>
  <si>
    <t>利息-高淡如</t>
  </si>
  <si>
    <t>利息-高淡如3利3/5-3/20</t>
  </si>
  <si>
    <t>利息-蔡文林1.5分-1</t>
  </si>
  <si>
    <t>利息-蔡文林2分-2</t>
  </si>
  <si>
    <t>利息-吳慶松</t>
  </si>
  <si>
    <t>利息-吳慶松1分-1</t>
  </si>
  <si>
    <t>利息-潘寬龍2分-2</t>
  </si>
  <si>
    <t>利息-李可立2利3/4-3/19</t>
  </si>
  <si>
    <t>利息-陳慕棣3利3/5-3/20</t>
  </si>
  <si>
    <t>利息-陳慕棣1分-3</t>
  </si>
  <si>
    <t>利息-李可立2利3/6-3/21</t>
  </si>
  <si>
    <t>利息-潘元吉2分-3</t>
  </si>
  <si>
    <t>利息-紀商南</t>
  </si>
  <si>
    <t>利息-紀商南10利3/6-4/6</t>
  </si>
  <si>
    <t>扣押物箱內編號19-3-1第1頁</t>
    <phoneticPr fontId="2" type="noConversion"/>
  </si>
  <si>
    <t>扣押物箱內編號19-3-1第2頁</t>
    <phoneticPr fontId="2" type="noConversion"/>
  </si>
  <si>
    <t>扣押物箱內編號19-3-1第3頁</t>
    <phoneticPr fontId="2" type="noConversion"/>
  </si>
  <si>
    <t>扣押物箱內編號19-3-1第5頁</t>
    <phoneticPr fontId="2" type="noConversion"/>
  </si>
  <si>
    <t>扣押物箱內編號19-3-1第7頁</t>
    <phoneticPr fontId="2" type="noConversion"/>
  </si>
  <si>
    <t>扣押物箱內編號19-3-1第9頁</t>
    <phoneticPr fontId="2" type="noConversion"/>
  </si>
  <si>
    <t>扣押物箱內編號19-3-1第11頁</t>
    <phoneticPr fontId="2" type="noConversion"/>
  </si>
  <si>
    <t>扣押物箱內編號19-3-1第13頁</t>
    <phoneticPr fontId="2" type="noConversion"/>
  </si>
  <si>
    <t>扣押物箱內編號19-3-1第14頁</t>
    <phoneticPr fontId="2" type="noConversion"/>
  </si>
  <si>
    <t>尹必偉</t>
  </si>
  <si>
    <t>曾紹峰</t>
  </si>
  <si>
    <t>王武雄</t>
  </si>
  <si>
    <t>王南勳</t>
  </si>
  <si>
    <t>江憲陽</t>
  </si>
  <si>
    <t>李希睿</t>
  </si>
  <si>
    <t>李張安</t>
  </si>
  <si>
    <t>沈源興</t>
  </si>
  <si>
    <t>周玉秋</t>
  </si>
  <si>
    <t>杭永亮</t>
  </si>
  <si>
    <t>林俊寬</t>
  </si>
  <si>
    <t>林清山</t>
  </si>
  <si>
    <t>洪秋枝</t>
  </si>
  <si>
    <t>紀力嘉</t>
  </si>
  <si>
    <t>涂清城</t>
  </si>
  <si>
    <t>馬中興</t>
  </si>
  <si>
    <t>馬章軒</t>
  </si>
  <si>
    <t>張木炎</t>
  </si>
  <si>
    <t>張志豪</t>
  </si>
  <si>
    <t>張宗文</t>
  </si>
  <si>
    <t>張國文</t>
  </si>
  <si>
    <t>張溪松</t>
  </si>
  <si>
    <t>梁幼文</t>
  </si>
  <si>
    <t>陳坤明</t>
  </si>
  <si>
    <t>陳信全</t>
  </si>
  <si>
    <t>陳春明</t>
  </si>
  <si>
    <t>陳家俊</t>
  </si>
  <si>
    <t>陳銘洲</t>
  </si>
  <si>
    <t>彭俊誠</t>
  </si>
  <si>
    <t>黃居前</t>
  </si>
  <si>
    <t>楊錫池</t>
  </si>
  <si>
    <t>趙昌</t>
  </si>
  <si>
    <t>劉惠輝</t>
  </si>
  <si>
    <t>劉嘉興</t>
  </si>
  <si>
    <t>鄭繼穑</t>
  </si>
  <si>
    <t>鍾明財</t>
  </si>
  <si>
    <t>簡茂森</t>
  </si>
  <si>
    <t>羅德濱</t>
  </si>
  <si>
    <t>方文泉</t>
  </si>
  <si>
    <t>王翊仲</t>
  </si>
  <si>
    <t>王進雄</t>
  </si>
  <si>
    <t>甘宜鑫</t>
  </si>
  <si>
    <t>江佑益</t>
  </si>
  <si>
    <t>江阿龍</t>
  </si>
  <si>
    <t>吳永徹</t>
  </si>
  <si>
    <t>吳信仁</t>
  </si>
  <si>
    <t>李定興</t>
  </si>
  <si>
    <t>李松乾</t>
  </si>
  <si>
    <t>李俊興</t>
  </si>
  <si>
    <t>李建有</t>
  </si>
  <si>
    <t>李泰宏</t>
  </si>
  <si>
    <t>李國基</t>
  </si>
  <si>
    <t>李慶德</t>
  </si>
  <si>
    <t>沈清</t>
  </si>
  <si>
    <t>林啟良</t>
  </si>
  <si>
    <t>林添正</t>
  </si>
  <si>
    <t>林榮財</t>
  </si>
  <si>
    <t>林劍平</t>
  </si>
  <si>
    <t>邱坤盈</t>
  </si>
  <si>
    <t>范德福</t>
  </si>
  <si>
    <t>韋漢中</t>
  </si>
  <si>
    <t>徐登財</t>
  </si>
  <si>
    <t>翁紫珞</t>
  </si>
  <si>
    <t>高泉興</t>
  </si>
  <si>
    <t>高樹人</t>
  </si>
  <si>
    <t>張永和</t>
  </si>
  <si>
    <t>張滄龍</t>
  </si>
  <si>
    <t>張瑞仟</t>
  </si>
  <si>
    <t>梁文尊</t>
  </si>
  <si>
    <t>梁添成</t>
  </si>
  <si>
    <t>連清福</t>
  </si>
  <si>
    <t>郭建廷</t>
  </si>
  <si>
    <t>陳正澤</t>
  </si>
  <si>
    <t>陳明賢</t>
  </si>
  <si>
    <t>陳美容</t>
  </si>
  <si>
    <t>陳國才</t>
  </si>
  <si>
    <t>陳翰武</t>
  </si>
  <si>
    <t>陶振元</t>
  </si>
  <si>
    <t>彭文光</t>
  </si>
  <si>
    <t>彭南山</t>
  </si>
  <si>
    <t>曾昭林</t>
  </si>
  <si>
    <t>曾清爐</t>
  </si>
  <si>
    <t>辜宏文</t>
  </si>
  <si>
    <t>黃舜麟</t>
  </si>
  <si>
    <t>楊海威</t>
  </si>
  <si>
    <t>葉文雄</t>
  </si>
  <si>
    <t>葉佳園</t>
  </si>
  <si>
    <t>葉國葆</t>
  </si>
  <si>
    <t>廖易杰</t>
  </si>
  <si>
    <t>蔣韻森</t>
  </si>
  <si>
    <t>蔡文一</t>
  </si>
  <si>
    <t>蔡進安</t>
  </si>
  <si>
    <t>蔡繼宗</t>
  </si>
  <si>
    <t>鄭文彬</t>
  </si>
  <si>
    <t>鄭立揚</t>
  </si>
  <si>
    <t>鄭明輝</t>
  </si>
  <si>
    <t>鄭謝忱</t>
  </si>
  <si>
    <t>蕭立旺</t>
  </si>
  <si>
    <t>戴宏章</t>
  </si>
  <si>
    <t>謝耀禧</t>
  </si>
  <si>
    <t>附表一：重利犯罪所得匯總表（註3）</t>
    <phoneticPr fontId="2" type="noConversion"/>
  </si>
  <si>
    <t>附表一之1：依扣案帳冊計算</t>
    <phoneticPr fontId="2" type="noConversion"/>
  </si>
  <si>
    <t>附表一之7：依證人證述計算</t>
    <phoneticPr fontId="2" type="noConversion"/>
  </si>
  <si>
    <t>附表一之4：依扣案帳冊計算</t>
    <phoneticPr fontId="2" type="noConversion"/>
  </si>
  <si>
    <t>附表一之2：依扣案帳冊計算</t>
    <phoneticPr fontId="2" type="noConversion"/>
  </si>
  <si>
    <t>附表一之3：依扣案帳冊計算</t>
    <phoneticPr fontId="2" type="noConversion"/>
  </si>
  <si>
    <t>附表一之5：依扣案帳冊計算</t>
    <phoneticPr fontId="2" type="noConversion"/>
  </si>
  <si>
    <t>附表一之6：依扣案帳冊計算</t>
    <phoneticPr fontId="2" type="noConversion"/>
  </si>
  <si>
    <r>
      <t>1.卷證出處為A15</t>
    </r>
    <r>
      <rPr>
        <sz val="12"/>
        <color indexed="8"/>
        <rFont val="新細明體"/>
        <family val="1"/>
        <charset val="136"/>
      </rPr>
      <t>卷第</t>
    </r>
    <r>
      <rPr>
        <sz val="12"/>
        <color theme="1"/>
        <rFont val="新細明體"/>
        <family val="1"/>
        <charset val="136"/>
        <scheme val="minor"/>
      </rPr>
      <t>1350-1355頁</t>
    </r>
    <r>
      <rPr>
        <sz val="12"/>
        <color indexed="8"/>
        <rFont val="新細明體"/>
        <family val="1"/>
        <charset val="136"/>
      </rPr>
      <t>、第</t>
    </r>
    <r>
      <rPr>
        <sz val="12"/>
        <color theme="1"/>
        <rFont val="新細明體"/>
        <family val="1"/>
        <charset val="136"/>
        <scheme val="minor"/>
      </rPr>
      <t>1362-1367頁
2.第二筆借款</t>
    </r>
    <r>
      <rPr>
        <sz val="12"/>
        <color indexed="8"/>
        <rFont val="新細明體"/>
        <family val="1"/>
        <charset val="136"/>
      </rPr>
      <t>依證述內容計算</t>
    </r>
    <r>
      <rPr>
        <sz val="12"/>
        <color theme="1"/>
        <rFont val="新細明體"/>
        <family val="1"/>
        <charset val="136"/>
        <scheme val="minor"/>
      </rPr>
      <t>100</t>
    </r>
    <r>
      <rPr>
        <sz val="12"/>
        <color indexed="8"/>
        <rFont val="新細明體"/>
        <family val="1"/>
        <charset val="136"/>
      </rPr>
      <t>年</t>
    </r>
    <r>
      <rPr>
        <sz val="12"/>
        <color theme="1"/>
        <rFont val="新細明體"/>
        <family val="1"/>
        <charset val="136"/>
        <scheme val="minor"/>
      </rPr>
      <t>1</t>
    </r>
    <r>
      <rPr>
        <sz val="12"/>
        <color indexed="8"/>
        <rFont val="新細明體"/>
        <family val="1"/>
        <charset val="136"/>
      </rPr>
      <t>月</t>
    </r>
    <r>
      <rPr>
        <sz val="12"/>
        <color theme="1"/>
        <rFont val="新細明體"/>
        <family val="1"/>
        <charset val="136"/>
        <scheme val="minor"/>
      </rPr>
      <t>1日</t>
    </r>
    <r>
      <rPr>
        <sz val="12"/>
        <color indexed="8"/>
        <rFont val="新細明體"/>
        <family val="1"/>
        <charset val="136"/>
      </rPr>
      <t>至101年6月底之利息，101年7月至102年1月已於附表一之</t>
    </r>
    <r>
      <rPr>
        <sz val="12"/>
        <color theme="1"/>
        <rFont val="新細明體"/>
        <family val="1"/>
        <charset val="136"/>
        <scheme val="minor"/>
      </rPr>
      <t>2納入</t>
    </r>
    <r>
      <rPr>
        <sz val="12"/>
        <color indexed="8"/>
        <rFont val="新細明體"/>
        <family val="1"/>
        <charset val="136"/>
      </rPr>
      <t>帳證計算，左列不再重複計算。</t>
    </r>
    <r>
      <rPr>
        <sz val="12"/>
        <color theme="1"/>
        <rFont val="新細明體"/>
        <family val="1"/>
        <charset val="136"/>
        <scheme val="minor"/>
      </rPr>
      <t/>
    </r>
    <phoneticPr fontId="2" type="noConversion"/>
  </si>
  <si>
    <r>
      <t xml:space="preserve">1.卷證出處為A15卷第1210-1213頁、第1219-1221頁 </t>
    </r>
    <r>
      <rPr>
        <sz val="12"/>
        <color indexed="8"/>
        <rFont val="新細明體"/>
        <family val="1"/>
        <charset val="136"/>
      </rPr>
      <t xml:space="preserve">
</t>
    </r>
    <r>
      <rPr>
        <sz val="12"/>
        <color theme="1"/>
        <rFont val="新細明體"/>
        <family val="1"/>
        <charset val="136"/>
        <scheme val="minor"/>
      </rPr>
      <t>2.</t>
    </r>
    <r>
      <rPr>
        <sz val="12"/>
        <color indexed="8"/>
        <rFont val="新細明體"/>
        <family val="1"/>
        <charset val="136"/>
      </rPr>
      <t>依證述內容計算100年9月至101年</t>
    </r>
    <r>
      <rPr>
        <sz val="12"/>
        <color theme="1"/>
        <rFont val="新細明體"/>
        <family val="1"/>
        <charset val="136"/>
        <scheme val="minor"/>
      </rPr>
      <t>6</t>
    </r>
    <r>
      <rPr>
        <sz val="12"/>
        <color indexed="8"/>
        <rFont val="新細明體"/>
        <family val="1"/>
        <charset val="136"/>
      </rPr>
      <t>月底之利息，101年</t>
    </r>
    <r>
      <rPr>
        <sz val="12"/>
        <color theme="1"/>
        <rFont val="新細明體"/>
        <family val="1"/>
        <charset val="136"/>
        <scheme val="minor"/>
      </rPr>
      <t>7</t>
    </r>
    <r>
      <rPr>
        <sz val="12"/>
        <color indexed="8"/>
        <rFont val="新細明體"/>
        <family val="1"/>
        <charset val="136"/>
      </rPr>
      <t>月至102年1月已於附表一之</t>
    </r>
    <r>
      <rPr>
        <sz val="12"/>
        <color theme="1"/>
        <rFont val="新細明體"/>
        <family val="1"/>
        <charset val="136"/>
        <scheme val="minor"/>
      </rPr>
      <t>2</t>
    </r>
    <r>
      <rPr>
        <sz val="12"/>
        <color indexed="8"/>
        <rFont val="新細明體"/>
        <family val="1"/>
        <charset val="136"/>
      </rPr>
      <t>納入帳證計算，左列不再重複計算。</t>
    </r>
    <r>
      <rPr>
        <sz val="12"/>
        <color theme="1"/>
        <rFont val="新細明體"/>
        <family val="1"/>
        <charset val="136"/>
        <scheme val="minor"/>
      </rPr>
      <t/>
    </r>
    <phoneticPr fontId="2" type="noConversion"/>
  </si>
  <si>
    <r>
      <t>1.卷證出處為A15卷第1192-1208頁。
2.</t>
    </r>
    <r>
      <rPr>
        <sz val="12"/>
        <color indexed="8"/>
        <rFont val="新細明體"/>
        <family val="1"/>
        <charset val="136"/>
      </rPr>
      <t>依證述內容計算100年9月至101年6月底之利息，101年7月至102年1月已於附表一之</t>
    </r>
    <r>
      <rPr>
        <sz val="12"/>
        <color theme="1"/>
        <rFont val="新細明體"/>
        <family val="1"/>
        <charset val="136"/>
        <scheme val="minor"/>
      </rPr>
      <t>2</t>
    </r>
    <r>
      <rPr>
        <sz val="12"/>
        <color indexed="8"/>
        <rFont val="新細明體"/>
        <family val="1"/>
        <charset val="136"/>
      </rPr>
      <t>納入帳證計算，左列不再重複計算。</t>
    </r>
    <r>
      <rPr>
        <sz val="12"/>
        <color theme="1"/>
        <rFont val="新細明體"/>
        <family val="1"/>
        <charset val="136"/>
        <scheme val="minor"/>
      </rPr>
      <t/>
    </r>
    <phoneticPr fontId="2" type="noConversion"/>
  </si>
  <si>
    <r>
      <t>1.卷證出處為A18卷第2161-2164頁、第2170-2243頁</t>
    </r>
    <r>
      <rPr>
        <sz val="12"/>
        <color indexed="8"/>
        <rFont val="新細明體"/>
        <family val="1"/>
        <charset val="136"/>
      </rPr>
      <t xml:space="preserve">
</t>
    </r>
    <r>
      <rPr>
        <sz val="12"/>
        <color theme="1"/>
        <rFont val="新細明體"/>
        <family val="1"/>
        <charset val="136"/>
        <scheme val="minor"/>
      </rPr>
      <t>2.</t>
    </r>
    <r>
      <rPr>
        <sz val="12"/>
        <color indexed="8"/>
        <rFont val="新細明體"/>
        <family val="1"/>
        <charset val="136"/>
      </rPr>
      <t>依證述內容計算100年至101年10月底之利息，101年11月至102年1月已於附表一之</t>
    </r>
    <r>
      <rPr>
        <sz val="12"/>
        <color theme="1"/>
        <rFont val="新細明體"/>
        <family val="1"/>
        <charset val="136"/>
        <scheme val="minor"/>
      </rPr>
      <t>3</t>
    </r>
    <r>
      <rPr>
        <sz val="12"/>
        <color indexed="8"/>
        <rFont val="新細明體"/>
        <family val="1"/>
        <charset val="136"/>
      </rPr>
      <t>納入帳證計算，左列不再重複計算。</t>
    </r>
    <phoneticPr fontId="2" type="noConversion"/>
  </si>
  <si>
    <r>
      <t>1.</t>
    </r>
    <r>
      <rPr>
        <sz val="12"/>
        <color indexed="8"/>
        <rFont val="新細明體"/>
        <family val="1"/>
        <charset val="136"/>
      </rPr>
      <t>卷證出處為</t>
    </r>
    <r>
      <rPr>
        <sz val="12"/>
        <color theme="1"/>
        <rFont val="新細明體"/>
        <family val="1"/>
        <charset val="136"/>
        <scheme val="minor"/>
      </rPr>
      <t>A18</t>
    </r>
    <r>
      <rPr>
        <sz val="12"/>
        <color indexed="8"/>
        <rFont val="新細明體"/>
        <family val="1"/>
        <charset val="136"/>
      </rPr>
      <t>卷第</t>
    </r>
    <r>
      <rPr>
        <sz val="12"/>
        <color theme="1"/>
        <rFont val="新細明體"/>
        <family val="1"/>
        <charset val="136"/>
        <scheme val="minor"/>
      </rPr>
      <t>2244-2247</t>
    </r>
    <r>
      <rPr>
        <sz val="12"/>
        <color indexed="8"/>
        <rFont val="新細明體"/>
        <family val="1"/>
        <charset val="136"/>
      </rPr>
      <t>頁、第</t>
    </r>
    <r>
      <rPr>
        <sz val="12"/>
        <color theme="1"/>
        <rFont val="新細明體"/>
        <family val="1"/>
        <charset val="136"/>
        <scheme val="minor"/>
      </rPr>
      <t>2255-2257</t>
    </r>
    <r>
      <rPr>
        <sz val="12"/>
        <color indexed="8"/>
        <rFont val="新細明體"/>
        <family val="1"/>
        <charset val="136"/>
      </rPr>
      <t xml:space="preserve">頁
</t>
    </r>
    <r>
      <rPr>
        <sz val="12"/>
        <color theme="1"/>
        <rFont val="新細明體"/>
        <family val="1"/>
        <charset val="136"/>
        <scheme val="minor"/>
      </rPr>
      <t>2.</t>
    </r>
    <r>
      <rPr>
        <sz val="12"/>
        <color indexed="8"/>
        <rFont val="新細明體"/>
        <family val="1"/>
        <charset val="136"/>
      </rPr>
      <t>依證述內容計算100年4月至101年10月底之利息，</t>
    </r>
    <r>
      <rPr>
        <sz val="12"/>
        <color theme="1"/>
        <rFont val="新細明體"/>
        <family val="1"/>
        <charset val="136"/>
        <scheme val="minor"/>
      </rPr>
      <t>101</t>
    </r>
    <r>
      <rPr>
        <sz val="12"/>
        <color indexed="8"/>
        <rFont val="新細明體"/>
        <family val="1"/>
        <charset val="136"/>
      </rPr>
      <t>年</t>
    </r>
    <r>
      <rPr>
        <sz val="12"/>
        <color theme="1"/>
        <rFont val="新細明體"/>
        <family val="1"/>
        <charset val="136"/>
        <scheme val="minor"/>
      </rPr>
      <t>11</t>
    </r>
    <r>
      <rPr>
        <sz val="12"/>
        <color indexed="8"/>
        <rFont val="新細明體"/>
        <family val="1"/>
        <charset val="136"/>
      </rPr>
      <t>月至</t>
    </r>
    <r>
      <rPr>
        <sz val="12"/>
        <color theme="1"/>
        <rFont val="新細明體"/>
        <family val="1"/>
        <charset val="136"/>
        <scheme val="minor"/>
      </rPr>
      <t>102</t>
    </r>
    <r>
      <rPr>
        <sz val="12"/>
        <color indexed="8"/>
        <rFont val="新細明體"/>
        <family val="1"/>
        <charset val="136"/>
      </rPr>
      <t>年</t>
    </r>
    <r>
      <rPr>
        <sz val="12"/>
        <color theme="1"/>
        <rFont val="新細明體"/>
        <family val="1"/>
        <charset val="136"/>
        <scheme val="minor"/>
      </rPr>
      <t>1</t>
    </r>
    <r>
      <rPr>
        <sz val="12"/>
        <color indexed="8"/>
        <rFont val="新細明體"/>
        <family val="1"/>
        <charset val="136"/>
      </rPr>
      <t>月已於附表一之</t>
    </r>
    <r>
      <rPr>
        <sz val="12"/>
        <color theme="1"/>
        <rFont val="新細明體"/>
        <family val="1"/>
        <charset val="136"/>
        <scheme val="minor"/>
      </rPr>
      <t>3</t>
    </r>
    <r>
      <rPr>
        <sz val="12"/>
        <color indexed="8"/>
        <rFont val="新細明體"/>
        <family val="1"/>
        <charset val="136"/>
      </rPr>
      <t>納入帳證計算，左列不再重複計算。</t>
    </r>
    <phoneticPr fontId="2" type="noConversion"/>
  </si>
  <si>
    <t>上開「繳息次數」、「已繳利息」、「犯罪所得」欄位記載「不明」者，或係因各該被害人無法確定其各別繳息期間、增加借款或還款之時間點而無從據以計算各該部分繳納利息及犯罪所得之金額，或因已各列計於附表一之1至一之6而不再重複加計， 或因被害人所述前後不一致，復無其他佐證資料供認定，故採有利被告認定的原則，就各該部分均不認定計算其繳息金額及犯罪所得。</t>
    <phoneticPr fontId="2" type="noConversion"/>
  </si>
  <si>
    <r>
      <t>01</t>
    </r>
    <r>
      <rPr>
        <sz val="12"/>
        <color theme="1"/>
        <rFont val="新細明體"/>
        <family val="1"/>
        <charset val="136"/>
        <scheme val="minor"/>
      </rPr>
      <t>19</t>
    </r>
    <phoneticPr fontId="7" type="noConversion"/>
  </si>
  <si>
    <r>
      <t>0</t>
    </r>
    <r>
      <rPr>
        <sz val="12"/>
        <color theme="1"/>
        <rFont val="新細明體"/>
        <family val="1"/>
        <charset val="136"/>
        <scheme val="minor"/>
      </rPr>
      <t>822</t>
    </r>
    <phoneticPr fontId="2" type="noConversion"/>
  </si>
  <si>
    <r>
      <t>0</t>
    </r>
    <r>
      <rPr>
        <sz val="12"/>
        <color theme="1"/>
        <rFont val="新細明體"/>
        <family val="1"/>
        <charset val="136"/>
        <scheme val="minor"/>
      </rPr>
      <t>105</t>
    </r>
    <phoneticPr fontId="2" type="noConversion"/>
  </si>
  <si>
    <r>
      <t>02</t>
    </r>
    <r>
      <rPr>
        <sz val="12"/>
        <color theme="1"/>
        <rFont val="新細明體"/>
        <family val="1"/>
        <charset val="136"/>
        <scheme val="minor"/>
      </rPr>
      <t>1</t>
    </r>
    <r>
      <rPr>
        <sz val="12"/>
        <color indexed="8"/>
        <rFont val="新細明體"/>
        <family val="1"/>
        <charset val="136"/>
      </rPr>
      <t>8</t>
    </r>
    <phoneticPr fontId="7" type="noConversion"/>
  </si>
  <si>
    <r>
      <t>11</t>
    </r>
    <r>
      <rPr>
        <sz val="12"/>
        <color theme="1"/>
        <rFont val="新細明體"/>
        <family val="1"/>
        <charset val="136"/>
        <scheme val="minor"/>
      </rPr>
      <t>01</t>
    </r>
    <phoneticPr fontId="2" type="noConversion"/>
  </si>
  <si>
    <r>
      <t>1</t>
    </r>
    <r>
      <rPr>
        <sz val="12"/>
        <color theme="1"/>
        <rFont val="新細明體"/>
        <family val="1"/>
        <charset val="136"/>
        <scheme val="minor"/>
      </rPr>
      <t>014</t>
    </r>
    <phoneticPr fontId="7" type="noConversion"/>
  </si>
  <si>
    <r>
      <t>1</t>
    </r>
    <r>
      <rPr>
        <sz val="12"/>
        <color theme="1"/>
        <rFont val="新細明體"/>
        <family val="1"/>
        <charset val="136"/>
        <scheme val="minor"/>
      </rPr>
      <t>017</t>
    </r>
    <phoneticPr fontId="2" type="noConversion"/>
  </si>
  <si>
    <r>
      <t>0</t>
    </r>
    <r>
      <rPr>
        <sz val="12"/>
        <color theme="1"/>
        <rFont val="新細明體"/>
        <family val="1"/>
        <charset val="136"/>
        <scheme val="minor"/>
      </rPr>
      <t>305</t>
    </r>
    <phoneticPr fontId="7" type="noConversion"/>
  </si>
  <si>
    <r>
      <t>0</t>
    </r>
    <r>
      <rPr>
        <sz val="12"/>
        <color theme="1"/>
        <rFont val="新細明體"/>
        <family val="1"/>
        <charset val="136"/>
        <scheme val="minor"/>
      </rPr>
      <t>814</t>
    </r>
    <phoneticPr fontId="2" type="noConversion"/>
  </si>
  <si>
    <r>
      <t>0</t>
    </r>
    <r>
      <rPr>
        <sz val="12"/>
        <color theme="1"/>
        <rFont val="新細明體"/>
        <family val="1"/>
        <charset val="136"/>
        <scheme val="minor"/>
      </rPr>
      <t>903</t>
    </r>
    <phoneticPr fontId="7" type="noConversion"/>
  </si>
  <si>
    <r>
      <t>120</t>
    </r>
    <r>
      <rPr>
        <sz val="12"/>
        <color theme="1"/>
        <rFont val="新細明體"/>
        <family val="1"/>
        <charset val="136"/>
        <scheme val="minor"/>
      </rPr>
      <t>2</t>
    </r>
    <phoneticPr fontId="7" type="noConversion"/>
  </si>
  <si>
    <r>
      <t>1</t>
    </r>
    <r>
      <rPr>
        <sz val="12"/>
        <color theme="1"/>
        <rFont val="新細明體"/>
        <family val="1"/>
        <charset val="136"/>
        <scheme val="minor"/>
      </rPr>
      <t>101</t>
    </r>
    <phoneticPr fontId="7" type="noConversion"/>
  </si>
  <si>
    <r>
      <t>02</t>
    </r>
    <r>
      <rPr>
        <sz val="12"/>
        <color theme="1"/>
        <rFont val="新細明體"/>
        <family val="1"/>
        <charset val="136"/>
        <scheme val="minor"/>
      </rPr>
      <t>17</t>
    </r>
    <phoneticPr fontId="7" type="noConversion"/>
  </si>
  <si>
    <r>
      <t>0</t>
    </r>
    <r>
      <rPr>
        <sz val="12"/>
        <color theme="1"/>
        <rFont val="新細明體"/>
        <family val="1"/>
        <charset val="136"/>
        <scheme val="minor"/>
      </rPr>
      <t>424</t>
    </r>
    <phoneticPr fontId="7" type="noConversion"/>
  </si>
  <si>
    <t>林慶涼</t>
    <phoneticPr fontId="7" type="noConversion"/>
  </si>
  <si>
    <t>0427</t>
    <phoneticPr fontId="7" type="noConversion"/>
  </si>
  <si>
    <t>0919</t>
    <phoneticPr fontId="7" type="noConversion"/>
  </si>
  <si>
    <t>何國華</t>
    <phoneticPr fontId="7" type="noConversion"/>
  </si>
  <si>
    <t>0423</t>
    <phoneticPr fontId="7" type="noConversion"/>
  </si>
  <si>
    <t>1116</t>
    <phoneticPr fontId="7" type="noConversion"/>
  </si>
  <si>
    <t>李易陵</t>
    <phoneticPr fontId="7" type="noConversion"/>
  </si>
  <si>
    <t>陳璁翰</t>
    <phoneticPr fontId="7" type="noConversion"/>
  </si>
  <si>
    <t>0428</t>
    <phoneticPr fontId="7" type="noConversion"/>
  </si>
  <si>
    <t>李俊逸</t>
    <phoneticPr fontId="7" type="noConversion"/>
  </si>
  <si>
    <t>1217</t>
    <phoneticPr fontId="7" type="noConversion"/>
  </si>
  <si>
    <t>廖信富</t>
    <phoneticPr fontId="7" type="noConversion"/>
  </si>
  <si>
    <t>0620</t>
    <phoneticPr fontId="7" type="noConversion"/>
  </si>
  <si>
    <t>0719</t>
    <phoneticPr fontId="7" type="noConversion"/>
  </si>
  <si>
    <t>王孟亮</t>
    <phoneticPr fontId="7" type="noConversion"/>
  </si>
  <si>
    <t>吳明澤</t>
    <phoneticPr fontId="7" type="noConversion"/>
  </si>
  <si>
    <t>林孟德</t>
    <phoneticPr fontId="7" type="noConversion"/>
  </si>
  <si>
    <t>0917</t>
    <phoneticPr fontId="7" type="noConversion"/>
  </si>
  <si>
    <t>1211</t>
    <phoneticPr fontId="7" type="noConversion"/>
  </si>
  <si>
    <t>吳長性</t>
    <phoneticPr fontId="7" type="noConversion"/>
  </si>
  <si>
    <t>林世杰</t>
    <phoneticPr fontId="7" type="noConversion"/>
  </si>
  <si>
    <t>1022</t>
    <phoneticPr fontId="7" type="noConversion"/>
  </si>
  <si>
    <t>1113</t>
    <phoneticPr fontId="7" type="noConversion"/>
  </si>
  <si>
    <t>0115</t>
    <phoneticPr fontId="7" type="noConversion"/>
  </si>
  <si>
    <t>陳新元</t>
    <phoneticPr fontId="7" type="noConversion"/>
  </si>
  <si>
    <t>鄭文彬</t>
    <phoneticPr fontId="7" type="noConversion"/>
  </si>
  <si>
    <t>李國誠</t>
    <phoneticPr fontId="7" type="noConversion"/>
  </si>
  <si>
    <t>袁明華</t>
    <phoneticPr fontId="7" type="noConversion"/>
  </si>
  <si>
    <t>林盛忠</t>
    <phoneticPr fontId="7" type="noConversion"/>
  </si>
  <si>
    <t>林雁賓</t>
    <phoneticPr fontId="7" type="noConversion"/>
  </si>
  <si>
    <t>分期利息-劉志鵬1分-1</t>
  </si>
  <si>
    <t>分期利息-王天佑</t>
  </si>
  <si>
    <t>分期利息-王天佑1分-1</t>
  </si>
  <si>
    <t>利息-周宗玉</t>
  </si>
  <si>
    <t>分期利息入-黃超淵0.5分-1</t>
  </si>
  <si>
    <t>分期利息-潘寬龍</t>
  </si>
  <si>
    <t>分期利息-潘寬龍1分-3</t>
  </si>
  <si>
    <t>分期利息-朱進龍</t>
  </si>
  <si>
    <t>分期利息-朱進龍1分-3</t>
  </si>
  <si>
    <t>利息收入-林子覺2利/15-2/29</t>
  </si>
  <si>
    <t>分期利息-江勝松</t>
  </si>
  <si>
    <t>分期利息-江勝松1分-2</t>
  </si>
  <si>
    <t>利息收入-張義隆2利2/15-2/29</t>
  </si>
  <si>
    <t>利息收入-林子覺3利2/16-3/1 3/1-3/16</t>
  </si>
  <si>
    <t>分期利息-丁一鳴</t>
  </si>
  <si>
    <t>分期利息-丁一鳴1分-1</t>
  </si>
  <si>
    <t>利息收入-李可立3利/16-3/1</t>
  </si>
  <si>
    <t>分期利息-李可立</t>
  </si>
  <si>
    <t>分期利息-李可立1分-5</t>
  </si>
  <si>
    <t>分期利息-李可立2分-3</t>
  </si>
  <si>
    <t>利息-張志清</t>
  </si>
  <si>
    <t>利息-張志清1利2/17-3/2</t>
  </si>
  <si>
    <t>分期利息-張義隆</t>
  </si>
  <si>
    <t>分期利息-張義隆1分-2</t>
  </si>
  <si>
    <t>分期利息-何秋輝</t>
  </si>
  <si>
    <t>分期利息-何秋輝1分-3</t>
  </si>
  <si>
    <t>利息-何秋輝</t>
  </si>
  <si>
    <t>利息-何秋輝2利2/18-3/3</t>
  </si>
  <si>
    <t>利息-王天佑</t>
  </si>
  <si>
    <t>利息-王天佑3剁/17-3/2</t>
  </si>
  <si>
    <t>利息-張永鑫</t>
  </si>
  <si>
    <t>利息-張永鑫3.5利/17-3/2</t>
  </si>
  <si>
    <t>分期利息-張春輝</t>
  </si>
  <si>
    <t>分期利息-張春輝1分-5</t>
  </si>
  <si>
    <t>利息-李可立</t>
  </si>
  <si>
    <t>利息-李可立2剁/19-3/4</t>
  </si>
  <si>
    <t>分期利息-劉能營</t>
  </si>
  <si>
    <t>分期利息-劉能營1分-1</t>
  </si>
  <si>
    <t>分期利息-華棟彬</t>
  </si>
  <si>
    <t>分期利息-華棟彬1分-1</t>
  </si>
  <si>
    <t>分期利息-張義隆2分-1</t>
  </si>
  <si>
    <t>分期利息-潘元吉</t>
  </si>
  <si>
    <t>分期利息-潘元吉2分-1</t>
  </si>
  <si>
    <t>利息-紀適南</t>
  </si>
  <si>
    <t>利息-紀適南4利2/19-3/4</t>
  </si>
  <si>
    <t>利息-連永明</t>
  </si>
  <si>
    <t>利息-連永明11剁/19-3/4</t>
  </si>
  <si>
    <t>利息-范國敏</t>
  </si>
  <si>
    <t>利息-范國敏2利2/19-3/4</t>
  </si>
  <si>
    <t>利息-張志清2利 2/20-3/5</t>
  </si>
  <si>
    <t>利息-許世明</t>
  </si>
  <si>
    <t>利息-許世明 票貼2/20-3/1</t>
  </si>
  <si>
    <t>利息-張志清10剁/20-3/5</t>
  </si>
  <si>
    <t>利息-莊屘</t>
  </si>
  <si>
    <t>利息-莊屘8剁/20-3/5</t>
  </si>
  <si>
    <t>利息-劉志鵬</t>
  </si>
  <si>
    <t>利息-劉志鵬3利2/20-3/5</t>
  </si>
  <si>
    <t>分期利息-劉志鵬</t>
  </si>
  <si>
    <t>謝建男</t>
    <phoneticPr fontId="2" type="noConversion"/>
  </si>
  <si>
    <t>謝茂樹</t>
    <phoneticPr fontId="2" type="noConversion"/>
  </si>
  <si>
    <t>簡文東</t>
    <phoneticPr fontId="2" type="noConversion"/>
  </si>
  <si>
    <t>簡福來</t>
    <phoneticPr fontId="2" type="noConversion"/>
  </si>
  <si>
    <t>簡蒼琦</t>
    <phoneticPr fontId="2" type="noConversion"/>
  </si>
  <si>
    <t>顏茂榮</t>
    <phoneticPr fontId="2" type="noConversion"/>
  </si>
  <si>
    <t>顏義寶</t>
    <phoneticPr fontId="2" type="noConversion"/>
  </si>
  <si>
    <t>魏志良</t>
    <phoneticPr fontId="2" type="noConversion"/>
  </si>
  <si>
    <t>羅金貴</t>
    <phoneticPr fontId="2" type="noConversion"/>
  </si>
  <si>
    <t>蘇志端</t>
    <phoneticPr fontId="2" type="noConversion"/>
  </si>
  <si>
    <t>蘇明助</t>
    <phoneticPr fontId="2" type="noConversion"/>
  </si>
  <si>
    <t>蘇培勇</t>
    <phoneticPr fontId="2" type="noConversion"/>
  </si>
  <si>
    <t>蘇廣成</t>
    <phoneticPr fontId="2" type="noConversion"/>
  </si>
  <si>
    <t>蘇懷麟</t>
    <phoneticPr fontId="2" type="noConversion"/>
  </si>
  <si>
    <t>鐘果翰</t>
    <phoneticPr fontId="2" type="noConversion"/>
  </si>
  <si>
    <t>龔宗榮</t>
    <phoneticPr fontId="2" type="noConversion"/>
  </si>
  <si>
    <t>合計</t>
    <phoneticPr fontId="2" type="noConversion"/>
  </si>
  <si>
    <t>陳美容</t>
    <phoneticPr fontId="2" type="noConversion"/>
  </si>
  <si>
    <t>蔡文一</t>
    <phoneticPr fontId="2" type="noConversion"/>
  </si>
  <si>
    <t>蔣韻森</t>
    <phoneticPr fontId="2" type="noConversion"/>
  </si>
  <si>
    <t>李國基</t>
    <phoneticPr fontId="2" type="noConversion"/>
  </si>
  <si>
    <t>張國文</t>
    <phoneticPr fontId="2" type="noConversion"/>
  </si>
  <si>
    <t>曾昭林</t>
    <phoneticPr fontId="2" type="noConversion"/>
  </si>
  <si>
    <t>林清山</t>
    <phoneticPr fontId="2" type="noConversion"/>
  </si>
  <si>
    <t>張永和</t>
    <phoneticPr fontId="2" type="noConversion"/>
  </si>
  <si>
    <t>李建有</t>
    <phoneticPr fontId="2" type="noConversion"/>
  </si>
  <si>
    <t>翁紫珞</t>
    <phoneticPr fontId="2" type="noConversion"/>
  </si>
  <si>
    <t>102年1月2日起</t>
    <phoneticPr fontId="2" type="noConversion"/>
  </si>
  <si>
    <t xml:space="preserve">1.A26 卷第210至217頁反面
2.102年7月19日補充理由書誤載姓名為「陳文雄」。                                           </t>
    <phoneticPr fontId="2" type="noConversion"/>
  </si>
  <si>
    <t>丙全當鋪合計</t>
    <phoneticPr fontId="2" type="noConversion"/>
  </si>
  <si>
    <t>合豐當鋪</t>
    <phoneticPr fontId="2" type="noConversion"/>
  </si>
  <si>
    <t>101年1月~101年3月</t>
    <phoneticPr fontId="2" type="noConversion"/>
  </si>
  <si>
    <t>瑞誠當鋪</t>
    <phoneticPr fontId="2" type="noConversion"/>
  </si>
  <si>
    <t>100年1月7日起</t>
    <phoneticPr fontId="2" type="noConversion"/>
  </si>
  <si>
    <r>
      <t>A3卷及B2</t>
    </r>
    <r>
      <rPr>
        <sz val="12"/>
        <color indexed="8"/>
        <rFont val="新細明體"/>
        <family val="1"/>
        <charset val="136"/>
      </rPr>
      <t>卷之第</t>
    </r>
    <r>
      <rPr>
        <sz val="12"/>
        <color theme="1"/>
        <rFont val="新細明體"/>
        <family val="1"/>
        <charset val="136"/>
        <scheme val="minor"/>
      </rPr>
      <t>88-91</t>
    </r>
    <r>
      <rPr>
        <sz val="12"/>
        <color indexed="8"/>
        <rFont val="新細明體"/>
        <family val="1"/>
        <charset val="136"/>
      </rPr>
      <t>頁</t>
    </r>
    <phoneticPr fontId="2" type="noConversion"/>
  </si>
  <si>
    <t>韋漢中</t>
    <phoneticPr fontId="2" type="noConversion"/>
  </si>
  <si>
    <t>甘宜鑫</t>
    <phoneticPr fontId="2" type="noConversion"/>
  </si>
  <si>
    <t>鄭謝忱</t>
    <phoneticPr fontId="2" type="noConversion"/>
  </si>
  <si>
    <t>蕭立旺</t>
    <phoneticPr fontId="2" type="noConversion"/>
  </si>
  <si>
    <t>趙昌</t>
    <phoneticPr fontId="2" type="noConversion"/>
  </si>
  <si>
    <t>辜宏文</t>
    <phoneticPr fontId="2" type="noConversion"/>
  </si>
  <si>
    <t>江阿龍</t>
    <phoneticPr fontId="2" type="noConversion"/>
  </si>
  <si>
    <t>鍾明財</t>
    <phoneticPr fontId="2" type="noConversion"/>
  </si>
  <si>
    <t>連清福</t>
    <phoneticPr fontId="2" type="noConversion"/>
  </si>
  <si>
    <t>高泉興</t>
    <phoneticPr fontId="2" type="noConversion"/>
  </si>
  <si>
    <t>王武雄</t>
    <phoneticPr fontId="2" type="noConversion"/>
  </si>
  <si>
    <t>戴鄭瑞</t>
    <phoneticPr fontId="2" type="noConversion"/>
  </si>
  <si>
    <t>廖易杰</t>
    <phoneticPr fontId="2" type="noConversion"/>
  </si>
  <si>
    <t>梁文尊</t>
    <phoneticPr fontId="2" type="noConversion"/>
  </si>
  <si>
    <t>彭俊誠</t>
    <phoneticPr fontId="2" type="noConversion"/>
  </si>
  <si>
    <t>李松乾</t>
    <phoneticPr fontId="2" type="noConversion"/>
  </si>
  <si>
    <t>葉國葆</t>
    <phoneticPr fontId="2" type="noConversion"/>
  </si>
  <si>
    <t>業國葆</t>
    <phoneticPr fontId="2" type="noConversion"/>
  </si>
  <si>
    <t>李泰宏</t>
    <phoneticPr fontId="2" type="noConversion"/>
  </si>
  <si>
    <t>葉佳園</t>
    <phoneticPr fontId="2" type="noConversion"/>
  </si>
  <si>
    <t>曾清爐</t>
    <phoneticPr fontId="2" type="noConversion"/>
  </si>
  <si>
    <t>高啟文</t>
    <phoneticPr fontId="2" type="noConversion"/>
  </si>
  <si>
    <t>鄭文彬</t>
    <phoneticPr fontId="2" type="noConversion"/>
  </si>
  <si>
    <t>鄭明輝</t>
    <phoneticPr fontId="2" type="noConversion"/>
  </si>
  <si>
    <t>彭南山</t>
    <phoneticPr fontId="2" type="noConversion"/>
  </si>
  <si>
    <t>梁添成</t>
    <phoneticPr fontId="2" type="noConversion"/>
  </si>
  <si>
    <t>林榮財</t>
    <phoneticPr fontId="2" type="noConversion"/>
  </si>
  <si>
    <t>陳明賢</t>
    <phoneticPr fontId="2" type="noConversion"/>
  </si>
  <si>
    <t>陳正澤</t>
    <phoneticPr fontId="2" type="noConversion"/>
  </si>
  <si>
    <t>李俊興</t>
    <phoneticPr fontId="2" type="noConversion"/>
  </si>
  <si>
    <t>梁華盛</t>
    <phoneticPr fontId="2" type="noConversion"/>
  </si>
  <si>
    <t>郭建廷</t>
    <phoneticPr fontId="2" type="noConversion"/>
  </si>
  <si>
    <t>陳翰武</t>
    <phoneticPr fontId="2" type="noConversion"/>
  </si>
  <si>
    <t>張滄龍</t>
    <phoneticPr fontId="2" type="noConversion"/>
  </si>
  <si>
    <t>呂昱錞</t>
    <phoneticPr fontId="2" type="noConversion"/>
  </si>
  <si>
    <t>起訴書附表五-7已修正如上開附表各欄位所示。</t>
    <phoneticPr fontId="2" type="noConversion"/>
  </si>
  <si>
    <t>註2：</t>
  </si>
  <si>
    <t>繳息次數
（註2）</t>
    <phoneticPr fontId="2" type="noConversion"/>
  </si>
  <si>
    <r>
      <t>1.卷證出處為A21</t>
    </r>
    <r>
      <rPr>
        <sz val="12"/>
        <color indexed="8"/>
        <rFont val="新細明體"/>
        <family val="1"/>
        <charset val="136"/>
      </rPr>
      <t>卷第</t>
    </r>
    <r>
      <rPr>
        <sz val="12"/>
        <color theme="1"/>
        <rFont val="新細明體"/>
        <family val="1"/>
        <charset val="136"/>
        <scheme val="minor"/>
      </rPr>
      <t>2943-2952</t>
    </r>
    <r>
      <rPr>
        <sz val="12"/>
        <color indexed="8"/>
        <rFont val="新細明體"/>
        <family val="1"/>
        <charset val="136"/>
      </rPr>
      <t xml:space="preserve">頁。
</t>
    </r>
    <r>
      <rPr>
        <sz val="12"/>
        <color theme="1"/>
        <rFont val="新細明體"/>
        <family val="1"/>
        <charset val="136"/>
        <scheme val="minor"/>
      </rPr>
      <t>2.分期攤還本息部分，係每萬元每七天還1200元（其中1000為本金，200為利息），分十期，還完後再借。故該部分借款「已繳利息」為（200*2）*（27個月*每月4週）=43,200元。</t>
    </r>
    <phoneticPr fontId="2" type="noConversion"/>
  </si>
  <si>
    <t>A20 卷第2789-2791頁</t>
    <phoneticPr fontId="2" type="noConversion"/>
  </si>
  <si>
    <t>A3卷第126-133 頁</t>
    <phoneticPr fontId="2" type="noConversion"/>
  </si>
  <si>
    <r>
      <t>A16卷</t>
    </r>
    <r>
      <rPr>
        <sz val="12"/>
        <color theme="1"/>
        <rFont val="新細明體"/>
        <family val="1"/>
        <charset val="136"/>
        <scheme val="minor"/>
      </rPr>
      <t>第</t>
    </r>
    <r>
      <rPr>
        <sz val="12"/>
        <color indexed="8"/>
        <rFont val="新細明體"/>
        <family val="1"/>
        <charset val="136"/>
      </rPr>
      <t>1757-1758頁</t>
    </r>
    <phoneticPr fontId="2" type="noConversion"/>
  </si>
  <si>
    <r>
      <t>A</t>
    </r>
    <r>
      <rPr>
        <sz val="12"/>
        <color theme="1"/>
        <rFont val="新細明體"/>
        <family val="1"/>
        <charset val="136"/>
        <scheme val="minor"/>
      </rPr>
      <t>3卷第</t>
    </r>
    <r>
      <rPr>
        <sz val="12"/>
        <color indexed="8"/>
        <rFont val="新細明體"/>
        <family val="1"/>
        <charset val="136"/>
      </rPr>
      <t>74-77頁、</t>
    </r>
    <r>
      <rPr>
        <sz val="12"/>
        <color theme="1"/>
        <rFont val="新細明體"/>
        <family val="1"/>
        <charset val="136"/>
        <scheme val="minor"/>
      </rPr>
      <t>A16卷第1760-1761頁</t>
    </r>
    <phoneticPr fontId="2" type="noConversion"/>
  </si>
  <si>
    <r>
      <t>B10卷</t>
    </r>
    <r>
      <rPr>
        <sz val="12"/>
        <color theme="1"/>
        <rFont val="新細明體"/>
        <family val="1"/>
        <charset val="136"/>
        <scheme val="minor"/>
      </rPr>
      <t>第</t>
    </r>
    <r>
      <rPr>
        <sz val="12"/>
        <color indexed="8"/>
        <rFont val="新細明體"/>
        <family val="1"/>
        <charset val="136"/>
      </rPr>
      <t>2104-2117頁、</t>
    </r>
    <r>
      <rPr>
        <sz val="12"/>
        <color theme="1"/>
        <rFont val="新細明體"/>
        <family val="1"/>
        <charset val="136"/>
        <scheme val="minor"/>
      </rPr>
      <t>B10</t>
    </r>
    <r>
      <rPr>
        <sz val="12"/>
        <color indexed="8"/>
        <rFont val="新細明體"/>
        <family val="1"/>
        <charset val="136"/>
      </rPr>
      <t>卷</t>
    </r>
    <r>
      <rPr>
        <sz val="12"/>
        <color theme="1"/>
        <rFont val="新細明體"/>
        <family val="1"/>
        <charset val="136"/>
        <scheme val="minor"/>
      </rPr>
      <t>第2118-2123頁</t>
    </r>
    <phoneticPr fontId="2" type="noConversion"/>
  </si>
  <si>
    <t>A3卷第70-73頁、A32 卷第15-17頁</t>
    <phoneticPr fontId="2" type="noConversion"/>
  </si>
  <si>
    <t>A3卷第59-63頁、 A17 卷第2045-2051頁</t>
    <phoneticPr fontId="2" type="noConversion"/>
  </si>
  <si>
    <r>
      <t>A16卷</t>
    </r>
    <r>
      <rPr>
        <sz val="12"/>
        <color theme="1"/>
        <rFont val="新細明體"/>
        <family val="1"/>
        <charset val="136"/>
        <scheme val="minor"/>
      </rPr>
      <t>第</t>
    </r>
    <r>
      <rPr>
        <sz val="12"/>
        <color indexed="8"/>
        <rFont val="新細明體"/>
        <family val="1"/>
        <charset val="136"/>
      </rPr>
      <t>1800-1801頁</t>
    </r>
    <phoneticPr fontId="2" type="noConversion"/>
  </si>
  <si>
    <r>
      <t>B7卷</t>
    </r>
    <r>
      <rPr>
        <sz val="12"/>
        <color theme="1"/>
        <rFont val="新細明體"/>
        <family val="1"/>
        <charset val="136"/>
        <scheme val="minor"/>
      </rPr>
      <t>第</t>
    </r>
    <r>
      <rPr>
        <sz val="12"/>
        <color indexed="8"/>
        <rFont val="新細明體"/>
        <family val="1"/>
        <charset val="136"/>
      </rPr>
      <t>972- 9</t>
    </r>
    <r>
      <rPr>
        <sz val="12"/>
        <color theme="1"/>
        <rFont val="新細明體"/>
        <family val="1"/>
        <charset val="136"/>
        <scheme val="minor"/>
      </rPr>
      <t>85頁</t>
    </r>
    <r>
      <rPr>
        <sz val="12"/>
        <color indexed="8"/>
        <rFont val="新細明體"/>
        <family val="1"/>
        <charset val="136"/>
      </rPr>
      <t>、第</t>
    </r>
    <r>
      <rPr>
        <sz val="12"/>
        <color theme="1"/>
        <rFont val="新細明體"/>
        <family val="1"/>
        <charset val="136"/>
        <scheme val="minor"/>
      </rPr>
      <t>1002-1009頁</t>
    </r>
    <phoneticPr fontId="2" type="noConversion"/>
  </si>
  <si>
    <r>
      <t>1</t>
    </r>
    <r>
      <rPr>
        <sz val="12"/>
        <color theme="1"/>
        <rFont val="新細明體"/>
        <family val="1"/>
        <charset val="136"/>
        <scheme val="minor"/>
      </rPr>
      <t>.卷證出處為A17卷第2052-2055頁、第2058-2060頁
2.</t>
    </r>
    <r>
      <rPr>
        <sz val="12"/>
        <color indexed="8"/>
        <rFont val="新細明體"/>
        <family val="1"/>
        <charset val="136"/>
      </rPr>
      <t>證人供述借款期間與典當資料不符，在有利被告原則下，以典當資料所示借款期間作為計算。</t>
    </r>
    <phoneticPr fontId="2" type="noConversion"/>
  </si>
  <si>
    <r>
      <t>1.卷證出處為</t>
    </r>
    <r>
      <rPr>
        <sz val="12"/>
        <color indexed="8"/>
        <rFont val="新細明體"/>
        <family val="1"/>
        <charset val="136"/>
      </rPr>
      <t>A</t>
    </r>
    <r>
      <rPr>
        <sz val="12"/>
        <color theme="1"/>
        <rFont val="新細明體"/>
        <family val="1"/>
        <charset val="136"/>
        <scheme val="minor"/>
      </rPr>
      <t>15卷第</t>
    </r>
    <r>
      <rPr>
        <sz val="12"/>
        <color indexed="8"/>
        <rFont val="新細明體"/>
        <family val="1"/>
        <charset val="136"/>
      </rPr>
      <t>1474-1482頁、</t>
    </r>
    <r>
      <rPr>
        <sz val="12"/>
        <color theme="1"/>
        <rFont val="新細明體"/>
        <family val="1"/>
        <charset val="136"/>
        <scheme val="minor"/>
      </rPr>
      <t>第1483-1484頁。
2.102年1月15日另行之借款，因被告被抓，故尚未開始繳息。</t>
    </r>
    <phoneticPr fontId="2" type="noConversion"/>
  </si>
  <si>
    <r>
      <t>A18卷</t>
    </r>
    <r>
      <rPr>
        <sz val="12"/>
        <color theme="1"/>
        <rFont val="新細明體"/>
        <family val="1"/>
        <charset val="136"/>
        <scheme val="minor"/>
      </rPr>
      <t>第</t>
    </r>
    <r>
      <rPr>
        <sz val="12"/>
        <color indexed="8"/>
        <rFont val="新細明體"/>
        <family val="1"/>
        <charset val="136"/>
      </rPr>
      <t>2259-2266頁、A18卷</t>
    </r>
    <r>
      <rPr>
        <sz val="12"/>
        <color theme="1"/>
        <rFont val="新細明體"/>
        <family val="1"/>
        <charset val="136"/>
        <scheme val="minor"/>
      </rPr>
      <t>第</t>
    </r>
    <r>
      <rPr>
        <sz val="12"/>
        <color indexed="8"/>
        <rFont val="新細明體"/>
        <family val="1"/>
        <charset val="136"/>
      </rPr>
      <t>2267-227</t>
    </r>
    <r>
      <rPr>
        <sz val="12"/>
        <color theme="1"/>
        <rFont val="新細明體"/>
        <family val="1"/>
        <charset val="136"/>
        <scheme val="minor"/>
      </rPr>
      <t>0頁</t>
    </r>
    <phoneticPr fontId="2" type="noConversion"/>
  </si>
  <si>
    <r>
      <t>A18卷</t>
    </r>
    <r>
      <rPr>
        <sz val="12"/>
        <color theme="1"/>
        <rFont val="新細明體"/>
        <family val="1"/>
        <charset val="136"/>
        <scheme val="minor"/>
      </rPr>
      <t>第</t>
    </r>
    <r>
      <rPr>
        <sz val="12"/>
        <color indexed="8"/>
        <rFont val="新細明體"/>
        <family val="1"/>
        <charset val="136"/>
      </rPr>
      <t>2132-</t>
    </r>
    <r>
      <rPr>
        <sz val="12"/>
        <color theme="1"/>
        <rFont val="新細明體"/>
        <family val="1"/>
        <charset val="136"/>
        <scheme val="minor"/>
      </rPr>
      <t>2135頁、第2143-2149頁</t>
    </r>
    <phoneticPr fontId="2" type="noConversion"/>
  </si>
  <si>
    <t>元喆當鋪 合計</t>
  </si>
  <si>
    <t>總計</t>
  </si>
  <si>
    <t>吳柱</t>
    <phoneticPr fontId="2" type="noConversion"/>
  </si>
  <si>
    <t>吳喜麟</t>
    <phoneticPr fontId="2" type="noConversion"/>
  </si>
  <si>
    <t>湯家銘</t>
    <phoneticPr fontId="7" type="noConversion"/>
  </si>
  <si>
    <t>張里福</t>
    <phoneticPr fontId="7" type="noConversion"/>
  </si>
  <si>
    <t>趙慶豐</t>
    <phoneticPr fontId="7" type="noConversion"/>
  </si>
  <si>
    <t>吳家慶</t>
    <phoneticPr fontId="7" type="noConversion"/>
  </si>
  <si>
    <t>張朝銘</t>
    <phoneticPr fontId="7" type="noConversion"/>
  </si>
  <si>
    <t>李文鴻</t>
    <phoneticPr fontId="7" type="noConversion"/>
  </si>
  <si>
    <t>陳甘池</t>
    <phoneticPr fontId="7" type="noConversion"/>
  </si>
  <si>
    <t>施東廷</t>
    <phoneticPr fontId="7" type="noConversion"/>
  </si>
  <si>
    <t>黎萬德</t>
    <phoneticPr fontId="7" type="noConversion"/>
  </si>
  <si>
    <t>鄭釧志</t>
    <phoneticPr fontId="7" type="noConversion"/>
  </si>
  <si>
    <t>賈文魁</t>
    <phoneticPr fontId="7" type="noConversion"/>
  </si>
  <si>
    <t>鄭正雲</t>
    <phoneticPr fontId="7" type="noConversion"/>
  </si>
  <si>
    <t>鄭肇欽</t>
    <phoneticPr fontId="7" type="noConversion"/>
  </si>
  <si>
    <t>戴宏章</t>
    <phoneticPr fontId="7" type="noConversion"/>
  </si>
  <si>
    <t>利息收入-李可立2利2/6-2/21</t>
  </si>
  <si>
    <t>分期利息收入1分-2潘寬龍</t>
  </si>
  <si>
    <t>分期利息收入-吳志忠</t>
  </si>
  <si>
    <t>分期利息收入-吳志忠3利2/7-2/22</t>
  </si>
  <si>
    <t>分期利息收入-江勝松</t>
  </si>
  <si>
    <t>分期利息收入-江勝松1分-1</t>
  </si>
  <si>
    <t>利息收入-林子覺2利2/7-2/22  2/22-3/7</t>
  </si>
  <si>
    <t>分期利息收入-朱進龍1分-2</t>
  </si>
  <si>
    <t>利息收入-劉志鵬</t>
  </si>
  <si>
    <t>利息收入-劉志鵬12/8-2/233利</t>
  </si>
  <si>
    <t>利息收入-司守義</t>
  </si>
  <si>
    <t>利息收入-司守義20利2/8-2/23</t>
  </si>
  <si>
    <t>分期利息收入-何秋輝1分-2</t>
  </si>
  <si>
    <t>利息收入-張義隆1利2/10-2/25</t>
  </si>
  <si>
    <t>分期利息收入-張義隆</t>
  </si>
  <si>
    <t>分期利息收入-張義隆1分-1</t>
  </si>
  <si>
    <t>分期利息收入-林兆儒</t>
  </si>
  <si>
    <t>分期利息收入-林兆儒1分-4</t>
  </si>
  <si>
    <t>利息收入-李鴻彬</t>
  </si>
  <si>
    <t>利息收入-李鴻彬1利2/2-2/17</t>
  </si>
  <si>
    <t>分期利息收入-李鴻彬1分3-10</t>
  </si>
  <si>
    <t>利息收入-李可立2利2/10-2/25</t>
  </si>
  <si>
    <t>分期利息收入-李可立1分-4</t>
  </si>
  <si>
    <t>分期利息收入-李可立2分-2</t>
  </si>
  <si>
    <t>分期利息收入-王廉戰1分-4</t>
  </si>
  <si>
    <t>利息收入-陳新元1利2/11-2/26 2/26-3/11</t>
  </si>
  <si>
    <t>分期利息收入-張春輝1分-4</t>
  </si>
  <si>
    <t>利息收入-張義隆1利/11-2/26</t>
  </si>
  <si>
    <t>分期利息收入-王廉戰1分-5</t>
  </si>
  <si>
    <t>分期利息-宮世寶2分-1</t>
  </si>
  <si>
    <t>利息收入-劉能營2利/13-2/28</t>
  </si>
  <si>
    <t>分期利息入-黃超淵</t>
  </si>
  <si>
    <t>會員
編號</t>
    <phoneticPr fontId="2" type="noConversion"/>
  </si>
  <si>
    <t>范姜文斌</t>
    <phoneticPr fontId="2" type="noConversion"/>
  </si>
  <si>
    <t>孫承鶴</t>
    <phoneticPr fontId="2" type="noConversion"/>
  </si>
  <si>
    <t>徐午剛</t>
    <phoneticPr fontId="2" type="noConversion"/>
  </si>
  <si>
    <t>3(B)</t>
    <phoneticPr fontId="2" type="noConversion"/>
  </si>
  <si>
    <t>徐敏峰</t>
    <phoneticPr fontId="2" type="noConversion"/>
  </si>
  <si>
    <t>徐舶超</t>
    <phoneticPr fontId="2" type="noConversion"/>
  </si>
  <si>
    <t>涂中皇</t>
    <phoneticPr fontId="2" type="noConversion"/>
  </si>
  <si>
    <t>27(B)</t>
    <phoneticPr fontId="2" type="noConversion"/>
  </si>
  <si>
    <t>涂俊男</t>
    <phoneticPr fontId="2" type="noConversion"/>
  </si>
  <si>
    <t>翁榮成</t>
    <phoneticPr fontId="2" type="noConversion"/>
  </si>
  <si>
    <t>證據出處為102 年刑保管1055號扣押物品清單編號8「收款明細表（7-12月）」【即扣押物箱內編號19-3-1至19-3-6】、編號16「還款利息明細表」【即扣押物箱內編號19-21】（係起訴書非供述證據編號7）。另同上扣押物品清單編號7「收款信封暨明細表」【即扣押物箱內編號19-2】亦有相關計算依據。</t>
    <phoneticPr fontId="2" type="noConversion"/>
  </si>
  <si>
    <t>合計</t>
    <phoneticPr fontId="2" type="noConversion"/>
  </si>
  <si>
    <r>
      <t>[</t>
    </r>
    <r>
      <rPr>
        <sz val="12"/>
        <color theme="1"/>
        <rFont val="新細明體"/>
        <family val="1"/>
        <charset val="136"/>
        <scheme val="minor"/>
      </rPr>
      <t>A]</t>
    </r>
    <r>
      <rPr>
        <sz val="12"/>
        <color indexed="8"/>
        <rFont val="新細明體"/>
        <family val="1"/>
        <charset val="136"/>
      </rPr>
      <t>本金</t>
    </r>
    <phoneticPr fontId="2" type="noConversion"/>
  </si>
  <si>
    <r>
      <t>[B]</t>
    </r>
    <r>
      <rPr>
        <sz val="12"/>
        <color indexed="8"/>
        <rFont val="新細明體"/>
        <family val="1"/>
        <charset val="136"/>
      </rPr>
      <t>借款日
(註</t>
    </r>
    <r>
      <rPr>
        <sz val="12"/>
        <color theme="1"/>
        <rFont val="新細明體"/>
        <family val="1"/>
        <charset val="136"/>
        <scheme val="minor"/>
      </rPr>
      <t>2)</t>
    </r>
    <phoneticPr fontId="2" type="noConversion"/>
  </si>
  <si>
    <r>
      <t>[</t>
    </r>
    <r>
      <rPr>
        <sz val="12"/>
        <color theme="1"/>
        <rFont val="新細明體"/>
        <family val="1"/>
        <charset val="136"/>
        <scheme val="minor"/>
      </rPr>
      <t>C]</t>
    </r>
    <r>
      <rPr>
        <sz val="12"/>
        <color indexed="8"/>
        <rFont val="新細明體"/>
        <family val="1"/>
        <charset val="136"/>
      </rPr>
      <t>每期
固定息</t>
    </r>
    <phoneticPr fontId="7" type="noConversion"/>
  </si>
  <si>
    <r>
      <t>[</t>
    </r>
    <r>
      <rPr>
        <sz val="12"/>
        <color theme="1"/>
        <rFont val="新細明體"/>
        <family val="1"/>
        <charset val="136"/>
        <scheme val="minor"/>
      </rPr>
      <t>D]</t>
    </r>
    <r>
      <rPr>
        <sz val="12"/>
        <color indexed="8"/>
        <rFont val="新細明體"/>
        <family val="1"/>
        <charset val="136"/>
      </rPr>
      <t>繳息
次數</t>
    </r>
    <phoneticPr fontId="2" type="noConversion"/>
  </si>
  <si>
    <r>
      <t>[E]</t>
    </r>
    <r>
      <rPr>
        <sz val="12"/>
        <color indexed="8"/>
        <rFont val="新細明體"/>
        <family val="1"/>
        <charset val="136"/>
      </rPr>
      <t>月利率
(註</t>
    </r>
    <r>
      <rPr>
        <sz val="12"/>
        <color theme="1"/>
        <rFont val="新細明體"/>
        <family val="1"/>
        <charset val="136"/>
        <scheme val="minor"/>
      </rPr>
      <t>3)</t>
    </r>
    <phoneticPr fontId="7" type="noConversion"/>
  </si>
  <si>
    <r>
      <t>[F]</t>
    </r>
    <r>
      <rPr>
        <sz val="12"/>
        <color indexed="8"/>
        <rFont val="新細明體"/>
        <family val="1"/>
        <charset val="136"/>
      </rPr>
      <t>計息期間
(天)</t>
    </r>
    <r>
      <rPr>
        <sz val="12"/>
        <color theme="1"/>
        <rFont val="新細明體"/>
        <family val="1"/>
        <charset val="136"/>
        <scheme val="minor"/>
      </rPr>
      <t>(</t>
    </r>
    <r>
      <rPr>
        <sz val="12"/>
        <color indexed="8"/>
        <rFont val="新細明體"/>
        <family val="1"/>
        <charset val="136"/>
      </rPr>
      <t>註</t>
    </r>
    <r>
      <rPr>
        <sz val="12"/>
        <color theme="1"/>
        <rFont val="新細明體"/>
        <family val="1"/>
        <charset val="136"/>
        <scheme val="minor"/>
      </rPr>
      <t>3)</t>
    </r>
    <phoneticPr fontId="7" type="noConversion"/>
  </si>
  <si>
    <r>
      <t>[G]</t>
    </r>
    <r>
      <rPr>
        <sz val="12"/>
        <color indexed="8"/>
        <rFont val="新細明體"/>
        <family val="1"/>
        <charset val="136"/>
      </rPr>
      <t>已繳利息
(註</t>
    </r>
    <r>
      <rPr>
        <sz val="12"/>
        <color theme="1"/>
        <rFont val="新細明體"/>
        <family val="1"/>
        <charset val="136"/>
        <scheme val="minor"/>
      </rPr>
      <t>4</t>
    </r>
    <r>
      <rPr>
        <sz val="12"/>
        <color indexed="8"/>
        <rFont val="新細明體"/>
        <family val="1"/>
        <charset val="136"/>
      </rPr>
      <t>)</t>
    </r>
    <phoneticPr fontId="2" type="noConversion"/>
  </si>
  <si>
    <r>
      <t>[H]</t>
    </r>
    <r>
      <rPr>
        <sz val="12"/>
        <color indexed="8"/>
        <rFont val="新細明體"/>
        <family val="1"/>
        <charset val="136"/>
      </rPr>
      <t>犯罪所得
(註</t>
    </r>
    <r>
      <rPr>
        <sz val="12"/>
        <color theme="1"/>
        <rFont val="新細明體"/>
        <family val="1"/>
        <charset val="136"/>
        <scheme val="minor"/>
      </rPr>
      <t>5</t>
    </r>
    <r>
      <rPr>
        <sz val="12"/>
        <color indexed="8"/>
        <rFont val="新細明體"/>
        <family val="1"/>
        <charset val="136"/>
      </rPr>
      <t>)</t>
    </r>
    <phoneticPr fontId="2" type="noConversion"/>
  </si>
  <si>
    <t>註4：</t>
  </si>
  <si>
    <t>「已繳利息」欄之計算方式為：
1.計息週期為「分期」者：[G]=本金*換算之週期利率*繳息次數＝[A]*（[E]*0.25）*[D]
2.計息週期為「15天」者：[G]=本金*換算之週期利率*繳息次數＝[A]*（[E]*[F]/30）*[D]</t>
    <phoneticPr fontId="2" type="noConversion"/>
  </si>
  <si>
    <t>扣押物箱內編號19-3-1第32頁</t>
    <phoneticPr fontId="2" type="noConversion"/>
  </si>
  <si>
    <t>扣押物箱內編號19-3-1第34頁</t>
    <phoneticPr fontId="2" type="noConversion"/>
  </si>
  <si>
    <t>扣押物箱內編號19-3-1第36頁</t>
    <phoneticPr fontId="2" type="noConversion"/>
  </si>
  <si>
    <t>扣押物箱內編號19-3-1第38頁</t>
    <phoneticPr fontId="2" type="noConversion"/>
  </si>
  <si>
    <t>扣押物箱內編號19-3-1第40頁</t>
    <phoneticPr fontId="2" type="noConversion"/>
  </si>
  <si>
    <t>扣押物箱內編號19-3-1第41頁</t>
    <phoneticPr fontId="2" type="noConversion"/>
  </si>
  <si>
    <t>扣押物箱內編號19-3-2第1頁</t>
    <phoneticPr fontId="2" type="noConversion"/>
  </si>
  <si>
    <t>扣押物箱內編號19-3-2第2頁</t>
    <phoneticPr fontId="2" type="noConversion"/>
  </si>
  <si>
    <t>扣押物箱內編號19-3-2第3頁</t>
    <phoneticPr fontId="2" type="noConversion"/>
  </si>
  <si>
    <t>扣押物箱內編號19-3-2第5頁</t>
    <phoneticPr fontId="2" type="noConversion"/>
  </si>
  <si>
    <t>扣押物箱內編號19-3-2第6頁</t>
    <phoneticPr fontId="2" type="noConversion"/>
  </si>
  <si>
    <t>扣押物箱內編號19-3-2第7頁</t>
    <phoneticPr fontId="2" type="noConversion"/>
  </si>
  <si>
    <t>扣押物箱內編號19-3-2第8頁</t>
    <phoneticPr fontId="2" type="noConversion"/>
  </si>
  <si>
    <t>扣押物箱內編號19-3-2第9頁</t>
    <phoneticPr fontId="2" type="noConversion"/>
  </si>
  <si>
    <t>扣押物箱內編號19-3-2第10頁</t>
    <phoneticPr fontId="2" type="noConversion"/>
  </si>
  <si>
    <t>扣押物箱內編號19-3-2第11頁</t>
    <phoneticPr fontId="2" type="noConversion"/>
  </si>
  <si>
    <t>扣押物箱內編號19-3-2第12頁</t>
    <phoneticPr fontId="2" type="noConversion"/>
  </si>
  <si>
    <t>扣押物箱內編號19-3-2第13頁</t>
    <phoneticPr fontId="2" type="noConversion"/>
  </si>
  <si>
    <t>扣押物箱內編號19-3-2第14頁</t>
    <phoneticPr fontId="2" type="noConversion"/>
  </si>
  <si>
    <t>扣押物箱內編號19-3-2第15頁</t>
    <phoneticPr fontId="2" type="noConversion"/>
  </si>
  <si>
    <t>扣押物箱內編號19-21第22頁</t>
  </si>
  <si>
    <t>扣押物箱內編號19-21第23頁</t>
  </si>
  <si>
    <t>扣押物箱內編號19-21第24頁</t>
  </si>
  <si>
    <t>扣押物箱內編號19-21第25頁</t>
  </si>
  <si>
    <t>扣押物箱內編號19-21第26頁</t>
  </si>
  <si>
    <t>扣押物箱內編號19-21第27頁</t>
  </si>
  <si>
    <t>扣押物箱內編號19-21第28頁</t>
  </si>
  <si>
    <t>扣押物箱內編號19-21第29頁</t>
  </si>
  <si>
    <t>扣押物箱內編號19-21第30頁</t>
  </si>
  <si>
    <t>扣押物箱內編號19-21第31頁</t>
  </si>
  <si>
    <t>扣押物箱內編號19-21第32頁</t>
  </si>
  <si>
    <t>扣押物箱內編號19-21第33頁</t>
  </si>
  <si>
    <t>扣押物箱內編號19-21第34頁</t>
  </si>
  <si>
    <t>扣押物箱內編號19-21第35頁</t>
  </si>
  <si>
    <t>扣押物箱內編號19-21第36頁</t>
  </si>
  <si>
    <t>扣押物箱內編號19-21第37頁</t>
  </si>
  <si>
    <t>扣押物箱內編號19-21第38頁</t>
  </si>
  <si>
    <t>扣押物箱內編號19-21第39頁</t>
  </si>
  <si>
    <t>扣押物箱內編號19-21第40頁</t>
  </si>
  <si>
    <t>扣押物箱內編號19-21第41頁</t>
  </si>
  <si>
    <t>扣押物箱內編號19-21第42頁</t>
  </si>
  <si>
    <t>扣押物箱內編號19-21第43頁</t>
  </si>
  <si>
    <t>扣押物箱內編號19-21第44頁</t>
  </si>
  <si>
    <t>扣押物箱內編號19-21第45頁</t>
  </si>
  <si>
    <t>扣押物箱內編號19-21第46頁</t>
  </si>
  <si>
    <t>扣押物箱內編號19-21第47頁</t>
  </si>
  <si>
    <t>扣押物箱內編號19-21第48頁</t>
  </si>
  <si>
    <t>扣押物箱內編號19-21第49頁</t>
  </si>
  <si>
    <t>扣押物箱內編號19-21第50頁</t>
  </si>
  <si>
    <t>扣押物箱內編號19-21第51頁</t>
  </si>
  <si>
    <t>扣押物箱內編號19-21第52頁</t>
  </si>
  <si>
    <t>黃炳煌</t>
    <phoneticPr fontId="2" type="noConversion"/>
  </si>
  <si>
    <t>合計</t>
    <phoneticPr fontId="2" type="noConversion"/>
  </si>
  <si>
    <t>卷證出處
（註1）</t>
    <phoneticPr fontId="2" type="noConversion"/>
  </si>
  <si>
    <t>註1：</t>
    <phoneticPr fontId="2" type="noConversion"/>
  </si>
  <si>
    <t>扣除合法利息（註2）</t>
  </si>
  <si>
    <t>犯罪所得（註2）</t>
    <phoneticPr fontId="2" type="noConversion"/>
  </si>
  <si>
    <t>註2：</t>
    <phoneticPr fontId="2" type="noConversion"/>
  </si>
  <si>
    <t>陶東益</t>
    <phoneticPr fontId="7" type="noConversion"/>
  </si>
  <si>
    <t>0914</t>
    <phoneticPr fontId="7" type="noConversion"/>
  </si>
  <si>
    <t>1014</t>
    <phoneticPr fontId="7" type="noConversion"/>
  </si>
  <si>
    <t>0417</t>
    <phoneticPr fontId="7" type="noConversion"/>
  </si>
  <si>
    <t>曾昭宏</t>
    <phoneticPr fontId="7" type="noConversion"/>
  </si>
  <si>
    <t>0229</t>
    <phoneticPr fontId="7" type="noConversion"/>
  </si>
  <si>
    <t>0407</t>
    <phoneticPr fontId="7" type="noConversion"/>
  </si>
  <si>
    <t>高榮宏</t>
    <phoneticPr fontId="7" type="noConversion"/>
  </si>
  <si>
    <t>林熙正</t>
    <phoneticPr fontId="7" type="noConversion"/>
  </si>
  <si>
    <t>0306</t>
    <phoneticPr fontId="7" type="noConversion"/>
  </si>
  <si>
    <t>第12頁</t>
    <phoneticPr fontId="2" type="noConversion"/>
  </si>
  <si>
    <t>第13頁</t>
    <phoneticPr fontId="2" type="noConversion"/>
  </si>
  <si>
    <t>第14頁</t>
    <phoneticPr fontId="2" type="noConversion"/>
  </si>
  <si>
    <t>第15頁</t>
    <phoneticPr fontId="2" type="noConversion"/>
  </si>
  <si>
    <t>第16頁</t>
    <phoneticPr fontId="2" type="noConversion"/>
  </si>
  <si>
    <t>第17頁</t>
    <phoneticPr fontId="2" type="noConversion"/>
  </si>
  <si>
    <t>第18頁</t>
    <phoneticPr fontId="2" type="noConversion"/>
  </si>
  <si>
    <t>第19頁</t>
    <phoneticPr fontId="2" type="noConversion"/>
  </si>
  <si>
    <t>第20頁</t>
    <phoneticPr fontId="2" type="noConversion"/>
  </si>
  <si>
    <t>第21頁</t>
    <phoneticPr fontId="2" type="noConversion"/>
  </si>
  <si>
    <t>第22頁</t>
    <phoneticPr fontId="2" type="noConversion"/>
  </si>
  <si>
    <t>第23頁</t>
    <phoneticPr fontId="2" type="noConversion"/>
  </si>
  <si>
    <t>第24頁</t>
    <phoneticPr fontId="2" type="noConversion"/>
  </si>
  <si>
    <t>第25頁</t>
    <phoneticPr fontId="2" type="noConversion"/>
  </si>
  <si>
    <t>第26頁</t>
    <phoneticPr fontId="2" type="noConversion"/>
  </si>
  <si>
    <t>第27頁</t>
    <phoneticPr fontId="2" type="noConversion"/>
  </si>
  <si>
    <t>第28頁</t>
    <phoneticPr fontId="2" type="noConversion"/>
  </si>
  <si>
    <t>第29頁</t>
    <phoneticPr fontId="2" type="noConversion"/>
  </si>
  <si>
    <t>第30頁</t>
    <phoneticPr fontId="2" type="noConversion"/>
  </si>
  <si>
    <t>第31頁</t>
    <phoneticPr fontId="2" type="noConversion"/>
  </si>
  <si>
    <t>第32頁</t>
    <phoneticPr fontId="2" type="noConversion"/>
  </si>
  <si>
    <t>第33頁</t>
    <phoneticPr fontId="2" type="noConversion"/>
  </si>
  <si>
    <t>起訴書誤載姓名為「張閏賓」</t>
    <phoneticPr fontId="2" type="noConversion"/>
  </si>
  <si>
    <t>翁堉祐</t>
    <phoneticPr fontId="2" type="noConversion"/>
  </si>
  <si>
    <t>起訴書誤載姓名為「翁育祐」</t>
    <phoneticPr fontId="2" type="noConversion"/>
  </si>
  <si>
    <t>起訴書誤載會員編號為「3209」</t>
    <phoneticPr fontId="2" type="noConversion"/>
  </si>
  <si>
    <t>起訴書誤載姓名為「曾俊偉」</t>
    <phoneticPr fontId="2" type="noConversion"/>
  </si>
  <si>
    <t>曹俊偉</t>
    <phoneticPr fontId="2" type="noConversion"/>
  </si>
  <si>
    <t>韓澄清</t>
    <phoneticPr fontId="2" type="noConversion"/>
  </si>
  <si>
    <t>陳成業</t>
    <phoneticPr fontId="2" type="noConversion"/>
  </si>
  <si>
    <t>起訴書誤載會員編號為「33385」</t>
    <phoneticPr fontId="2" type="noConversion"/>
  </si>
  <si>
    <t>起訴書誤載姓名為「曹聖國」</t>
    <phoneticPr fontId="2" type="noConversion"/>
  </si>
  <si>
    <t>曹勝國</t>
    <phoneticPr fontId="2" type="noConversion"/>
  </si>
  <si>
    <t>起訴書誤載姓名為「陳清鳳」</t>
    <phoneticPr fontId="2" type="noConversion"/>
  </si>
  <si>
    <t>陳清風</t>
    <phoneticPr fontId="2" type="noConversion"/>
  </si>
  <si>
    <t>起訴書誤載姓名為「廖漢中」</t>
    <phoneticPr fontId="2" type="noConversion"/>
  </si>
  <si>
    <t>廖漢忠</t>
    <phoneticPr fontId="2" type="noConversion"/>
  </si>
  <si>
    <t>起訴書誤載姓名為「張聯智」</t>
    <phoneticPr fontId="2" type="noConversion"/>
  </si>
  <si>
    <t>張聯晉</t>
    <phoneticPr fontId="2" type="noConversion"/>
  </si>
  <si>
    <t>起訴書誤載姓名為「俞明永」</t>
    <phoneticPr fontId="2" type="noConversion"/>
  </si>
  <si>
    <t>「借款及繳息期間」欄內所示借款及繳息期間在「97年7月24日」以前之部分，均係在前案於97年7月24日以前所為之重利行為，在本件均不列計其繳息金額及犯罪所得；另上開國泰、丙全、元一、元崗、元喆、合豐當鋪「借款及繳息期間」欄內所示借款及繳息期間在「102年1月23日」以後之部分，均因被告已在押，卷內亦無足夠證據認定該些被害人持續繳息之行為與在押被告間之關連性，故在本件亦均不列計其繳息金額及犯罪所得。</t>
    <phoneticPr fontId="2" type="noConversion"/>
  </si>
  <si>
    <t>起訴書附表二、檢察官102年7月16日補充理由書第12頁及第15頁增列之重利被害人周茂正、徐潤祥、凃清城、彭南山、張明文、伍思富、102年7月19日補充理由書第3-5 頁所列張明文、陳志忠、項紀文、林坤增、莊榮昌、劉志鵬、黃冠源、劉昭鎮、李希睿、劉正文、陳瑞章、王進財、陳建華、李永成、陳文進、簡福來等人，除(1)起訴書附表二編號10「張明珠」非本案借款人，(2)起訴書附表二編號9「方士祥」於「丙全當鋪」之借款及(3)附表一之7「註3」所示「借款期間」欄所示借款期間在「97年7月24日」以前之部分，因均係於97年7月24日以前所為的重利行為，其相關重利犯罪所得金額均不列計於本附表內之外，就起訴書、檢察官補充理由書所列其餘被害人部分之重利犯罪所得金額均已列於上開附表一之1至一之7中。</t>
    <phoneticPr fontId="2" type="noConversion"/>
  </si>
  <si>
    <t>林俊寬</t>
    <phoneticPr fontId="2" type="noConversion"/>
  </si>
  <si>
    <t>陳銘洲</t>
    <phoneticPr fontId="2" type="noConversion"/>
  </si>
  <si>
    <t>楊松林</t>
    <phoneticPr fontId="2" type="noConversion"/>
  </si>
  <si>
    <t>陳志忠</t>
    <phoneticPr fontId="2" type="noConversion"/>
  </si>
  <si>
    <t>林桓右</t>
    <phoneticPr fontId="2" type="noConversion"/>
  </si>
  <si>
    <t>尹必偉</t>
    <phoneticPr fontId="2" type="noConversion"/>
  </si>
  <si>
    <t>沈源興</t>
    <phoneticPr fontId="2" type="noConversion"/>
  </si>
  <si>
    <t>宋子能</t>
    <phoneticPr fontId="2" type="noConversion"/>
  </si>
  <si>
    <t>郭博元</t>
    <phoneticPr fontId="2" type="noConversion"/>
  </si>
  <si>
    <t>戴正瑞</t>
    <phoneticPr fontId="2" type="noConversion"/>
  </si>
  <si>
    <t>楊詩壁</t>
    <phoneticPr fontId="2" type="noConversion"/>
  </si>
  <si>
    <t>馬章軒</t>
    <phoneticPr fontId="2" type="noConversion"/>
  </si>
  <si>
    <t>江憲陽</t>
    <phoneticPr fontId="2" type="noConversion"/>
  </si>
  <si>
    <t>張溪松</t>
    <phoneticPr fontId="2" type="noConversion"/>
  </si>
  <si>
    <t>王南勳</t>
    <phoneticPr fontId="2" type="noConversion"/>
  </si>
  <si>
    <t>羅德濱</t>
    <phoneticPr fontId="2" type="noConversion"/>
  </si>
  <si>
    <t>涂清城</t>
    <phoneticPr fontId="2" type="noConversion"/>
  </si>
  <si>
    <t>古健忠</t>
    <phoneticPr fontId="2" type="noConversion"/>
  </si>
  <si>
    <t>王進景</t>
    <phoneticPr fontId="2" type="noConversion"/>
  </si>
  <si>
    <t>陳曉明</t>
    <phoneticPr fontId="2" type="noConversion"/>
  </si>
  <si>
    <t>陳信全</t>
    <phoneticPr fontId="2" type="noConversion"/>
  </si>
  <si>
    <t>陳坤明</t>
    <phoneticPr fontId="2" type="noConversion"/>
  </si>
  <si>
    <t>黃居前</t>
    <phoneticPr fontId="2" type="noConversion"/>
  </si>
  <si>
    <t>楊錫池</t>
    <phoneticPr fontId="2" type="noConversion"/>
  </si>
  <si>
    <t>簡茂森</t>
    <phoneticPr fontId="2" type="noConversion"/>
  </si>
  <si>
    <t>馬中興</t>
    <phoneticPr fontId="2" type="noConversion"/>
  </si>
  <si>
    <t>鄭繼穑</t>
    <phoneticPr fontId="2" type="noConversion"/>
  </si>
  <si>
    <t>劉美女</t>
    <phoneticPr fontId="2" type="noConversion"/>
  </si>
  <si>
    <t>方文閔</t>
    <phoneticPr fontId="2" type="noConversion"/>
  </si>
  <si>
    <t>李希睿</t>
    <phoneticPr fontId="2" type="noConversion"/>
  </si>
  <si>
    <t>黃基詮</t>
    <phoneticPr fontId="2" type="noConversion"/>
  </si>
  <si>
    <t>彭文光</t>
    <phoneticPr fontId="2" type="noConversion"/>
  </si>
  <si>
    <t>陳春明</t>
    <phoneticPr fontId="2" type="noConversion"/>
  </si>
  <si>
    <t>劉嘉興</t>
    <phoneticPr fontId="2" type="noConversion"/>
  </si>
  <si>
    <t>洪秋枝</t>
    <phoneticPr fontId="2" type="noConversion"/>
  </si>
  <si>
    <t>周玉秋</t>
    <phoneticPr fontId="2" type="noConversion"/>
  </si>
  <si>
    <t>曾紹峰</t>
    <phoneticPr fontId="2" type="noConversion"/>
  </si>
  <si>
    <t>林添正</t>
    <phoneticPr fontId="2" type="noConversion"/>
  </si>
  <si>
    <t>蔡繼宗</t>
    <phoneticPr fontId="2" type="noConversion"/>
  </si>
  <si>
    <t>葉文雄</t>
    <phoneticPr fontId="2" type="noConversion"/>
  </si>
  <si>
    <t>戴宏章</t>
    <phoneticPr fontId="2" type="noConversion"/>
  </si>
  <si>
    <t>林維原</t>
    <phoneticPr fontId="2" type="noConversion"/>
  </si>
  <si>
    <t>徐登財</t>
    <phoneticPr fontId="2" type="noConversion"/>
  </si>
  <si>
    <t>詹光雄</t>
    <phoneticPr fontId="2" type="noConversion"/>
  </si>
  <si>
    <t>梁幼文</t>
    <phoneticPr fontId="2" type="noConversion"/>
  </si>
  <si>
    <t>張冠雄</t>
    <phoneticPr fontId="2" type="noConversion"/>
  </si>
  <si>
    <t>李張安</t>
    <phoneticPr fontId="2" type="noConversion"/>
  </si>
  <si>
    <t>張宗文</t>
    <phoneticPr fontId="2" type="noConversion"/>
  </si>
  <si>
    <t>郭承翰</t>
    <phoneticPr fontId="2" type="noConversion"/>
  </si>
  <si>
    <t>張木炎</t>
    <phoneticPr fontId="2" type="noConversion"/>
  </si>
  <si>
    <t>林得旺</t>
    <phoneticPr fontId="2" type="noConversion"/>
  </si>
  <si>
    <t>黃信義</t>
    <phoneticPr fontId="2" type="noConversion"/>
  </si>
  <si>
    <t>蔡文雄</t>
    <phoneticPr fontId="2" type="noConversion"/>
  </si>
  <si>
    <t>扣息日期</t>
    <phoneticPr fontId="2" type="noConversion"/>
  </si>
  <si>
    <t>扣息金額</t>
    <phoneticPr fontId="2" type="noConversion"/>
  </si>
  <si>
    <t>林水舜</t>
    <phoneticPr fontId="2" type="noConversion"/>
  </si>
  <si>
    <t>陳文忠</t>
    <phoneticPr fontId="2" type="noConversion"/>
  </si>
  <si>
    <t>程禹滔</t>
    <phoneticPr fontId="2" type="noConversion"/>
  </si>
  <si>
    <t>吳國宏</t>
    <phoneticPr fontId="2" type="noConversion"/>
  </si>
  <si>
    <t>張德誌</t>
    <phoneticPr fontId="2" type="noConversion"/>
  </si>
  <si>
    <t>紀力嘉</t>
    <phoneticPr fontId="2" type="noConversion"/>
  </si>
  <si>
    <t>黃文樹</t>
    <phoneticPr fontId="2" type="noConversion"/>
  </si>
  <si>
    <t>劉建銘</t>
    <phoneticPr fontId="2" type="noConversion"/>
  </si>
  <si>
    <t>林建基</t>
    <phoneticPr fontId="2" type="noConversion"/>
  </si>
  <si>
    <t>繳款日期</t>
    <phoneticPr fontId="2" type="noConversion"/>
  </si>
  <si>
    <t>繳息金額</t>
    <phoneticPr fontId="2" type="noConversion"/>
  </si>
  <si>
    <t>謝文誠</t>
    <phoneticPr fontId="2" type="noConversion"/>
  </si>
  <si>
    <t>11/26 2250</t>
    <phoneticPr fontId="2" type="noConversion"/>
  </si>
  <si>
    <t>陳俊男</t>
    <phoneticPr fontId="2" type="noConversion"/>
  </si>
  <si>
    <t>施能華</t>
    <phoneticPr fontId="2" type="noConversion"/>
  </si>
  <si>
    <t>11/1 375 11/2 185 11/3 560 11/11 750</t>
    <phoneticPr fontId="2" type="noConversion"/>
  </si>
  <si>
    <t>彭錦威</t>
    <phoneticPr fontId="2" type="noConversion"/>
  </si>
  <si>
    <t>扣押物箱內編號19-21第15頁</t>
  </si>
  <si>
    <t>扣押物箱內編號19-21第16頁</t>
  </si>
  <si>
    <t>扣押物箱內編號19-21第17頁</t>
  </si>
  <si>
    <t>扣押物箱內編號19-21第18頁</t>
  </si>
  <si>
    <t>扣押物箱內編號19-21第19頁</t>
  </si>
  <si>
    <t>扣押物箱內編號19-21第20頁</t>
  </si>
  <si>
    <t>扣押物箱內編號19-21第21頁</t>
  </si>
  <si>
    <t>蔡榮忠</t>
    <phoneticPr fontId="2" type="noConversion"/>
  </si>
  <si>
    <t>蔡聰益</t>
    <phoneticPr fontId="2" type="noConversion"/>
  </si>
  <si>
    <t>29(B)</t>
    <phoneticPr fontId="2" type="noConversion"/>
  </si>
  <si>
    <t>蔡鑫山</t>
    <phoneticPr fontId="2" type="noConversion"/>
  </si>
  <si>
    <t>鄭坤彰</t>
    <phoneticPr fontId="2" type="noConversion"/>
  </si>
  <si>
    <t>鄭岳麟</t>
    <phoneticPr fontId="2" type="noConversion"/>
  </si>
  <si>
    <t>鄭松德</t>
    <phoneticPr fontId="2" type="noConversion"/>
  </si>
  <si>
    <t>鄭泰山</t>
    <phoneticPr fontId="2" type="noConversion"/>
  </si>
  <si>
    <t>鄭進龍</t>
    <phoneticPr fontId="2" type="noConversion"/>
  </si>
  <si>
    <t>鄭雲郎</t>
    <phoneticPr fontId="2" type="noConversion"/>
  </si>
  <si>
    <t>盧忻怡</t>
    <phoneticPr fontId="2" type="noConversion"/>
  </si>
  <si>
    <t>28(B)</t>
    <phoneticPr fontId="2" type="noConversion"/>
  </si>
  <si>
    <t>盧振興</t>
    <phoneticPr fontId="2" type="noConversion"/>
  </si>
  <si>
    <t>蕭文政</t>
    <phoneticPr fontId="2" type="noConversion"/>
  </si>
  <si>
    <t>蕭楠華</t>
    <phoneticPr fontId="2" type="noConversion"/>
  </si>
  <si>
    <t>蕭煒人</t>
    <phoneticPr fontId="2" type="noConversion"/>
  </si>
  <si>
    <t>賴福宏</t>
    <phoneticPr fontId="2" type="noConversion"/>
  </si>
  <si>
    <t>錢明煌</t>
    <phoneticPr fontId="2" type="noConversion"/>
  </si>
  <si>
    <t>駱進逢</t>
    <phoneticPr fontId="2" type="noConversion"/>
  </si>
  <si>
    <t>戴有德</t>
    <phoneticPr fontId="2" type="noConversion"/>
  </si>
  <si>
    <t>戴春水</t>
    <phoneticPr fontId="2" type="noConversion"/>
  </si>
  <si>
    <t>戴貴榮</t>
    <phoneticPr fontId="2" type="noConversion"/>
  </si>
  <si>
    <t>謝水塗</t>
    <phoneticPr fontId="2" type="noConversion"/>
  </si>
  <si>
    <t>謝志成</t>
    <phoneticPr fontId="2" type="noConversion"/>
  </si>
  <si>
    <t>謝松發</t>
    <phoneticPr fontId="2" type="noConversion"/>
  </si>
  <si>
    <t>25(B)</t>
    <phoneticPr fontId="2" type="noConversion"/>
  </si>
  <si>
    <t>分期借支-方士祥1 分-1</t>
  </si>
  <si>
    <t>分期利息-宮世寶</t>
    <phoneticPr fontId="2" type="noConversion"/>
  </si>
  <si>
    <t>利息收入-劉能營</t>
    <phoneticPr fontId="2" type="noConversion"/>
  </si>
  <si>
    <t>借支-張義隆</t>
  </si>
  <si>
    <t>借支-張義隆2利2/14-2/29</t>
  </si>
  <si>
    <t>分期借支-莊屘</t>
  </si>
  <si>
    <t>分期借支-莊屘1分-1</t>
  </si>
  <si>
    <t>利息-周宗玉</t>
    <phoneticPr fontId="2" type="noConversion"/>
  </si>
  <si>
    <t>利息-劉能營</t>
    <phoneticPr fontId="2" type="noConversion"/>
  </si>
  <si>
    <t>利息-郭鳯俠</t>
    <phoneticPr fontId="2" type="noConversion"/>
  </si>
  <si>
    <t>不分期</t>
    <phoneticPr fontId="2" type="noConversion"/>
  </si>
  <si>
    <t>分期</t>
    <phoneticPr fontId="2" type="noConversion"/>
  </si>
  <si>
    <t>註1：</t>
  </si>
  <si>
    <t>註3：</t>
  </si>
  <si>
    <t>利息金額
（註1）</t>
    <phoneticPr fontId="2" type="noConversion"/>
  </si>
  <si>
    <t>計息方式
（註2）</t>
    <phoneticPr fontId="2" type="noConversion"/>
  </si>
  <si>
    <t>利率
（註2）</t>
    <phoneticPr fontId="2" type="noConversion"/>
  </si>
  <si>
    <t>犯罪所得
（註3）</t>
    <phoneticPr fontId="2" type="noConversion"/>
  </si>
  <si>
    <t>科目摘要
（註1）</t>
    <phoneticPr fontId="2" type="noConversion"/>
  </si>
  <si>
    <t>科目名稱
（註1）</t>
    <phoneticPr fontId="2" type="noConversion"/>
  </si>
  <si>
    <t>會計科目
（註1）</t>
    <phoneticPr fontId="2" type="noConversion"/>
  </si>
  <si>
    <t>日期
（註1）</t>
    <phoneticPr fontId="2" type="noConversion"/>
  </si>
  <si>
    <t>劉侑松</t>
    <phoneticPr fontId="2" type="noConversion"/>
  </si>
  <si>
    <t>2(B)</t>
    <phoneticPr fontId="2" type="noConversion"/>
  </si>
  <si>
    <t>劉林榮</t>
    <phoneticPr fontId="2" type="noConversion"/>
  </si>
  <si>
    <t>劉昭鎮</t>
    <phoneticPr fontId="2" type="noConversion"/>
  </si>
  <si>
    <t>劉盈榛</t>
    <phoneticPr fontId="2" type="noConversion"/>
  </si>
  <si>
    <t>劉期宏</t>
    <phoneticPr fontId="2" type="noConversion"/>
  </si>
  <si>
    <t>樓杰</t>
    <phoneticPr fontId="2" type="noConversion"/>
  </si>
  <si>
    <t>潘元吉</t>
    <phoneticPr fontId="2" type="noConversion"/>
  </si>
  <si>
    <t>潘志強</t>
    <phoneticPr fontId="2" type="noConversion"/>
  </si>
  <si>
    <t>10(B)</t>
    <phoneticPr fontId="2" type="noConversion"/>
  </si>
  <si>
    <t>潘展明</t>
    <phoneticPr fontId="2" type="noConversion"/>
  </si>
  <si>
    <t>潘泰龍</t>
    <phoneticPr fontId="2" type="noConversion"/>
  </si>
  <si>
    <t>蔡史超</t>
    <phoneticPr fontId="2" type="noConversion"/>
  </si>
  <si>
    <t>蔡坤益</t>
    <phoneticPr fontId="2" type="noConversion"/>
  </si>
  <si>
    <t>蔡金成</t>
    <phoneticPr fontId="2" type="noConversion"/>
  </si>
  <si>
    <t>33(B)</t>
    <phoneticPr fontId="2" type="noConversion"/>
  </si>
  <si>
    <t>蔡培火</t>
    <phoneticPr fontId="2" type="noConversion"/>
  </si>
  <si>
    <t>第26頁</t>
    <phoneticPr fontId="2" type="noConversion"/>
  </si>
  <si>
    <t>第26頁反面</t>
    <phoneticPr fontId="2" type="noConversion"/>
  </si>
  <si>
    <t>第27頁</t>
    <phoneticPr fontId="2" type="noConversion"/>
  </si>
  <si>
    <t>11/2 2435</t>
    <phoneticPr fontId="2" type="noConversion"/>
  </si>
  <si>
    <t>第28頁</t>
  </si>
  <si>
    <t>11/16 375 11/17 2250</t>
    <phoneticPr fontId="2" type="noConversion"/>
  </si>
  <si>
    <t>11/24 560</t>
    <phoneticPr fontId="2" type="noConversion"/>
  </si>
  <si>
    <t>11/30 2435</t>
    <phoneticPr fontId="2" type="noConversion"/>
  </si>
  <si>
    <t>12/10 560</t>
    <phoneticPr fontId="2" type="noConversion"/>
  </si>
  <si>
    <t>12/17 2250</t>
    <phoneticPr fontId="2" type="noConversion"/>
  </si>
  <si>
    <t xml:space="preserve">12/22 375 </t>
    <phoneticPr fontId="2" type="noConversion"/>
  </si>
  <si>
    <t>12/30 2435</t>
    <phoneticPr fontId="2" type="noConversion"/>
  </si>
  <si>
    <t>12/31 375</t>
    <phoneticPr fontId="2" type="noConversion"/>
  </si>
  <si>
    <t>1/1 2250</t>
    <phoneticPr fontId="2" type="noConversion"/>
  </si>
  <si>
    <t>1/16 1125</t>
    <phoneticPr fontId="2" type="noConversion"/>
  </si>
  <si>
    <t>第28頁反面</t>
    <phoneticPr fontId="2" type="noConversion"/>
  </si>
  <si>
    <t>第29頁</t>
    <phoneticPr fontId="2" type="noConversion"/>
  </si>
  <si>
    <t xml:space="preserve">12/8 750 </t>
    <phoneticPr fontId="2" type="noConversion"/>
  </si>
  <si>
    <t>12/12 375</t>
    <phoneticPr fontId="2" type="noConversion"/>
  </si>
  <si>
    <t>第29頁反面</t>
    <phoneticPr fontId="2" type="noConversion"/>
  </si>
  <si>
    <t>1/12 1500</t>
    <phoneticPr fontId="2" type="noConversion"/>
  </si>
  <si>
    <t>第30頁</t>
    <phoneticPr fontId="2" type="noConversion"/>
  </si>
  <si>
    <t>11/17 1125</t>
    <phoneticPr fontId="2" type="noConversion"/>
  </si>
  <si>
    <t>11/24 375</t>
    <phoneticPr fontId="2" type="noConversion"/>
  </si>
  <si>
    <t>12/2 1125</t>
    <phoneticPr fontId="2" type="noConversion"/>
  </si>
  <si>
    <t>12/9 375</t>
    <phoneticPr fontId="2" type="noConversion"/>
  </si>
  <si>
    <t>12/24 375</t>
    <phoneticPr fontId="2" type="noConversion"/>
  </si>
  <si>
    <t>12/17 1125</t>
    <phoneticPr fontId="2" type="noConversion"/>
  </si>
  <si>
    <t>1/1 1125</t>
    <phoneticPr fontId="2" type="noConversion"/>
  </si>
  <si>
    <t>1/8 375</t>
    <phoneticPr fontId="2" type="noConversion"/>
  </si>
  <si>
    <t>第30頁反面</t>
    <phoneticPr fontId="2" type="noConversion"/>
  </si>
  <si>
    <t>第31頁</t>
    <phoneticPr fontId="2" type="noConversion"/>
  </si>
  <si>
    <t>11/11 1310</t>
    <phoneticPr fontId="2" type="noConversion"/>
  </si>
  <si>
    <t>11/13 4875</t>
    <phoneticPr fontId="2" type="noConversion"/>
  </si>
  <si>
    <t>11/26 1310</t>
    <phoneticPr fontId="2" type="noConversion"/>
  </si>
  <si>
    <t>11/28 4875</t>
    <phoneticPr fontId="2" type="noConversion"/>
  </si>
  <si>
    <t>12/11 1310</t>
    <phoneticPr fontId="2" type="noConversion"/>
  </si>
  <si>
    <t>12/13 4875</t>
    <phoneticPr fontId="2" type="noConversion"/>
  </si>
  <si>
    <t>12/26 1310</t>
    <phoneticPr fontId="2" type="noConversion"/>
  </si>
  <si>
    <t>12/28 4875</t>
    <phoneticPr fontId="2" type="noConversion"/>
  </si>
  <si>
    <t>第31頁反面</t>
    <phoneticPr fontId="2" type="noConversion"/>
  </si>
  <si>
    <t>1/9 185</t>
    <phoneticPr fontId="2" type="noConversion"/>
  </si>
  <si>
    <t>1/10 1310</t>
    <phoneticPr fontId="2" type="noConversion"/>
  </si>
  <si>
    <t>1/12 4875</t>
    <phoneticPr fontId="2" type="noConversion"/>
  </si>
  <si>
    <t>第32頁</t>
    <phoneticPr fontId="2" type="noConversion"/>
  </si>
  <si>
    <t>11/2 375</t>
    <phoneticPr fontId="2" type="noConversion"/>
  </si>
  <si>
    <t>11/13 6185</t>
    <phoneticPr fontId="2" type="noConversion"/>
  </si>
  <si>
    <t>11/17 375</t>
    <phoneticPr fontId="2" type="noConversion"/>
  </si>
  <si>
    <t>11/26 185</t>
    <phoneticPr fontId="2" type="noConversion"/>
  </si>
  <si>
    <t>11/28 6185</t>
    <phoneticPr fontId="2" type="noConversion"/>
  </si>
  <si>
    <t>12/2 375</t>
    <phoneticPr fontId="2" type="noConversion"/>
  </si>
  <si>
    <t>12/11 185</t>
    <phoneticPr fontId="2" type="noConversion"/>
  </si>
  <si>
    <t>12/13 6185</t>
    <phoneticPr fontId="2" type="noConversion"/>
  </si>
  <si>
    <t>12/28 6185</t>
    <phoneticPr fontId="2" type="noConversion"/>
  </si>
  <si>
    <t>1/1 375</t>
    <phoneticPr fontId="2" type="noConversion"/>
  </si>
  <si>
    <t>1/12 6185</t>
    <phoneticPr fontId="2" type="noConversion"/>
  </si>
  <si>
    <t>第32頁反面</t>
    <phoneticPr fontId="2" type="noConversion"/>
  </si>
  <si>
    <t>第33頁</t>
    <phoneticPr fontId="2" type="noConversion"/>
  </si>
  <si>
    <t>11/6 1125</t>
    <phoneticPr fontId="2" type="noConversion"/>
  </si>
  <si>
    <t>11/8 2250</t>
    <phoneticPr fontId="2" type="noConversion"/>
  </si>
  <si>
    <t>11/10 1500</t>
    <phoneticPr fontId="2" type="noConversion"/>
  </si>
  <si>
    <t>11/12 560</t>
    <phoneticPr fontId="2" type="noConversion"/>
  </si>
  <si>
    <t>11/14 2810</t>
    <phoneticPr fontId="2" type="noConversion"/>
  </si>
  <si>
    <t>11/21 1125</t>
    <phoneticPr fontId="2" type="noConversion"/>
  </si>
  <si>
    <t>11/22 2250</t>
    <phoneticPr fontId="2" type="noConversion"/>
  </si>
  <si>
    <t>11/25 1500</t>
    <phoneticPr fontId="2" type="noConversion"/>
  </si>
  <si>
    <t>11/27 560</t>
    <phoneticPr fontId="2" type="noConversion"/>
  </si>
  <si>
    <t>11/29 2810</t>
    <phoneticPr fontId="2" type="noConversion"/>
  </si>
  <si>
    <t>12/6 1125</t>
    <phoneticPr fontId="2" type="noConversion"/>
  </si>
  <si>
    <t>12/8 2250</t>
    <phoneticPr fontId="2" type="noConversion"/>
  </si>
  <si>
    <t>12/10 1500</t>
    <phoneticPr fontId="2" type="noConversion"/>
  </si>
  <si>
    <t>朱益平</t>
    <phoneticPr fontId="7" type="noConversion"/>
  </si>
  <si>
    <t>陳茂松</t>
    <phoneticPr fontId="7" type="noConversion"/>
  </si>
  <si>
    <t>劉志興</t>
    <phoneticPr fontId="7" type="noConversion"/>
  </si>
  <si>
    <t>林子熙</t>
    <phoneticPr fontId="7" type="noConversion"/>
  </si>
  <si>
    <t>李世屏</t>
    <phoneticPr fontId="7" type="noConversion"/>
  </si>
  <si>
    <t>顏茂榮</t>
    <phoneticPr fontId="7" type="noConversion"/>
  </si>
  <si>
    <t>荊逸丞</t>
    <phoneticPr fontId="7" type="noConversion"/>
  </si>
  <si>
    <t>吳科宏</t>
    <phoneticPr fontId="7" type="noConversion"/>
  </si>
  <si>
    <t>馮世和</t>
    <phoneticPr fontId="7" type="noConversion"/>
  </si>
  <si>
    <t>楊建雄</t>
    <phoneticPr fontId="7" type="noConversion"/>
  </si>
  <si>
    <t>11/1 375</t>
    <phoneticPr fontId="2" type="noConversion"/>
  </si>
  <si>
    <t>涂嘉玲</t>
    <phoneticPr fontId="2" type="noConversion"/>
  </si>
  <si>
    <t>張桐</t>
    <phoneticPr fontId="2" type="noConversion"/>
  </si>
  <si>
    <t>暨棋</t>
    <phoneticPr fontId="2" type="noConversion"/>
  </si>
  <si>
    <t xml:space="preserve">11/2 1125 </t>
    <phoneticPr fontId="2" type="noConversion"/>
  </si>
  <si>
    <t>吳  富</t>
    <phoneticPr fontId="2" type="noConversion"/>
  </si>
  <si>
    <t>11/1 375 11/1 375</t>
    <phoneticPr fontId="2" type="noConversion"/>
  </si>
  <si>
    <t>林承麟</t>
    <phoneticPr fontId="2" type="noConversion"/>
  </si>
  <si>
    <t>11/2 375</t>
    <phoneticPr fontId="2" type="noConversion"/>
  </si>
  <si>
    <t>石宏文</t>
    <phoneticPr fontId="2" type="noConversion"/>
  </si>
  <si>
    <t>林添進</t>
    <phoneticPr fontId="2" type="noConversion"/>
  </si>
  <si>
    <t>闕仕龍</t>
    <phoneticPr fontId="2" type="noConversion"/>
  </si>
  <si>
    <t>11/1 1875 11/2 750</t>
    <phoneticPr fontId="2" type="noConversion"/>
  </si>
  <si>
    <t>11/4 185</t>
    <phoneticPr fontId="2" type="noConversion"/>
  </si>
  <si>
    <t>陳欽文</t>
    <phoneticPr fontId="2" type="noConversion"/>
  </si>
  <si>
    <t>11/4 1125</t>
    <phoneticPr fontId="2" type="noConversion"/>
  </si>
  <si>
    <t>陳建德</t>
    <phoneticPr fontId="2" type="noConversion"/>
  </si>
  <si>
    <t>11/3 1500</t>
    <phoneticPr fontId="2" type="noConversion"/>
  </si>
  <si>
    <t>游方緯</t>
    <phoneticPr fontId="2" type="noConversion"/>
  </si>
  <si>
    <t>施子珍</t>
    <phoneticPr fontId="2" type="noConversion"/>
  </si>
  <si>
    <t>饒逢源</t>
    <phoneticPr fontId="2" type="noConversion"/>
  </si>
  <si>
    <t>詹豐嘉</t>
    <phoneticPr fontId="2" type="noConversion"/>
  </si>
  <si>
    <t>11/12 750 11/15 3000</t>
    <phoneticPr fontId="2" type="noConversion"/>
  </si>
  <si>
    <t>11/3 4125</t>
    <phoneticPr fontId="2" type="noConversion"/>
  </si>
  <si>
    <t>李文吉</t>
    <phoneticPr fontId="2" type="noConversion"/>
  </si>
  <si>
    <t>11/1 750 11/2 375</t>
    <phoneticPr fontId="2" type="noConversion"/>
  </si>
  <si>
    <t>謝泳震</t>
    <phoneticPr fontId="2" type="noConversion"/>
  </si>
  <si>
    <t>11/5 1125</t>
    <phoneticPr fontId="2" type="noConversion"/>
  </si>
  <si>
    <t>潘文龍</t>
    <phoneticPr fontId="2" type="noConversion"/>
  </si>
  <si>
    <t>11/3 1125 11/4 375</t>
    <phoneticPr fontId="2" type="noConversion"/>
  </si>
  <si>
    <t>11/6 560</t>
    <phoneticPr fontId="2" type="noConversion"/>
  </si>
  <si>
    <t>李金銘</t>
    <phoneticPr fontId="2" type="noConversion"/>
  </si>
  <si>
    <t>11/5 375 11/6 1125</t>
    <phoneticPr fontId="2" type="noConversion"/>
  </si>
  <si>
    <t>11/7 375</t>
    <phoneticPr fontId="2" type="noConversion"/>
  </si>
  <si>
    <t>11/6 185</t>
    <phoneticPr fontId="2" type="noConversion"/>
  </si>
  <si>
    <t>江安本</t>
    <phoneticPr fontId="2" type="noConversion"/>
  </si>
  <si>
    <t>11/8 1500</t>
    <phoneticPr fontId="2" type="noConversion"/>
  </si>
  <si>
    <t>11/7 1875</t>
    <phoneticPr fontId="2" type="noConversion"/>
  </si>
  <si>
    <t>11/6 4125</t>
    <phoneticPr fontId="2" type="noConversion"/>
  </si>
  <si>
    <t>11/9 935</t>
    <phoneticPr fontId="2" type="noConversion"/>
  </si>
  <si>
    <t>11/10 560 11/11 2250</t>
    <phoneticPr fontId="2" type="noConversion"/>
  </si>
  <si>
    <t xml:space="preserve"> 11/10(3分) 1350</t>
    <phoneticPr fontId="2" type="noConversion"/>
  </si>
  <si>
    <t>11/8 1125 11/9 1500</t>
    <phoneticPr fontId="2" type="noConversion"/>
  </si>
  <si>
    <t>11/9 1875</t>
    <phoneticPr fontId="2" type="noConversion"/>
  </si>
  <si>
    <t>11/9 750 11/9(陳)750 11/11 1125</t>
    <phoneticPr fontId="2" type="noConversion"/>
  </si>
  <si>
    <t>李詠銘</t>
    <phoneticPr fontId="2" type="noConversion"/>
  </si>
  <si>
    <t>11/12 1875</t>
    <phoneticPr fontId="2" type="noConversion"/>
  </si>
  <si>
    <t>11/11 1875</t>
    <phoneticPr fontId="2" type="noConversion"/>
  </si>
  <si>
    <t>11/12 375</t>
    <phoneticPr fontId="2" type="noConversion"/>
  </si>
  <si>
    <t>鄭汝棟</t>
    <phoneticPr fontId="2" type="noConversion"/>
  </si>
  <si>
    <t>11/8 4500 11/9 750</t>
    <phoneticPr fontId="2" type="noConversion"/>
  </si>
  <si>
    <t>黃世奎</t>
    <phoneticPr fontId="2" type="noConversion"/>
  </si>
  <si>
    <t>11/7 375 11/8 750 11/13 1500 11/15 1500</t>
    <phoneticPr fontId="2" type="noConversion"/>
  </si>
  <si>
    <t>姓名</t>
    <phoneticPr fontId="2" type="noConversion"/>
  </si>
  <si>
    <t>犯罪所得</t>
    <phoneticPr fontId="2" type="noConversion"/>
  </si>
  <si>
    <t>丁金寬</t>
    <phoneticPr fontId="2" type="noConversion"/>
  </si>
  <si>
    <t>大愛蘇董</t>
    <phoneticPr fontId="2" type="noConversion"/>
  </si>
  <si>
    <t>王天佑</t>
    <phoneticPr fontId="2" type="noConversion"/>
  </si>
  <si>
    <t>王文潘</t>
    <phoneticPr fontId="2" type="noConversion"/>
  </si>
  <si>
    <t>分期</t>
    <phoneticPr fontId="2" type="noConversion"/>
  </si>
  <si>
    <t>16(B)</t>
    <phoneticPr fontId="2" type="noConversion"/>
  </si>
  <si>
    <t>王志偉</t>
    <phoneticPr fontId="2" type="noConversion"/>
  </si>
  <si>
    <t>王金火</t>
    <phoneticPr fontId="2" type="noConversion"/>
  </si>
  <si>
    <t>王俊翔</t>
    <phoneticPr fontId="2" type="noConversion"/>
  </si>
  <si>
    <t>王國忠</t>
    <phoneticPr fontId="2" type="noConversion"/>
  </si>
  <si>
    <t>王清木</t>
    <phoneticPr fontId="2" type="noConversion"/>
  </si>
  <si>
    <t>王進慧</t>
    <phoneticPr fontId="2" type="noConversion"/>
  </si>
  <si>
    <t>王瑞典</t>
    <phoneticPr fontId="2" type="noConversion"/>
  </si>
  <si>
    <t>11(B)</t>
    <phoneticPr fontId="2" type="noConversion"/>
  </si>
  <si>
    <t>王寶珠</t>
    <phoneticPr fontId="2" type="noConversion"/>
  </si>
  <si>
    <t>古榮定</t>
    <phoneticPr fontId="2" type="noConversion"/>
  </si>
  <si>
    <t>伍思全</t>
    <phoneticPr fontId="2" type="noConversion"/>
  </si>
  <si>
    <t>朱家欣</t>
    <phoneticPr fontId="2" type="noConversion"/>
  </si>
  <si>
    <t>99年5、6月間至100年5月間</t>
    <phoneticPr fontId="2" type="noConversion"/>
  </si>
  <si>
    <t>99年7月至100年3月</t>
    <phoneticPr fontId="2" type="noConversion"/>
  </si>
  <si>
    <t>99年底至100年3月</t>
    <phoneticPr fontId="2" type="noConversion"/>
  </si>
  <si>
    <t>100年1月5日至100年4月間</t>
    <phoneticPr fontId="2" type="noConversion"/>
  </si>
  <si>
    <t>100年3月3日至100年4月間</t>
    <phoneticPr fontId="2" type="noConversion"/>
  </si>
  <si>
    <t>100年3月11日至100年4月間</t>
    <phoneticPr fontId="2" type="noConversion"/>
  </si>
  <si>
    <t>100年3月間至100年4月間</t>
    <phoneticPr fontId="2" type="noConversion"/>
  </si>
  <si>
    <t>4至6萬元</t>
    <phoneticPr fontId="2" type="noConversion"/>
  </si>
  <si>
    <t>100年2月至101年間</t>
    <phoneticPr fontId="2" type="noConversion"/>
  </si>
  <si>
    <t>100年2月16日至4月間</t>
    <phoneticPr fontId="2" type="noConversion"/>
  </si>
  <si>
    <t>100年6月間至101年4月間</t>
    <phoneticPr fontId="2" type="noConversion"/>
  </si>
  <si>
    <t>100年6月起</t>
    <phoneticPr fontId="2" type="noConversion"/>
  </si>
  <si>
    <t>98年起至102年1月</t>
    <phoneticPr fontId="2" type="noConversion"/>
  </si>
  <si>
    <r>
      <t>A19 卷</t>
    </r>
    <r>
      <rPr>
        <sz val="12"/>
        <color theme="1"/>
        <rFont val="新細明體"/>
        <family val="1"/>
        <charset val="136"/>
        <scheme val="minor"/>
      </rPr>
      <t>第</t>
    </r>
    <r>
      <rPr>
        <sz val="12"/>
        <color indexed="8"/>
        <rFont val="新細明體"/>
        <family val="1"/>
        <charset val="136"/>
      </rPr>
      <t>2370-237</t>
    </r>
    <r>
      <rPr>
        <sz val="12"/>
        <color theme="1"/>
        <rFont val="新細明體"/>
        <family val="1"/>
        <charset val="136"/>
        <scheme val="minor"/>
      </rPr>
      <t>2</t>
    </r>
    <r>
      <rPr>
        <sz val="12"/>
        <color indexed="8"/>
        <rFont val="新細明體"/>
        <family val="1"/>
        <charset val="136"/>
      </rPr>
      <t>頁、</t>
    </r>
    <r>
      <rPr>
        <sz val="12"/>
        <color theme="1"/>
        <rFont val="新細明體"/>
        <family val="1"/>
        <charset val="136"/>
        <scheme val="minor"/>
      </rPr>
      <t>第2378-2380頁</t>
    </r>
    <phoneticPr fontId="2" type="noConversion"/>
  </si>
  <si>
    <r>
      <t>1.卷證出處為</t>
    </r>
    <r>
      <rPr>
        <sz val="12"/>
        <color indexed="8"/>
        <rFont val="新細明體"/>
        <family val="1"/>
        <charset val="136"/>
      </rPr>
      <t>A15卷第1402-14</t>
    </r>
    <r>
      <rPr>
        <sz val="12"/>
        <color theme="1"/>
        <rFont val="新細明體"/>
        <family val="1"/>
        <charset val="136"/>
        <scheme val="minor"/>
      </rPr>
      <t>04頁</t>
    </r>
    <r>
      <rPr>
        <sz val="12"/>
        <color indexed="8"/>
        <rFont val="新細明體"/>
        <family val="1"/>
        <charset val="136"/>
      </rPr>
      <t>、</t>
    </r>
    <r>
      <rPr>
        <sz val="12"/>
        <color theme="1"/>
        <rFont val="新細明體"/>
        <family val="1"/>
        <charset val="136"/>
        <scheme val="minor"/>
      </rPr>
      <t>第1411-1413頁。
2.證人証述第二筆借款之時間為「102年2月1日」，惟比對當票上所示日期為「102年1月18日」，以及證人証述與其接洽借款者乃「黃詩文」，而黃詩文於102年1月23日始被羈押，故應以當票上所示日期作為借款時點較為可採。</t>
    </r>
    <phoneticPr fontId="2" type="noConversion"/>
  </si>
  <si>
    <t>102年1月間起</t>
    <phoneticPr fontId="2" type="noConversion"/>
  </si>
  <si>
    <t>B7卷第988-1001 頁、第1002-1009 頁</t>
    <phoneticPr fontId="2" type="noConversion"/>
  </si>
  <si>
    <t>101年6、7月起至100年底</t>
    <phoneticPr fontId="2" type="noConversion"/>
  </si>
  <si>
    <t>B8卷第1267-1275頁、第1276-1280之1 頁</t>
    <phoneticPr fontId="2" type="noConversion"/>
  </si>
  <si>
    <t>101年11月上旬起</t>
    <phoneticPr fontId="2" type="noConversion"/>
  </si>
  <si>
    <t>101年11月22日起至102年1月</t>
    <phoneticPr fontId="2" type="noConversion"/>
  </si>
  <si>
    <t>1.卷證出處為A26卷第157-164頁。
2.分期攤還本息部分之借款，係每萬元每七天還1175元（其中1000為本金，175為利息），十期繳清。</t>
    <phoneticPr fontId="2" type="noConversion"/>
  </si>
  <si>
    <t>100年8月間起</t>
    <phoneticPr fontId="2" type="noConversion"/>
  </si>
  <si>
    <t>A26卷第149-156頁</t>
    <phoneticPr fontId="2" type="noConversion"/>
  </si>
  <si>
    <t>101年6月10日起</t>
    <phoneticPr fontId="2" type="noConversion"/>
  </si>
  <si>
    <t xml:space="preserve">A26 卷第5-7頁                   </t>
    <phoneticPr fontId="2" type="noConversion"/>
  </si>
  <si>
    <t>101年4月20日起</t>
    <phoneticPr fontId="2" type="noConversion"/>
  </si>
  <si>
    <t>莊榮昌</t>
    <phoneticPr fontId="2" type="noConversion"/>
  </si>
  <si>
    <t>陳文進</t>
    <phoneticPr fontId="2" type="noConversion"/>
  </si>
  <si>
    <t>B6卷第678至684頁、第685至687頁、B12卷第2394至2401頁</t>
    <phoneticPr fontId="2" type="noConversion"/>
  </si>
  <si>
    <t xml:space="preserve">A26卷第165至167頁             </t>
    <phoneticPr fontId="2" type="noConversion"/>
  </si>
  <si>
    <t>「犯罪所得」欄之計算方式為：「利息金額」*（「利率」-2.5％）/「利率」（即扣除當鋪業得合法收取按月利率2.5％計算之利息後，所得之金額）。</t>
    <phoneticPr fontId="2" type="noConversion"/>
  </si>
  <si>
    <r>
      <t>「借款日」欄內容僅有「月」、「日」，年度不明，按被告邱淳萱及陳榮樺102年9月16日準備程序期日之供述所示（本院卷八第</t>
    </r>
    <r>
      <rPr>
        <sz val="12"/>
        <color theme="1"/>
        <rFont val="新細明體"/>
        <family val="1"/>
        <charset val="136"/>
        <scheme val="minor"/>
      </rPr>
      <t>272-272</t>
    </r>
    <r>
      <rPr>
        <sz val="12"/>
        <color indexed="8"/>
        <rFont val="新細明體"/>
        <family val="1"/>
        <charset val="136"/>
      </rPr>
      <t>頁反面），僅能確認年度為「100年」以後。</t>
    </r>
    <phoneticPr fontId="2" type="noConversion"/>
  </si>
  <si>
    <t>按被告邱淳萱102 年4 月25日、102年5月2日之偵訊及本院審理時之供述（A34卷第98-102頁、本院卷二第332-335頁），及被告陳榮樺在102年9月16日準備程序期日之供述（本院卷八第271-272頁反面）內容所示，並依102 年刑保管1318號扣押物品清單編號10「被告邱淳萱隨身碟」【即扣押物箱內編號3-1 ，係起訴書非供述證據編號14】中「報表. 個資資料夾」中之「追蹤表」檔案所示帳冊資料，據以計算出瑞誠當鋪已收取之利息金額。起訴書附表五-6有多處誤載，應修正如上開附表各欄位所示。</t>
    <phoneticPr fontId="2" type="noConversion"/>
  </si>
  <si>
    <t>按被告林佩鳳102年4月30日之偵訊時供述（A20卷第2779-2783頁），並依102 年刑保管1056號扣押物品清單編號5 「司機繳息紀錄簿」【即扣押物箱內編號5 （共三本），係起訴書非供述證據編號4】所示帳冊內容資料，計算出國泰當鋪已收取之利息金額。</t>
    <phoneticPr fontId="2" type="noConversion"/>
  </si>
  <si>
    <t>按被告林佩鳳102年4月30日之偵訊庭供述（A20卷第2779頁）， 102 年刑保管1056號扣押物品清單編號1 「司機繳款日報表」【即扣押物箱內編號1（共35張），係起訴書非供述證據編號4】明細後未蓋「紅章」之部分亦為已收取，但尚未登載入上開註1所示「司機繳息紀錄簿」之利息。起訴書漏將該部分繳息金額計入「繳息次數」內，應依上開卷證修正之。</t>
    <phoneticPr fontId="2" type="noConversion"/>
  </si>
  <si>
    <t>按被告林碧慧102年4月29日偵訊時供述（A20卷第2612-2615頁）內容，並依102 年刑保管1057號扣押物品清單編號1 「元喆當鋪顧客繳款明細簿」（黑色資料夾部分）【即扣押物箱內編號5-1 （黑色資料夾），係起訴書非供述證據編號9）】所示之帳冊資料，據以計算出元喆當鋪已收取之利息金額。</t>
    <phoneticPr fontId="2" type="noConversion"/>
  </si>
  <si>
    <r>
      <t>（</t>
    </r>
    <r>
      <rPr>
        <sz val="12"/>
        <color theme="1"/>
        <rFont val="新細明體"/>
        <family val="1"/>
        <charset val="136"/>
        <scheme val="minor"/>
      </rPr>
      <t>1</t>
    </r>
    <r>
      <rPr>
        <sz val="12"/>
        <color indexed="8"/>
        <rFont val="新細明體"/>
        <family val="1"/>
        <charset val="136"/>
      </rPr>
      <t>）按被告陳榮樺、邱淳萱供述內容所示（</t>
    </r>
    <r>
      <rPr>
        <sz val="12"/>
        <color theme="1"/>
        <rFont val="新細明體"/>
        <family val="1"/>
        <charset val="136"/>
        <scheme val="minor"/>
      </rPr>
      <t>A12</t>
    </r>
    <r>
      <rPr>
        <sz val="12"/>
        <color indexed="8"/>
        <rFont val="新細明體"/>
        <family val="1"/>
        <charset val="136"/>
      </rPr>
      <t>卷第</t>
    </r>
    <r>
      <rPr>
        <sz val="12"/>
        <color theme="1"/>
        <rFont val="新細明體"/>
        <family val="1"/>
        <charset val="136"/>
        <scheme val="minor"/>
      </rPr>
      <t>483</t>
    </r>
    <r>
      <rPr>
        <sz val="12"/>
        <color indexed="8"/>
        <rFont val="新細明體"/>
        <family val="1"/>
        <charset val="136"/>
      </rPr>
      <t>頁、本院卷二第</t>
    </r>
    <r>
      <rPr>
        <sz val="12"/>
        <color theme="1"/>
        <rFont val="新細明體"/>
        <family val="1"/>
        <charset val="136"/>
        <scheme val="minor"/>
      </rPr>
      <t>333頁</t>
    </r>
    <r>
      <rPr>
        <sz val="12"/>
        <color indexed="8"/>
        <rFont val="新細明體"/>
        <family val="1"/>
        <charset val="136"/>
      </rPr>
      <t>），瑞誠當鋪借款分為兩種，一種為「不分期」借款，一種為「分期」借款，前者每一期收的都是利息，期間都是半個月計息一次，利息係每借款1萬元每月繳交750元，其中利息250元、倉棧費500元，月利率</t>
    </r>
    <r>
      <rPr>
        <sz val="12"/>
        <color theme="1"/>
        <rFont val="新細明體"/>
        <family val="1"/>
        <charset val="136"/>
        <scheme val="minor"/>
      </rPr>
      <t xml:space="preserve">7.5％（=750/10,000）；後者係指借款金額連本帶利分10期（每期7日）清償完畢，以借款1萬元為例，即分10期清償，每期（每7日）須償還本金1000元及利息150元（合計1150元）。
（2）「分期」借款者，因每一期均有攤還本金，且當「分期」借款者借新還舊時（即追蹤表下方註明「洗」字樣者），借款人實際可取得之新借款項係先扣除舊借款尚未清償的本利和後之餘額，故其月利率必較十期後才一次償還本利所計算得出之簡單平均報酬率6％（即總利息/本金=(150*10)/10000/10*4）更高，惟因影響不大，故採有利被告之簡化算法，僅以月利率6%作為「分期」借款之利率，併此說明。            </t>
    </r>
    <phoneticPr fontId="2" type="noConversion"/>
  </si>
  <si>
    <t>當鋪名稱</t>
    <phoneticPr fontId="2" type="noConversion"/>
  </si>
  <si>
    <t>卷證出處及備註</t>
    <phoneticPr fontId="2" type="noConversion"/>
  </si>
</sst>
</file>

<file path=xl/styles.xml><?xml version="1.0" encoding="utf-8"?>
<styleSheet xmlns="http://schemas.openxmlformats.org/spreadsheetml/2006/main">
  <numFmts count="10">
    <numFmt numFmtId="41" formatCode="_-* #,##0_-;\-* #,##0_-;_-* &quot;-&quot;_-;_-@_-"/>
    <numFmt numFmtId="43" formatCode="_-* #,##0.00_-;\-* #,##0.00_-;_-* &quot;-&quot;??_-;_-@_-"/>
    <numFmt numFmtId="176" formatCode="#,##0_);[Red]\(#,##0\)"/>
    <numFmt numFmtId="177" formatCode="0.0%"/>
    <numFmt numFmtId="178" formatCode="0_);[Red]\(0\)"/>
    <numFmt numFmtId="179" formatCode="[$-404]e/m/d;@"/>
    <numFmt numFmtId="180" formatCode="m&quot;月&quot;d&quot;日&quot;"/>
    <numFmt numFmtId="181" formatCode="yyyy/m/d;@"/>
    <numFmt numFmtId="182" formatCode="_-* #,##0_-;\-* #,##0_-;_-* &quot;-&quot;??_-;_-@_-"/>
    <numFmt numFmtId="183" formatCode="0;[Red]0"/>
  </numFmts>
  <fonts count="26">
    <font>
      <sz val="12"/>
      <color theme="1"/>
      <name val="新細明體"/>
      <family val="1"/>
      <charset val="136"/>
      <scheme val="minor"/>
    </font>
    <font>
      <sz val="12"/>
      <color indexed="8"/>
      <name val="新細明體"/>
      <family val="1"/>
      <charset val="136"/>
    </font>
    <font>
      <sz val="9"/>
      <name val="新細明體"/>
      <family val="1"/>
      <charset val="136"/>
    </font>
    <font>
      <sz val="12"/>
      <color indexed="8"/>
      <name val="新細明體"/>
      <family val="1"/>
      <charset val="136"/>
    </font>
    <font>
      <sz val="9"/>
      <name val="新細明體"/>
      <family val="1"/>
      <charset val="136"/>
    </font>
    <font>
      <b/>
      <sz val="12"/>
      <color indexed="8"/>
      <name val="新細明體"/>
      <family val="1"/>
      <charset val="136"/>
    </font>
    <font>
      <b/>
      <sz val="12"/>
      <color indexed="8"/>
      <name val="新細明體"/>
      <family val="1"/>
      <charset val="136"/>
    </font>
    <font>
      <sz val="9"/>
      <name val="新細明體"/>
      <family val="1"/>
      <charset val="136"/>
    </font>
    <font>
      <sz val="10"/>
      <color indexed="8"/>
      <name val="Arial"/>
      <family val="2"/>
    </font>
    <font>
      <b/>
      <sz val="14"/>
      <color indexed="8"/>
      <name val="新細明體"/>
      <family val="1"/>
      <charset val="136"/>
    </font>
    <font>
      <sz val="12"/>
      <color indexed="8"/>
      <name val="新細明體"/>
      <family val="1"/>
      <charset val="136"/>
    </font>
    <font>
      <sz val="12"/>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i/>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indexed="8"/>
      <name val="新細明體"/>
      <family val="1"/>
      <charset val="136"/>
    </font>
    <font>
      <sz val="12"/>
      <color theme="1"/>
      <name val="新細明體"/>
      <family val="1"/>
      <charset val="136"/>
      <scheme val="minor"/>
    </font>
  </fonts>
  <fills count="5">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1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s>
  <cellStyleXfs count="7">
    <xf numFmtId="0" fontId="0" fillId="0" borderId="0"/>
    <xf numFmtId="0" fontId="25" fillId="0" borderId="0">
      <alignment vertical="center"/>
    </xf>
    <xf numFmtId="0" fontId="8" fillId="0" borderId="0"/>
    <xf numFmtId="0" fontId="1" fillId="0" borderId="0">
      <alignment vertical="center"/>
    </xf>
    <xf numFmtId="0" fontId="11" fillId="0" borderId="0">
      <alignment vertical="center"/>
    </xf>
    <xf numFmtId="43" fontId="10" fillId="0" borderId="0" applyFont="0" applyFill="0" applyBorder="0" applyAlignment="0" applyProtection="0">
      <alignment vertical="center"/>
    </xf>
    <xf numFmtId="9" fontId="23" fillId="0" borderId="0" applyFont="0" applyFill="0" applyBorder="0" applyAlignment="0" applyProtection="0">
      <alignment vertical="center"/>
    </xf>
  </cellStyleXfs>
  <cellXfs count="346">
    <xf numFmtId="0" fontId="0" fillId="0" borderId="0" xfId="0"/>
    <xf numFmtId="0" fontId="0" fillId="0" borderId="0" xfId="0" applyAlignment="1">
      <alignment horizontal="center"/>
    </xf>
    <xf numFmtId="0" fontId="0" fillId="0" borderId="1" xfId="0" applyBorder="1" applyAlignment="1">
      <alignment horizontal="center"/>
    </xf>
    <xf numFmtId="176" fontId="0" fillId="0" borderId="0" xfId="0" applyNumberFormat="1"/>
    <xf numFmtId="0" fontId="0" fillId="0" borderId="1" xfId="0" applyBorder="1"/>
    <xf numFmtId="176" fontId="0" fillId="0" borderId="1" xfId="0" applyNumberFormat="1" applyBorder="1"/>
    <xf numFmtId="179" fontId="0" fillId="0" borderId="1" xfId="0" applyNumberFormat="1" applyBorder="1"/>
    <xf numFmtId="179" fontId="0" fillId="0" borderId="0" xfId="0" applyNumberFormat="1"/>
    <xf numFmtId="179" fontId="0" fillId="0" borderId="1" xfId="0" applyNumberFormat="1" applyBorder="1" applyAlignment="1">
      <alignment horizontal="center"/>
    </xf>
    <xf numFmtId="176" fontId="0" fillId="0" borderId="1" xfId="0" applyNumberFormat="1" applyBorder="1" applyAlignment="1">
      <alignment horizontal="center"/>
    </xf>
    <xf numFmtId="0" fontId="0" fillId="0" borderId="1" xfId="0" applyBorder="1" applyAlignment="1">
      <alignment vertical="top" wrapText="1"/>
    </xf>
    <xf numFmtId="0" fontId="0" fillId="0" borderId="1" xfId="0"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xf>
    <xf numFmtId="0" fontId="25" fillId="0" borderId="0" xfId="1">
      <alignment vertical="center"/>
    </xf>
    <xf numFmtId="0" fontId="0" fillId="0" borderId="1" xfId="0" applyFill="1" applyBorder="1"/>
    <xf numFmtId="0" fontId="0" fillId="0" borderId="0" xfId="0" applyAlignment="1">
      <alignment wrapText="1"/>
    </xf>
    <xf numFmtId="176" fontId="0" fillId="0" borderId="1" xfId="0" applyNumberFormat="1" applyFill="1" applyBorder="1"/>
    <xf numFmtId="176" fontId="0" fillId="0" borderId="0" xfId="0" applyNumberFormat="1" applyFill="1"/>
    <xf numFmtId="0" fontId="0" fillId="0" borderId="1" xfId="0" applyFill="1" applyBorder="1" applyAlignment="1">
      <alignment horizontal="center" vertical="top"/>
    </xf>
    <xf numFmtId="0" fontId="0" fillId="0" borderId="2" xfId="0" applyFill="1" applyBorder="1" applyAlignment="1">
      <alignment horizontal="center" vertical="top"/>
    </xf>
    <xf numFmtId="179" fontId="0" fillId="0" borderId="1" xfId="0" applyNumberFormat="1" applyFill="1" applyBorder="1" applyAlignment="1">
      <alignment horizontal="center" vertical="top"/>
    </xf>
    <xf numFmtId="176" fontId="0" fillId="0" borderId="1" xfId="0" applyNumberFormat="1" applyFill="1" applyBorder="1" applyAlignment="1">
      <alignment horizontal="center" vertical="top"/>
    </xf>
    <xf numFmtId="0" fontId="0" fillId="0" borderId="3" xfId="0" applyFill="1" applyBorder="1" applyAlignment="1">
      <alignment horizontal="center" vertical="top" wrapText="1" shrinkToFit="1"/>
    </xf>
    <xf numFmtId="0" fontId="0" fillId="0" borderId="1" xfId="0" applyFill="1" applyBorder="1" applyAlignment="1">
      <alignment horizontal="center" vertical="top" wrapText="1"/>
    </xf>
    <xf numFmtId="0" fontId="0" fillId="0" borderId="0" xfId="0" applyFill="1" applyAlignment="1">
      <alignment horizontal="center" vertical="top"/>
    </xf>
    <xf numFmtId="0" fontId="0" fillId="0" borderId="1" xfId="0" applyFill="1" applyBorder="1" applyAlignment="1">
      <alignment vertical="top"/>
    </xf>
    <xf numFmtId="0" fontId="0" fillId="0" borderId="2" xfId="0" applyFill="1" applyBorder="1" applyAlignment="1">
      <alignment vertical="top"/>
    </xf>
    <xf numFmtId="179" fontId="0" fillId="0" borderId="1" xfId="0" applyNumberFormat="1" applyFill="1" applyBorder="1" applyAlignment="1">
      <alignment vertical="top"/>
    </xf>
    <xf numFmtId="176" fontId="0" fillId="0" borderId="1" xfId="0" applyNumberFormat="1" applyFill="1" applyBorder="1" applyAlignment="1">
      <alignment vertical="top"/>
    </xf>
    <xf numFmtId="0" fontId="0" fillId="0" borderId="3" xfId="0" applyFill="1" applyBorder="1" applyAlignment="1">
      <alignment vertical="top" wrapText="1" shrinkToFit="1"/>
    </xf>
    <xf numFmtId="0" fontId="0" fillId="0" borderId="0" xfId="0" applyFill="1" applyAlignment="1">
      <alignment vertical="top"/>
    </xf>
    <xf numFmtId="180" fontId="0" fillId="0" borderId="3" xfId="0" applyNumberFormat="1" applyFill="1" applyBorder="1" applyAlignment="1">
      <alignment vertical="top" wrapText="1" shrinkToFit="1"/>
    </xf>
    <xf numFmtId="0" fontId="0" fillId="0" borderId="3" xfId="0" applyFill="1" applyBorder="1" applyAlignment="1">
      <alignment vertical="top" wrapText="1"/>
    </xf>
    <xf numFmtId="0" fontId="0" fillId="0" borderId="0" xfId="0" applyFill="1" applyAlignment="1">
      <alignment vertical="top" wrapText="1" shrinkToFit="1"/>
    </xf>
    <xf numFmtId="179" fontId="0" fillId="0" borderId="0" xfId="0" applyNumberFormat="1" applyFill="1" applyAlignment="1">
      <alignment vertical="top"/>
    </xf>
    <xf numFmtId="176" fontId="0" fillId="0" borderId="0" xfId="0" applyNumberFormat="1" applyFill="1" applyAlignment="1">
      <alignment vertical="top"/>
    </xf>
    <xf numFmtId="0" fontId="0" fillId="0" borderId="0" xfId="0" applyFill="1" applyAlignment="1">
      <alignment vertical="top" wrapText="1"/>
    </xf>
    <xf numFmtId="176" fontId="0" fillId="0" borderId="4" xfId="0" applyNumberFormat="1" applyFill="1" applyBorder="1"/>
    <xf numFmtId="176" fontId="0" fillId="0" borderId="5" xfId="0" applyNumberFormat="1" applyFill="1" applyBorder="1"/>
    <xf numFmtId="0" fontId="0" fillId="0" borderId="1" xfId="0" applyBorder="1" applyAlignment="1">
      <alignment horizontal="center" vertical="top" wrapText="1"/>
    </xf>
    <xf numFmtId="178" fontId="0" fillId="0" borderId="1" xfId="0" applyNumberFormat="1" applyBorder="1" applyAlignment="1">
      <alignment horizontal="center" vertical="top" wrapText="1"/>
    </xf>
    <xf numFmtId="0" fontId="0" fillId="0" borderId="1" xfId="0" applyBorder="1" applyAlignment="1">
      <alignment horizontal="center" vertical="top"/>
    </xf>
    <xf numFmtId="176" fontId="0" fillId="0" borderId="1" xfId="0" applyNumberFormat="1" applyBorder="1" applyAlignment="1">
      <alignment horizontal="center" vertical="top"/>
    </xf>
    <xf numFmtId="179" fontId="0" fillId="0" borderId="1" xfId="0" applyNumberFormat="1" applyBorder="1" applyAlignment="1">
      <alignment horizontal="center" vertical="top" wrapText="1"/>
    </xf>
    <xf numFmtId="177" fontId="0" fillId="0" borderId="1" xfId="0" applyNumberFormat="1" applyBorder="1" applyAlignment="1">
      <alignment horizontal="center" vertical="top"/>
    </xf>
    <xf numFmtId="176" fontId="0" fillId="0" borderId="1" xfId="0" applyNumberFormat="1" applyBorder="1" applyAlignment="1">
      <alignment horizontal="center" vertical="top" wrapText="1"/>
    </xf>
    <xf numFmtId="0" fontId="0" fillId="0" borderId="0" xfId="0" applyAlignment="1">
      <alignment horizontal="center" vertical="top"/>
    </xf>
    <xf numFmtId="178" fontId="0" fillId="0" borderId="1" xfId="0" applyNumberFormat="1" applyBorder="1" applyAlignment="1">
      <alignment vertical="top"/>
    </xf>
    <xf numFmtId="176" fontId="0" fillId="0" borderId="1" xfId="0" applyNumberFormat="1" applyBorder="1" applyAlignment="1">
      <alignment vertical="top"/>
    </xf>
    <xf numFmtId="179" fontId="0" fillId="0" borderId="1" xfId="0" applyNumberFormat="1" applyBorder="1" applyAlignment="1">
      <alignment vertical="top"/>
    </xf>
    <xf numFmtId="177" fontId="0" fillId="0" borderId="1" xfId="0" applyNumberFormat="1" applyBorder="1" applyAlignment="1">
      <alignment vertical="top"/>
    </xf>
    <xf numFmtId="0" fontId="0" fillId="0" borderId="0" xfId="0" applyAlignment="1">
      <alignment vertical="top"/>
    </xf>
    <xf numFmtId="176" fontId="0" fillId="2" borderId="1" xfId="0" applyNumberFormat="1" applyFill="1" applyBorder="1" applyAlignment="1">
      <alignment vertical="top"/>
    </xf>
    <xf numFmtId="178" fontId="0" fillId="0" borderId="1" xfId="0" applyNumberFormat="1" applyBorder="1" applyAlignment="1">
      <alignment vertical="top" wrapText="1"/>
    </xf>
    <xf numFmtId="178" fontId="0" fillId="0" borderId="1" xfId="0" applyNumberFormat="1" applyFill="1" applyBorder="1" applyAlignment="1">
      <alignment vertical="top"/>
    </xf>
    <xf numFmtId="179" fontId="0" fillId="3" borderId="1" xfId="0" applyNumberFormat="1" applyFill="1" applyBorder="1" applyAlignment="1">
      <alignment vertical="top"/>
    </xf>
    <xf numFmtId="178" fontId="0" fillId="0" borderId="0" xfId="0" applyNumberFormat="1" applyAlignment="1">
      <alignment vertical="top"/>
    </xf>
    <xf numFmtId="176" fontId="0" fillId="0" borderId="0" xfId="0" applyNumberFormat="1" applyAlignment="1">
      <alignment vertical="top"/>
    </xf>
    <xf numFmtId="179" fontId="0" fillId="0" borderId="0" xfId="0" applyNumberFormat="1" applyAlignment="1">
      <alignment vertical="top"/>
    </xf>
    <xf numFmtId="177" fontId="0" fillId="0" borderId="0" xfId="0" applyNumberFormat="1" applyAlignment="1">
      <alignment vertical="top"/>
    </xf>
    <xf numFmtId="0" fontId="0" fillId="0" borderId="0" xfId="0" applyAlignment="1">
      <alignment vertical="top" wrapText="1"/>
    </xf>
    <xf numFmtId="176" fontId="0" fillId="4" borderId="1" xfId="0" applyNumberFormat="1" applyFill="1" applyBorder="1" applyAlignment="1">
      <alignment vertical="top"/>
    </xf>
    <xf numFmtId="179" fontId="0" fillId="0" borderId="1" xfId="0" applyNumberFormat="1" applyBorder="1" applyAlignment="1">
      <alignment horizontal="right"/>
    </xf>
    <xf numFmtId="179" fontId="0" fillId="0" borderId="1" xfId="0" applyNumberFormat="1" applyFill="1" applyBorder="1" applyAlignment="1">
      <alignment horizontal="right"/>
    </xf>
    <xf numFmtId="179" fontId="0" fillId="0" borderId="0" xfId="0" applyNumberFormat="1" applyAlignment="1">
      <alignment horizontal="right"/>
    </xf>
    <xf numFmtId="0" fontId="0" fillId="0" borderId="1" xfId="0" applyBorder="1" applyAlignment="1">
      <alignment horizontal="center" wrapText="1"/>
    </xf>
    <xf numFmtId="0" fontId="0" fillId="0" borderId="1" xfId="0" applyBorder="1" applyAlignment="1">
      <alignment wrapText="1"/>
    </xf>
    <xf numFmtId="176" fontId="0" fillId="0" borderId="1" xfId="0" applyNumberFormat="1" applyBorder="1" applyAlignment="1">
      <alignment wrapText="1"/>
    </xf>
    <xf numFmtId="178" fontId="0" fillId="0" borderId="0" xfId="0" applyNumberFormat="1" applyAlignment="1">
      <alignment horizontal="left" vertical="top"/>
    </xf>
    <xf numFmtId="176" fontId="0" fillId="4" borderId="1" xfId="0" applyNumberFormat="1" applyFill="1" applyBorder="1"/>
    <xf numFmtId="0" fontId="0" fillId="0" borderId="0" xfId="0" applyFill="1" applyBorder="1" applyAlignment="1">
      <alignment vertical="top"/>
    </xf>
    <xf numFmtId="0" fontId="0" fillId="0" borderId="6" xfId="0" applyFill="1" applyBorder="1" applyAlignment="1">
      <alignment vertical="top" wrapText="1" shrinkToFit="1"/>
    </xf>
    <xf numFmtId="0" fontId="0" fillId="0" borderId="7" xfId="0" applyFill="1" applyBorder="1" applyAlignment="1">
      <alignment vertical="top" wrapText="1" shrinkToFit="1"/>
    </xf>
    <xf numFmtId="0" fontId="0" fillId="0" borderId="3" xfId="0" applyFill="1" applyBorder="1" applyAlignment="1">
      <alignment vertical="top"/>
    </xf>
    <xf numFmtId="0" fontId="0" fillId="0" borderId="7" xfId="0" applyFill="1" applyBorder="1" applyAlignment="1">
      <alignment vertical="top"/>
    </xf>
    <xf numFmtId="0" fontId="0" fillId="0" borderId="0" xfId="0" applyAlignment="1">
      <alignment horizontal="left" vertical="top" wrapText="1"/>
    </xf>
    <xf numFmtId="176" fontId="0" fillId="0" borderId="1" xfId="0" applyNumberFormat="1" applyFill="1" applyBorder="1" applyAlignment="1">
      <alignment horizontal="center" vertical="top" wrapText="1"/>
    </xf>
    <xf numFmtId="0" fontId="1" fillId="0" borderId="0" xfId="3" applyFont="1" applyBorder="1">
      <alignment vertical="center"/>
    </xf>
    <xf numFmtId="0" fontId="16" fillId="0" borderId="0" xfId="3" applyFont="1" applyBorder="1">
      <alignment vertical="center"/>
    </xf>
    <xf numFmtId="182" fontId="16" fillId="0" borderId="0" xfId="5" applyNumberFormat="1" applyFont="1" applyBorder="1">
      <alignment vertical="center"/>
    </xf>
    <xf numFmtId="0" fontId="1" fillId="0" borderId="1" xfId="3" applyFont="1" applyBorder="1">
      <alignment vertical="center"/>
    </xf>
    <xf numFmtId="182" fontId="1" fillId="0" borderId="1" xfId="5" applyNumberFormat="1" applyFont="1" applyBorder="1">
      <alignment vertical="center"/>
    </xf>
    <xf numFmtId="181" fontId="1" fillId="0" borderId="1" xfId="3" applyNumberFormat="1" applyFont="1" applyBorder="1">
      <alignment vertical="center"/>
    </xf>
    <xf numFmtId="0" fontId="1" fillId="0" borderId="1" xfId="3" applyNumberFormat="1" applyFont="1" applyBorder="1" applyAlignment="1">
      <alignment horizontal="right" vertical="center"/>
    </xf>
    <xf numFmtId="0" fontId="15" fillId="0" borderId="1" xfId="3" applyFont="1" applyBorder="1">
      <alignment vertical="center"/>
    </xf>
    <xf numFmtId="181" fontId="16" fillId="0" borderId="1" xfId="3" applyNumberFormat="1" applyFont="1" applyBorder="1">
      <alignment vertical="center"/>
    </xf>
    <xf numFmtId="0" fontId="16" fillId="0" borderId="1" xfId="3" applyNumberFormat="1" applyFont="1" applyBorder="1" applyAlignment="1">
      <alignment horizontal="right" vertical="center"/>
    </xf>
    <xf numFmtId="0" fontId="16" fillId="0" borderId="1" xfId="3" applyFont="1" applyBorder="1">
      <alignment vertical="center"/>
    </xf>
    <xf numFmtId="182" fontId="16" fillId="0" borderId="1" xfId="5" applyNumberFormat="1" applyFont="1" applyBorder="1">
      <alignment vertical="center"/>
    </xf>
    <xf numFmtId="49" fontId="16" fillId="0" borderId="1" xfId="3" applyNumberFormat="1" applyFont="1" applyBorder="1" applyAlignment="1">
      <alignment horizontal="right" vertical="center"/>
    </xf>
    <xf numFmtId="0" fontId="16" fillId="0" borderId="1" xfId="3" applyFont="1" applyFill="1" applyBorder="1">
      <alignment vertical="center"/>
    </xf>
    <xf numFmtId="182" fontId="16" fillId="4" borderId="1" xfId="5" applyNumberFormat="1" applyFont="1" applyFill="1" applyBorder="1">
      <alignment vertical="center"/>
    </xf>
    <xf numFmtId="182" fontId="1" fillId="0" borderId="1" xfId="5" applyNumberFormat="1" applyFont="1" applyBorder="1" applyAlignment="1">
      <alignment horizontal="center" vertical="center" wrapText="1"/>
    </xf>
    <xf numFmtId="0" fontId="1" fillId="0" borderId="1" xfId="3" applyFont="1" applyFill="1" applyBorder="1" applyAlignment="1">
      <alignment horizontal="center" vertical="center" wrapText="1"/>
    </xf>
    <xf numFmtId="0" fontId="1" fillId="0" borderId="1" xfId="3" applyFont="1" applyBorder="1" applyAlignment="1">
      <alignment horizontal="center" vertical="center" wrapText="1"/>
    </xf>
    <xf numFmtId="0" fontId="1" fillId="0" borderId="0" xfId="3" applyFont="1" applyBorder="1" applyAlignment="1">
      <alignment horizontal="center" vertical="center"/>
    </xf>
    <xf numFmtId="0" fontId="25" fillId="0" borderId="0" xfId="1" applyFill="1" applyAlignment="1">
      <alignment horizontal="center" vertical="center"/>
    </xf>
    <xf numFmtId="0" fontId="11" fillId="0" borderId="0" xfId="1" applyFont="1" applyFill="1" applyAlignment="1">
      <alignment horizontal="center" vertical="center"/>
    </xf>
    <xf numFmtId="0" fontId="25" fillId="0" borderId="0" xfId="1" applyFill="1">
      <alignment vertical="center"/>
    </xf>
    <xf numFmtId="179" fontId="0" fillId="3" borderId="1" xfId="0" applyNumberFormat="1" applyFill="1" applyBorder="1" applyAlignment="1">
      <alignment horizontal="center" vertical="top"/>
    </xf>
    <xf numFmtId="49" fontId="17" fillId="0" borderId="1" xfId="1" applyNumberFormat="1" applyFont="1" applyFill="1" applyBorder="1" applyAlignment="1">
      <alignment horizontal="center" vertical="center"/>
    </xf>
    <xf numFmtId="0" fontId="25" fillId="0" borderId="1" xfId="1" applyFill="1" applyBorder="1" applyAlignment="1">
      <alignment horizontal="center" vertical="center"/>
    </xf>
    <xf numFmtId="41" fontId="25" fillId="0" borderId="1" xfId="1" applyNumberFormat="1" applyFill="1" applyBorder="1" applyAlignment="1">
      <alignment horizontal="center" vertical="center"/>
    </xf>
    <xf numFmtId="49" fontId="25" fillId="0" borderId="1" xfId="1" applyNumberFormat="1" applyFill="1" applyBorder="1" applyAlignment="1">
      <alignment horizontal="center" vertical="center"/>
    </xf>
    <xf numFmtId="41" fontId="25" fillId="0" borderId="1" xfId="1" applyNumberFormat="1" applyFill="1" applyBorder="1" applyAlignment="1">
      <alignment horizontal="center" vertical="top"/>
    </xf>
    <xf numFmtId="0" fontId="11" fillId="0" borderId="1" xfId="1" applyFont="1" applyFill="1" applyBorder="1" applyAlignment="1">
      <alignment horizontal="center" vertical="center"/>
    </xf>
    <xf numFmtId="41" fontId="11" fillId="0" borderId="1" xfId="1" applyNumberFormat="1" applyFont="1" applyFill="1" applyBorder="1" applyAlignment="1">
      <alignment horizontal="center" vertical="center"/>
    </xf>
    <xf numFmtId="49" fontId="11" fillId="0" borderId="1" xfId="1" applyNumberFormat="1" applyFont="1" applyFill="1" applyBorder="1" applyAlignment="1">
      <alignment horizontal="center" vertical="center"/>
    </xf>
    <xf numFmtId="41" fontId="11" fillId="0" borderId="1" xfId="1" applyNumberFormat="1" applyFont="1" applyFill="1" applyBorder="1" applyAlignment="1">
      <alignment horizontal="center" vertical="top"/>
    </xf>
    <xf numFmtId="49" fontId="19" fillId="0" borderId="1" xfId="1" applyNumberFormat="1" applyFont="1" applyFill="1" applyBorder="1" applyAlignment="1">
      <alignment horizontal="center" vertical="center"/>
    </xf>
    <xf numFmtId="0" fontId="25" fillId="0" borderId="1" xfId="1" applyFill="1" applyBorder="1">
      <alignment vertical="center"/>
    </xf>
    <xf numFmtId="49" fontId="20" fillId="0" borderId="1" xfId="1" applyNumberFormat="1" applyFont="1" applyFill="1" applyBorder="1" applyAlignment="1">
      <alignment horizontal="center" vertical="center"/>
    </xf>
    <xf numFmtId="41" fontId="25" fillId="0" borderId="1" xfId="1" applyNumberFormat="1" applyFill="1" applyBorder="1" applyAlignment="1">
      <alignment vertical="center"/>
    </xf>
    <xf numFmtId="49" fontId="21" fillId="0" borderId="1" xfId="1" applyNumberFormat="1" applyFont="1" applyFill="1" applyBorder="1" applyAlignment="1">
      <alignment horizontal="center" vertical="center"/>
    </xf>
    <xf numFmtId="41" fontId="25" fillId="0" borderId="1" xfId="1" applyNumberFormat="1" applyFill="1" applyBorder="1">
      <alignment vertical="center"/>
    </xf>
    <xf numFmtId="41" fontId="5" fillId="4" borderId="1" xfId="1" applyNumberFormat="1" applyFont="1" applyFill="1" applyBorder="1" applyAlignment="1">
      <alignment horizontal="center" vertical="center"/>
    </xf>
    <xf numFmtId="41" fontId="22" fillId="0" borderId="1" xfId="1" applyNumberFormat="1" applyFont="1" applyFill="1" applyBorder="1" applyAlignment="1">
      <alignment horizontal="center" vertical="center"/>
    </xf>
    <xf numFmtId="49" fontId="0" fillId="0" borderId="1" xfId="1" applyNumberFormat="1" applyFont="1" applyFill="1" applyBorder="1" applyAlignment="1">
      <alignment horizontal="center" vertical="center" wrapText="1"/>
    </xf>
    <xf numFmtId="41" fontId="22" fillId="0" borderId="1" xfId="1" applyNumberFormat="1" applyFont="1" applyFill="1" applyBorder="1" applyAlignment="1">
      <alignment horizontal="center" vertical="top" wrapText="1"/>
    </xf>
    <xf numFmtId="0" fontId="22" fillId="0" borderId="1" xfId="1" applyFont="1" applyFill="1" applyBorder="1" applyAlignment="1">
      <alignment horizontal="center" vertical="center" wrapText="1"/>
    </xf>
    <xf numFmtId="0" fontId="0" fillId="0" borderId="1" xfId="1" applyFont="1" applyFill="1" applyBorder="1" applyAlignment="1">
      <alignment horizontal="center" vertical="center" wrapText="1"/>
    </xf>
    <xf numFmtId="41" fontId="0" fillId="0" borderId="1" xfId="1" applyNumberFormat="1" applyFont="1" applyFill="1" applyBorder="1" applyAlignment="1">
      <alignment horizontal="center" vertical="center" wrapText="1"/>
    </xf>
    <xf numFmtId="0" fontId="13" fillId="0" borderId="1" xfId="1" applyFont="1" applyFill="1" applyBorder="1" applyAlignment="1">
      <alignment horizontal="center" vertical="center"/>
    </xf>
    <xf numFmtId="49" fontId="18" fillId="0" borderId="1" xfId="1" applyNumberFormat="1" applyFont="1" applyFill="1" applyBorder="1" applyAlignment="1">
      <alignment horizontal="center" vertical="center"/>
    </xf>
    <xf numFmtId="0" fontId="19" fillId="0" borderId="1" xfId="1" applyFont="1" applyFill="1" applyBorder="1" applyAlignment="1">
      <alignment horizontal="center" vertical="center"/>
    </xf>
    <xf numFmtId="41" fontId="25" fillId="0" borderId="1" xfId="1" applyNumberFormat="1" applyFill="1" applyBorder="1" applyAlignment="1">
      <alignment horizontal="right" vertical="center"/>
    </xf>
    <xf numFmtId="41" fontId="11" fillId="0" borderId="1" xfId="1" applyNumberFormat="1" applyFont="1" applyFill="1" applyBorder="1" applyAlignment="1">
      <alignment vertical="center"/>
    </xf>
    <xf numFmtId="0" fontId="21" fillId="0" borderId="1" xfId="1" applyFont="1" applyFill="1" applyBorder="1" applyAlignment="1">
      <alignment horizontal="center" vertical="center"/>
    </xf>
    <xf numFmtId="49" fontId="22" fillId="0" borderId="1" xfId="1" applyNumberFormat="1" applyFont="1" applyFill="1" applyBorder="1" applyAlignment="1">
      <alignment horizontal="center" vertical="center"/>
    </xf>
    <xf numFmtId="0" fontId="22" fillId="0" borderId="1" xfId="1" applyFont="1" applyFill="1" applyBorder="1" applyAlignment="1">
      <alignment horizontal="center" vertical="center"/>
    </xf>
    <xf numFmtId="182" fontId="22" fillId="0" borderId="1" xfId="5" applyNumberFormat="1" applyFont="1" applyFill="1" applyBorder="1">
      <alignment vertical="center"/>
    </xf>
    <xf numFmtId="0" fontId="22" fillId="0" borderId="1" xfId="1" applyFont="1" applyFill="1" applyBorder="1">
      <alignment vertical="center"/>
    </xf>
    <xf numFmtId="0" fontId="1" fillId="0" borderId="1" xfId="1" applyFont="1" applyFill="1" applyBorder="1" applyAlignment="1">
      <alignment horizontal="center" vertical="center"/>
    </xf>
    <xf numFmtId="41" fontId="25" fillId="0" borderId="0" xfId="1" applyNumberFormat="1" applyFill="1" applyAlignment="1">
      <alignment horizontal="center" vertical="center"/>
    </xf>
    <xf numFmtId="49" fontId="25" fillId="0" borderId="0" xfId="1" applyNumberFormat="1" applyFill="1" applyAlignment="1">
      <alignment horizontal="center" vertical="center"/>
    </xf>
    <xf numFmtId="41" fontId="25" fillId="0" borderId="0" xfId="1" applyNumberFormat="1" applyFill="1" applyAlignment="1">
      <alignment horizontal="center" vertical="top"/>
    </xf>
    <xf numFmtId="177" fontId="0" fillId="0" borderId="1" xfId="0" applyNumberFormat="1" applyFill="1" applyBorder="1" applyAlignment="1">
      <alignment vertical="top"/>
    </xf>
    <xf numFmtId="0" fontId="3" fillId="0" borderId="1" xfId="0" applyFont="1" applyFill="1" applyBorder="1" applyAlignment="1">
      <alignment horizontal="left" vertical="top" wrapText="1"/>
    </xf>
    <xf numFmtId="0" fontId="0" fillId="0" borderId="1" xfId="0" applyFill="1" applyBorder="1" applyAlignment="1">
      <alignment horizontal="left" vertical="top" wrapText="1"/>
    </xf>
    <xf numFmtId="0" fontId="0" fillId="0" borderId="0" xfId="0" applyFill="1"/>
    <xf numFmtId="0" fontId="0" fillId="0" borderId="1" xfId="0" quotePrefix="1" applyFill="1" applyBorder="1" applyAlignment="1">
      <alignment horizontal="left" vertical="top" wrapText="1"/>
    </xf>
    <xf numFmtId="0" fontId="0" fillId="0" borderId="8" xfId="0" applyFill="1" applyBorder="1"/>
    <xf numFmtId="0" fontId="0" fillId="0" borderId="5" xfId="0" applyFill="1" applyBorder="1"/>
    <xf numFmtId="0" fontId="0" fillId="0" borderId="9" xfId="0" applyFill="1" applyBorder="1"/>
    <xf numFmtId="0" fontId="0" fillId="0" borderId="10" xfId="0" applyFill="1" applyBorder="1"/>
    <xf numFmtId="183" fontId="1" fillId="0" borderId="1" xfId="3" applyNumberFormat="1" applyFont="1" applyBorder="1" applyAlignment="1">
      <alignment horizontal="center" vertical="center" wrapText="1"/>
    </xf>
    <xf numFmtId="183" fontId="16" fillId="0" borderId="1" xfId="3" applyNumberFormat="1" applyFont="1" applyFill="1" applyBorder="1">
      <alignment vertical="center"/>
    </xf>
    <xf numFmtId="183" fontId="16" fillId="0" borderId="0" xfId="3" applyNumberFormat="1" applyFont="1" applyBorder="1">
      <alignment vertical="center"/>
    </xf>
    <xf numFmtId="0" fontId="0" fillId="0" borderId="11" xfId="0" applyBorder="1" applyAlignment="1">
      <alignment horizontal="center" vertical="top"/>
    </xf>
    <xf numFmtId="0" fontId="0" fillId="0" borderId="11" xfId="0" applyBorder="1" applyAlignment="1">
      <alignment horizontal="left" vertical="top"/>
    </xf>
    <xf numFmtId="0" fontId="1" fillId="0" borderId="1" xfId="0" applyFont="1" applyBorder="1" applyAlignment="1">
      <alignment horizontal="left" vertical="top" wrapText="1"/>
    </xf>
    <xf numFmtId="176" fontId="1" fillId="0" borderId="1" xfId="0" applyNumberFormat="1" applyFont="1" applyFill="1" applyBorder="1" applyAlignment="1">
      <alignment vertical="top"/>
    </xf>
    <xf numFmtId="0" fontId="1" fillId="0" borderId="0" xfId="0" applyFont="1"/>
    <xf numFmtId="182" fontId="1" fillId="0" borderId="1" xfId="5" applyNumberFormat="1" applyFont="1" applyBorder="1" applyAlignment="1">
      <alignment horizontal="left" vertical="top" wrapText="1"/>
    </xf>
    <xf numFmtId="0" fontId="1" fillId="0" borderId="2" xfId="0" applyFont="1" applyBorder="1" applyAlignment="1">
      <alignment horizontal="right" vertical="top" wrapText="1"/>
    </xf>
    <xf numFmtId="0" fontId="1" fillId="0" borderId="1" xfId="0" applyFont="1" applyFill="1" applyBorder="1" applyAlignment="1">
      <alignment horizontal="center" vertical="top" wrapText="1"/>
    </xf>
    <xf numFmtId="0" fontId="0" fillId="0" borderId="11" xfId="0" applyFill="1" applyBorder="1" applyAlignment="1">
      <alignment horizontal="center" vertical="top"/>
    </xf>
    <xf numFmtId="0" fontId="0" fillId="0" borderId="11" xfId="0" applyFill="1" applyBorder="1" applyAlignment="1">
      <alignment horizontal="left" vertical="top"/>
    </xf>
    <xf numFmtId="0" fontId="0" fillId="0" borderId="0" xfId="0" applyFill="1" applyAlignment="1">
      <alignment horizontal="center"/>
    </xf>
    <xf numFmtId="0" fontId="0" fillId="0" borderId="1" xfId="0" applyFill="1" applyBorder="1" applyAlignment="1">
      <alignment horizontal="left" vertical="top"/>
    </xf>
    <xf numFmtId="0" fontId="0" fillId="0" borderId="1" xfId="0" applyNumberFormat="1" applyFill="1" applyBorder="1" applyAlignment="1">
      <alignment horizontal="left" vertical="top" wrapText="1"/>
    </xf>
    <xf numFmtId="0" fontId="0"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0" fillId="0" borderId="12" xfId="0" applyFill="1" applyBorder="1" applyAlignment="1">
      <alignment horizontal="left" vertical="top" wrapText="1"/>
    </xf>
    <xf numFmtId="0" fontId="0" fillId="0" borderId="12" xfId="0" applyFill="1" applyBorder="1" applyAlignment="1">
      <alignment horizontal="left" vertical="top"/>
    </xf>
    <xf numFmtId="0" fontId="1" fillId="0" borderId="1" xfId="0" applyFont="1" applyBorder="1" applyAlignment="1">
      <alignment horizontal="center" vertical="top" wrapText="1"/>
    </xf>
    <xf numFmtId="177" fontId="0" fillId="0" borderId="1" xfId="0" applyNumberFormat="1" applyFill="1" applyBorder="1" applyAlignment="1">
      <alignment horizontal="right" vertical="top"/>
    </xf>
    <xf numFmtId="176" fontId="0" fillId="0" borderId="1" xfId="0" applyNumberFormat="1" applyFill="1" applyBorder="1" applyAlignment="1">
      <alignment horizontal="right" vertical="top"/>
    </xf>
    <xf numFmtId="49" fontId="1" fillId="0" borderId="1" xfId="0" applyNumberFormat="1" applyFont="1" applyFill="1" applyBorder="1" applyAlignment="1">
      <alignment horizontal="left" vertical="top" wrapText="1"/>
    </xf>
    <xf numFmtId="0" fontId="1" fillId="0" borderId="0" xfId="0" applyFont="1" applyFill="1"/>
    <xf numFmtId="0" fontId="0" fillId="0" borderId="11" xfId="0" applyFill="1" applyBorder="1" applyAlignment="1">
      <alignment horizontal="left" vertical="top" wrapText="1"/>
    </xf>
    <xf numFmtId="0" fontId="1" fillId="0" borderId="12" xfId="0" applyFont="1" applyBorder="1" applyAlignment="1">
      <alignment horizontal="left" vertical="top" wrapText="1"/>
    </xf>
    <xf numFmtId="0" fontId="1" fillId="0" borderId="12" xfId="0" applyFont="1" applyBorder="1" applyAlignment="1">
      <alignment horizontal="center" vertical="top" wrapText="1"/>
    </xf>
    <xf numFmtId="0" fontId="0" fillId="0" borderId="0" xfId="0" applyAlignment="1">
      <alignment horizontal="right" vertical="top"/>
    </xf>
    <xf numFmtId="0" fontId="1" fillId="0" borderId="12" xfId="0" applyFont="1" applyFill="1" applyBorder="1" applyAlignment="1">
      <alignment horizontal="left" vertical="top" wrapText="1"/>
    </xf>
    <xf numFmtId="182" fontId="0" fillId="0" borderId="1" xfId="5" applyNumberFormat="1" applyFont="1" applyBorder="1" applyAlignment="1">
      <alignment horizontal="center" vertical="top"/>
    </xf>
    <xf numFmtId="182" fontId="0" fillId="0" borderId="1" xfId="5" applyNumberFormat="1" applyFont="1" applyFill="1" applyBorder="1" applyAlignment="1">
      <alignment horizontal="right" vertical="top"/>
    </xf>
    <xf numFmtId="182" fontId="1" fillId="0" borderId="1" xfId="5" applyNumberFormat="1" applyFont="1" applyFill="1" applyBorder="1" applyAlignment="1">
      <alignment horizontal="left" vertical="top" wrapText="1"/>
    </xf>
    <xf numFmtId="182" fontId="0" fillId="0" borderId="1" xfId="5" applyNumberFormat="1" applyFont="1" applyFill="1" applyBorder="1" applyAlignment="1">
      <alignment vertical="top"/>
    </xf>
    <xf numFmtId="182" fontId="0" fillId="0" borderId="1" xfId="5" applyNumberFormat="1" applyFont="1" applyBorder="1" applyAlignment="1">
      <alignment vertical="top"/>
    </xf>
    <xf numFmtId="182" fontId="0" fillId="0" borderId="0" xfId="5" applyNumberFormat="1" applyFont="1" applyAlignment="1">
      <alignment vertical="top"/>
    </xf>
    <xf numFmtId="176" fontId="1" fillId="0" borderId="1" xfId="0" applyNumberFormat="1" applyFont="1" applyBorder="1" applyAlignment="1">
      <alignment horizontal="center" vertical="top" wrapText="1"/>
    </xf>
    <xf numFmtId="176" fontId="1" fillId="0" borderId="11" xfId="0" applyNumberFormat="1" applyFont="1" applyFill="1" applyBorder="1" applyAlignment="1">
      <alignment horizontal="left" vertical="top" wrapText="1"/>
    </xf>
    <xf numFmtId="176" fontId="0" fillId="0" borderId="11" xfId="0" applyNumberFormat="1" applyBorder="1" applyAlignment="1">
      <alignment horizontal="left" vertical="top" wrapText="1"/>
    </xf>
    <xf numFmtId="0" fontId="0" fillId="0" borderId="11" xfId="0" applyBorder="1" applyAlignment="1">
      <alignment vertical="top" wrapText="1"/>
    </xf>
    <xf numFmtId="0" fontId="1" fillId="0" borderId="1" xfId="0" applyFont="1" applyBorder="1" applyAlignment="1">
      <alignment vertical="top" wrapText="1"/>
    </xf>
    <xf numFmtId="0" fontId="0" fillId="0" borderId="12" xfId="0" applyBorder="1" applyAlignment="1">
      <alignment horizontal="left" vertical="top" wrapText="1"/>
    </xf>
    <xf numFmtId="0" fontId="1" fillId="0" borderId="1" xfId="0" applyFont="1" applyFill="1" applyBorder="1" applyAlignment="1">
      <alignment vertical="top" wrapText="1"/>
    </xf>
    <xf numFmtId="0" fontId="1" fillId="0" borderId="0" xfId="0" applyFont="1" applyAlignment="1">
      <alignment vertical="top" wrapText="1"/>
    </xf>
    <xf numFmtId="176" fontId="0" fillId="0" borderId="12" xfId="0" applyNumberFormat="1" applyFill="1" applyBorder="1" applyAlignment="1">
      <alignment horizontal="right" vertical="top"/>
    </xf>
    <xf numFmtId="177" fontId="0" fillId="0" borderId="0" xfId="0" applyNumberFormat="1" applyFill="1" applyAlignment="1">
      <alignment vertical="top"/>
    </xf>
    <xf numFmtId="49" fontId="0" fillId="0" borderId="12" xfId="0" applyNumberFormat="1" applyFill="1" applyBorder="1" applyAlignment="1">
      <alignment horizontal="left" vertical="top"/>
    </xf>
    <xf numFmtId="0" fontId="1" fillId="0" borderId="1" xfId="0" applyFont="1" applyFill="1" applyBorder="1" applyAlignment="1">
      <alignment horizontal="right" vertical="top" wrapText="1"/>
    </xf>
    <xf numFmtId="0" fontId="0" fillId="0" borderId="11" xfId="0" applyBorder="1" applyAlignment="1">
      <alignment horizontal="left" vertical="top" wrapText="1"/>
    </xf>
    <xf numFmtId="0" fontId="1" fillId="0" borderId="11" xfId="0" applyFont="1" applyBorder="1" applyAlignment="1">
      <alignment vertical="top" wrapText="1"/>
    </xf>
    <xf numFmtId="31" fontId="0" fillId="0" borderId="12" xfId="0" applyNumberFormat="1" applyFill="1" applyBorder="1" applyAlignment="1">
      <alignment horizontal="left" vertical="top"/>
    </xf>
    <xf numFmtId="182" fontId="0" fillId="0" borderId="2" xfId="5" applyNumberFormat="1" applyFont="1" applyFill="1" applyBorder="1" applyAlignment="1">
      <alignment horizontal="right" vertical="top"/>
    </xf>
    <xf numFmtId="182" fontId="1" fillId="0" borderId="1" xfId="5" applyNumberFormat="1" applyFont="1" applyFill="1" applyBorder="1" applyAlignment="1">
      <alignment horizontal="right" vertical="top" wrapText="1"/>
    </xf>
    <xf numFmtId="182" fontId="1" fillId="0" borderId="1" xfId="5" applyNumberFormat="1" applyFont="1" applyFill="1" applyBorder="1" applyAlignment="1">
      <alignment horizontal="center" vertical="top" wrapText="1"/>
    </xf>
    <xf numFmtId="0" fontId="0" fillId="0" borderId="11" xfId="0" applyFill="1" applyBorder="1" applyAlignment="1">
      <alignment vertical="top"/>
    </xf>
    <xf numFmtId="0" fontId="1" fillId="0" borderId="11" xfId="0" applyFont="1" applyFill="1" applyBorder="1" applyAlignment="1">
      <alignment vertical="top" wrapText="1"/>
    </xf>
    <xf numFmtId="182" fontId="0" fillId="0" borderId="1" xfId="5" applyNumberFormat="1" applyFont="1" applyFill="1" applyBorder="1" applyAlignment="1">
      <alignment horizontal="right" vertical="top" wrapText="1"/>
    </xf>
    <xf numFmtId="182" fontId="0" fillId="0" borderId="1" xfId="5" applyNumberFormat="1" applyFont="1" applyFill="1" applyBorder="1" applyAlignment="1"/>
    <xf numFmtId="0" fontId="0" fillId="0" borderId="1" xfId="0" applyFill="1" applyBorder="1" applyAlignment="1">
      <alignment vertical="top" wrapText="1" shrinkToFit="1"/>
    </xf>
    <xf numFmtId="177" fontId="0" fillId="0" borderId="1" xfId="0" applyNumberFormat="1" applyBorder="1" applyAlignment="1">
      <alignment horizontal="center" vertical="top" wrapText="1"/>
    </xf>
    <xf numFmtId="0" fontId="12" fillId="0" borderId="0" xfId="1" applyFont="1" applyAlignment="1">
      <alignment horizontal="right" vertical="top"/>
    </xf>
    <xf numFmtId="0" fontId="1" fillId="0" borderId="0" xfId="1" applyFont="1" applyFill="1" applyAlignment="1">
      <alignment horizontal="center" vertical="top"/>
    </xf>
    <xf numFmtId="177" fontId="23" fillId="0" borderId="1" xfId="6" applyNumberFormat="1" applyFill="1" applyBorder="1" applyAlignment="1">
      <alignment horizontal="center" vertical="center"/>
    </xf>
    <xf numFmtId="177" fontId="11" fillId="0" borderId="1" xfId="6" applyNumberFormat="1" applyFont="1" applyFill="1" applyBorder="1" applyAlignment="1">
      <alignment horizontal="center" vertical="center"/>
    </xf>
    <xf numFmtId="177" fontId="0" fillId="0" borderId="1" xfId="0" applyNumberFormat="1" applyFill="1" applyBorder="1" applyAlignment="1">
      <alignment horizontal="center" vertical="top" wrapText="1"/>
    </xf>
    <xf numFmtId="10" fontId="1" fillId="0" borderId="1" xfId="6" applyNumberFormat="1" applyFont="1" applyBorder="1" applyAlignment="1">
      <alignment horizontal="center" vertical="center" wrapText="1"/>
    </xf>
    <xf numFmtId="10" fontId="1" fillId="0" borderId="1" xfId="6" applyNumberFormat="1" applyFont="1" applyBorder="1">
      <alignment vertical="center"/>
    </xf>
    <xf numFmtId="10" fontId="16" fillId="0" borderId="1" xfId="6" applyNumberFormat="1" applyFont="1" applyBorder="1">
      <alignment vertical="center"/>
    </xf>
    <xf numFmtId="10" fontId="16" fillId="0" borderId="1" xfId="6" applyNumberFormat="1" applyFont="1" applyFill="1" applyBorder="1">
      <alignment vertical="center"/>
    </xf>
    <xf numFmtId="10" fontId="16" fillId="0" borderId="0" xfId="6" applyNumberFormat="1" applyFont="1" applyBorder="1">
      <alignment vertical="center"/>
    </xf>
    <xf numFmtId="0" fontId="25" fillId="0" borderId="0" xfId="1" applyFill="1" applyAlignment="1">
      <alignment horizontal="center" vertical="top"/>
    </xf>
    <xf numFmtId="49" fontId="25" fillId="0" borderId="0" xfId="1" applyNumberFormat="1" applyFill="1" applyAlignment="1">
      <alignment horizontal="center" vertical="top"/>
    </xf>
    <xf numFmtId="177" fontId="0" fillId="0" borderId="1" xfId="6" applyNumberFormat="1" applyFont="1" applyFill="1" applyBorder="1" applyAlignment="1">
      <alignment horizontal="center" vertical="center" wrapText="1"/>
    </xf>
    <xf numFmtId="177" fontId="23" fillId="0" borderId="0" xfId="6" applyNumberFormat="1" applyFill="1" applyAlignment="1">
      <alignment horizontal="center" vertical="top"/>
    </xf>
    <xf numFmtId="177" fontId="23" fillId="0" borderId="0" xfId="6" applyNumberFormat="1" applyFill="1" applyAlignment="1">
      <alignment horizontal="center" vertical="center"/>
    </xf>
    <xf numFmtId="0" fontId="24" fillId="0" borderId="1" xfId="1" applyFont="1" applyFill="1" applyBorder="1">
      <alignment vertical="center"/>
    </xf>
    <xf numFmtId="177" fontId="0" fillId="0" borderId="12" xfId="0" applyNumberFormat="1" applyFill="1" applyBorder="1" applyAlignment="1">
      <alignment horizontal="right" vertical="top"/>
    </xf>
    <xf numFmtId="9" fontId="1" fillId="0" borderId="1" xfId="0" applyNumberFormat="1" applyFont="1" applyFill="1" applyBorder="1" applyAlignment="1">
      <alignment horizontal="right" vertical="top" wrapText="1"/>
    </xf>
    <xf numFmtId="177" fontId="0" fillId="0" borderId="1" xfId="0" applyNumberFormat="1" applyBorder="1" applyAlignment="1">
      <alignment horizontal="right" vertical="top"/>
    </xf>
    <xf numFmtId="177" fontId="1" fillId="0" borderId="1" xfId="0" applyNumberFormat="1" applyFont="1" applyFill="1" applyBorder="1" applyAlignment="1">
      <alignment horizontal="right" vertical="top"/>
    </xf>
    <xf numFmtId="176" fontId="0" fillId="0" borderId="1" xfId="0" applyNumberFormat="1" applyBorder="1" applyAlignment="1">
      <alignment horizontal="right" vertical="top"/>
    </xf>
    <xf numFmtId="177" fontId="0" fillId="0" borderId="0" xfId="0" applyNumberFormat="1" applyAlignment="1">
      <alignment horizontal="right" vertical="top"/>
    </xf>
    <xf numFmtId="176" fontId="0" fillId="0" borderId="0" xfId="0" applyNumberFormat="1" applyAlignment="1">
      <alignment horizontal="right" vertical="top"/>
    </xf>
    <xf numFmtId="49" fontId="0" fillId="0" borderId="1" xfId="0" applyNumberFormat="1" applyFill="1" applyBorder="1" applyAlignment="1">
      <alignment horizontal="left" vertical="top" wrapText="1"/>
    </xf>
    <xf numFmtId="0" fontId="0" fillId="0" borderId="0" xfId="0" applyFill="1" applyAlignment="1">
      <alignment horizontal="left" vertical="top"/>
    </xf>
    <xf numFmtId="0" fontId="0" fillId="0" borderId="11" xfId="0" applyNumberFormat="1" applyFill="1" applyBorder="1" applyAlignment="1">
      <alignment horizontal="left" vertical="top" wrapText="1"/>
    </xf>
    <xf numFmtId="31" fontId="0" fillId="0" borderId="1" xfId="0" applyNumberFormat="1" applyFill="1" applyBorder="1" applyAlignment="1">
      <alignment horizontal="left" vertical="top" wrapText="1"/>
    </xf>
    <xf numFmtId="0" fontId="0" fillId="0" borderId="13" xfId="0" applyFill="1" applyBorder="1"/>
    <xf numFmtId="0" fontId="0" fillId="0" borderId="14" xfId="0" applyFill="1" applyBorder="1"/>
    <xf numFmtId="176" fontId="0" fillId="0" borderId="14" xfId="0" applyNumberFormat="1" applyFill="1" applyBorder="1"/>
    <xf numFmtId="0" fontId="0" fillId="0" borderId="15" xfId="0" applyFill="1" applyBorder="1"/>
    <xf numFmtId="0" fontId="0" fillId="0" borderId="16" xfId="0" applyFill="1" applyBorder="1"/>
    <xf numFmtId="176" fontId="0" fillId="0" borderId="16" xfId="0" applyNumberFormat="1" applyFill="1" applyBorder="1"/>
    <xf numFmtId="0" fontId="0" fillId="0" borderId="17" xfId="0" applyFill="1" applyBorder="1"/>
    <xf numFmtId="0" fontId="0" fillId="0" borderId="18" xfId="0" applyFill="1" applyBorder="1"/>
    <xf numFmtId="0" fontId="0" fillId="0" borderId="4" xfId="0" applyFill="1" applyBorder="1"/>
    <xf numFmtId="0" fontId="0" fillId="0" borderId="2" xfId="0" applyFill="1" applyBorder="1"/>
    <xf numFmtId="0" fontId="0" fillId="0" borderId="19" xfId="0" applyFill="1" applyBorder="1"/>
    <xf numFmtId="0" fontId="0" fillId="0" borderId="20" xfId="0" applyFill="1" applyBorder="1"/>
    <xf numFmtId="0" fontId="0" fillId="0" borderId="11" xfId="0" applyFill="1" applyBorder="1"/>
    <xf numFmtId="176" fontId="0" fillId="0" borderId="11" xfId="0" applyNumberFormat="1" applyFill="1" applyBorder="1"/>
    <xf numFmtId="0" fontId="0" fillId="0" borderId="12" xfId="0" applyFill="1" applyBorder="1"/>
    <xf numFmtId="0" fontId="0" fillId="0" borderId="4" xfId="0" applyBorder="1"/>
    <xf numFmtId="0" fontId="0" fillId="0" borderId="21" xfId="0" applyFill="1" applyBorder="1"/>
    <xf numFmtId="0" fontId="0" fillId="0" borderId="6" xfId="0" applyFill="1" applyBorder="1"/>
    <xf numFmtId="0" fontId="0" fillId="0" borderId="7" xfId="0" applyFill="1" applyBorder="1"/>
    <xf numFmtId="0" fontId="0" fillId="0" borderId="22" xfId="0" applyFill="1" applyBorder="1"/>
    <xf numFmtId="0" fontId="0" fillId="0" borderId="23" xfId="0" applyFill="1" applyBorder="1"/>
    <xf numFmtId="0" fontId="0" fillId="0" borderId="24" xfId="0" applyBorder="1" applyAlignment="1">
      <alignment horizontal="center"/>
    </xf>
    <xf numFmtId="0" fontId="0" fillId="0" borderId="25" xfId="0" applyFill="1" applyBorder="1" applyAlignment="1">
      <alignment horizontal="center"/>
    </xf>
    <xf numFmtId="176" fontId="0" fillId="0" borderId="25" xfId="0" applyNumberFormat="1" applyFill="1" applyBorder="1" applyAlignment="1">
      <alignment horizontal="center"/>
    </xf>
    <xf numFmtId="0" fontId="0" fillId="0" borderId="26" xfId="0" applyFill="1" applyBorder="1" applyAlignment="1">
      <alignment horizontal="center"/>
    </xf>
    <xf numFmtId="0" fontId="0" fillId="0" borderId="24" xfId="0" applyBorder="1" applyAlignment="1">
      <alignment horizontal="center" vertical="top"/>
    </xf>
    <xf numFmtId="0" fontId="11" fillId="0" borderId="0" xfId="4" applyFill="1">
      <alignment vertical="center"/>
    </xf>
    <xf numFmtId="0" fontId="11" fillId="0" borderId="1" xfId="4" applyFill="1" applyBorder="1" applyAlignment="1">
      <alignment horizontal="center"/>
    </xf>
    <xf numFmtId="179" fontId="11" fillId="0" borderId="1" xfId="4" applyNumberFormat="1" applyFill="1" applyBorder="1" applyAlignment="1">
      <alignment horizontal="center"/>
    </xf>
    <xf numFmtId="176" fontId="11" fillId="0" borderId="1" xfId="4" applyNumberFormat="1" applyFill="1" applyBorder="1" applyAlignment="1">
      <alignment horizontal="center"/>
    </xf>
    <xf numFmtId="0" fontId="11" fillId="0" borderId="1" xfId="4" applyFill="1" applyBorder="1" applyAlignment="1">
      <alignment horizontal="center" wrapText="1"/>
    </xf>
    <xf numFmtId="0" fontId="11" fillId="0" borderId="0" xfId="4" applyFill="1" applyAlignment="1">
      <alignment horizontal="center"/>
    </xf>
    <xf numFmtId="0" fontId="11" fillId="0" borderId="1" xfId="4" applyFill="1" applyBorder="1">
      <alignment vertical="center"/>
    </xf>
    <xf numFmtId="179" fontId="11" fillId="0" borderId="1" xfId="4" applyNumberFormat="1" applyFill="1" applyBorder="1">
      <alignment vertical="center"/>
    </xf>
    <xf numFmtId="176" fontId="11" fillId="0" borderId="1" xfId="4" applyNumberFormat="1" applyFill="1" applyBorder="1">
      <alignment vertical="center"/>
    </xf>
    <xf numFmtId="0" fontId="11" fillId="0" borderId="1" xfId="4" applyFont="1" applyFill="1" applyBorder="1">
      <alignment vertical="center"/>
    </xf>
    <xf numFmtId="0" fontId="9" fillId="0" borderId="0" xfId="0" applyFont="1" applyAlignment="1">
      <alignment horizontal="center"/>
    </xf>
    <xf numFmtId="0" fontId="0" fillId="0" borderId="32" xfId="0" applyFill="1" applyBorder="1" applyAlignment="1">
      <alignment horizontal="center"/>
    </xf>
    <xf numFmtId="0" fontId="0" fillId="0" borderId="25" xfId="0" applyFill="1" applyBorder="1" applyAlignment="1">
      <alignment horizontal="center"/>
    </xf>
    <xf numFmtId="0" fontId="0" fillId="0" borderId="0" xfId="0" applyAlignment="1">
      <alignment wrapText="1"/>
    </xf>
    <xf numFmtId="176" fontId="0" fillId="0" borderId="0" xfId="0" applyNumberFormat="1" applyFill="1" applyAlignment="1">
      <alignment wrapText="1"/>
    </xf>
    <xf numFmtId="176" fontId="0" fillId="0" borderId="0" xfId="0" applyNumberFormat="1" applyAlignment="1">
      <alignment wrapText="1"/>
    </xf>
    <xf numFmtId="0" fontId="0" fillId="0" borderId="0" xfId="0" applyBorder="1" applyAlignment="1">
      <alignment horizontal="left" wrapText="1"/>
    </xf>
    <xf numFmtId="0" fontId="0" fillId="0" borderId="27" xfId="0" applyFill="1" applyBorder="1" applyAlignment="1">
      <alignment horizontal="center"/>
    </xf>
    <xf numFmtId="0" fontId="0" fillId="0" borderId="28" xfId="0" applyFill="1" applyBorder="1" applyAlignment="1">
      <alignment horizontal="center"/>
    </xf>
    <xf numFmtId="0" fontId="0" fillId="0" borderId="29" xfId="0" applyBorder="1" applyAlignment="1">
      <alignment horizontal="center" vertical="top"/>
    </xf>
    <xf numFmtId="0" fontId="0" fillId="0" borderId="30" xfId="0" applyBorder="1" applyAlignment="1">
      <alignment horizontal="center" vertical="top"/>
    </xf>
    <xf numFmtId="0" fontId="0" fillId="0" borderId="31" xfId="0" applyBorder="1" applyAlignment="1">
      <alignment horizontal="center" vertical="top"/>
    </xf>
    <xf numFmtId="0" fontId="0" fillId="0" borderId="0" xfId="0" applyAlignment="1">
      <alignment horizontal="left" wrapText="1"/>
    </xf>
    <xf numFmtId="17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0" fillId="0" borderId="7" xfId="0" applyBorder="1" applyAlignment="1">
      <alignment horizontal="left" vertical="top" wrapText="1"/>
    </xf>
    <xf numFmtId="0" fontId="0" fillId="0" borderId="1" xfId="0" applyBorder="1" applyAlignment="1">
      <alignment horizontal="center"/>
    </xf>
    <xf numFmtId="0" fontId="0" fillId="0" borderId="0" xfId="0" applyFill="1" applyBorder="1" applyAlignment="1">
      <alignment horizontal="left" vertical="top" wrapText="1"/>
    </xf>
    <xf numFmtId="0" fontId="0" fillId="0" borderId="0" xfId="0" applyFill="1" applyBorder="1" applyAlignment="1">
      <alignment horizontal="left" vertical="top"/>
    </xf>
    <xf numFmtId="0" fontId="0" fillId="0" borderId="7" xfId="0" applyFill="1" applyBorder="1" applyAlignment="1">
      <alignment horizontal="left" vertical="top"/>
    </xf>
    <xf numFmtId="0" fontId="0" fillId="0" borderId="1" xfId="0" applyFill="1" applyBorder="1" applyAlignment="1">
      <alignment horizontal="center" vertical="top"/>
    </xf>
    <xf numFmtId="0" fontId="0" fillId="0" borderId="0" xfId="0" applyFill="1" applyAlignment="1">
      <alignment horizontal="left" vertical="top" wrapText="1"/>
    </xf>
    <xf numFmtId="179" fontId="0" fillId="0" borderId="0" xfId="0" applyNumberFormat="1" applyBorder="1" applyAlignment="1">
      <alignment horizontal="left" vertical="top" wrapText="1"/>
    </xf>
    <xf numFmtId="0" fontId="0" fillId="0" borderId="0" xfId="0" applyNumberFormat="1" applyBorder="1" applyAlignment="1">
      <alignment horizontal="left" vertical="top" wrapText="1"/>
    </xf>
    <xf numFmtId="0" fontId="0" fillId="0" borderId="1" xfId="0" applyBorder="1" applyAlignment="1">
      <alignment horizontal="right"/>
    </xf>
    <xf numFmtId="0" fontId="0" fillId="0" borderId="3" xfId="0" applyBorder="1" applyAlignment="1">
      <alignment horizontal="left"/>
    </xf>
    <xf numFmtId="0" fontId="0" fillId="0" borderId="6" xfId="0" applyBorder="1" applyAlignment="1">
      <alignment horizontal="left"/>
    </xf>
    <xf numFmtId="0" fontId="0" fillId="0" borderId="2" xfId="0" applyBorder="1" applyAlignment="1">
      <alignment horizontal="left"/>
    </xf>
    <xf numFmtId="0" fontId="16" fillId="0" borderId="0" xfId="3" applyFont="1" applyBorder="1" applyAlignment="1">
      <alignment horizontal="left" vertical="top" wrapText="1"/>
    </xf>
    <xf numFmtId="0" fontId="16" fillId="0" borderId="0" xfId="3" applyFont="1" applyBorder="1" applyAlignment="1">
      <alignment horizontal="left" vertical="top"/>
    </xf>
    <xf numFmtId="0" fontId="14" fillId="0" borderId="0" xfId="1" applyFont="1" applyAlignment="1">
      <alignment horizontal="left" vertical="top" wrapText="1"/>
    </xf>
    <xf numFmtId="0" fontId="0" fillId="0" borderId="0" xfId="0" applyFill="1" applyAlignment="1">
      <alignment horizontal="left" vertical="top"/>
    </xf>
    <xf numFmtId="0" fontId="1" fillId="0" borderId="0" xfId="1" applyFont="1" applyFill="1" applyAlignment="1">
      <alignment horizontal="left" vertical="top" wrapText="1"/>
    </xf>
    <xf numFmtId="0" fontId="6" fillId="0" borderId="3" xfId="0" applyFont="1" applyBorder="1" applyAlignment="1">
      <alignment horizontal="left" vertical="top" wrapText="1"/>
    </xf>
    <xf numFmtId="0" fontId="6" fillId="0" borderId="6" xfId="0" applyFont="1" applyBorder="1" applyAlignment="1">
      <alignment horizontal="left" vertical="top" wrapText="1"/>
    </xf>
    <xf numFmtId="0" fontId="6" fillId="0" borderId="2" xfId="0" applyFont="1" applyBorder="1" applyAlignment="1">
      <alignment horizontal="left" vertical="top" wrapText="1"/>
    </xf>
    <xf numFmtId="0" fontId="0" fillId="0" borderId="11" xfId="0" applyFill="1" applyBorder="1" applyAlignment="1">
      <alignment horizontal="left" vertical="top" wrapText="1"/>
    </xf>
    <xf numFmtId="0" fontId="0" fillId="0" borderId="12" xfId="0" applyFill="1" applyBorder="1" applyAlignment="1">
      <alignment horizontal="left" vertical="top" wrapText="1"/>
    </xf>
    <xf numFmtId="0" fontId="0" fillId="0" borderId="11" xfId="0" applyFill="1" applyBorder="1" applyAlignment="1">
      <alignment horizontal="left" vertical="top"/>
    </xf>
    <xf numFmtId="0" fontId="0" fillId="0" borderId="12" xfId="0" applyFill="1" applyBorder="1" applyAlignment="1">
      <alignment horizontal="left" vertical="top"/>
    </xf>
    <xf numFmtId="0" fontId="0" fillId="0" borderId="0" xfId="0" applyBorder="1" applyAlignment="1">
      <alignment horizontal="left" vertical="top" wrapText="1"/>
    </xf>
    <xf numFmtId="0" fontId="6" fillId="0" borderId="3" xfId="0" applyFont="1" applyBorder="1" applyAlignment="1">
      <alignment horizontal="left" vertical="top"/>
    </xf>
    <xf numFmtId="0" fontId="6" fillId="0" borderId="6" xfId="0" applyFont="1" applyBorder="1" applyAlignment="1">
      <alignment horizontal="left" vertical="top"/>
    </xf>
    <xf numFmtId="0" fontId="6" fillId="0" borderId="2" xfId="0" applyFont="1" applyBorder="1" applyAlignment="1">
      <alignment horizontal="left" vertical="top"/>
    </xf>
    <xf numFmtId="176" fontId="0" fillId="0" borderId="11" xfId="0" applyNumberFormat="1" applyFill="1" applyBorder="1" applyAlignment="1">
      <alignment horizontal="right" vertical="top"/>
    </xf>
    <xf numFmtId="176" fontId="0" fillId="0" borderId="12" xfId="0" applyNumberFormat="1" applyFill="1" applyBorder="1" applyAlignment="1">
      <alignment horizontal="right" vertical="top"/>
    </xf>
    <xf numFmtId="0" fontId="0" fillId="0" borderId="11" xfId="0" applyFill="1" applyBorder="1" applyAlignment="1">
      <alignment horizontal="center" vertical="top"/>
    </xf>
    <xf numFmtId="0" fontId="0" fillId="0" borderId="12" xfId="0" applyFill="1" applyBorder="1" applyAlignment="1">
      <alignment horizontal="center" vertical="top"/>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0" borderId="12" xfId="0" applyFont="1" applyFill="1" applyBorder="1" applyAlignment="1">
      <alignment horizontal="left" vertical="top" wrapText="1"/>
    </xf>
    <xf numFmtId="0" fontId="0" fillId="0" borderId="11" xfId="0" applyFill="1" applyBorder="1" applyAlignment="1">
      <alignment horizontal="center" vertical="top" wrapText="1"/>
    </xf>
    <xf numFmtId="0" fontId="0" fillId="0" borderId="12" xfId="0" applyFill="1" applyBorder="1" applyAlignment="1">
      <alignment horizontal="center" vertical="top" wrapText="1"/>
    </xf>
    <xf numFmtId="0" fontId="0" fillId="0" borderId="11" xfId="0" quotePrefix="1" applyFill="1" applyBorder="1" applyAlignment="1">
      <alignment horizontal="left" vertical="top" wrapText="1"/>
    </xf>
    <xf numFmtId="0" fontId="0" fillId="0" borderId="12" xfId="0" quotePrefix="1" applyFill="1" applyBorder="1" applyAlignment="1">
      <alignment horizontal="left" vertical="top" wrapText="1"/>
    </xf>
    <xf numFmtId="0" fontId="0" fillId="0" borderId="11" xfId="0" applyFont="1" applyFill="1" applyBorder="1" applyAlignment="1">
      <alignment horizontal="left" vertical="top" wrapText="1"/>
    </xf>
    <xf numFmtId="0" fontId="0" fillId="0" borderId="33" xfId="0" applyFont="1" applyFill="1" applyBorder="1" applyAlignment="1">
      <alignment horizontal="left" vertical="top" wrapText="1"/>
    </xf>
    <xf numFmtId="0" fontId="0" fillId="0" borderId="12" xfId="0" applyFont="1" applyFill="1" applyBorder="1" applyAlignment="1">
      <alignment horizontal="left" vertical="top" wrapText="1"/>
    </xf>
    <xf numFmtId="0" fontId="0" fillId="0" borderId="33" xfId="0" applyFill="1" applyBorder="1" applyAlignment="1">
      <alignment horizontal="left" vertical="top" wrapText="1"/>
    </xf>
    <xf numFmtId="0" fontId="1" fillId="0" borderId="11" xfId="0" applyFont="1" applyFill="1" applyBorder="1" applyAlignment="1">
      <alignment horizontal="left" vertical="top" wrapText="1"/>
    </xf>
    <xf numFmtId="31" fontId="0" fillId="0" borderId="11" xfId="0" applyNumberFormat="1" applyFill="1" applyBorder="1" applyAlignment="1">
      <alignment horizontal="left" vertical="top"/>
    </xf>
    <xf numFmtId="31" fontId="0" fillId="0" borderId="12" xfId="0" applyNumberFormat="1" applyFill="1" applyBorder="1" applyAlignment="1">
      <alignment horizontal="left" vertical="top"/>
    </xf>
    <xf numFmtId="0" fontId="1" fillId="0" borderId="33" xfId="0" applyFont="1" applyFill="1" applyBorder="1" applyAlignment="1">
      <alignment horizontal="left" vertical="top" wrapText="1"/>
    </xf>
    <xf numFmtId="0" fontId="5" fillId="0" borderId="3" xfId="0" applyFont="1" applyBorder="1" applyAlignment="1">
      <alignment horizontal="left" vertical="top" wrapText="1"/>
    </xf>
    <xf numFmtId="0" fontId="5" fillId="0" borderId="6" xfId="0" applyFont="1" applyBorder="1" applyAlignment="1">
      <alignment horizontal="left" vertical="top" wrapText="1"/>
    </xf>
    <xf numFmtId="0" fontId="5" fillId="0" borderId="2" xfId="0" applyFont="1" applyBorder="1" applyAlignment="1">
      <alignment horizontal="left" vertical="top" wrapText="1"/>
    </xf>
    <xf numFmtId="0" fontId="0" fillId="0" borderId="33" xfId="0" applyFill="1" applyBorder="1" applyAlignment="1">
      <alignment horizontal="left" vertical="top"/>
    </xf>
    <xf numFmtId="0" fontId="1" fillId="0" borderId="11" xfId="0" applyFont="1" applyFill="1" applyBorder="1" applyAlignment="1">
      <alignment horizontal="center" vertical="top" wrapText="1"/>
    </xf>
    <xf numFmtId="0" fontId="1" fillId="0" borderId="12" xfId="0" applyFont="1" applyFill="1" applyBorder="1" applyAlignment="1">
      <alignment horizontal="center" vertical="top" wrapText="1"/>
    </xf>
    <xf numFmtId="49" fontId="1" fillId="0" borderId="11" xfId="0" applyNumberFormat="1" applyFont="1" applyFill="1" applyBorder="1" applyAlignment="1">
      <alignment horizontal="left" vertical="top" wrapText="1"/>
    </xf>
    <xf numFmtId="49" fontId="1" fillId="0" borderId="12" xfId="0" applyNumberFormat="1" applyFont="1" applyFill="1" applyBorder="1" applyAlignment="1">
      <alignment horizontal="left" vertical="top" wrapText="1"/>
    </xf>
    <xf numFmtId="0" fontId="0" fillId="0" borderId="33" xfId="0" applyFill="1" applyBorder="1" applyAlignment="1">
      <alignment horizontal="center" vertical="top"/>
    </xf>
    <xf numFmtId="0" fontId="1" fillId="0" borderId="12" xfId="0" applyFont="1" applyBorder="1" applyAlignment="1">
      <alignment horizontal="left" vertical="top" wrapText="1"/>
    </xf>
    <xf numFmtId="0" fontId="1" fillId="0" borderId="11" xfId="0" applyFont="1" applyBorder="1" applyAlignment="1">
      <alignment horizontal="left" vertical="top" wrapText="1"/>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cellXfs>
  <cellStyles count="7">
    <cellStyle name="Comma" xfId="5" builtinId="3"/>
    <cellStyle name="Normal" xfId="0" builtinId="0"/>
    <cellStyle name="Percent" xfId="6" builtinId="5"/>
    <cellStyle name="一般 2" xfId="1"/>
    <cellStyle name="一般 3" xfId="2"/>
    <cellStyle name="一般_日記帳(合豐工作底稿)" xfId="3"/>
    <cellStyle name="一般_蕭睿軒免訴部分分析" xfId="4"/>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I25"/>
  <sheetViews>
    <sheetView tabSelected="1" workbookViewId="0">
      <selection activeCell="H18" sqref="H18"/>
    </sheetView>
  </sheetViews>
  <sheetFormatPr defaultRowHeight="16.2"/>
  <cols>
    <col min="1" max="1" width="6" bestFit="1" customWidth="1"/>
    <col min="2" max="2" width="5.77734375" customWidth="1"/>
    <col min="3" max="3" width="17.44140625" customWidth="1"/>
    <col min="4" max="4" width="23.6640625" customWidth="1"/>
    <col min="5" max="5" width="11.21875" customWidth="1"/>
    <col min="6" max="6" width="12.44140625" style="18" customWidth="1"/>
    <col min="7" max="7" width="14.6640625" style="3" customWidth="1"/>
    <col min="8" max="8" width="15.33203125" style="18" bestFit="1" customWidth="1"/>
    <col min="9" max="9" width="29.77734375" customWidth="1"/>
    <col min="10" max="10" width="11.21875" customWidth="1"/>
  </cols>
  <sheetData>
    <row r="1" spans="1:9" ht="19.8">
      <c r="B1" s="269" t="s">
        <v>3366</v>
      </c>
      <c r="C1" s="269"/>
      <c r="D1" s="269"/>
      <c r="E1" s="269"/>
      <c r="F1" s="269"/>
      <c r="G1" s="269"/>
      <c r="H1" s="269"/>
      <c r="I1" s="269"/>
    </row>
    <row r="2" spans="1:9" ht="16.8" thickBot="1"/>
    <row r="3" spans="1:9" s="1" customFormat="1" ht="16.8" thickBot="1">
      <c r="A3" s="254" t="s">
        <v>2814</v>
      </c>
      <c r="B3" s="270" t="s">
        <v>1813</v>
      </c>
      <c r="C3" s="271"/>
      <c r="D3" s="255" t="s">
        <v>336</v>
      </c>
      <c r="E3" s="255" t="s">
        <v>639</v>
      </c>
      <c r="F3" s="256" t="s">
        <v>931</v>
      </c>
      <c r="G3" s="256" t="s">
        <v>640</v>
      </c>
      <c r="H3" s="256" t="s">
        <v>4031</v>
      </c>
      <c r="I3" s="257" t="s">
        <v>932</v>
      </c>
    </row>
    <row r="4" spans="1:9" ht="16.8" thickBot="1">
      <c r="A4" s="258">
        <v>1</v>
      </c>
      <c r="B4" s="253" t="s">
        <v>642</v>
      </c>
      <c r="C4" s="234"/>
      <c r="D4" s="234" t="s">
        <v>933</v>
      </c>
      <c r="E4" s="234"/>
      <c r="F4" s="235">
        <f ca="1">國泰當鋪!I1667</f>
        <v>20120852</v>
      </c>
      <c r="G4" s="235"/>
      <c r="H4" s="235">
        <f ca="1">國泰當鋪!J1667</f>
        <v>13172268.75</v>
      </c>
      <c r="I4" s="240" t="s">
        <v>3367</v>
      </c>
    </row>
    <row r="5" spans="1:9" ht="16.8" thickBot="1">
      <c r="A5" s="258">
        <v>2</v>
      </c>
      <c r="B5" s="236" t="s">
        <v>3511</v>
      </c>
      <c r="C5" s="236"/>
      <c r="D5" s="236"/>
      <c r="E5" s="237"/>
      <c r="F5" s="238">
        <f ca="1">依被害人證述計算!H28</f>
        <v>759320</v>
      </c>
      <c r="G5" s="238"/>
      <c r="H5" s="238">
        <f ca="1">依被害人證述計算!I28</f>
        <v>444783.33333333326</v>
      </c>
      <c r="I5" s="239" t="s">
        <v>3368</v>
      </c>
    </row>
    <row r="6" spans="1:9">
      <c r="A6" s="278">
        <v>3</v>
      </c>
      <c r="B6" s="249" t="s">
        <v>638</v>
      </c>
      <c r="C6" s="241"/>
      <c r="D6" s="241"/>
      <c r="E6" s="38"/>
      <c r="F6" s="38">
        <f>SUM(E7:E8)</f>
        <v>865100</v>
      </c>
      <c r="G6" s="38"/>
      <c r="H6" s="38">
        <f>SUM(G7:G8)</f>
        <v>545480</v>
      </c>
      <c r="I6" s="145"/>
    </row>
    <row r="7" spans="1:9">
      <c r="A7" s="279"/>
      <c r="B7" s="250"/>
      <c r="C7" s="242" t="s">
        <v>934</v>
      </c>
      <c r="D7" s="15" t="s">
        <v>935</v>
      </c>
      <c r="E7" s="17">
        <f ca="1">元一當鋪!D17</f>
        <v>47095</v>
      </c>
      <c r="F7" s="17"/>
      <c r="G7" s="17">
        <f ca="1">元一當鋪!D19</f>
        <v>31396.666666666664</v>
      </c>
      <c r="H7" s="17"/>
      <c r="I7" s="142" t="s">
        <v>3369</v>
      </c>
    </row>
    <row r="8" spans="1:9" ht="16.8" thickBot="1">
      <c r="A8" s="280"/>
      <c r="B8" s="251"/>
      <c r="C8" s="244" t="s">
        <v>2543</v>
      </c>
      <c r="D8" s="245"/>
      <c r="E8" s="39">
        <f ca="1">依被害人證述計算!H65</f>
        <v>818005</v>
      </c>
      <c r="F8" s="246"/>
      <c r="G8" s="246">
        <f ca="1">依被害人證述計算!I65</f>
        <v>514083.33333333331</v>
      </c>
      <c r="H8" s="246"/>
      <c r="I8" s="233" t="s">
        <v>3368</v>
      </c>
    </row>
    <row r="9" spans="1:9">
      <c r="A9" s="278">
        <v>4</v>
      </c>
      <c r="B9" s="249" t="s">
        <v>2815</v>
      </c>
      <c r="C9" s="241"/>
      <c r="D9" s="241"/>
      <c r="E9" s="247"/>
      <c r="F9" s="38">
        <f ca="1">SUM(E10:E11)</f>
        <v>3063870</v>
      </c>
      <c r="G9" s="38"/>
      <c r="H9" s="38">
        <f>SUM(G10:G11)</f>
        <v>2003280</v>
      </c>
      <c r="I9" s="145"/>
    </row>
    <row r="10" spans="1:9">
      <c r="A10" s="279"/>
      <c r="B10" s="250"/>
      <c r="C10" s="242" t="s">
        <v>936</v>
      </c>
      <c r="D10" s="15" t="s">
        <v>937</v>
      </c>
      <c r="E10" s="17">
        <f ca="1">元崗當鋪!D1310</f>
        <v>2620170</v>
      </c>
      <c r="F10" s="17"/>
      <c r="G10" s="17">
        <f ca="1">元崗當鋪!D1312</f>
        <v>1746780</v>
      </c>
      <c r="H10" s="17"/>
      <c r="I10" s="142" t="s">
        <v>3370</v>
      </c>
    </row>
    <row r="11" spans="1:9" ht="16.8" thickBot="1">
      <c r="A11" s="280"/>
      <c r="B11" s="252"/>
      <c r="C11" s="243" t="s">
        <v>936</v>
      </c>
      <c r="D11" s="143"/>
      <c r="E11" s="39">
        <f ca="1">依被害人證述計算!H74</f>
        <v>443700</v>
      </c>
      <c r="F11" s="39"/>
      <c r="G11" s="39">
        <f ca="1">依被害人證述計算!I74</f>
        <v>256499.99999999994</v>
      </c>
      <c r="H11" s="39"/>
      <c r="I11" s="144" t="s">
        <v>3368</v>
      </c>
    </row>
    <row r="12" spans="1:9">
      <c r="A12" s="278">
        <v>5</v>
      </c>
      <c r="B12" s="249" t="s">
        <v>641</v>
      </c>
      <c r="C12" s="241"/>
      <c r="D12" s="241"/>
      <c r="E12" s="241"/>
      <c r="F12" s="38">
        <f ca="1">SUM(E13:E14)</f>
        <v>1866895</v>
      </c>
      <c r="G12" s="38"/>
      <c r="H12" s="38">
        <f>SUM(G13:G14)</f>
        <v>1244596.6666666665</v>
      </c>
      <c r="I12" s="145"/>
    </row>
    <row r="13" spans="1:9">
      <c r="A13" s="279"/>
      <c r="B13" s="250"/>
      <c r="C13" s="242" t="s">
        <v>573</v>
      </c>
      <c r="D13" s="15" t="s">
        <v>939</v>
      </c>
      <c r="E13" s="17">
        <f ca="1">元喆當鋪!D586</f>
        <v>1094395</v>
      </c>
      <c r="F13" s="17"/>
      <c r="G13" s="17">
        <f ca="1">E13*2/3</f>
        <v>729596.66666666663</v>
      </c>
      <c r="H13" s="17"/>
      <c r="I13" s="142" t="s">
        <v>3371</v>
      </c>
    </row>
    <row r="14" spans="1:9" ht="16.8" thickBot="1">
      <c r="A14" s="280"/>
      <c r="B14" s="252"/>
      <c r="C14" s="243" t="s">
        <v>938</v>
      </c>
      <c r="D14" s="143"/>
      <c r="E14" s="39">
        <f ca="1">依被害人證述計算!H90</f>
        <v>772500</v>
      </c>
      <c r="F14" s="39"/>
      <c r="G14" s="39">
        <f ca="1">依被害人證述計算!I90</f>
        <v>514999.99999999988</v>
      </c>
      <c r="H14" s="39"/>
      <c r="I14" s="144" t="s">
        <v>3368</v>
      </c>
    </row>
    <row r="15" spans="1:9">
      <c r="A15" s="278">
        <v>6</v>
      </c>
      <c r="B15" s="249" t="s">
        <v>643</v>
      </c>
      <c r="C15" s="241"/>
      <c r="D15" s="241"/>
      <c r="E15" s="241"/>
      <c r="F15" s="38">
        <f ca="1">SUM(E16:E17)</f>
        <v>1061570</v>
      </c>
      <c r="G15" s="38"/>
      <c r="H15" s="38">
        <f>SUM(G16:G17)</f>
        <v>702982.08333333326</v>
      </c>
      <c r="I15" s="145"/>
    </row>
    <row r="16" spans="1:9">
      <c r="A16" s="279"/>
      <c r="B16" s="250"/>
      <c r="C16" s="242" t="s">
        <v>3512</v>
      </c>
      <c r="D16" s="15" t="s">
        <v>3513</v>
      </c>
      <c r="E16" s="17">
        <f ca="1">合豐當鋪!E462</f>
        <v>597095</v>
      </c>
      <c r="F16" s="17"/>
      <c r="G16" s="17">
        <f ca="1">合豐當鋪!I462</f>
        <v>393819.58333333331</v>
      </c>
      <c r="H16" s="17"/>
      <c r="I16" s="142" t="s">
        <v>3372</v>
      </c>
    </row>
    <row r="17" spans="1:9" ht="16.8" thickBot="1">
      <c r="A17" s="280"/>
      <c r="B17" s="252"/>
      <c r="C17" s="243" t="s">
        <v>3512</v>
      </c>
      <c r="D17" s="143"/>
      <c r="E17" s="39">
        <f ca="1">依被害人證述計算!H104</f>
        <v>464475</v>
      </c>
      <c r="F17" s="39"/>
      <c r="G17" s="39">
        <f ca="1">依被害人證述計算!I104</f>
        <v>309162.49999999994</v>
      </c>
      <c r="H17" s="39"/>
      <c r="I17" s="144" t="s">
        <v>3368</v>
      </c>
    </row>
    <row r="18" spans="1:9">
      <c r="A18" s="278">
        <v>7</v>
      </c>
      <c r="B18" s="249" t="s">
        <v>957</v>
      </c>
      <c r="C18" s="241"/>
      <c r="D18" s="248"/>
      <c r="E18" s="241"/>
      <c r="F18" s="38">
        <f ca="1">SUM(E19:E20)</f>
        <v>18487713.562500004</v>
      </c>
      <c r="G18" s="38"/>
      <c r="H18" s="38">
        <f>SUM(G19:G20)</f>
        <v>12044895.154166669</v>
      </c>
      <c r="I18" s="145"/>
    </row>
    <row r="19" spans="1:9">
      <c r="A19" s="279"/>
      <c r="B19" s="250"/>
      <c r="C19" s="242" t="s">
        <v>3514</v>
      </c>
      <c r="D19" s="15" t="s">
        <v>2213</v>
      </c>
      <c r="E19" s="17">
        <f ca="1">瑞誠當鋪!I2750</f>
        <v>17775213.562500004</v>
      </c>
      <c r="F19" s="17"/>
      <c r="G19" s="17">
        <f ca="1">瑞誠當鋪!J2750</f>
        <v>11569895.154166669</v>
      </c>
      <c r="H19" s="17"/>
      <c r="I19" s="142" t="s">
        <v>3373</v>
      </c>
    </row>
    <row r="20" spans="1:9" ht="16.8" thickBot="1">
      <c r="A20" s="280"/>
      <c r="B20" s="252"/>
      <c r="C20" s="243" t="s">
        <v>3514</v>
      </c>
      <c r="D20" s="143"/>
      <c r="E20" s="39">
        <f ca="1">依被害人證述計算!H107</f>
        <v>712500</v>
      </c>
      <c r="F20" s="39"/>
      <c r="G20" s="39">
        <f ca="1">依被害人證述計算!I107</f>
        <v>475000</v>
      </c>
      <c r="H20" s="39"/>
      <c r="I20" s="144" t="s">
        <v>3368</v>
      </c>
    </row>
    <row r="21" spans="1:9" ht="16.8" thickBot="1">
      <c r="A21" s="276" t="s">
        <v>2816</v>
      </c>
      <c r="B21" s="277"/>
      <c r="C21" s="270"/>
      <c r="D21" s="234"/>
      <c r="E21" s="234"/>
      <c r="F21" s="235">
        <f>SUM(F3:F17)</f>
        <v>27737607</v>
      </c>
      <c r="G21" s="235"/>
      <c r="H21" s="235">
        <f>SUM(H3:H17)</f>
        <v>18113390.833333332</v>
      </c>
      <c r="I21" s="240"/>
    </row>
    <row r="22" spans="1:9" ht="16.8" thickBot="1">
      <c r="A22" s="276" t="s">
        <v>2817</v>
      </c>
      <c r="B22" s="277"/>
      <c r="C22" s="270"/>
      <c r="D22" s="234"/>
      <c r="E22" s="234"/>
      <c r="F22" s="235">
        <f>SUM(F4:F20)</f>
        <v>46225320.5625</v>
      </c>
      <c r="G22" s="235"/>
      <c r="H22" s="235">
        <f>SUM(H4:H20)+1</f>
        <v>30158286.987500001</v>
      </c>
      <c r="I22" s="240"/>
    </row>
    <row r="23" spans="1:9" ht="31.2" customHeight="1">
      <c r="B23" s="71" t="s">
        <v>1817</v>
      </c>
      <c r="C23" s="275" t="s">
        <v>2374</v>
      </c>
      <c r="D23" s="275"/>
      <c r="E23" s="275"/>
      <c r="F23" s="275"/>
      <c r="G23" s="275"/>
      <c r="H23" s="275"/>
      <c r="I23" s="275"/>
    </row>
    <row r="24" spans="1:9">
      <c r="B24" s="71" t="s">
        <v>1810</v>
      </c>
      <c r="C24" s="272" t="s">
        <v>2375</v>
      </c>
      <c r="D24" s="272"/>
      <c r="E24" s="272"/>
      <c r="F24" s="273"/>
      <c r="G24" s="274"/>
      <c r="H24" s="273"/>
      <c r="I24" s="272"/>
    </row>
    <row r="25" spans="1:9" ht="99.6" customHeight="1">
      <c r="B25" s="71" t="s">
        <v>3870</v>
      </c>
      <c r="C25" s="281" t="s">
        <v>3751</v>
      </c>
      <c r="D25" s="281"/>
      <c r="E25" s="281"/>
      <c r="F25" s="281"/>
      <c r="G25" s="281"/>
      <c r="H25" s="281"/>
      <c r="I25" s="281"/>
    </row>
  </sheetData>
  <mergeCells count="12">
    <mergeCell ref="A18:A20"/>
    <mergeCell ref="C25:I25"/>
    <mergeCell ref="B1:I1"/>
    <mergeCell ref="B3:C3"/>
    <mergeCell ref="C24:I24"/>
    <mergeCell ref="C23:I23"/>
    <mergeCell ref="A22:C22"/>
    <mergeCell ref="A21:C21"/>
    <mergeCell ref="A6:A8"/>
    <mergeCell ref="A9:A11"/>
    <mergeCell ref="A12:A14"/>
    <mergeCell ref="A15:A17"/>
  </mergeCells>
  <phoneticPr fontId="2" type="noConversion"/>
  <pageMargins left="0.70866141732283472" right="0.27" top="0.74803149606299213" bottom="0.56000000000000005" header="0.31496062992125984" footer="0.31496062992125984"/>
  <pageSetup paperSize="9"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sheetPr>
    <pageSetUpPr fitToPage="1"/>
  </sheetPr>
  <dimension ref="A1:M1673"/>
  <sheetViews>
    <sheetView workbookViewId="0">
      <pane ySplit="1" topLeftCell="A2" activePane="bottomLeft" state="frozen"/>
      <selection pane="bottomLeft" activeCell="F10" sqref="F10"/>
    </sheetView>
  </sheetViews>
  <sheetFormatPr defaultRowHeight="16.2"/>
  <cols>
    <col min="1" max="1" width="5.77734375" style="52" customWidth="1"/>
    <col min="2" max="2" width="6.33203125" style="57" bestFit="1" customWidth="1"/>
    <col min="3" max="3" width="10.44140625" style="52" bestFit="1" customWidth="1"/>
    <col min="4" max="4" width="10.33203125" style="58" bestFit="1" customWidth="1"/>
    <col min="5" max="5" width="11.109375" style="60" bestFit="1" customWidth="1"/>
    <col min="6" max="6" width="13.5546875" style="47" bestFit="1" customWidth="1"/>
    <col min="7" max="7" width="10.5546875" style="59" customWidth="1"/>
    <col min="8" max="8" width="8.88671875" style="58" bestFit="1"/>
    <col min="9" max="9" width="12.21875" style="58" customWidth="1"/>
    <col min="10" max="10" width="12.77734375" style="36" customWidth="1"/>
    <col min="11" max="11" width="19.44140625" style="52" customWidth="1"/>
    <col min="12" max="12" width="17.109375" style="61" customWidth="1"/>
    <col min="13" max="16384" width="8.88671875" style="52"/>
  </cols>
  <sheetData>
    <row r="1" spans="1:12" s="47" customFormat="1" ht="32.4">
      <c r="A1" s="40" t="s">
        <v>1506</v>
      </c>
      <c r="B1" s="41" t="s">
        <v>290</v>
      </c>
      <c r="C1" s="42" t="s">
        <v>4030</v>
      </c>
      <c r="D1" s="43" t="s">
        <v>1674</v>
      </c>
      <c r="E1" s="205" t="s">
        <v>2376</v>
      </c>
      <c r="F1" s="40" t="s">
        <v>1676</v>
      </c>
      <c r="G1" s="44" t="s">
        <v>1677</v>
      </c>
      <c r="H1" s="46" t="s">
        <v>1678</v>
      </c>
      <c r="I1" s="46" t="s">
        <v>1679</v>
      </c>
      <c r="J1" s="77" t="s">
        <v>1680</v>
      </c>
      <c r="K1" s="40" t="s">
        <v>3695</v>
      </c>
      <c r="L1" s="40" t="s">
        <v>755</v>
      </c>
    </row>
    <row r="2" spans="1:12">
      <c r="A2" s="13">
        <v>1</v>
      </c>
      <c r="B2" s="48" t="s">
        <v>1074</v>
      </c>
      <c r="C2" s="13" t="s">
        <v>1075</v>
      </c>
      <c r="D2" s="49">
        <v>85000</v>
      </c>
      <c r="E2" s="51">
        <v>7.4999999999999997E-2</v>
      </c>
      <c r="F2" s="42">
        <v>15</v>
      </c>
      <c r="G2" s="50">
        <v>40836</v>
      </c>
      <c r="H2" s="29">
        <v>31</v>
      </c>
      <c r="I2" s="49">
        <f>IF(F2="分期",D2*E2*2.5*H2/10,D2*E2*F2*H2/30)</f>
        <v>98812.5</v>
      </c>
      <c r="J2" s="29">
        <f t="shared" ref="J2:J65" si="0">IF(F2="分期",D2*(E2-0.025)*2.5*H2/10,D2*(E2-0.025)*F2/30*H2)</f>
        <v>65875</v>
      </c>
      <c r="K2" s="13" t="s">
        <v>291</v>
      </c>
      <c r="L2" s="13"/>
    </row>
    <row r="3" spans="1:12">
      <c r="A3" s="13"/>
      <c r="B3" s="48"/>
      <c r="C3" s="13"/>
      <c r="D3" s="49">
        <v>75000</v>
      </c>
      <c r="E3" s="51">
        <v>7.4999999999999997E-2</v>
      </c>
      <c r="F3" s="42">
        <v>15</v>
      </c>
      <c r="G3" s="50">
        <v>41298</v>
      </c>
      <c r="H3" s="62">
        <v>1</v>
      </c>
      <c r="I3" s="49">
        <f>IF(F3="分期",D3*E3*2.5*H3/10,D3*E3*F3*H3/30)+2</f>
        <v>2814.5</v>
      </c>
      <c r="J3" s="29">
        <f t="shared" si="0"/>
        <v>1874.9999999999998</v>
      </c>
      <c r="K3" s="13"/>
      <c r="L3" s="10" t="s">
        <v>1508</v>
      </c>
    </row>
    <row r="4" spans="1:12">
      <c r="A4" s="13">
        <v>2</v>
      </c>
      <c r="B4" s="48" t="s">
        <v>3623</v>
      </c>
      <c r="C4" s="13" t="s">
        <v>3624</v>
      </c>
      <c r="D4" s="49">
        <v>155000</v>
      </c>
      <c r="E4" s="51">
        <v>7.4999999999999997E-2</v>
      </c>
      <c r="F4" s="42">
        <v>15</v>
      </c>
      <c r="G4" s="50">
        <v>40836</v>
      </c>
      <c r="H4" s="49">
        <v>3</v>
      </c>
      <c r="I4" s="49">
        <f t="shared" ref="I4:I67" si="1">IF(F4="分期",D4*E4*2.5*H4/10,D4*E4*F4*H4/30)</f>
        <v>17437.5</v>
      </c>
      <c r="J4" s="29">
        <f t="shared" si="0"/>
        <v>11624.999999999998</v>
      </c>
      <c r="K4" s="13" t="s">
        <v>294</v>
      </c>
      <c r="L4" s="10"/>
    </row>
    <row r="5" spans="1:12">
      <c r="A5" s="13"/>
      <c r="B5" s="48"/>
      <c r="C5" s="13"/>
      <c r="D5" s="49">
        <v>140000</v>
      </c>
      <c r="E5" s="51">
        <v>7.4999999999999997E-2</v>
      </c>
      <c r="F5" s="42">
        <v>15</v>
      </c>
      <c r="G5" s="50">
        <v>40881</v>
      </c>
      <c r="H5" s="49">
        <v>1</v>
      </c>
      <c r="I5" s="49">
        <f t="shared" si="1"/>
        <v>5250</v>
      </c>
      <c r="J5" s="29">
        <f t="shared" si="0"/>
        <v>3499.9999999999995</v>
      </c>
      <c r="K5" s="13"/>
      <c r="L5" s="10"/>
    </row>
    <row r="6" spans="1:12">
      <c r="A6" s="13"/>
      <c r="B6" s="48"/>
      <c r="C6" s="13"/>
      <c r="D6" s="49">
        <v>130000</v>
      </c>
      <c r="E6" s="51">
        <v>7.4999999999999997E-2</v>
      </c>
      <c r="F6" s="42">
        <v>15</v>
      </c>
      <c r="G6" s="50">
        <v>40896</v>
      </c>
      <c r="H6" s="49">
        <v>2</v>
      </c>
      <c r="I6" s="49">
        <f t="shared" si="1"/>
        <v>9750</v>
      </c>
      <c r="J6" s="29">
        <f t="shared" si="0"/>
        <v>6499.9999999999991</v>
      </c>
      <c r="K6" s="13"/>
      <c r="L6" s="10"/>
    </row>
    <row r="7" spans="1:12">
      <c r="A7" s="13"/>
      <c r="B7" s="48"/>
      <c r="C7" s="13"/>
      <c r="D7" s="49">
        <v>120000</v>
      </c>
      <c r="E7" s="51">
        <v>7.4999999999999997E-2</v>
      </c>
      <c r="F7" s="42">
        <v>15</v>
      </c>
      <c r="G7" s="50">
        <v>40926</v>
      </c>
      <c r="H7" s="49">
        <v>3</v>
      </c>
      <c r="I7" s="49">
        <f t="shared" si="1"/>
        <v>13500</v>
      </c>
      <c r="J7" s="29">
        <f t="shared" si="0"/>
        <v>8999.9999999999982</v>
      </c>
      <c r="K7" s="13"/>
      <c r="L7" s="10"/>
    </row>
    <row r="8" spans="1:12">
      <c r="A8" s="13"/>
      <c r="B8" s="48"/>
      <c r="C8" s="13"/>
      <c r="D8" s="49">
        <v>100000</v>
      </c>
      <c r="E8" s="51">
        <v>7.4999999999999997E-2</v>
      </c>
      <c r="F8" s="42">
        <v>15</v>
      </c>
      <c r="G8" s="50">
        <v>40971</v>
      </c>
      <c r="H8" s="49">
        <v>1</v>
      </c>
      <c r="I8" s="49">
        <f t="shared" si="1"/>
        <v>3750</v>
      </c>
      <c r="J8" s="29">
        <f t="shared" si="0"/>
        <v>2500</v>
      </c>
      <c r="K8" s="13"/>
      <c r="L8" s="10"/>
    </row>
    <row r="9" spans="1:12">
      <c r="A9" s="13"/>
      <c r="B9" s="48"/>
      <c r="C9" s="13"/>
      <c r="D9" s="49">
        <v>90000</v>
      </c>
      <c r="E9" s="51">
        <v>7.4999999999999997E-2</v>
      </c>
      <c r="F9" s="42">
        <v>15</v>
      </c>
      <c r="G9" s="50">
        <v>40986</v>
      </c>
      <c r="H9" s="49">
        <v>1</v>
      </c>
      <c r="I9" s="49">
        <f t="shared" si="1"/>
        <v>3375</v>
      </c>
      <c r="J9" s="29">
        <f t="shared" si="0"/>
        <v>2250</v>
      </c>
      <c r="K9" s="13"/>
      <c r="L9" s="10"/>
    </row>
    <row r="10" spans="1:12">
      <c r="A10" s="13"/>
      <c r="B10" s="48"/>
      <c r="C10" s="13"/>
      <c r="D10" s="49">
        <v>80000</v>
      </c>
      <c r="E10" s="51">
        <v>7.4999999999999997E-2</v>
      </c>
      <c r="F10" s="42">
        <v>15</v>
      </c>
      <c r="G10" s="50">
        <v>41001</v>
      </c>
      <c r="H10" s="49">
        <v>1</v>
      </c>
      <c r="I10" s="49">
        <f t="shared" si="1"/>
        <v>3000</v>
      </c>
      <c r="J10" s="29">
        <f t="shared" si="0"/>
        <v>1999.9999999999998</v>
      </c>
      <c r="K10" s="13"/>
      <c r="L10" s="10"/>
    </row>
    <row r="11" spans="1:12">
      <c r="A11" s="13"/>
      <c r="B11" s="48"/>
      <c r="C11" s="13"/>
      <c r="D11" s="49">
        <v>70000</v>
      </c>
      <c r="E11" s="51">
        <v>7.4999999999999997E-2</v>
      </c>
      <c r="F11" s="42">
        <v>15</v>
      </c>
      <c r="G11" s="50">
        <v>41016</v>
      </c>
      <c r="H11" s="49">
        <v>2</v>
      </c>
      <c r="I11" s="49">
        <f t="shared" si="1"/>
        <v>5250</v>
      </c>
      <c r="J11" s="29">
        <f t="shared" si="0"/>
        <v>3499.9999999999995</v>
      </c>
      <c r="K11" s="13"/>
      <c r="L11" s="10"/>
    </row>
    <row r="12" spans="1:12">
      <c r="A12" s="13"/>
      <c r="B12" s="48"/>
      <c r="C12" s="13"/>
      <c r="D12" s="49">
        <v>60000</v>
      </c>
      <c r="E12" s="51">
        <v>7.4999999999999997E-2</v>
      </c>
      <c r="F12" s="42">
        <v>15</v>
      </c>
      <c r="G12" s="50">
        <v>41046</v>
      </c>
      <c r="H12" s="49">
        <v>1</v>
      </c>
      <c r="I12" s="49">
        <f t="shared" si="1"/>
        <v>2250</v>
      </c>
      <c r="J12" s="29">
        <f t="shared" si="0"/>
        <v>1499.9999999999998</v>
      </c>
      <c r="K12" s="13"/>
      <c r="L12" s="10"/>
    </row>
    <row r="13" spans="1:12">
      <c r="A13" s="13">
        <v>3</v>
      </c>
      <c r="B13" s="48" t="s">
        <v>1896</v>
      </c>
      <c r="C13" s="13" t="s">
        <v>1897</v>
      </c>
      <c r="D13" s="49">
        <v>110000</v>
      </c>
      <c r="E13" s="51">
        <v>7.4999999999999997E-2</v>
      </c>
      <c r="F13" s="42">
        <v>15</v>
      </c>
      <c r="G13" s="50">
        <v>40836</v>
      </c>
      <c r="H13" s="49">
        <v>3</v>
      </c>
      <c r="I13" s="49">
        <f t="shared" si="1"/>
        <v>12375</v>
      </c>
      <c r="J13" s="29">
        <f t="shared" si="0"/>
        <v>8249.9999999999982</v>
      </c>
      <c r="K13" s="13" t="s">
        <v>295</v>
      </c>
      <c r="L13" s="10"/>
    </row>
    <row r="14" spans="1:12" ht="32.4">
      <c r="A14" s="13">
        <v>4</v>
      </c>
      <c r="B14" s="48" t="s">
        <v>1106</v>
      </c>
      <c r="C14" s="13" t="s">
        <v>1511</v>
      </c>
      <c r="D14" s="49">
        <v>175000</v>
      </c>
      <c r="E14" s="51">
        <v>7.4999999999999997E-2</v>
      </c>
      <c r="F14" s="42">
        <v>15</v>
      </c>
      <c r="G14" s="50">
        <v>40836</v>
      </c>
      <c r="H14" s="49">
        <v>2</v>
      </c>
      <c r="I14" s="49">
        <f t="shared" si="1"/>
        <v>13125</v>
      </c>
      <c r="J14" s="29">
        <f t="shared" si="0"/>
        <v>8750</v>
      </c>
      <c r="K14" s="13" t="s">
        <v>296</v>
      </c>
      <c r="L14" s="10" t="s">
        <v>292</v>
      </c>
    </row>
    <row r="15" spans="1:12">
      <c r="A15" s="13"/>
      <c r="B15" s="48"/>
      <c r="C15" s="13"/>
      <c r="D15" s="49">
        <v>165000</v>
      </c>
      <c r="E15" s="51">
        <v>7.4999999999999997E-2</v>
      </c>
      <c r="F15" s="42">
        <v>15</v>
      </c>
      <c r="G15" s="50">
        <v>40896</v>
      </c>
      <c r="H15" s="49">
        <v>2</v>
      </c>
      <c r="I15" s="49">
        <f t="shared" si="1"/>
        <v>12375</v>
      </c>
      <c r="J15" s="29">
        <f t="shared" si="0"/>
        <v>8250</v>
      </c>
      <c r="K15" s="13"/>
      <c r="L15" s="10"/>
    </row>
    <row r="16" spans="1:12">
      <c r="A16" s="13"/>
      <c r="B16" s="48"/>
      <c r="C16" s="13"/>
      <c r="D16" s="49">
        <v>150000</v>
      </c>
      <c r="E16" s="51">
        <v>7.4999999999999997E-2</v>
      </c>
      <c r="F16" s="42">
        <v>15</v>
      </c>
      <c r="G16" s="50">
        <v>40926</v>
      </c>
      <c r="H16" s="49">
        <v>3</v>
      </c>
      <c r="I16" s="49">
        <f t="shared" si="1"/>
        <v>16875</v>
      </c>
      <c r="J16" s="29">
        <f t="shared" si="0"/>
        <v>11249.999999999998</v>
      </c>
      <c r="K16" s="13"/>
      <c r="L16" s="10"/>
    </row>
    <row r="17" spans="1:12">
      <c r="A17" s="13"/>
      <c r="B17" s="48"/>
      <c r="C17" s="13"/>
      <c r="D17" s="49">
        <v>155000</v>
      </c>
      <c r="E17" s="51">
        <v>7.4999999999999997E-2</v>
      </c>
      <c r="F17" s="42">
        <v>15</v>
      </c>
      <c r="G17" s="50">
        <v>40971</v>
      </c>
      <c r="H17" s="49">
        <v>2</v>
      </c>
      <c r="I17" s="49">
        <f t="shared" si="1"/>
        <v>11625</v>
      </c>
      <c r="J17" s="29">
        <f t="shared" si="0"/>
        <v>7749.9999999999991</v>
      </c>
      <c r="K17" s="13"/>
      <c r="L17" s="10"/>
    </row>
    <row r="18" spans="1:12">
      <c r="A18" s="13"/>
      <c r="B18" s="48"/>
      <c r="C18" s="13"/>
      <c r="D18" s="49">
        <v>150000</v>
      </c>
      <c r="E18" s="51">
        <v>7.4999999999999997E-2</v>
      </c>
      <c r="F18" s="42">
        <v>15</v>
      </c>
      <c r="G18" s="50">
        <v>41001</v>
      </c>
      <c r="H18" s="49">
        <v>1</v>
      </c>
      <c r="I18" s="49">
        <f t="shared" si="1"/>
        <v>5625</v>
      </c>
      <c r="J18" s="29">
        <f t="shared" si="0"/>
        <v>3749.9999999999995</v>
      </c>
      <c r="K18" s="13"/>
      <c r="L18" s="10"/>
    </row>
    <row r="19" spans="1:12">
      <c r="A19" s="13"/>
      <c r="B19" s="48"/>
      <c r="C19" s="13"/>
      <c r="D19" s="49">
        <v>155000</v>
      </c>
      <c r="E19" s="51">
        <v>7.4999999999999997E-2</v>
      </c>
      <c r="F19" s="42">
        <v>15</v>
      </c>
      <c r="G19" s="50">
        <v>41016</v>
      </c>
      <c r="H19" s="49">
        <v>1</v>
      </c>
      <c r="I19" s="49">
        <f t="shared" si="1"/>
        <v>5812.5</v>
      </c>
      <c r="J19" s="29">
        <f t="shared" si="0"/>
        <v>3874.9999999999995</v>
      </c>
      <c r="K19" s="13"/>
      <c r="L19" s="10"/>
    </row>
    <row r="20" spans="1:12">
      <c r="A20" s="13"/>
      <c r="B20" s="48"/>
      <c r="C20" s="13"/>
      <c r="D20" s="49">
        <v>145000</v>
      </c>
      <c r="E20" s="51">
        <v>7.4999999999999997E-2</v>
      </c>
      <c r="F20" s="42">
        <v>15</v>
      </c>
      <c r="G20" s="50">
        <v>41031</v>
      </c>
      <c r="H20" s="49">
        <v>1</v>
      </c>
      <c r="I20" s="49">
        <f t="shared" si="1"/>
        <v>5437.5</v>
      </c>
      <c r="J20" s="29">
        <f t="shared" si="0"/>
        <v>3624.9999999999995</v>
      </c>
      <c r="K20" s="13"/>
      <c r="L20" s="10"/>
    </row>
    <row r="21" spans="1:12">
      <c r="A21" s="13"/>
      <c r="B21" s="48"/>
      <c r="C21" s="13"/>
      <c r="D21" s="49">
        <v>140000</v>
      </c>
      <c r="E21" s="51">
        <v>7.4999999999999997E-2</v>
      </c>
      <c r="F21" s="42">
        <v>15</v>
      </c>
      <c r="G21" s="50">
        <v>41046</v>
      </c>
      <c r="H21" s="49">
        <v>1</v>
      </c>
      <c r="I21" s="49">
        <f t="shared" si="1"/>
        <v>5250</v>
      </c>
      <c r="J21" s="29">
        <f t="shared" si="0"/>
        <v>3499.9999999999995</v>
      </c>
      <c r="K21" s="13"/>
      <c r="L21" s="10"/>
    </row>
    <row r="22" spans="1:12">
      <c r="A22" s="13"/>
      <c r="B22" s="48"/>
      <c r="C22" s="13"/>
      <c r="D22" s="49">
        <v>130000</v>
      </c>
      <c r="E22" s="51">
        <v>7.4999999999999997E-2</v>
      </c>
      <c r="F22" s="42">
        <v>15</v>
      </c>
      <c r="G22" s="50">
        <v>41061</v>
      </c>
      <c r="H22" s="49">
        <v>1</v>
      </c>
      <c r="I22" s="49">
        <f t="shared" si="1"/>
        <v>4875</v>
      </c>
      <c r="J22" s="29">
        <f t="shared" si="0"/>
        <v>3249.9999999999995</v>
      </c>
      <c r="K22" s="13"/>
      <c r="L22" s="10"/>
    </row>
    <row r="23" spans="1:12">
      <c r="A23" s="13"/>
      <c r="B23" s="48"/>
      <c r="C23" s="13"/>
      <c r="D23" s="49">
        <v>120000</v>
      </c>
      <c r="E23" s="51">
        <v>7.4999999999999997E-2</v>
      </c>
      <c r="F23" s="42">
        <v>15</v>
      </c>
      <c r="G23" s="50">
        <v>41076</v>
      </c>
      <c r="H23" s="49">
        <v>3</v>
      </c>
      <c r="I23" s="49">
        <f t="shared" si="1"/>
        <v>13500</v>
      </c>
      <c r="J23" s="29">
        <f t="shared" si="0"/>
        <v>8999.9999999999982</v>
      </c>
      <c r="K23" s="13"/>
      <c r="L23" s="10"/>
    </row>
    <row r="24" spans="1:12">
      <c r="A24" s="13"/>
      <c r="B24" s="48"/>
      <c r="C24" s="13"/>
      <c r="D24" s="49">
        <v>10000</v>
      </c>
      <c r="E24" s="51">
        <v>7.0000000000000007E-2</v>
      </c>
      <c r="F24" s="42" t="s">
        <v>4036</v>
      </c>
      <c r="G24" s="50">
        <v>41115</v>
      </c>
      <c r="H24" s="49">
        <v>10</v>
      </c>
      <c r="I24" s="49">
        <f t="shared" si="1"/>
        <v>1750.0000000000005</v>
      </c>
      <c r="J24" s="29">
        <f t="shared" si="0"/>
        <v>1125.0000000000002</v>
      </c>
      <c r="K24" s="13"/>
      <c r="L24" s="10"/>
    </row>
    <row r="25" spans="1:12">
      <c r="A25" s="13"/>
      <c r="B25" s="48"/>
      <c r="C25" s="13"/>
      <c r="D25" s="49">
        <v>110000</v>
      </c>
      <c r="E25" s="51">
        <v>7.4999999999999997E-2</v>
      </c>
      <c r="F25" s="42">
        <v>15</v>
      </c>
      <c r="G25" s="50">
        <v>41121</v>
      </c>
      <c r="H25" s="49">
        <v>9</v>
      </c>
      <c r="I25" s="49">
        <f t="shared" si="1"/>
        <v>37125</v>
      </c>
      <c r="J25" s="29">
        <f t="shared" si="0"/>
        <v>24749.999999999996</v>
      </c>
      <c r="K25" s="13"/>
      <c r="L25" s="10"/>
    </row>
    <row r="26" spans="1:12">
      <c r="A26" s="13"/>
      <c r="B26" s="48"/>
      <c r="C26" s="13"/>
      <c r="D26" s="49">
        <v>10000</v>
      </c>
      <c r="E26" s="51">
        <v>7.0000000000000007E-2</v>
      </c>
      <c r="F26" s="42" t="s">
        <v>4036</v>
      </c>
      <c r="G26" s="50">
        <v>41171</v>
      </c>
      <c r="H26" s="49">
        <v>10</v>
      </c>
      <c r="I26" s="49">
        <f t="shared" si="1"/>
        <v>1750.0000000000005</v>
      </c>
      <c r="J26" s="29">
        <f t="shared" si="0"/>
        <v>1125.0000000000002</v>
      </c>
      <c r="K26" s="13"/>
      <c r="L26" s="10"/>
    </row>
    <row r="27" spans="1:12">
      <c r="A27" s="13"/>
      <c r="B27" s="48"/>
      <c r="C27" s="13"/>
      <c r="D27" s="49">
        <v>10000</v>
      </c>
      <c r="E27" s="51">
        <v>7.0000000000000007E-2</v>
      </c>
      <c r="F27" s="42" t="s">
        <v>4036</v>
      </c>
      <c r="G27" s="50">
        <v>41207</v>
      </c>
      <c r="H27" s="49">
        <v>10</v>
      </c>
      <c r="I27" s="49">
        <f t="shared" si="1"/>
        <v>1750.0000000000005</v>
      </c>
      <c r="J27" s="29">
        <f t="shared" si="0"/>
        <v>1125.0000000000002</v>
      </c>
      <c r="K27" s="13"/>
      <c r="L27" s="10"/>
    </row>
    <row r="28" spans="1:12">
      <c r="A28" s="13"/>
      <c r="B28" s="48"/>
      <c r="C28" s="13"/>
      <c r="D28" s="49">
        <v>10000</v>
      </c>
      <c r="E28" s="51">
        <v>7.0000000000000007E-2</v>
      </c>
      <c r="F28" s="42" t="s">
        <v>4036</v>
      </c>
      <c r="G28" s="50">
        <v>41222</v>
      </c>
      <c r="H28" s="49">
        <v>10</v>
      </c>
      <c r="I28" s="49">
        <f t="shared" si="1"/>
        <v>1750.0000000000005</v>
      </c>
      <c r="J28" s="29">
        <f t="shared" si="0"/>
        <v>1125.0000000000002</v>
      </c>
      <c r="K28" s="13"/>
      <c r="L28" s="10"/>
    </row>
    <row r="29" spans="1:12">
      <c r="A29" s="13"/>
      <c r="B29" s="48"/>
      <c r="C29" s="13"/>
      <c r="D29" s="49">
        <v>90000</v>
      </c>
      <c r="E29" s="51">
        <v>7.4999999999999997E-2</v>
      </c>
      <c r="F29" s="42">
        <v>15</v>
      </c>
      <c r="G29" s="50">
        <v>41241</v>
      </c>
      <c r="H29" s="62">
        <v>5</v>
      </c>
      <c r="I29" s="49">
        <f t="shared" si="1"/>
        <v>16875</v>
      </c>
      <c r="J29" s="29">
        <f t="shared" si="0"/>
        <v>11250</v>
      </c>
      <c r="K29" s="13"/>
      <c r="L29" s="10" t="s">
        <v>1508</v>
      </c>
    </row>
    <row r="30" spans="1:12">
      <c r="A30" s="13"/>
      <c r="B30" s="48"/>
      <c r="C30" s="13"/>
      <c r="D30" s="49">
        <v>10000</v>
      </c>
      <c r="E30" s="51">
        <v>7.0000000000000007E-2</v>
      </c>
      <c r="F30" s="42" t="s">
        <v>4036</v>
      </c>
      <c r="G30" s="50">
        <v>41253</v>
      </c>
      <c r="H30" s="62">
        <v>7</v>
      </c>
      <c r="I30" s="49">
        <f t="shared" si="1"/>
        <v>1225.0000000000002</v>
      </c>
      <c r="J30" s="29">
        <f t="shared" si="0"/>
        <v>787.50000000000023</v>
      </c>
      <c r="K30" s="13"/>
      <c r="L30" s="10" t="s">
        <v>1508</v>
      </c>
    </row>
    <row r="31" spans="1:12">
      <c r="A31" s="13"/>
      <c r="B31" s="48"/>
      <c r="C31" s="13"/>
      <c r="D31" s="49">
        <v>10000</v>
      </c>
      <c r="E31" s="51">
        <v>7.0000000000000007E-2</v>
      </c>
      <c r="F31" s="42" t="s">
        <v>4036</v>
      </c>
      <c r="G31" s="50">
        <v>41271</v>
      </c>
      <c r="H31" s="29">
        <v>3</v>
      </c>
      <c r="I31" s="49">
        <f t="shared" si="1"/>
        <v>525.00000000000011</v>
      </c>
      <c r="J31" s="29">
        <f t="shared" si="0"/>
        <v>337.50000000000011</v>
      </c>
      <c r="K31" s="13"/>
      <c r="L31" s="10"/>
    </row>
    <row r="32" spans="1:12">
      <c r="A32" s="13">
        <v>5</v>
      </c>
      <c r="B32" s="48" t="s">
        <v>1056</v>
      </c>
      <c r="C32" s="13" t="s">
        <v>1057</v>
      </c>
      <c r="D32" s="49">
        <v>10000</v>
      </c>
      <c r="E32" s="51">
        <v>7.0000000000000007E-2</v>
      </c>
      <c r="F32" s="42" t="s">
        <v>4036</v>
      </c>
      <c r="G32" s="50">
        <v>40882</v>
      </c>
      <c r="H32" s="49">
        <v>10</v>
      </c>
      <c r="I32" s="49">
        <f t="shared" si="1"/>
        <v>1750.0000000000005</v>
      </c>
      <c r="J32" s="29">
        <f t="shared" si="0"/>
        <v>1125.0000000000002</v>
      </c>
      <c r="K32" s="13" t="s">
        <v>297</v>
      </c>
      <c r="L32" s="10"/>
    </row>
    <row r="33" spans="1:12">
      <c r="A33" s="13"/>
      <c r="B33" s="48"/>
      <c r="C33" s="13"/>
      <c r="D33" s="49">
        <v>10000</v>
      </c>
      <c r="E33" s="51">
        <v>7.0000000000000007E-2</v>
      </c>
      <c r="F33" s="42" t="s">
        <v>4036</v>
      </c>
      <c r="G33" s="50">
        <v>40949</v>
      </c>
      <c r="H33" s="49">
        <v>10</v>
      </c>
      <c r="I33" s="49">
        <f t="shared" si="1"/>
        <v>1750.0000000000005</v>
      </c>
      <c r="J33" s="29">
        <f t="shared" si="0"/>
        <v>1125.0000000000002</v>
      </c>
      <c r="K33" s="13"/>
      <c r="L33" s="10"/>
    </row>
    <row r="34" spans="1:12">
      <c r="A34" s="13"/>
      <c r="B34" s="48"/>
      <c r="C34" s="13"/>
      <c r="D34" s="49">
        <v>255000</v>
      </c>
      <c r="E34" s="51">
        <v>7.4999999999999997E-2</v>
      </c>
      <c r="F34" s="42">
        <v>15</v>
      </c>
      <c r="G34" s="50">
        <v>41029</v>
      </c>
      <c r="H34" s="62">
        <v>19</v>
      </c>
      <c r="I34" s="49">
        <f t="shared" si="1"/>
        <v>181687.5</v>
      </c>
      <c r="J34" s="29">
        <f t="shared" si="0"/>
        <v>121124.99999999999</v>
      </c>
      <c r="K34" s="13"/>
      <c r="L34" s="10" t="s">
        <v>1508</v>
      </c>
    </row>
    <row r="35" spans="1:12">
      <c r="A35" s="13"/>
      <c r="B35" s="48"/>
      <c r="C35" s="13"/>
      <c r="D35" s="49">
        <v>100000</v>
      </c>
      <c r="E35" s="51">
        <v>7.4999999999999997E-2</v>
      </c>
      <c r="F35" s="42">
        <v>15</v>
      </c>
      <c r="G35" s="50">
        <v>41067</v>
      </c>
      <c r="H35" s="49">
        <v>15</v>
      </c>
      <c r="I35" s="49">
        <f t="shared" si="1"/>
        <v>56250</v>
      </c>
      <c r="J35" s="29">
        <f t="shared" si="0"/>
        <v>37500</v>
      </c>
      <c r="K35" s="13"/>
      <c r="L35" s="10"/>
    </row>
    <row r="36" spans="1:12">
      <c r="A36" s="13"/>
      <c r="B36" s="48"/>
      <c r="C36" s="13"/>
      <c r="D36" s="49">
        <v>205000</v>
      </c>
      <c r="E36" s="51">
        <v>7.4999999999999997E-2</v>
      </c>
      <c r="F36" s="42">
        <v>15</v>
      </c>
      <c r="G36" s="50">
        <v>41202</v>
      </c>
      <c r="H36" s="49">
        <v>13</v>
      </c>
      <c r="I36" s="49">
        <f t="shared" si="1"/>
        <v>99937.5</v>
      </c>
      <c r="J36" s="29">
        <f t="shared" si="0"/>
        <v>66625</v>
      </c>
      <c r="K36" s="13"/>
      <c r="L36" s="10"/>
    </row>
    <row r="37" spans="1:12">
      <c r="A37" s="13">
        <v>6</v>
      </c>
      <c r="B37" s="48" t="s">
        <v>4045</v>
      </c>
      <c r="C37" s="13" t="s">
        <v>4046</v>
      </c>
      <c r="D37" s="49">
        <v>235000</v>
      </c>
      <c r="E37" s="51">
        <v>7.4999999999999997E-2</v>
      </c>
      <c r="F37" s="42">
        <v>15</v>
      </c>
      <c r="G37" s="50">
        <v>40836</v>
      </c>
      <c r="H37" s="49">
        <v>31</v>
      </c>
      <c r="I37" s="49">
        <f t="shared" si="1"/>
        <v>273187.5</v>
      </c>
      <c r="J37" s="29">
        <f t="shared" si="0"/>
        <v>182124.99999999997</v>
      </c>
      <c r="K37" s="13" t="s">
        <v>298</v>
      </c>
      <c r="L37" s="10"/>
    </row>
    <row r="38" spans="1:12">
      <c r="A38" s="13">
        <v>7</v>
      </c>
      <c r="B38" s="48" t="s">
        <v>1093</v>
      </c>
      <c r="C38" s="13" t="s">
        <v>1094</v>
      </c>
      <c r="D38" s="49">
        <v>145000</v>
      </c>
      <c r="E38" s="51">
        <v>7.4999999999999997E-2</v>
      </c>
      <c r="F38" s="42">
        <v>15</v>
      </c>
      <c r="G38" s="50">
        <v>40836</v>
      </c>
      <c r="H38" s="49">
        <v>5</v>
      </c>
      <c r="I38" s="49">
        <f t="shared" si="1"/>
        <v>27187.5</v>
      </c>
      <c r="J38" s="29">
        <f t="shared" si="0"/>
        <v>18124.999999999996</v>
      </c>
      <c r="K38" s="13" t="s">
        <v>299</v>
      </c>
      <c r="L38" s="10"/>
    </row>
    <row r="39" spans="1:12">
      <c r="A39" s="13">
        <v>8</v>
      </c>
      <c r="B39" s="48" t="s">
        <v>1114</v>
      </c>
      <c r="C39" s="13" t="s">
        <v>1115</v>
      </c>
      <c r="D39" s="49">
        <v>25000</v>
      </c>
      <c r="E39" s="51">
        <v>7.4999999999999997E-2</v>
      </c>
      <c r="F39" s="42">
        <v>15</v>
      </c>
      <c r="G39" s="50">
        <v>40837</v>
      </c>
      <c r="H39" s="49">
        <v>2</v>
      </c>
      <c r="I39" s="49">
        <f t="shared" si="1"/>
        <v>1875</v>
      </c>
      <c r="J39" s="29">
        <f t="shared" si="0"/>
        <v>1250</v>
      </c>
      <c r="K39" s="13" t="s">
        <v>300</v>
      </c>
      <c r="L39" s="10"/>
    </row>
    <row r="40" spans="1:12">
      <c r="A40" s="13"/>
      <c r="B40" s="48"/>
      <c r="C40" s="13"/>
      <c r="D40" s="49">
        <v>130000</v>
      </c>
      <c r="E40" s="51">
        <v>7.4999999999999997E-2</v>
      </c>
      <c r="F40" s="42">
        <v>15</v>
      </c>
      <c r="G40" s="50">
        <v>40866</v>
      </c>
      <c r="H40" s="49">
        <v>7</v>
      </c>
      <c r="I40" s="49">
        <f t="shared" si="1"/>
        <v>34125</v>
      </c>
      <c r="J40" s="29">
        <f t="shared" si="0"/>
        <v>22749.999999999996</v>
      </c>
      <c r="K40" s="13"/>
      <c r="L40" s="10"/>
    </row>
    <row r="41" spans="1:12">
      <c r="A41" s="13"/>
      <c r="B41" s="48"/>
      <c r="C41" s="13"/>
      <c r="D41" s="49">
        <v>20000</v>
      </c>
      <c r="E41" s="51">
        <v>7.4999999999999997E-2</v>
      </c>
      <c r="F41" s="42">
        <v>15</v>
      </c>
      <c r="G41" s="50">
        <v>40868</v>
      </c>
      <c r="H41" s="49">
        <v>9</v>
      </c>
      <c r="I41" s="49">
        <f t="shared" si="1"/>
        <v>6750</v>
      </c>
      <c r="J41" s="29">
        <f t="shared" si="0"/>
        <v>4499.9999999999991</v>
      </c>
      <c r="K41" s="13"/>
      <c r="L41" s="10"/>
    </row>
    <row r="42" spans="1:12">
      <c r="A42" s="13">
        <v>9</v>
      </c>
      <c r="B42" s="48" t="s">
        <v>1841</v>
      </c>
      <c r="C42" s="13" t="s">
        <v>1842</v>
      </c>
      <c r="D42" s="49">
        <v>65000</v>
      </c>
      <c r="E42" s="51">
        <v>7.4999999999999997E-2</v>
      </c>
      <c r="F42" s="42">
        <v>15</v>
      </c>
      <c r="G42" s="50">
        <v>41203</v>
      </c>
      <c r="H42" s="49">
        <v>4</v>
      </c>
      <c r="I42" s="49">
        <f t="shared" si="1"/>
        <v>9750</v>
      </c>
      <c r="J42" s="29">
        <f t="shared" si="0"/>
        <v>6499.9999999999991</v>
      </c>
      <c r="K42" s="13" t="s">
        <v>301</v>
      </c>
      <c r="L42" s="10"/>
    </row>
    <row r="43" spans="1:12">
      <c r="A43" s="13">
        <v>10</v>
      </c>
      <c r="B43" s="48" t="s">
        <v>1819</v>
      </c>
      <c r="C43" s="13" t="s">
        <v>1820</v>
      </c>
      <c r="D43" s="49">
        <v>205000</v>
      </c>
      <c r="E43" s="51">
        <v>7.4999999999999997E-2</v>
      </c>
      <c r="F43" s="42">
        <v>15</v>
      </c>
      <c r="G43" s="50">
        <v>41202</v>
      </c>
      <c r="H43" s="49">
        <v>2</v>
      </c>
      <c r="I43" s="49">
        <f t="shared" si="1"/>
        <v>15375</v>
      </c>
      <c r="J43" s="29">
        <f t="shared" si="0"/>
        <v>10250</v>
      </c>
      <c r="K43" s="13" t="s">
        <v>302</v>
      </c>
      <c r="L43" s="10"/>
    </row>
    <row r="44" spans="1:12">
      <c r="A44" s="13">
        <v>11</v>
      </c>
      <c r="B44" s="48" t="s">
        <v>2582</v>
      </c>
      <c r="C44" s="13" t="s">
        <v>2583</v>
      </c>
      <c r="D44" s="49">
        <v>20000</v>
      </c>
      <c r="E44" s="51">
        <v>7.4999999999999997E-2</v>
      </c>
      <c r="F44" s="42">
        <v>15</v>
      </c>
      <c r="G44" s="50">
        <v>40836</v>
      </c>
      <c r="H44" s="49">
        <v>9</v>
      </c>
      <c r="I44" s="49">
        <f t="shared" si="1"/>
        <v>6750</v>
      </c>
      <c r="J44" s="29">
        <f t="shared" si="0"/>
        <v>4499.9999999999991</v>
      </c>
      <c r="K44" s="13" t="s">
        <v>303</v>
      </c>
      <c r="L44" s="10"/>
    </row>
    <row r="45" spans="1:12">
      <c r="A45" s="13"/>
      <c r="B45" s="48"/>
      <c r="C45" s="13"/>
      <c r="D45" s="49">
        <v>30000</v>
      </c>
      <c r="E45" s="51">
        <v>7.4999999999999997E-2</v>
      </c>
      <c r="F45" s="42">
        <v>15</v>
      </c>
      <c r="G45" s="50">
        <v>40971</v>
      </c>
      <c r="H45" s="49">
        <v>7</v>
      </c>
      <c r="I45" s="49">
        <f t="shared" si="1"/>
        <v>7875</v>
      </c>
      <c r="J45" s="29">
        <f t="shared" si="0"/>
        <v>5249.9999999999991</v>
      </c>
      <c r="K45" s="13"/>
      <c r="L45" s="10"/>
    </row>
    <row r="46" spans="1:12">
      <c r="A46" s="13"/>
      <c r="B46" s="48"/>
      <c r="C46" s="13"/>
      <c r="D46" s="49">
        <v>20000</v>
      </c>
      <c r="E46" s="51">
        <v>7.4999999999999997E-2</v>
      </c>
      <c r="F46" s="42">
        <v>15</v>
      </c>
      <c r="G46" s="50">
        <v>41076</v>
      </c>
      <c r="H46" s="49">
        <v>7</v>
      </c>
      <c r="I46" s="49">
        <f t="shared" si="1"/>
        <v>5250</v>
      </c>
      <c r="J46" s="29">
        <f t="shared" si="0"/>
        <v>3499.9999999999995</v>
      </c>
      <c r="K46" s="13"/>
      <c r="L46" s="10"/>
    </row>
    <row r="47" spans="1:12">
      <c r="A47" s="13">
        <v>12</v>
      </c>
      <c r="B47" s="48" t="s">
        <v>1401</v>
      </c>
      <c r="C47" s="13" t="s">
        <v>1402</v>
      </c>
      <c r="D47" s="49">
        <v>10000</v>
      </c>
      <c r="E47" s="51">
        <v>7.0000000000000007E-2</v>
      </c>
      <c r="F47" s="42" t="s">
        <v>4036</v>
      </c>
      <c r="G47" s="50">
        <v>40830</v>
      </c>
      <c r="H47" s="49">
        <v>10</v>
      </c>
      <c r="I47" s="49">
        <f t="shared" si="1"/>
        <v>1750.0000000000005</v>
      </c>
      <c r="J47" s="29">
        <f t="shared" si="0"/>
        <v>1125.0000000000002</v>
      </c>
      <c r="K47" s="13" t="s">
        <v>3710</v>
      </c>
      <c r="L47" s="10"/>
    </row>
    <row r="48" spans="1:12">
      <c r="A48" s="13"/>
      <c r="B48" s="48"/>
      <c r="C48" s="13"/>
      <c r="D48" s="49">
        <v>30000</v>
      </c>
      <c r="E48" s="51">
        <v>7.4999999999999997E-2</v>
      </c>
      <c r="F48" s="42">
        <v>15</v>
      </c>
      <c r="G48" s="50">
        <v>40838</v>
      </c>
      <c r="H48" s="49">
        <v>7</v>
      </c>
      <c r="I48" s="49">
        <f t="shared" si="1"/>
        <v>7875</v>
      </c>
      <c r="J48" s="29">
        <f t="shared" si="0"/>
        <v>5249.9999999999991</v>
      </c>
      <c r="K48" s="13"/>
      <c r="L48" s="10"/>
    </row>
    <row r="49" spans="1:12">
      <c r="A49" s="13"/>
      <c r="B49" s="48"/>
      <c r="C49" s="13"/>
      <c r="D49" s="49">
        <v>10000</v>
      </c>
      <c r="E49" s="51">
        <v>7.0000000000000007E-2</v>
      </c>
      <c r="F49" s="42" t="s">
        <v>4036</v>
      </c>
      <c r="G49" s="50">
        <v>40934</v>
      </c>
      <c r="H49" s="49">
        <v>10</v>
      </c>
      <c r="I49" s="49">
        <f t="shared" si="1"/>
        <v>1750.0000000000005</v>
      </c>
      <c r="J49" s="29">
        <f t="shared" si="0"/>
        <v>1125.0000000000002</v>
      </c>
      <c r="K49" s="13"/>
      <c r="L49" s="10"/>
    </row>
    <row r="50" spans="1:12">
      <c r="A50" s="13"/>
      <c r="B50" s="48"/>
      <c r="C50" s="13"/>
      <c r="D50" s="49">
        <v>20000</v>
      </c>
      <c r="E50" s="51">
        <v>7.4999999999999997E-2</v>
      </c>
      <c r="F50" s="42">
        <v>15</v>
      </c>
      <c r="G50" s="50">
        <v>40943</v>
      </c>
      <c r="H50" s="49">
        <v>6</v>
      </c>
      <c r="I50" s="49">
        <f t="shared" si="1"/>
        <v>4500</v>
      </c>
      <c r="J50" s="29">
        <f t="shared" si="0"/>
        <v>2999.9999999999995</v>
      </c>
      <c r="K50" s="13"/>
      <c r="L50" s="10"/>
    </row>
    <row r="51" spans="1:12">
      <c r="A51" s="13"/>
      <c r="B51" s="48"/>
      <c r="C51" s="13"/>
      <c r="D51" s="49">
        <v>10000</v>
      </c>
      <c r="E51" s="51">
        <v>7.0000000000000007E-2</v>
      </c>
      <c r="F51" s="42" t="s">
        <v>4036</v>
      </c>
      <c r="G51" s="50">
        <v>41003</v>
      </c>
      <c r="H51" s="49">
        <v>10</v>
      </c>
      <c r="I51" s="49">
        <f t="shared" si="1"/>
        <v>1750.0000000000005</v>
      </c>
      <c r="J51" s="29">
        <f t="shared" si="0"/>
        <v>1125.0000000000002</v>
      </c>
      <c r="K51" s="13"/>
      <c r="L51" s="10"/>
    </row>
    <row r="52" spans="1:12">
      <c r="A52" s="13">
        <v>13</v>
      </c>
      <c r="B52" s="48" t="s">
        <v>3856</v>
      </c>
      <c r="C52" s="13" t="s">
        <v>3482</v>
      </c>
      <c r="D52" s="49">
        <v>20000</v>
      </c>
      <c r="E52" s="51">
        <v>7.0000000000000007E-2</v>
      </c>
      <c r="F52" s="42" t="s">
        <v>4036</v>
      </c>
      <c r="G52" s="50">
        <v>40871</v>
      </c>
      <c r="H52" s="49">
        <v>10</v>
      </c>
      <c r="I52" s="49">
        <f t="shared" si="1"/>
        <v>3500.0000000000009</v>
      </c>
      <c r="J52" s="29">
        <f t="shared" si="0"/>
        <v>2250.0000000000005</v>
      </c>
      <c r="K52" s="13" t="s">
        <v>3711</v>
      </c>
      <c r="L52" s="10"/>
    </row>
    <row r="53" spans="1:12">
      <c r="A53" s="13"/>
      <c r="B53" s="48"/>
      <c r="C53" s="13"/>
      <c r="D53" s="49">
        <v>20000</v>
      </c>
      <c r="E53" s="51">
        <v>7.0000000000000007E-2</v>
      </c>
      <c r="F53" s="42" t="s">
        <v>4036</v>
      </c>
      <c r="G53" s="50">
        <v>40929</v>
      </c>
      <c r="H53" s="49">
        <v>10</v>
      </c>
      <c r="I53" s="49">
        <f t="shared" si="1"/>
        <v>3500.0000000000009</v>
      </c>
      <c r="J53" s="29">
        <f t="shared" si="0"/>
        <v>2250.0000000000005</v>
      </c>
      <c r="K53" s="13"/>
      <c r="L53" s="10"/>
    </row>
    <row r="54" spans="1:12">
      <c r="A54" s="13"/>
      <c r="B54" s="48"/>
      <c r="C54" s="13"/>
      <c r="D54" s="49">
        <v>20000</v>
      </c>
      <c r="E54" s="51">
        <v>7.0000000000000007E-2</v>
      </c>
      <c r="F54" s="42" t="s">
        <v>4036</v>
      </c>
      <c r="G54" s="50">
        <v>40984</v>
      </c>
      <c r="H54" s="49">
        <v>10</v>
      </c>
      <c r="I54" s="49">
        <f t="shared" si="1"/>
        <v>3500.0000000000009</v>
      </c>
      <c r="J54" s="29">
        <f t="shared" si="0"/>
        <v>2250.0000000000005</v>
      </c>
      <c r="K54" s="13"/>
      <c r="L54" s="10"/>
    </row>
    <row r="55" spans="1:12">
      <c r="A55" s="13"/>
      <c r="B55" s="48"/>
      <c r="C55" s="13"/>
      <c r="D55" s="49">
        <v>20000</v>
      </c>
      <c r="E55" s="51">
        <v>7.4999999999999997E-2</v>
      </c>
      <c r="F55" s="42">
        <v>15</v>
      </c>
      <c r="G55" s="50">
        <v>41001</v>
      </c>
      <c r="H55" s="49">
        <v>15</v>
      </c>
      <c r="I55" s="49">
        <f t="shared" si="1"/>
        <v>11250</v>
      </c>
      <c r="J55" s="29">
        <f t="shared" si="0"/>
        <v>7499.9999999999991</v>
      </c>
      <c r="K55" s="13"/>
      <c r="L55" s="10"/>
    </row>
    <row r="56" spans="1:12">
      <c r="A56" s="13"/>
      <c r="B56" s="48"/>
      <c r="C56" s="13"/>
      <c r="D56" s="49">
        <v>20000</v>
      </c>
      <c r="E56" s="51">
        <v>7.0000000000000007E-2</v>
      </c>
      <c r="F56" s="42" t="s">
        <v>4036</v>
      </c>
      <c r="G56" s="50">
        <v>41052</v>
      </c>
      <c r="H56" s="49">
        <v>10</v>
      </c>
      <c r="I56" s="49">
        <f t="shared" si="1"/>
        <v>3500.0000000000009</v>
      </c>
      <c r="J56" s="29">
        <f t="shared" si="0"/>
        <v>2250.0000000000005</v>
      </c>
      <c r="K56" s="13"/>
      <c r="L56" s="10"/>
    </row>
    <row r="57" spans="1:12">
      <c r="A57" s="13"/>
      <c r="B57" s="48"/>
      <c r="C57" s="13"/>
      <c r="D57" s="49">
        <v>20000</v>
      </c>
      <c r="E57" s="51">
        <v>7.0000000000000007E-2</v>
      </c>
      <c r="F57" s="42" t="s">
        <v>4036</v>
      </c>
      <c r="G57" s="50">
        <v>41101</v>
      </c>
      <c r="H57" s="49">
        <v>10</v>
      </c>
      <c r="I57" s="49">
        <f t="shared" si="1"/>
        <v>3500.0000000000009</v>
      </c>
      <c r="J57" s="29">
        <f t="shared" si="0"/>
        <v>2250.0000000000005</v>
      </c>
      <c r="K57" s="13"/>
      <c r="L57" s="10"/>
    </row>
    <row r="58" spans="1:12">
      <c r="A58" s="13"/>
      <c r="B58" s="48"/>
      <c r="C58" s="13"/>
      <c r="D58" s="49">
        <v>20000</v>
      </c>
      <c r="E58" s="51">
        <v>7.0000000000000007E-2</v>
      </c>
      <c r="F58" s="42" t="s">
        <v>4036</v>
      </c>
      <c r="G58" s="50">
        <v>41148</v>
      </c>
      <c r="H58" s="49">
        <v>10</v>
      </c>
      <c r="I58" s="49">
        <f t="shared" si="1"/>
        <v>3500.0000000000009</v>
      </c>
      <c r="J58" s="29">
        <f t="shared" si="0"/>
        <v>2250.0000000000005</v>
      </c>
      <c r="K58" s="13"/>
      <c r="L58" s="10"/>
    </row>
    <row r="59" spans="1:12">
      <c r="A59" s="13"/>
      <c r="B59" s="48"/>
      <c r="C59" s="13"/>
      <c r="D59" s="49">
        <v>20000</v>
      </c>
      <c r="E59" s="51">
        <v>7.0000000000000007E-2</v>
      </c>
      <c r="F59" s="42" t="s">
        <v>4036</v>
      </c>
      <c r="G59" s="50">
        <v>41190</v>
      </c>
      <c r="H59" s="49">
        <v>10</v>
      </c>
      <c r="I59" s="49">
        <f t="shared" si="1"/>
        <v>3500.0000000000009</v>
      </c>
      <c r="J59" s="29">
        <f t="shared" si="0"/>
        <v>2250.0000000000005</v>
      </c>
      <c r="K59" s="13"/>
      <c r="L59" s="10"/>
    </row>
    <row r="60" spans="1:12">
      <c r="A60" s="13"/>
      <c r="B60" s="48"/>
      <c r="C60" s="13"/>
      <c r="D60" s="49">
        <v>20000</v>
      </c>
      <c r="E60" s="51">
        <v>7.4999999999999997E-2</v>
      </c>
      <c r="F60" s="42">
        <v>15</v>
      </c>
      <c r="G60" s="50">
        <v>41226</v>
      </c>
      <c r="H60" s="49">
        <v>4</v>
      </c>
      <c r="I60" s="49">
        <f t="shared" si="1"/>
        <v>3000</v>
      </c>
      <c r="J60" s="29">
        <f t="shared" si="0"/>
        <v>1999.9999999999998</v>
      </c>
      <c r="K60" s="13"/>
      <c r="L60" s="10"/>
    </row>
    <row r="61" spans="1:12">
      <c r="A61" s="13"/>
      <c r="B61" s="48"/>
      <c r="C61" s="13"/>
      <c r="D61" s="49">
        <v>20000</v>
      </c>
      <c r="E61" s="51">
        <v>7.0000000000000007E-2</v>
      </c>
      <c r="F61" s="42" t="s">
        <v>4036</v>
      </c>
      <c r="G61" s="50">
        <v>41247</v>
      </c>
      <c r="H61" s="62">
        <v>8</v>
      </c>
      <c r="I61" s="49">
        <f t="shared" si="1"/>
        <v>2800.0000000000005</v>
      </c>
      <c r="J61" s="29">
        <f t="shared" si="0"/>
        <v>1800.0000000000005</v>
      </c>
      <c r="K61" s="13"/>
      <c r="L61" s="10" t="s">
        <v>1508</v>
      </c>
    </row>
    <row r="62" spans="1:12">
      <c r="A62" s="13">
        <v>14</v>
      </c>
      <c r="B62" s="48" t="s">
        <v>3627</v>
      </c>
      <c r="C62" s="13" t="s">
        <v>3628</v>
      </c>
      <c r="D62" s="49">
        <v>50000</v>
      </c>
      <c r="E62" s="51">
        <v>7.4999999999999997E-2</v>
      </c>
      <c r="F62" s="42">
        <v>15</v>
      </c>
      <c r="G62" s="50">
        <v>40842</v>
      </c>
      <c r="H62" s="49">
        <v>31</v>
      </c>
      <c r="I62" s="49">
        <f t="shared" si="1"/>
        <v>58125</v>
      </c>
      <c r="J62" s="29">
        <f t="shared" si="0"/>
        <v>38750</v>
      </c>
      <c r="K62" s="13" t="s">
        <v>3712</v>
      </c>
      <c r="L62" s="10"/>
    </row>
    <row r="63" spans="1:12">
      <c r="A63" s="13"/>
      <c r="B63" s="48"/>
      <c r="C63" s="13"/>
      <c r="D63" s="49">
        <v>10000</v>
      </c>
      <c r="E63" s="51">
        <v>7.0000000000000007E-2</v>
      </c>
      <c r="F63" s="42" t="s">
        <v>4036</v>
      </c>
      <c r="G63" s="50">
        <v>41030</v>
      </c>
      <c r="H63" s="49">
        <v>10</v>
      </c>
      <c r="I63" s="49">
        <f t="shared" si="1"/>
        <v>1750.0000000000005</v>
      </c>
      <c r="J63" s="29">
        <f t="shared" si="0"/>
        <v>1125.0000000000002</v>
      </c>
      <c r="K63" s="13"/>
      <c r="L63" s="10"/>
    </row>
    <row r="64" spans="1:12">
      <c r="A64" s="13"/>
      <c r="B64" s="48"/>
      <c r="C64" s="13"/>
      <c r="D64" s="49">
        <v>10000</v>
      </c>
      <c r="E64" s="51">
        <v>7.0000000000000007E-2</v>
      </c>
      <c r="F64" s="42" t="s">
        <v>4036</v>
      </c>
      <c r="G64" s="50">
        <v>41078</v>
      </c>
      <c r="H64" s="49">
        <v>2</v>
      </c>
      <c r="I64" s="49">
        <f t="shared" si="1"/>
        <v>350.00000000000006</v>
      </c>
      <c r="J64" s="29">
        <f t="shared" si="0"/>
        <v>225.00000000000006</v>
      </c>
      <c r="K64" s="13"/>
      <c r="L64" s="10"/>
    </row>
    <row r="65" spans="1:12">
      <c r="A65" s="13">
        <v>15</v>
      </c>
      <c r="B65" s="48" t="s">
        <v>3833</v>
      </c>
      <c r="C65" s="13" t="s">
        <v>3834</v>
      </c>
      <c r="D65" s="49">
        <v>40000</v>
      </c>
      <c r="E65" s="51">
        <v>7.4999999999999997E-2</v>
      </c>
      <c r="F65" s="42">
        <v>15</v>
      </c>
      <c r="G65" s="50">
        <v>40844</v>
      </c>
      <c r="H65" s="49">
        <v>10</v>
      </c>
      <c r="I65" s="49">
        <f t="shared" si="1"/>
        <v>15000</v>
      </c>
      <c r="J65" s="29">
        <f t="shared" si="0"/>
        <v>9999.9999999999982</v>
      </c>
      <c r="K65" s="13" t="s">
        <v>3713</v>
      </c>
      <c r="L65" s="10"/>
    </row>
    <row r="66" spans="1:12">
      <c r="A66" s="13"/>
      <c r="B66" s="48"/>
      <c r="C66" s="13"/>
      <c r="D66" s="49">
        <v>10000</v>
      </c>
      <c r="E66" s="51">
        <v>7.0000000000000007E-2</v>
      </c>
      <c r="F66" s="42" t="s">
        <v>4036</v>
      </c>
      <c r="G66" s="50">
        <v>40983</v>
      </c>
      <c r="H66" s="49">
        <v>10</v>
      </c>
      <c r="I66" s="49">
        <f t="shared" si="1"/>
        <v>1750.0000000000005</v>
      </c>
      <c r="J66" s="29">
        <f t="shared" ref="J66:J129" si="2">IF(F66="分期",D66*(E66-0.025)*2.5*H66/10,D66*(E66-0.025)*F66/30*H66)</f>
        <v>1125.0000000000002</v>
      </c>
      <c r="K66" s="13"/>
      <c r="L66" s="10"/>
    </row>
    <row r="67" spans="1:12">
      <c r="A67" s="13"/>
      <c r="B67" s="48"/>
      <c r="C67" s="13"/>
      <c r="D67" s="49">
        <v>10000</v>
      </c>
      <c r="E67" s="51">
        <v>7.0000000000000007E-2</v>
      </c>
      <c r="F67" s="42" t="s">
        <v>4036</v>
      </c>
      <c r="G67" s="50">
        <v>40990</v>
      </c>
      <c r="H67" s="49">
        <v>10</v>
      </c>
      <c r="I67" s="49">
        <f t="shared" si="1"/>
        <v>1750.0000000000005</v>
      </c>
      <c r="J67" s="29">
        <f t="shared" si="2"/>
        <v>1125.0000000000002</v>
      </c>
      <c r="K67" s="13"/>
      <c r="L67" s="10"/>
    </row>
    <row r="68" spans="1:12">
      <c r="A68" s="13"/>
      <c r="B68" s="48"/>
      <c r="C68" s="13"/>
      <c r="D68" s="49">
        <v>30000</v>
      </c>
      <c r="E68" s="51">
        <v>7.4999999999999997E-2</v>
      </c>
      <c r="F68" s="42">
        <v>15</v>
      </c>
      <c r="G68" s="50">
        <v>40991</v>
      </c>
      <c r="H68" s="49">
        <v>4</v>
      </c>
      <c r="I68" s="49">
        <f t="shared" ref="I68:I131" si="3">IF(F68="分期",D68*E68*2.5*H68/10,D68*E68*F68*H68/30)</f>
        <v>4500</v>
      </c>
      <c r="J68" s="29">
        <f t="shared" si="2"/>
        <v>2999.9999999999995</v>
      </c>
      <c r="K68" s="13"/>
      <c r="L68" s="10"/>
    </row>
    <row r="69" spans="1:12">
      <c r="A69" s="13"/>
      <c r="B69" s="48"/>
      <c r="C69" s="13"/>
      <c r="D69" s="49">
        <v>10000</v>
      </c>
      <c r="E69" s="51">
        <v>7.0000000000000007E-2</v>
      </c>
      <c r="F69" s="42" t="s">
        <v>4036</v>
      </c>
      <c r="G69" s="50">
        <v>41059</v>
      </c>
      <c r="H69" s="49">
        <v>10</v>
      </c>
      <c r="I69" s="49">
        <f t="shared" si="3"/>
        <v>1750.0000000000005</v>
      </c>
      <c r="J69" s="29">
        <f t="shared" si="2"/>
        <v>1125.0000000000002</v>
      </c>
      <c r="K69" s="13"/>
      <c r="L69" s="10"/>
    </row>
    <row r="70" spans="1:12">
      <c r="A70" s="13"/>
      <c r="B70" s="48"/>
      <c r="C70" s="13"/>
      <c r="D70" s="49">
        <v>20000</v>
      </c>
      <c r="E70" s="51">
        <v>7.4999999999999997E-2</v>
      </c>
      <c r="F70" s="42">
        <v>15</v>
      </c>
      <c r="G70" s="50">
        <v>41068</v>
      </c>
      <c r="H70" s="49">
        <v>6</v>
      </c>
      <c r="I70" s="49">
        <f t="shared" si="3"/>
        <v>4500</v>
      </c>
      <c r="J70" s="29">
        <f t="shared" si="2"/>
        <v>2999.9999999999995</v>
      </c>
      <c r="K70" s="13"/>
      <c r="L70" s="10"/>
    </row>
    <row r="71" spans="1:12">
      <c r="A71" s="13"/>
      <c r="B71" s="48"/>
      <c r="C71" s="13"/>
      <c r="D71" s="49">
        <v>20000</v>
      </c>
      <c r="E71" s="51">
        <v>7.4999999999999997E-2</v>
      </c>
      <c r="F71" s="42">
        <v>15</v>
      </c>
      <c r="G71" s="50">
        <v>41122</v>
      </c>
      <c r="H71" s="49">
        <v>8</v>
      </c>
      <c r="I71" s="49">
        <f t="shared" si="3"/>
        <v>6000</v>
      </c>
      <c r="J71" s="29">
        <f t="shared" si="2"/>
        <v>3999.9999999999995</v>
      </c>
      <c r="K71" s="13"/>
      <c r="L71" s="10"/>
    </row>
    <row r="72" spans="1:12">
      <c r="A72" s="13"/>
      <c r="B72" s="48"/>
      <c r="C72" s="13"/>
      <c r="D72" s="49">
        <v>50000</v>
      </c>
      <c r="E72" s="51">
        <v>7.4999999999999997E-2</v>
      </c>
      <c r="F72" s="42">
        <v>15</v>
      </c>
      <c r="G72" s="50">
        <v>41149</v>
      </c>
      <c r="H72" s="49">
        <v>6</v>
      </c>
      <c r="I72" s="49">
        <f t="shared" si="3"/>
        <v>11250</v>
      </c>
      <c r="J72" s="29">
        <f t="shared" si="2"/>
        <v>7500</v>
      </c>
      <c r="K72" s="13"/>
      <c r="L72" s="10"/>
    </row>
    <row r="73" spans="1:12">
      <c r="A73" s="13"/>
      <c r="B73" s="48"/>
      <c r="C73" s="13"/>
      <c r="D73" s="49">
        <v>20000</v>
      </c>
      <c r="E73" s="51">
        <v>7.0000000000000007E-2</v>
      </c>
      <c r="F73" s="42" t="s">
        <v>4036</v>
      </c>
      <c r="G73" s="50">
        <v>41180</v>
      </c>
      <c r="H73" s="49">
        <v>10</v>
      </c>
      <c r="I73" s="49">
        <f t="shared" si="3"/>
        <v>3500.0000000000009</v>
      </c>
      <c r="J73" s="29">
        <f t="shared" si="2"/>
        <v>2250.0000000000005</v>
      </c>
      <c r="K73" s="13"/>
      <c r="L73" s="10"/>
    </row>
    <row r="74" spans="1:12">
      <c r="A74" s="13"/>
      <c r="B74" s="48"/>
      <c r="C74" s="13"/>
      <c r="D74" s="49">
        <v>20000</v>
      </c>
      <c r="E74" s="51">
        <v>7.0000000000000007E-2</v>
      </c>
      <c r="F74" s="42" t="s">
        <v>4036</v>
      </c>
      <c r="G74" s="50">
        <v>41222</v>
      </c>
      <c r="H74" s="62">
        <v>10</v>
      </c>
      <c r="I74" s="49">
        <f t="shared" si="3"/>
        <v>3500.0000000000009</v>
      </c>
      <c r="J74" s="29">
        <f t="shared" si="2"/>
        <v>2250.0000000000005</v>
      </c>
      <c r="K74" s="13"/>
      <c r="L74" s="10" t="s">
        <v>1508</v>
      </c>
    </row>
    <row r="75" spans="1:12">
      <c r="A75" s="13"/>
      <c r="B75" s="48"/>
      <c r="C75" s="13"/>
      <c r="D75" s="49">
        <v>30000</v>
      </c>
      <c r="E75" s="51">
        <v>7.4999999999999997E-2</v>
      </c>
      <c r="F75" s="42">
        <v>15</v>
      </c>
      <c r="G75" s="50">
        <v>41239</v>
      </c>
      <c r="H75" s="49">
        <v>4</v>
      </c>
      <c r="I75" s="49">
        <f t="shared" si="3"/>
        <v>4500</v>
      </c>
      <c r="J75" s="29">
        <f t="shared" si="2"/>
        <v>2999.9999999999995</v>
      </c>
      <c r="K75" s="13"/>
      <c r="L75" s="10"/>
    </row>
    <row r="76" spans="1:12">
      <c r="A76" s="13"/>
      <c r="B76" s="48"/>
      <c r="C76" s="13"/>
      <c r="D76" s="49">
        <v>20000</v>
      </c>
      <c r="E76" s="51">
        <v>7.4999999999999997E-2</v>
      </c>
      <c r="F76" s="42">
        <v>15</v>
      </c>
      <c r="G76" s="50">
        <v>41257</v>
      </c>
      <c r="H76" s="49">
        <v>3</v>
      </c>
      <c r="I76" s="49">
        <f t="shared" si="3"/>
        <v>2250</v>
      </c>
      <c r="J76" s="29">
        <f t="shared" si="2"/>
        <v>1499.9999999999998</v>
      </c>
      <c r="K76" s="13"/>
      <c r="L76" s="10"/>
    </row>
    <row r="77" spans="1:12">
      <c r="A77" s="13">
        <v>16</v>
      </c>
      <c r="B77" s="48" t="s">
        <v>1079</v>
      </c>
      <c r="C77" s="13" t="s">
        <v>1080</v>
      </c>
      <c r="D77" s="49">
        <v>50000</v>
      </c>
      <c r="E77" s="51">
        <v>7.4999999999999997E-2</v>
      </c>
      <c r="F77" s="42">
        <v>15</v>
      </c>
      <c r="G77" s="50">
        <v>40859</v>
      </c>
      <c r="H77" s="49">
        <v>29</v>
      </c>
      <c r="I77" s="49">
        <f t="shared" si="3"/>
        <v>54375</v>
      </c>
      <c r="J77" s="29">
        <f t="shared" si="2"/>
        <v>36250</v>
      </c>
      <c r="K77" s="13" t="s">
        <v>3714</v>
      </c>
      <c r="L77" s="10"/>
    </row>
    <row r="78" spans="1:12">
      <c r="A78" s="13">
        <v>17</v>
      </c>
      <c r="B78" s="48" t="s">
        <v>3894</v>
      </c>
      <c r="C78" s="13" t="s">
        <v>3895</v>
      </c>
      <c r="D78" s="49">
        <v>130000</v>
      </c>
      <c r="E78" s="51">
        <v>7.4999999999999997E-2</v>
      </c>
      <c r="F78" s="42">
        <v>15</v>
      </c>
      <c r="G78" s="50">
        <v>40863</v>
      </c>
      <c r="H78" s="49">
        <v>3</v>
      </c>
      <c r="I78" s="49">
        <f t="shared" si="3"/>
        <v>14625</v>
      </c>
      <c r="J78" s="29">
        <f t="shared" si="2"/>
        <v>9749.9999999999982</v>
      </c>
      <c r="K78" s="13" t="s">
        <v>3715</v>
      </c>
      <c r="L78" s="10"/>
    </row>
    <row r="79" spans="1:12">
      <c r="A79" s="13"/>
      <c r="B79" s="48"/>
      <c r="C79" s="13"/>
      <c r="D79" s="49">
        <v>10000</v>
      </c>
      <c r="E79" s="51">
        <v>7.0000000000000007E-2</v>
      </c>
      <c r="F79" s="42" t="s">
        <v>4036</v>
      </c>
      <c r="G79" s="50">
        <v>40899</v>
      </c>
      <c r="H79" s="49">
        <v>10</v>
      </c>
      <c r="I79" s="49">
        <f t="shared" si="3"/>
        <v>1750.0000000000005</v>
      </c>
      <c r="J79" s="29">
        <f t="shared" si="2"/>
        <v>1125.0000000000002</v>
      </c>
      <c r="K79" s="13"/>
      <c r="L79" s="10"/>
    </row>
    <row r="80" spans="1:12">
      <c r="A80" s="13"/>
      <c r="B80" s="48"/>
      <c r="C80" s="13"/>
      <c r="D80" s="49">
        <v>120000</v>
      </c>
      <c r="E80" s="51">
        <v>7.4999999999999997E-2</v>
      </c>
      <c r="F80" s="42">
        <v>15</v>
      </c>
      <c r="G80" s="50">
        <v>40908</v>
      </c>
      <c r="H80" s="49">
        <v>1</v>
      </c>
      <c r="I80" s="49">
        <f t="shared" si="3"/>
        <v>4500</v>
      </c>
      <c r="J80" s="29">
        <f t="shared" si="2"/>
        <v>2999.9999999999995</v>
      </c>
      <c r="K80" s="13"/>
      <c r="L80" s="10"/>
    </row>
    <row r="81" spans="1:12">
      <c r="A81" s="13"/>
      <c r="B81" s="48"/>
      <c r="C81" s="13"/>
      <c r="D81" s="49">
        <v>10000</v>
      </c>
      <c r="E81" s="51">
        <v>7.0000000000000007E-2</v>
      </c>
      <c r="F81" s="42" t="s">
        <v>4036</v>
      </c>
      <c r="G81" s="50">
        <v>40914</v>
      </c>
      <c r="H81" s="49">
        <v>10</v>
      </c>
      <c r="I81" s="49">
        <f t="shared" si="3"/>
        <v>1750.0000000000005</v>
      </c>
      <c r="J81" s="29">
        <f t="shared" si="2"/>
        <v>1125.0000000000002</v>
      </c>
      <c r="K81" s="13"/>
      <c r="L81" s="10"/>
    </row>
    <row r="82" spans="1:12">
      <c r="A82" s="13"/>
      <c r="B82" s="48"/>
      <c r="C82" s="13"/>
      <c r="D82" s="49">
        <v>110000</v>
      </c>
      <c r="E82" s="51">
        <v>7.4999999999999997E-2</v>
      </c>
      <c r="F82" s="42">
        <v>15</v>
      </c>
      <c r="G82" s="50">
        <v>40923</v>
      </c>
      <c r="H82" s="49">
        <v>7</v>
      </c>
      <c r="I82" s="49">
        <f t="shared" si="3"/>
        <v>28875</v>
      </c>
      <c r="J82" s="29">
        <f t="shared" si="2"/>
        <v>19249.999999999996</v>
      </c>
      <c r="K82" s="13"/>
      <c r="L82" s="10"/>
    </row>
    <row r="83" spans="1:12">
      <c r="A83" s="13">
        <v>18</v>
      </c>
      <c r="B83" s="48" t="s">
        <v>3880</v>
      </c>
      <c r="C83" s="13" t="s">
        <v>3881</v>
      </c>
      <c r="D83" s="49">
        <v>235000</v>
      </c>
      <c r="E83" s="51">
        <v>7.4999999999999997E-2</v>
      </c>
      <c r="F83" s="42">
        <v>15</v>
      </c>
      <c r="G83" s="50">
        <v>40836</v>
      </c>
      <c r="H83" s="49">
        <v>3</v>
      </c>
      <c r="I83" s="49">
        <f t="shared" si="3"/>
        <v>26437.5</v>
      </c>
      <c r="J83" s="29">
        <f t="shared" si="2"/>
        <v>17624.999999999996</v>
      </c>
      <c r="K83" s="13" t="s">
        <v>3716</v>
      </c>
      <c r="L83" s="10"/>
    </row>
    <row r="84" spans="1:12">
      <c r="A84" s="13"/>
      <c r="B84" s="48"/>
      <c r="C84" s="13"/>
      <c r="D84" s="49">
        <v>220000</v>
      </c>
      <c r="E84" s="51">
        <v>7.4999999999999997E-2</v>
      </c>
      <c r="F84" s="42">
        <v>15</v>
      </c>
      <c r="G84" s="50">
        <v>40881</v>
      </c>
      <c r="H84" s="49">
        <v>1</v>
      </c>
      <c r="I84" s="49">
        <f t="shared" si="3"/>
        <v>8250</v>
      </c>
      <c r="J84" s="29">
        <f t="shared" si="2"/>
        <v>5499.9999999999991</v>
      </c>
      <c r="K84" s="13"/>
      <c r="L84" s="10"/>
    </row>
    <row r="85" spans="1:12">
      <c r="A85" s="13"/>
      <c r="B85" s="48"/>
      <c r="C85" s="13"/>
      <c r="D85" s="49">
        <v>210000</v>
      </c>
      <c r="E85" s="51">
        <v>7.4999999999999997E-2</v>
      </c>
      <c r="F85" s="42">
        <v>15</v>
      </c>
      <c r="G85" s="50">
        <v>40896</v>
      </c>
      <c r="H85" s="49">
        <v>5</v>
      </c>
      <c r="I85" s="49">
        <f t="shared" si="3"/>
        <v>39375</v>
      </c>
      <c r="J85" s="29">
        <f t="shared" si="2"/>
        <v>26250</v>
      </c>
      <c r="K85" s="13"/>
      <c r="L85" s="10"/>
    </row>
    <row r="86" spans="1:12">
      <c r="A86" s="13"/>
      <c r="B86" s="48"/>
      <c r="C86" s="13"/>
      <c r="D86" s="49">
        <v>190000</v>
      </c>
      <c r="E86" s="51">
        <v>7.4999999999999997E-2</v>
      </c>
      <c r="F86" s="42">
        <v>15</v>
      </c>
      <c r="G86" s="50">
        <v>40971</v>
      </c>
      <c r="H86" s="49">
        <v>3</v>
      </c>
      <c r="I86" s="49">
        <f t="shared" si="3"/>
        <v>21375</v>
      </c>
      <c r="J86" s="29">
        <f t="shared" si="2"/>
        <v>14250</v>
      </c>
      <c r="K86" s="13"/>
      <c r="L86" s="10"/>
    </row>
    <row r="87" spans="1:12">
      <c r="A87" s="13"/>
      <c r="B87" s="48"/>
      <c r="C87" s="13"/>
      <c r="D87" s="49">
        <v>170000</v>
      </c>
      <c r="E87" s="51">
        <v>7.4999999999999997E-2</v>
      </c>
      <c r="F87" s="42">
        <v>15</v>
      </c>
      <c r="G87" s="50">
        <v>41016</v>
      </c>
      <c r="H87" s="49">
        <v>1</v>
      </c>
      <c r="I87" s="49">
        <f t="shared" si="3"/>
        <v>6375</v>
      </c>
      <c r="J87" s="29">
        <f t="shared" si="2"/>
        <v>4250</v>
      </c>
      <c r="K87" s="13"/>
      <c r="L87" s="10"/>
    </row>
    <row r="88" spans="1:12">
      <c r="A88" s="13"/>
      <c r="B88" s="48"/>
      <c r="C88" s="13"/>
      <c r="D88" s="49">
        <v>160000</v>
      </c>
      <c r="E88" s="51">
        <v>7.4999999999999997E-2</v>
      </c>
      <c r="F88" s="42">
        <v>15</v>
      </c>
      <c r="G88" s="50">
        <v>41031</v>
      </c>
      <c r="H88" s="49">
        <v>1</v>
      </c>
      <c r="I88" s="49">
        <f t="shared" si="3"/>
        <v>6000</v>
      </c>
      <c r="J88" s="29">
        <f t="shared" si="2"/>
        <v>3999.9999999999995</v>
      </c>
      <c r="K88" s="13"/>
      <c r="L88" s="10"/>
    </row>
    <row r="89" spans="1:12">
      <c r="A89" s="13"/>
      <c r="B89" s="48"/>
      <c r="C89" s="13"/>
      <c r="D89" s="49">
        <v>150000</v>
      </c>
      <c r="E89" s="51">
        <v>7.4999999999999997E-2</v>
      </c>
      <c r="F89" s="42">
        <v>15</v>
      </c>
      <c r="G89" s="50">
        <v>41046</v>
      </c>
      <c r="H89" s="49">
        <v>1</v>
      </c>
      <c r="I89" s="49">
        <f t="shared" si="3"/>
        <v>5625</v>
      </c>
      <c r="J89" s="29">
        <f t="shared" si="2"/>
        <v>3749.9999999999995</v>
      </c>
      <c r="K89" s="13"/>
      <c r="L89" s="10"/>
    </row>
    <row r="90" spans="1:12">
      <c r="A90" s="13"/>
      <c r="B90" s="48"/>
      <c r="C90" s="13"/>
      <c r="D90" s="49">
        <v>130000</v>
      </c>
      <c r="E90" s="51">
        <v>7.4999999999999997E-2</v>
      </c>
      <c r="F90" s="42">
        <v>15</v>
      </c>
      <c r="G90" s="50">
        <v>41061</v>
      </c>
      <c r="H90" s="49">
        <v>1</v>
      </c>
      <c r="I90" s="49">
        <f t="shared" si="3"/>
        <v>4875</v>
      </c>
      <c r="J90" s="29">
        <f t="shared" si="2"/>
        <v>3249.9999999999995</v>
      </c>
      <c r="K90" s="13"/>
      <c r="L90" s="10"/>
    </row>
    <row r="91" spans="1:12">
      <c r="A91" s="13"/>
      <c r="B91" s="48"/>
      <c r="C91" s="13"/>
      <c r="D91" s="49">
        <v>120000</v>
      </c>
      <c r="E91" s="51">
        <v>7.4999999999999997E-2</v>
      </c>
      <c r="F91" s="42">
        <v>15</v>
      </c>
      <c r="G91" s="50">
        <v>41076</v>
      </c>
      <c r="H91" s="49">
        <v>3</v>
      </c>
      <c r="I91" s="49">
        <f t="shared" si="3"/>
        <v>13500</v>
      </c>
      <c r="J91" s="29">
        <f t="shared" si="2"/>
        <v>8999.9999999999982</v>
      </c>
      <c r="K91" s="13"/>
      <c r="L91" s="10"/>
    </row>
    <row r="92" spans="1:12">
      <c r="A92" s="13"/>
      <c r="B92" s="48"/>
      <c r="C92" s="13"/>
      <c r="D92" s="49">
        <v>100000</v>
      </c>
      <c r="E92" s="51">
        <v>7.4999999999999997E-2</v>
      </c>
      <c r="F92" s="42">
        <v>15</v>
      </c>
      <c r="G92" s="50">
        <v>41121</v>
      </c>
      <c r="H92" s="49">
        <v>1</v>
      </c>
      <c r="I92" s="49">
        <f t="shared" si="3"/>
        <v>3750</v>
      </c>
      <c r="J92" s="29">
        <f t="shared" si="2"/>
        <v>2500</v>
      </c>
      <c r="K92" s="13"/>
      <c r="L92" s="10"/>
    </row>
    <row r="93" spans="1:12">
      <c r="A93" s="13"/>
      <c r="B93" s="48"/>
      <c r="C93" s="13"/>
      <c r="D93" s="49">
        <v>95000</v>
      </c>
      <c r="E93" s="51">
        <v>7.4999999999999997E-2</v>
      </c>
      <c r="F93" s="42">
        <v>15</v>
      </c>
      <c r="G93" s="50">
        <v>41136</v>
      </c>
      <c r="H93" s="49">
        <v>3</v>
      </c>
      <c r="I93" s="49">
        <f t="shared" si="3"/>
        <v>10687.5</v>
      </c>
      <c r="J93" s="29">
        <f t="shared" si="2"/>
        <v>7125</v>
      </c>
      <c r="K93" s="13"/>
      <c r="L93" s="10"/>
    </row>
    <row r="94" spans="1:12">
      <c r="A94" s="13"/>
      <c r="B94" s="48"/>
      <c r="C94" s="13"/>
      <c r="D94" s="49">
        <v>70000</v>
      </c>
      <c r="E94" s="51">
        <v>7.4999999999999997E-2</v>
      </c>
      <c r="F94" s="42">
        <v>15</v>
      </c>
      <c r="G94" s="50">
        <v>41181</v>
      </c>
      <c r="H94" s="49">
        <v>1</v>
      </c>
      <c r="I94" s="49">
        <f t="shared" si="3"/>
        <v>2625</v>
      </c>
      <c r="J94" s="29">
        <f t="shared" si="2"/>
        <v>1749.9999999999998</v>
      </c>
      <c r="K94" s="13"/>
      <c r="L94" s="10"/>
    </row>
    <row r="95" spans="1:12">
      <c r="A95" s="13">
        <v>19</v>
      </c>
      <c r="B95" s="48" t="s">
        <v>1800</v>
      </c>
      <c r="C95" s="13" t="s">
        <v>1801</v>
      </c>
      <c r="D95" s="49">
        <v>100000</v>
      </c>
      <c r="E95" s="51">
        <v>7.4999999999999997E-2</v>
      </c>
      <c r="F95" s="42">
        <v>15</v>
      </c>
      <c r="G95" s="50">
        <v>40836</v>
      </c>
      <c r="H95" s="49">
        <v>3</v>
      </c>
      <c r="I95" s="49">
        <f t="shared" si="3"/>
        <v>11250</v>
      </c>
      <c r="J95" s="29">
        <f t="shared" si="2"/>
        <v>7500</v>
      </c>
      <c r="K95" s="13" t="s">
        <v>3717</v>
      </c>
      <c r="L95" s="10"/>
    </row>
    <row r="96" spans="1:12">
      <c r="A96" s="13"/>
      <c r="B96" s="48"/>
      <c r="C96" s="13"/>
      <c r="D96" s="49">
        <v>90000</v>
      </c>
      <c r="E96" s="51">
        <v>7.4999999999999997E-2</v>
      </c>
      <c r="F96" s="42">
        <v>15</v>
      </c>
      <c r="G96" s="50">
        <v>40881</v>
      </c>
      <c r="H96" s="49">
        <v>2</v>
      </c>
      <c r="I96" s="49">
        <f t="shared" si="3"/>
        <v>6750</v>
      </c>
      <c r="J96" s="29">
        <f t="shared" si="2"/>
        <v>4500</v>
      </c>
      <c r="K96" s="13"/>
      <c r="L96" s="10"/>
    </row>
    <row r="97" spans="1:12">
      <c r="A97" s="13"/>
      <c r="B97" s="48"/>
      <c r="C97" s="13"/>
      <c r="D97" s="49">
        <v>100000</v>
      </c>
      <c r="E97" s="51">
        <v>7.4999999999999997E-2</v>
      </c>
      <c r="F97" s="42">
        <v>15</v>
      </c>
      <c r="G97" s="50">
        <v>40911</v>
      </c>
      <c r="H97" s="49">
        <v>1</v>
      </c>
      <c r="I97" s="49">
        <f t="shared" si="3"/>
        <v>3750</v>
      </c>
      <c r="J97" s="29">
        <f t="shared" si="2"/>
        <v>2500</v>
      </c>
      <c r="K97" s="13"/>
      <c r="L97" s="10"/>
    </row>
    <row r="98" spans="1:12">
      <c r="A98" s="13"/>
      <c r="B98" s="48"/>
      <c r="C98" s="13"/>
      <c r="D98" s="49">
        <v>110000</v>
      </c>
      <c r="E98" s="51">
        <v>7.4999999999999997E-2</v>
      </c>
      <c r="F98" s="42">
        <v>15</v>
      </c>
      <c r="G98" s="50">
        <v>40926</v>
      </c>
      <c r="H98" s="49">
        <v>3</v>
      </c>
      <c r="I98" s="49">
        <f t="shared" si="3"/>
        <v>12375</v>
      </c>
      <c r="J98" s="29">
        <f t="shared" si="2"/>
        <v>8249.9999999999982</v>
      </c>
      <c r="K98" s="13"/>
      <c r="L98" s="10"/>
    </row>
    <row r="99" spans="1:12">
      <c r="A99" s="13"/>
      <c r="B99" s="48"/>
      <c r="C99" s="13"/>
      <c r="D99" s="49">
        <v>90000</v>
      </c>
      <c r="E99" s="51">
        <v>7.4999999999999997E-2</v>
      </c>
      <c r="F99" s="42">
        <v>15</v>
      </c>
      <c r="G99" s="50">
        <v>40971</v>
      </c>
      <c r="H99" s="49">
        <v>1</v>
      </c>
      <c r="I99" s="49">
        <f t="shared" si="3"/>
        <v>3375</v>
      </c>
      <c r="J99" s="29">
        <f t="shared" si="2"/>
        <v>2250</v>
      </c>
      <c r="K99" s="13"/>
      <c r="L99" s="10"/>
    </row>
    <row r="100" spans="1:12">
      <c r="A100" s="13"/>
      <c r="B100" s="48"/>
      <c r="C100" s="13"/>
      <c r="D100" s="49">
        <v>80000</v>
      </c>
      <c r="E100" s="51">
        <v>7.4999999999999997E-2</v>
      </c>
      <c r="F100" s="42">
        <v>15</v>
      </c>
      <c r="G100" s="50">
        <v>40986</v>
      </c>
      <c r="H100" s="49">
        <v>1</v>
      </c>
      <c r="I100" s="49">
        <f t="shared" si="3"/>
        <v>3000</v>
      </c>
      <c r="J100" s="29">
        <f t="shared" si="2"/>
        <v>1999.9999999999998</v>
      </c>
      <c r="K100" s="13"/>
      <c r="L100" s="10"/>
    </row>
    <row r="101" spans="1:12">
      <c r="A101" s="13"/>
      <c r="B101" s="48"/>
      <c r="C101" s="13"/>
      <c r="D101" s="49">
        <v>70000</v>
      </c>
      <c r="E101" s="51">
        <v>7.4999999999999997E-2</v>
      </c>
      <c r="F101" s="42">
        <v>15</v>
      </c>
      <c r="G101" s="50">
        <v>41001</v>
      </c>
      <c r="H101" s="49">
        <v>1</v>
      </c>
      <c r="I101" s="49">
        <f t="shared" si="3"/>
        <v>2625</v>
      </c>
      <c r="J101" s="29">
        <f t="shared" si="2"/>
        <v>1749.9999999999998</v>
      </c>
      <c r="K101" s="13"/>
      <c r="L101" s="10"/>
    </row>
    <row r="102" spans="1:12">
      <c r="A102" s="13"/>
      <c r="B102" s="48"/>
      <c r="C102" s="13"/>
      <c r="D102" s="49">
        <v>80000</v>
      </c>
      <c r="E102" s="51">
        <v>7.4999999999999997E-2</v>
      </c>
      <c r="F102" s="42">
        <v>15</v>
      </c>
      <c r="G102" s="50">
        <v>41016</v>
      </c>
      <c r="H102" s="49">
        <v>1</v>
      </c>
      <c r="I102" s="49">
        <f t="shared" si="3"/>
        <v>3000</v>
      </c>
      <c r="J102" s="29">
        <f t="shared" si="2"/>
        <v>1999.9999999999998</v>
      </c>
      <c r="K102" s="13"/>
      <c r="L102" s="10"/>
    </row>
    <row r="103" spans="1:12">
      <c r="A103" s="13"/>
      <c r="B103" s="48"/>
      <c r="C103" s="13"/>
      <c r="D103" s="49">
        <v>70000</v>
      </c>
      <c r="E103" s="51">
        <v>7.4999999999999997E-2</v>
      </c>
      <c r="F103" s="42">
        <v>15</v>
      </c>
      <c r="G103" s="50">
        <v>41031</v>
      </c>
      <c r="H103" s="49">
        <v>1</v>
      </c>
      <c r="I103" s="49">
        <f t="shared" si="3"/>
        <v>2625</v>
      </c>
      <c r="J103" s="29">
        <f t="shared" si="2"/>
        <v>1749.9999999999998</v>
      </c>
      <c r="K103" s="13"/>
      <c r="L103" s="10"/>
    </row>
    <row r="104" spans="1:12">
      <c r="A104" s="13"/>
      <c r="B104" s="48"/>
      <c r="C104" s="13"/>
      <c r="D104" s="49">
        <v>80000</v>
      </c>
      <c r="E104" s="51">
        <v>7.4999999999999997E-2</v>
      </c>
      <c r="F104" s="42">
        <v>15</v>
      </c>
      <c r="G104" s="50">
        <v>41061</v>
      </c>
      <c r="H104" s="49">
        <v>1</v>
      </c>
      <c r="I104" s="49">
        <f t="shared" si="3"/>
        <v>3000</v>
      </c>
      <c r="J104" s="29">
        <f t="shared" si="2"/>
        <v>1999.9999999999998</v>
      </c>
      <c r="K104" s="13"/>
      <c r="L104" s="10"/>
    </row>
    <row r="105" spans="1:12">
      <c r="A105" s="13"/>
      <c r="B105" s="48"/>
      <c r="C105" s="13"/>
      <c r="D105" s="49">
        <v>120000</v>
      </c>
      <c r="E105" s="51">
        <v>7.4999999999999997E-2</v>
      </c>
      <c r="F105" s="42">
        <v>15</v>
      </c>
      <c r="G105" s="50">
        <v>41076</v>
      </c>
      <c r="H105" s="49">
        <v>12</v>
      </c>
      <c r="I105" s="49">
        <f t="shared" si="3"/>
        <v>54000</v>
      </c>
      <c r="J105" s="29">
        <f t="shared" si="2"/>
        <v>35999.999999999993</v>
      </c>
      <c r="K105" s="13"/>
      <c r="L105" s="10"/>
    </row>
    <row r="106" spans="1:12">
      <c r="A106" s="13"/>
      <c r="B106" s="48"/>
      <c r="C106" s="13"/>
      <c r="D106" s="49">
        <v>25000</v>
      </c>
      <c r="E106" s="51">
        <v>7.4999999999999997E-2</v>
      </c>
      <c r="F106" s="42">
        <v>15</v>
      </c>
      <c r="G106" s="50">
        <v>41102</v>
      </c>
      <c r="H106" s="49">
        <v>1</v>
      </c>
      <c r="I106" s="49">
        <f t="shared" si="3"/>
        <v>937.5</v>
      </c>
      <c r="J106" s="29">
        <f t="shared" si="2"/>
        <v>625</v>
      </c>
      <c r="K106" s="13"/>
      <c r="L106" s="10"/>
    </row>
    <row r="107" spans="1:12">
      <c r="A107" s="13"/>
      <c r="B107" s="48"/>
      <c r="C107" s="13"/>
      <c r="D107" s="49">
        <v>20000</v>
      </c>
      <c r="E107" s="51">
        <v>7.4999999999999997E-2</v>
      </c>
      <c r="F107" s="42">
        <v>15</v>
      </c>
      <c r="G107" s="50">
        <v>41117</v>
      </c>
      <c r="H107" s="62">
        <v>13</v>
      </c>
      <c r="I107" s="49">
        <f t="shared" si="3"/>
        <v>9750</v>
      </c>
      <c r="J107" s="29">
        <f t="shared" si="2"/>
        <v>6499.9999999999991</v>
      </c>
      <c r="K107" s="13"/>
      <c r="L107" s="10" t="s">
        <v>1508</v>
      </c>
    </row>
    <row r="108" spans="1:12">
      <c r="A108" s="13"/>
      <c r="B108" s="48"/>
      <c r="C108" s="13"/>
      <c r="D108" s="49">
        <v>120000</v>
      </c>
      <c r="E108" s="51">
        <v>7.4999999999999997E-2</v>
      </c>
      <c r="F108" s="42">
        <v>15</v>
      </c>
      <c r="G108" s="50">
        <v>41246</v>
      </c>
      <c r="H108" s="62">
        <v>4</v>
      </c>
      <c r="I108" s="49">
        <f t="shared" si="3"/>
        <v>18000</v>
      </c>
      <c r="J108" s="29">
        <f t="shared" si="2"/>
        <v>11999.999999999998</v>
      </c>
      <c r="K108" s="13"/>
      <c r="L108" s="10" t="s">
        <v>1508</v>
      </c>
    </row>
    <row r="109" spans="1:12">
      <c r="A109" s="13"/>
      <c r="B109" s="48"/>
      <c r="C109" s="13"/>
      <c r="D109" s="49">
        <v>20000</v>
      </c>
      <c r="E109" s="51">
        <v>7.0000000000000007E-2</v>
      </c>
      <c r="F109" s="42" t="s">
        <v>4036</v>
      </c>
      <c r="G109" s="50">
        <v>41264</v>
      </c>
      <c r="H109" s="62">
        <v>6</v>
      </c>
      <c r="I109" s="49">
        <f t="shared" si="3"/>
        <v>2100.0000000000005</v>
      </c>
      <c r="J109" s="29">
        <f t="shared" si="2"/>
        <v>1350.0000000000005</v>
      </c>
      <c r="K109" s="13"/>
      <c r="L109" s="10" t="s">
        <v>1508</v>
      </c>
    </row>
    <row r="110" spans="1:12">
      <c r="A110" s="13">
        <v>20</v>
      </c>
      <c r="B110" s="48" t="s">
        <v>1102</v>
      </c>
      <c r="C110" s="13" t="s">
        <v>1103</v>
      </c>
      <c r="D110" s="49">
        <v>285000</v>
      </c>
      <c r="E110" s="51">
        <v>7.4999999999999997E-2</v>
      </c>
      <c r="F110" s="42">
        <v>15</v>
      </c>
      <c r="G110" s="50">
        <v>40836</v>
      </c>
      <c r="H110" s="49">
        <v>29</v>
      </c>
      <c r="I110" s="49">
        <f t="shared" si="3"/>
        <v>309937.5</v>
      </c>
      <c r="J110" s="29">
        <f t="shared" si="2"/>
        <v>206624.99999999997</v>
      </c>
      <c r="K110" s="13" t="s">
        <v>3718</v>
      </c>
      <c r="L110" s="10"/>
    </row>
    <row r="111" spans="1:12">
      <c r="A111" s="13"/>
      <c r="B111" s="48"/>
      <c r="C111" s="13"/>
      <c r="D111" s="49">
        <v>25000</v>
      </c>
      <c r="E111" s="51">
        <v>7.4999999999999997E-2</v>
      </c>
      <c r="F111" s="42">
        <v>15</v>
      </c>
      <c r="G111" s="50">
        <v>40858</v>
      </c>
      <c r="H111" s="49">
        <v>2</v>
      </c>
      <c r="I111" s="49">
        <f t="shared" si="3"/>
        <v>1875</v>
      </c>
      <c r="J111" s="29">
        <f t="shared" si="2"/>
        <v>1250</v>
      </c>
      <c r="K111" s="13"/>
      <c r="L111" s="10"/>
    </row>
    <row r="112" spans="1:12">
      <c r="A112" s="13"/>
      <c r="B112" s="48"/>
      <c r="C112" s="13"/>
      <c r="D112" s="49">
        <v>50000</v>
      </c>
      <c r="E112" s="51">
        <v>7.4999999999999997E-2</v>
      </c>
      <c r="F112" s="42">
        <v>15</v>
      </c>
      <c r="G112" s="50">
        <v>40888</v>
      </c>
      <c r="H112" s="49">
        <v>2</v>
      </c>
      <c r="I112" s="49">
        <f t="shared" si="3"/>
        <v>3750</v>
      </c>
      <c r="J112" s="29">
        <f t="shared" si="2"/>
        <v>2500</v>
      </c>
      <c r="K112" s="13"/>
      <c r="L112" s="10"/>
    </row>
    <row r="113" spans="1:12">
      <c r="A113" s="13"/>
      <c r="B113" s="48"/>
      <c r="C113" s="13"/>
      <c r="D113" s="49">
        <v>75000</v>
      </c>
      <c r="E113" s="51">
        <v>7.4999999999999997E-2</v>
      </c>
      <c r="F113" s="42">
        <v>15</v>
      </c>
      <c r="G113" s="50">
        <v>40918</v>
      </c>
      <c r="H113" s="49">
        <v>3</v>
      </c>
      <c r="I113" s="49">
        <f t="shared" si="3"/>
        <v>8437.5</v>
      </c>
      <c r="J113" s="29">
        <f t="shared" si="2"/>
        <v>5624.9999999999991</v>
      </c>
      <c r="K113" s="13"/>
      <c r="L113" s="10"/>
    </row>
    <row r="114" spans="1:12">
      <c r="A114" s="13"/>
      <c r="B114" s="48"/>
      <c r="C114" s="13"/>
      <c r="D114" s="49">
        <v>100000</v>
      </c>
      <c r="E114" s="51">
        <v>7.4999999999999997E-2</v>
      </c>
      <c r="F114" s="42">
        <v>15</v>
      </c>
      <c r="G114" s="50">
        <v>40963</v>
      </c>
      <c r="H114" s="49">
        <v>2</v>
      </c>
      <c r="I114" s="49">
        <f t="shared" si="3"/>
        <v>7500</v>
      </c>
      <c r="J114" s="29">
        <f t="shared" si="2"/>
        <v>5000</v>
      </c>
      <c r="K114" s="13"/>
      <c r="L114" s="10"/>
    </row>
    <row r="115" spans="1:12">
      <c r="A115" s="13"/>
      <c r="B115" s="48"/>
      <c r="C115" s="13"/>
      <c r="D115" s="49">
        <v>125000</v>
      </c>
      <c r="E115" s="51">
        <v>7.4999999999999997E-2</v>
      </c>
      <c r="F115" s="42">
        <v>15</v>
      </c>
      <c r="G115" s="50">
        <v>40985</v>
      </c>
      <c r="H115" s="49">
        <v>2</v>
      </c>
      <c r="I115" s="49">
        <f t="shared" si="3"/>
        <v>9375</v>
      </c>
      <c r="J115" s="29">
        <f t="shared" si="2"/>
        <v>6249.9999999999991</v>
      </c>
      <c r="K115" s="13"/>
      <c r="L115" s="10"/>
    </row>
    <row r="116" spans="1:12">
      <c r="A116" s="13"/>
      <c r="B116" s="48"/>
      <c r="C116" s="13"/>
      <c r="D116" s="49">
        <v>150000</v>
      </c>
      <c r="E116" s="51">
        <v>7.4999999999999997E-2</v>
      </c>
      <c r="F116" s="42">
        <v>15</v>
      </c>
      <c r="G116" s="50">
        <v>41015</v>
      </c>
      <c r="H116" s="49">
        <v>6</v>
      </c>
      <c r="I116" s="49">
        <f t="shared" si="3"/>
        <v>33750</v>
      </c>
      <c r="J116" s="29">
        <f t="shared" si="2"/>
        <v>22499.999999999996</v>
      </c>
      <c r="K116" s="13"/>
      <c r="L116" s="10"/>
    </row>
    <row r="117" spans="1:12">
      <c r="A117" s="13"/>
      <c r="B117" s="48"/>
      <c r="C117" s="13"/>
      <c r="D117" s="49">
        <v>75000</v>
      </c>
      <c r="E117" s="51">
        <v>7.4999999999999997E-2</v>
      </c>
      <c r="F117" s="42">
        <v>15</v>
      </c>
      <c r="G117" s="50">
        <v>41105</v>
      </c>
      <c r="H117" s="49">
        <v>5</v>
      </c>
      <c r="I117" s="49">
        <f t="shared" si="3"/>
        <v>14062.5</v>
      </c>
      <c r="J117" s="29">
        <f t="shared" si="2"/>
        <v>9374.9999999999982</v>
      </c>
      <c r="K117" s="13"/>
      <c r="L117" s="10"/>
    </row>
    <row r="118" spans="1:12">
      <c r="A118" s="13"/>
      <c r="B118" s="48"/>
      <c r="C118" s="13"/>
      <c r="D118" s="49">
        <v>100000</v>
      </c>
      <c r="E118" s="51">
        <v>7.4999999999999997E-2</v>
      </c>
      <c r="F118" s="42">
        <v>15</v>
      </c>
      <c r="G118" s="50">
        <v>41205</v>
      </c>
      <c r="H118" s="62">
        <v>7</v>
      </c>
      <c r="I118" s="49">
        <f t="shared" si="3"/>
        <v>26250</v>
      </c>
      <c r="J118" s="29">
        <f t="shared" si="2"/>
        <v>17500</v>
      </c>
      <c r="K118" s="13"/>
      <c r="L118" s="10" t="s">
        <v>1508</v>
      </c>
    </row>
    <row r="119" spans="1:12">
      <c r="A119" s="13">
        <v>21</v>
      </c>
      <c r="B119" s="48" t="s">
        <v>280</v>
      </c>
      <c r="C119" s="13" t="s">
        <v>3571</v>
      </c>
      <c r="D119" s="49">
        <v>285000</v>
      </c>
      <c r="E119" s="51">
        <v>7.4999999999999997E-2</v>
      </c>
      <c r="F119" s="42">
        <v>15</v>
      </c>
      <c r="G119" s="50">
        <v>40836</v>
      </c>
      <c r="H119" s="49">
        <v>16</v>
      </c>
      <c r="I119" s="49">
        <f t="shared" si="3"/>
        <v>171000</v>
      </c>
      <c r="J119" s="29">
        <f t="shared" si="2"/>
        <v>113999.99999999999</v>
      </c>
      <c r="K119" s="13" t="s">
        <v>3719</v>
      </c>
      <c r="L119" s="10"/>
    </row>
    <row r="120" spans="1:12">
      <c r="A120" s="13"/>
      <c r="B120" s="48"/>
      <c r="C120" s="13"/>
      <c r="D120" s="49">
        <v>280000</v>
      </c>
      <c r="E120" s="51">
        <v>7.4999999999999997E-2</v>
      </c>
      <c r="F120" s="42">
        <v>15</v>
      </c>
      <c r="G120" s="50">
        <v>41076</v>
      </c>
      <c r="H120" s="49">
        <v>15</v>
      </c>
      <c r="I120" s="49">
        <f t="shared" si="3"/>
        <v>157500</v>
      </c>
      <c r="J120" s="29">
        <f t="shared" si="2"/>
        <v>104999.99999999999</v>
      </c>
      <c r="K120" s="13"/>
      <c r="L120" s="10"/>
    </row>
    <row r="121" spans="1:12">
      <c r="A121" s="13">
        <v>22</v>
      </c>
      <c r="B121" s="48" t="s">
        <v>3888</v>
      </c>
      <c r="C121" s="13" t="s">
        <v>3889</v>
      </c>
      <c r="D121" s="49">
        <v>145000</v>
      </c>
      <c r="E121" s="51">
        <v>7.4999999999999997E-2</v>
      </c>
      <c r="F121" s="42">
        <v>15</v>
      </c>
      <c r="G121" s="50">
        <v>40836</v>
      </c>
      <c r="H121" s="49">
        <v>4</v>
      </c>
      <c r="I121" s="49">
        <f t="shared" si="3"/>
        <v>21750</v>
      </c>
      <c r="J121" s="29">
        <f t="shared" si="2"/>
        <v>14499.999999999998</v>
      </c>
      <c r="K121" s="13" t="s">
        <v>3720</v>
      </c>
      <c r="L121" s="10"/>
    </row>
    <row r="122" spans="1:12">
      <c r="A122" s="13">
        <v>23</v>
      </c>
      <c r="B122" s="48" t="s">
        <v>1899</v>
      </c>
      <c r="C122" s="13" t="s">
        <v>1900</v>
      </c>
      <c r="D122" s="49">
        <v>85000</v>
      </c>
      <c r="E122" s="51">
        <v>7.4999999999999997E-2</v>
      </c>
      <c r="F122" s="42">
        <v>15</v>
      </c>
      <c r="G122" s="50">
        <v>40837</v>
      </c>
      <c r="H122" s="49">
        <v>31</v>
      </c>
      <c r="I122" s="49">
        <f t="shared" si="3"/>
        <v>98812.5</v>
      </c>
      <c r="J122" s="29">
        <f t="shared" si="2"/>
        <v>65875</v>
      </c>
      <c r="K122" s="13" t="s">
        <v>3721</v>
      </c>
      <c r="L122" s="10"/>
    </row>
    <row r="123" spans="1:12">
      <c r="A123" s="13"/>
      <c r="B123" s="48"/>
      <c r="C123" s="13"/>
      <c r="D123" s="49">
        <v>5000</v>
      </c>
      <c r="E123" s="51">
        <v>7.0000000000000007E-2</v>
      </c>
      <c r="F123" s="42" t="s">
        <v>4036</v>
      </c>
      <c r="G123" s="50">
        <v>41067</v>
      </c>
      <c r="H123" s="49">
        <v>10</v>
      </c>
      <c r="I123" s="49">
        <f t="shared" si="3"/>
        <v>875.00000000000023</v>
      </c>
      <c r="J123" s="29">
        <f t="shared" si="2"/>
        <v>562.50000000000011</v>
      </c>
      <c r="K123" s="13"/>
      <c r="L123" s="10"/>
    </row>
    <row r="124" spans="1:12">
      <c r="A124" s="13">
        <v>24</v>
      </c>
      <c r="B124" s="48" t="s">
        <v>1999</v>
      </c>
      <c r="C124" s="13" t="s">
        <v>2000</v>
      </c>
      <c r="D124" s="49">
        <v>235000</v>
      </c>
      <c r="E124" s="51">
        <v>7.4999999999999997E-2</v>
      </c>
      <c r="F124" s="42">
        <v>15</v>
      </c>
      <c r="G124" s="50">
        <v>40836</v>
      </c>
      <c r="H124" s="49">
        <v>3</v>
      </c>
      <c r="I124" s="49">
        <f t="shared" si="3"/>
        <v>26437.5</v>
      </c>
      <c r="J124" s="29">
        <f t="shared" si="2"/>
        <v>17624.999999999996</v>
      </c>
      <c r="K124" s="13" t="s">
        <v>3722</v>
      </c>
      <c r="L124" s="10"/>
    </row>
    <row r="125" spans="1:12">
      <c r="A125" s="13"/>
      <c r="B125" s="48"/>
      <c r="C125" s="13"/>
      <c r="D125" s="49">
        <v>230000</v>
      </c>
      <c r="E125" s="51">
        <v>7.4999999999999997E-2</v>
      </c>
      <c r="F125" s="42">
        <v>15</v>
      </c>
      <c r="G125" s="50">
        <v>40881</v>
      </c>
      <c r="H125" s="62">
        <v>16</v>
      </c>
      <c r="I125" s="49">
        <f t="shared" si="3"/>
        <v>138000</v>
      </c>
      <c r="J125" s="29">
        <f t="shared" si="2"/>
        <v>91999.999999999985</v>
      </c>
      <c r="K125" s="13"/>
      <c r="L125" s="10" t="s">
        <v>1508</v>
      </c>
    </row>
    <row r="126" spans="1:12">
      <c r="A126" s="13">
        <v>25</v>
      </c>
      <c r="B126" s="48" t="s">
        <v>4037</v>
      </c>
      <c r="C126" s="13" t="s">
        <v>4038</v>
      </c>
      <c r="D126" s="49">
        <v>50000</v>
      </c>
      <c r="E126" s="51">
        <v>7.4999999999999997E-2</v>
      </c>
      <c r="F126" s="42">
        <v>15</v>
      </c>
      <c r="G126" s="50">
        <v>40837</v>
      </c>
      <c r="H126" s="49">
        <v>31</v>
      </c>
      <c r="I126" s="49">
        <f t="shared" si="3"/>
        <v>58125</v>
      </c>
      <c r="J126" s="29">
        <f t="shared" si="2"/>
        <v>38750</v>
      </c>
      <c r="K126" s="13" t="s">
        <v>3723</v>
      </c>
      <c r="L126" s="10"/>
    </row>
    <row r="127" spans="1:12">
      <c r="A127" s="13">
        <v>26</v>
      </c>
      <c r="B127" s="48" t="s">
        <v>1836</v>
      </c>
      <c r="C127" s="13" t="s">
        <v>1835</v>
      </c>
      <c r="D127" s="49">
        <v>10000</v>
      </c>
      <c r="E127" s="51">
        <v>7.0000000000000007E-2</v>
      </c>
      <c r="F127" s="42" t="s">
        <v>4036</v>
      </c>
      <c r="G127" s="50">
        <v>40942</v>
      </c>
      <c r="H127" s="49">
        <v>10</v>
      </c>
      <c r="I127" s="49">
        <f t="shared" si="3"/>
        <v>1750.0000000000005</v>
      </c>
      <c r="J127" s="29">
        <f t="shared" si="2"/>
        <v>1125.0000000000002</v>
      </c>
      <c r="K127" s="13" t="s">
        <v>3724</v>
      </c>
      <c r="L127" s="10"/>
    </row>
    <row r="128" spans="1:12">
      <c r="A128" s="13"/>
      <c r="B128" s="48"/>
      <c r="C128" s="13"/>
      <c r="D128" s="49">
        <v>20000</v>
      </c>
      <c r="E128" s="51">
        <v>7.4999999999999997E-2</v>
      </c>
      <c r="F128" s="42">
        <v>15</v>
      </c>
      <c r="G128" s="50">
        <v>40950</v>
      </c>
      <c r="H128" s="49">
        <v>15</v>
      </c>
      <c r="I128" s="49">
        <f t="shared" si="3"/>
        <v>11250</v>
      </c>
      <c r="J128" s="29">
        <f t="shared" si="2"/>
        <v>7499.9999999999991</v>
      </c>
      <c r="K128" s="13"/>
      <c r="L128" s="10"/>
    </row>
    <row r="129" spans="1:12">
      <c r="A129" s="13"/>
      <c r="B129" s="48"/>
      <c r="C129" s="13"/>
      <c r="D129" s="49">
        <v>10000</v>
      </c>
      <c r="E129" s="51">
        <v>7.0000000000000007E-2</v>
      </c>
      <c r="F129" s="42" t="s">
        <v>4036</v>
      </c>
      <c r="G129" s="50">
        <v>40997</v>
      </c>
      <c r="H129" s="49">
        <v>10</v>
      </c>
      <c r="I129" s="49">
        <f t="shared" si="3"/>
        <v>1750.0000000000005</v>
      </c>
      <c r="J129" s="29">
        <f t="shared" si="2"/>
        <v>1125.0000000000002</v>
      </c>
      <c r="K129" s="13"/>
      <c r="L129" s="10"/>
    </row>
    <row r="130" spans="1:12">
      <c r="A130" s="13"/>
      <c r="B130" s="48"/>
      <c r="C130" s="13"/>
      <c r="D130" s="49">
        <v>10000</v>
      </c>
      <c r="E130" s="51">
        <v>7.0000000000000007E-2</v>
      </c>
      <c r="F130" s="42" t="s">
        <v>4036</v>
      </c>
      <c r="G130" s="50">
        <v>41045</v>
      </c>
      <c r="H130" s="49">
        <v>10</v>
      </c>
      <c r="I130" s="49">
        <f t="shared" si="3"/>
        <v>1750.0000000000005</v>
      </c>
      <c r="J130" s="29">
        <f t="shared" ref="J130:J193" si="4">IF(F130="分期",D130*(E130-0.025)*2.5*H130/10,D130*(E130-0.025)*F130/30*H130)</f>
        <v>1125.0000000000002</v>
      </c>
      <c r="K130" s="13"/>
      <c r="L130" s="10"/>
    </row>
    <row r="131" spans="1:12">
      <c r="A131" s="13"/>
      <c r="B131" s="48"/>
      <c r="C131" s="13"/>
      <c r="D131" s="49">
        <v>10000</v>
      </c>
      <c r="E131" s="51">
        <v>7.0000000000000007E-2</v>
      </c>
      <c r="F131" s="42" t="s">
        <v>4036</v>
      </c>
      <c r="G131" s="50">
        <v>41095</v>
      </c>
      <c r="H131" s="49">
        <v>10</v>
      </c>
      <c r="I131" s="49">
        <f t="shared" si="3"/>
        <v>1750.0000000000005</v>
      </c>
      <c r="J131" s="29">
        <f t="shared" si="4"/>
        <v>1125.0000000000002</v>
      </c>
      <c r="K131" s="13"/>
      <c r="L131" s="10"/>
    </row>
    <row r="132" spans="1:12">
      <c r="A132" s="13"/>
      <c r="B132" s="48"/>
      <c r="C132" s="13"/>
      <c r="D132" s="49">
        <v>10000</v>
      </c>
      <c r="E132" s="51">
        <v>7.0000000000000007E-2</v>
      </c>
      <c r="F132" s="42" t="s">
        <v>4036</v>
      </c>
      <c r="G132" s="50">
        <v>41149</v>
      </c>
      <c r="H132" s="49">
        <v>10</v>
      </c>
      <c r="I132" s="49">
        <f t="shared" ref="I132:I195" si="5">IF(F132="分期",D132*E132*2.5*H132/10,D132*E132*F132*H132/30)</f>
        <v>1750.0000000000005</v>
      </c>
      <c r="J132" s="29">
        <f t="shared" si="4"/>
        <v>1125.0000000000002</v>
      </c>
      <c r="K132" s="13"/>
      <c r="L132" s="10"/>
    </row>
    <row r="133" spans="1:12">
      <c r="A133" s="13"/>
      <c r="B133" s="48"/>
      <c r="C133" s="13"/>
      <c r="D133" s="49">
        <v>40000</v>
      </c>
      <c r="E133" s="51">
        <v>7.4999999999999997E-2</v>
      </c>
      <c r="F133" s="42">
        <v>15</v>
      </c>
      <c r="G133" s="50">
        <v>41190</v>
      </c>
      <c r="H133" s="49">
        <v>3</v>
      </c>
      <c r="I133" s="49">
        <f t="shared" si="5"/>
        <v>4500</v>
      </c>
      <c r="J133" s="29">
        <f t="shared" si="4"/>
        <v>2999.9999999999995</v>
      </c>
      <c r="K133" s="13"/>
      <c r="L133" s="10"/>
    </row>
    <row r="134" spans="1:12">
      <c r="A134" s="13"/>
      <c r="B134" s="48"/>
      <c r="C134" s="13"/>
      <c r="D134" s="49">
        <v>35000</v>
      </c>
      <c r="E134" s="51">
        <v>7.4999999999999997E-2</v>
      </c>
      <c r="F134" s="42">
        <v>15</v>
      </c>
      <c r="G134" s="50">
        <v>41203</v>
      </c>
      <c r="H134" s="49">
        <v>6</v>
      </c>
      <c r="I134" s="49">
        <f t="shared" si="5"/>
        <v>7875</v>
      </c>
      <c r="J134" s="29">
        <f t="shared" si="4"/>
        <v>5249.9999999999991</v>
      </c>
      <c r="K134" s="13"/>
      <c r="L134" s="10"/>
    </row>
    <row r="135" spans="1:12">
      <c r="A135" s="13"/>
      <c r="B135" s="48"/>
      <c r="C135" s="13"/>
      <c r="D135" s="49">
        <v>10000</v>
      </c>
      <c r="E135" s="51">
        <v>7.0000000000000007E-2</v>
      </c>
      <c r="F135" s="42" t="s">
        <v>4036</v>
      </c>
      <c r="G135" s="50">
        <v>41204</v>
      </c>
      <c r="H135" s="49">
        <v>10</v>
      </c>
      <c r="I135" s="49">
        <f t="shared" si="5"/>
        <v>1750.0000000000005</v>
      </c>
      <c r="J135" s="29">
        <f t="shared" si="4"/>
        <v>1125.0000000000002</v>
      </c>
      <c r="K135" s="13"/>
      <c r="L135" s="10"/>
    </row>
    <row r="136" spans="1:12">
      <c r="A136" s="13"/>
      <c r="B136" s="48"/>
      <c r="C136" s="13"/>
      <c r="D136" s="49">
        <v>10000</v>
      </c>
      <c r="E136" s="51">
        <v>7.0000000000000007E-2</v>
      </c>
      <c r="F136" s="42" t="s">
        <v>4036</v>
      </c>
      <c r="G136" s="50">
        <v>41255</v>
      </c>
      <c r="H136" s="62">
        <v>7</v>
      </c>
      <c r="I136" s="49">
        <f t="shared" si="5"/>
        <v>1225.0000000000002</v>
      </c>
      <c r="J136" s="29">
        <f t="shared" si="4"/>
        <v>787.50000000000023</v>
      </c>
      <c r="K136" s="13"/>
      <c r="L136" s="10" t="s">
        <v>1508</v>
      </c>
    </row>
    <row r="137" spans="1:12">
      <c r="A137" s="13"/>
      <c r="B137" s="48"/>
      <c r="C137" s="13"/>
      <c r="D137" s="49">
        <v>20000</v>
      </c>
      <c r="E137" s="51">
        <v>7.4999999999999997E-2</v>
      </c>
      <c r="F137" s="42">
        <v>15</v>
      </c>
      <c r="G137" s="50">
        <v>41262</v>
      </c>
      <c r="H137" s="62">
        <v>3</v>
      </c>
      <c r="I137" s="49">
        <f t="shared" si="5"/>
        <v>2250</v>
      </c>
      <c r="J137" s="29">
        <f t="shared" si="4"/>
        <v>1499.9999999999998</v>
      </c>
      <c r="K137" s="13"/>
      <c r="L137" s="10" t="s">
        <v>1508</v>
      </c>
    </row>
    <row r="138" spans="1:12">
      <c r="A138" s="13">
        <v>27</v>
      </c>
      <c r="B138" s="48" t="s">
        <v>1421</v>
      </c>
      <c r="C138" s="13" t="s">
        <v>1460</v>
      </c>
      <c r="D138" s="49">
        <v>50000</v>
      </c>
      <c r="E138" s="51">
        <v>7.4999999999999997E-2</v>
      </c>
      <c r="F138" s="42">
        <v>15</v>
      </c>
      <c r="G138" s="50">
        <v>40837</v>
      </c>
      <c r="H138" s="49">
        <v>7</v>
      </c>
      <c r="I138" s="49">
        <f t="shared" si="5"/>
        <v>13125</v>
      </c>
      <c r="J138" s="29">
        <f t="shared" si="4"/>
        <v>8750</v>
      </c>
      <c r="K138" s="13" t="s">
        <v>3725</v>
      </c>
      <c r="L138" s="10"/>
    </row>
    <row r="139" spans="1:12">
      <c r="A139" s="13">
        <v>28</v>
      </c>
      <c r="B139" s="48" t="s">
        <v>1405</v>
      </c>
      <c r="C139" s="13" t="s">
        <v>1406</v>
      </c>
      <c r="D139" s="49">
        <v>90000</v>
      </c>
      <c r="E139" s="51">
        <v>7.4999999999999997E-2</v>
      </c>
      <c r="F139" s="42">
        <v>15</v>
      </c>
      <c r="G139" s="50">
        <v>40836</v>
      </c>
      <c r="H139" s="49">
        <v>25</v>
      </c>
      <c r="I139" s="49">
        <f t="shared" si="5"/>
        <v>84375</v>
      </c>
      <c r="J139" s="29">
        <f t="shared" si="4"/>
        <v>56250</v>
      </c>
      <c r="K139" s="13" t="s">
        <v>3726</v>
      </c>
      <c r="L139" s="10"/>
    </row>
    <row r="140" spans="1:12">
      <c r="A140" s="13">
        <v>29</v>
      </c>
      <c r="B140" s="48" t="s">
        <v>1151</v>
      </c>
      <c r="C140" s="13" t="s">
        <v>1152</v>
      </c>
      <c r="D140" s="49">
        <v>55000</v>
      </c>
      <c r="E140" s="51">
        <v>7.4999999999999997E-2</v>
      </c>
      <c r="F140" s="42">
        <v>15</v>
      </c>
      <c r="G140" s="50">
        <v>40841</v>
      </c>
      <c r="H140" s="49">
        <v>22</v>
      </c>
      <c r="I140" s="49">
        <f t="shared" si="5"/>
        <v>45375</v>
      </c>
      <c r="J140" s="29">
        <f t="shared" si="4"/>
        <v>30249.999999999996</v>
      </c>
      <c r="K140" s="13" t="s">
        <v>3727</v>
      </c>
      <c r="L140" s="10"/>
    </row>
    <row r="141" spans="1:12">
      <c r="A141" s="13">
        <v>30</v>
      </c>
      <c r="B141" s="48" t="s">
        <v>1995</v>
      </c>
      <c r="C141" s="13" t="s">
        <v>1996</v>
      </c>
      <c r="D141" s="49">
        <v>20000</v>
      </c>
      <c r="E141" s="51">
        <v>7.4999999999999997E-2</v>
      </c>
      <c r="F141" s="42">
        <v>15</v>
      </c>
      <c r="G141" s="50">
        <v>40842</v>
      </c>
      <c r="H141" s="49">
        <v>22</v>
      </c>
      <c r="I141" s="49">
        <f t="shared" si="5"/>
        <v>16500</v>
      </c>
      <c r="J141" s="29">
        <f t="shared" si="4"/>
        <v>10999.999999999998</v>
      </c>
      <c r="K141" s="13" t="s">
        <v>3728</v>
      </c>
      <c r="L141" s="10"/>
    </row>
    <row r="142" spans="1:12">
      <c r="A142" s="13"/>
      <c r="B142" s="48"/>
      <c r="C142" s="13"/>
      <c r="D142" s="49">
        <v>20000</v>
      </c>
      <c r="E142" s="51">
        <v>7.0000000000000007E-2</v>
      </c>
      <c r="F142" s="42" t="s">
        <v>4036</v>
      </c>
      <c r="G142" s="50">
        <v>40882</v>
      </c>
      <c r="H142" s="49">
        <v>10</v>
      </c>
      <c r="I142" s="49">
        <f t="shared" si="5"/>
        <v>3500.0000000000009</v>
      </c>
      <c r="J142" s="29">
        <f t="shared" si="4"/>
        <v>2250.0000000000005</v>
      </c>
      <c r="K142" s="13"/>
      <c r="L142" s="10"/>
    </row>
    <row r="143" spans="1:12">
      <c r="A143" s="13"/>
      <c r="B143" s="48"/>
      <c r="C143" s="13"/>
      <c r="D143" s="49">
        <v>20000</v>
      </c>
      <c r="E143" s="51">
        <v>7.0000000000000007E-2</v>
      </c>
      <c r="F143" s="42" t="s">
        <v>4036</v>
      </c>
      <c r="G143" s="50">
        <v>40940</v>
      </c>
      <c r="H143" s="49">
        <v>10</v>
      </c>
      <c r="I143" s="49">
        <f t="shared" si="5"/>
        <v>3500.0000000000009</v>
      </c>
      <c r="J143" s="29">
        <f t="shared" si="4"/>
        <v>2250.0000000000005</v>
      </c>
      <c r="K143" s="13"/>
      <c r="L143" s="10"/>
    </row>
    <row r="144" spans="1:12">
      <c r="A144" s="13"/>
      <c r="B144" s="48"/>
      <c r="C144" s="13"/>
      <c r="D144" s="49">
        <v>20000</v>
      </c>
      <c r="E144" s="51">
        <v>7.0000000000000007E-2</v>
      </c>
      <c r="F144" s="42" t="s">
        <v>4036</v>
      </c>
      <c r="G144" s="50">
        <v>40984</v>
      </c>
      <c r="H144" s="49">
        <v>10</v>
      </c>
      <c r="I144" s="49">
        <f t="shared" si="5"/>
        <v>3500.0000000000009</v>
      </c>
      <c r="J144" s="29">
        <f t="shared" si="4"/>
        <v>2250.0000000000005</v>
      </c>
      <c r="K144" s="13"/>
      <c r="L144" s="10"/>
    </row>
    <row r="145" spans="1:12">
      <c r="A145" s="13"/>
      <c r="B145" s="48"/>
      <c r="C145" s="13"/>
      <c r="D145" s="49">
        <v>20000</v>
      </c>
      <c r="E145" s="51">
        <v>7.0000000000000007E-2</v>
      </c>
      <c r="F145" s="42" t="s">
        <v>4036</v>
      </c>
      <c r="G145" s="50">
        <v>41046</v>
      </c>
      <c r="H145" s="49">
        <v>1</v>
      </c>
      <c r="I145" s="49">
        <f t="shared" si="5"/>
        <v>350.00000000000006</v>
      </c>
      <c r="J145" s="29">
        <f t="shared" si="4"/>
        <v>225.00000000000006</v>
      </c>
      <c r="K145" s="13"/>
      <c r="L145" s="10"/>
    </row>
    <row r="146" spans="1:12">
      <c r="A146" s="13"/>
      <c r="B146" s="48"/>
      <c r="C146" s="13"/>
      <c r="D146" s="49">
        <v>20000</v>
      </c>
      <c r="E146" s="51">
        <v>7.0000000000000007E-2</v>
      </c>
      <c r="F146" s="42" t="s">
        <v>4036</v>
      </c>
      <c r="G146" s="50">
        <v>41099</v>
      </c>
      <c r="H146" s="49">
        <v>10</v>
      </c>
      <c r="I146" s="49">
        <f t="shared" si="5"/>
        <v>3500.0000000000009</v>
      </c>
      <c r="J146" s="29">
        <f t="shared" si="4"/>
        <v>2250.0000000000005</v>
      </c>
      <c r="K146" s="13"/>
      <c r="L146" s="10"/>
    </row>
    <row r="147" spans="1:12">
      <c r="A147" s="13"/>
      <c r="B147" s="48"/>
      <c r="C147" s="13"/>
      <c r="D147" s="49">
        <v>20000</v>
      </c>
      <c r="E147" s="51">
        <v>7.0000000000000007E-2</v>
      </c>
      <c r="F147" s="42" t="s">
        <v>4036</v>
      </c>
      <c r="G147" s="50">
        <v>41144</v>
      </c>
      <c r="H147" s="49">
        <v>10</v>
      </c>
      <c r="I147" s="49">
        <f t="shared" si="5"/>
        <v>3500.0000000000009</v>
      </c>
      <c r="J147" s="29">
        <f t="shared" si="4"/>
        <v>2250.0000000000005</v>
      </c>
      <c r="K147" s="13"/>
      <c r="L147" s="10"/>
    </row>
    <row r="148" spans="1:12">
      <c r="A148" s="13"/>
      <c r="B148" s="48"/>
      <c r="C148" s="13"/>
      <c r="D148" s="49">
        <v>30000</v>
      </c>
      <c r="E148" s="51">
        <v>7.4999999999999997E-2</v>
      </c>
      <c r="F148" s="42">
        <v>15</v>
      </c>
      <c r="G148" s="50">
        <v>41202</v>
      </c>
      <c r="H148" s="62">
        <v>7</v>
      </c>
      <c r="I148" s="49">
        <f t="shared" si="5"/>
        <v>7875</v>
      </c>
      <c r="J148" s="29">
        <f t="shared" si="4"/>
        <v>5249.9999999999991</v>
      </c>
      <c r="K148" s="13"/>
      <c r="L148" s="10" t="s">
        <v>1508</v>
      </c>
    </row>
    <row r="149" spans="1:12">
      <c r="A149" s="13">
        <v>31</v>
      </c>
      <c r="B149" s="48" t="s">
        <v>3842</v>
      </c>
      <c r="C149" s="13" t="s">
        <v>3843</v>
      </c>
      <c r="D149" s="49">
        <v>280000</v>
      </c>
      <c r="E149" s="51">
        <v>7.4999999999999997E-2</v>
      </c>
      <c r="F149" s="42">
        <v>15</v>
      </c>
      <c r="G149" s="50">
        <v>40843</v>
      </c>
      <c r="H149" s="49">
        <v>8</v>
      </c>
      <c r="I149" s="49">
        <f t="shared" si="5"/>
        <v>84000</v>
      </c>
      <c r="J149" s="29">
        <f t="shared" si="4"/>
        <v>55999.999999999993</v>
      </c>
      <c r="K149" s="13" t="s">
        <v>3729</v>
      </c>
      <c r="L149" s="10"/>
    </row>
    <row r="150" spans="1:12">
      <c r="A150" s="13">
        <v>32</v>
      </c>
      <c r="B150" s="48" t="s">
        <v>1119</v>
      </c>
      <c r="C150" s="13" t="s">
        <v>1120</v>
      </c>
      <c r="D150" s="49">
        <v>180000</v>
      </c>
      <c r="E150" s="51">
        <v>7.4999999999999997E-2</v>
      </c>
      <c r="F150" s="42">
        <v>15</v>
      </c>
      <c r="G150" s="50">
        <v>40855</v>
      </c>
      <c r="H150" s="49">
        <v>2</v>
      </c>
      <c r="I150" s="49">
        <f t="shared" si="5"/>
        <v>13500</v>
      </c>
      <c r="J150" s="29">
        <f t="shared" si="4"/>
        <v>9000</v>
      </c>
      <c r="K150" s="13" t="s">
        <v>3730</v>
      </c>
      <c r="L150" s="10"/>
    </row>
    <row r="151" spans="1:12" ht="32.4">
      <c r="A151" s="13">
        <v>33</v>
      </c>
      <c r="B151" s="48" t="s">
        <v>1072</v>
      </c>
      <c r="C151" s="13" t="s">
        <v>293</v>
      </c>
      <c r="D151" s="49">
        <v>30000</v>
      </c>
      <c r="E151" s="51">
        <v>7.0000000000000007E-2</v>
      </c>
      <c r="F151" s="42" t="s">
        <v>4036</v>
      </c>
      <c r="G151" s="50">
        <v>40855</v>
      </c>
      <c r="H151" s="49">
        <v>10</v>
      </c>
      <c r="I151" s="49">
        <f t="shared" si="5"/>
        <v>5250</v>
      </c>
      <c r="J151" s="29">
        <f t="shared" si="4"/>
        <v>3375.0000000000009</v>
      </c>
      <c r="K151" s="13" t="s">
        <v>3731</v>
      </c>
      <c r="L151" s="10" t="s">
        <v>3732</v>
      </c>
    </row>
    <row r="152" spans="1:12">
      <c r="A152" s="13"/>
      <c r="B152" s="48"/>
      <c r="C152" s="13"/>
      <c r="D152" s="49">
        <v>25000</v>
      </c>
      <c r="E152" s="51">
        <v>7.4999999999999997E-2</v>
      </c>
      <c r="F152" s="42">
        <v>15</v>
      </c>
      <c r="G152" s="50">
        <v>40863</v>
      </c>
      <c r="H152" s="49">
        <v>2</v>
      </c>
      <c r="I152" s="49">
        <f t="shared" si="5"/>
        <v>1875</v>
      </c>
      <c r="J152" s="29">
        <f t="shared" si="4"/>
        <v>1250</v>
      </c>
      <c r="K152" s="13"/>
      <c r="L152" s="10"/>
    </row>
    <row r="153" spans="1:12">
      <c r="A153" s="13"/>
      <c r="B153" s="48"/>
      <c r="C153" s="13"/>
      <c r="D153" s="49">
        <v>30000</v>
      </c>
      <c r="E153" s="51">
        <v>7.4999999999999997E-2</v>
      </c>
      <c r="F153" s="42">
        <v>15</v>
      </c>
      <c r="G153" s="50">
        <v>40893</v>
      </c>
      <c r="H153" s="49">
        <v>8</v>
      </c>
      <c r="I153" s="49">
        <f t="shared" si="5"/>
        <v>9000</v>
      </c>
      <c r="J153" s="29">
        <f t="shared" si="4"/>
        <v>5999.9999999999991</v>
      </c>
      <c r="K153" s="13"/>
      <c r="L153" s="10"/>
    </row>
    <row r="154" spans="1:12">
      <c r="A154" s="13"/>
      <c r="B154" s="48"/>
      <c r="C154" s="13"/>
      <c r="D154" s="49">
        <v>30000</v>
      </c>
      <c r="E154" s="51">
        <v>7.0000000000000007E-2</v>
      </c>
      <c r="F154" s="42" t="s">
        <v>4036</v>
      </c>
      <c r="G154" s="50">
        <v>40910</v>
      </c>
      <c r="H154" s="49">
        <v>10</v>
      </c>
      <c r="I154" s="49">
        <f t="shared" si="5"/>
        <v>5250</v>
      </c>
      <c r="J154" s="29">
        <f t="shared" si="4"/>
        <v>3375.0000000000009</v>
      </c>
      <c r="K154" s="13"/>
      <c r="L154" s="10"/>
    </row>
    <row r="155" spans="1:12">
      <c r="A155" s="13"/>
      <c r="B155" s="48"/>
      <c r="C155" s="13"/>
      <c r="D155" s="49">
        <v>30000</v>
      </c>
      <c r="E155" s="51">
        <v>7.0000000000000007E-2</v>
      </c>
      <c r="F155" s="42" t="s">
        <v>4036</v>
      </c>
      <c r="G155" s="50">
        <v>40966</v>
      </c>
      <c r="H155" s="49">
        <v>10</v>
      </c>
      <c r="I155" s="49">
        <f t="shared" si="5"/>
        <v>5250</v>
      </c>
      <c r="J155" s="29">
        <f t="shared" si="4"/>
        <v>3375.0000000000009</v>
      </c>
      <c r="K155" s="13"/>
      <c r="L155" s="10"/>
    </row>
    <row r="156" spans="1:12">
      <c r="A156" s="13"/>
      <c r="B156" s="48"/>
      <c r="C156" s="13"/>
      <c r="D156" s="49">
        <v>20000</v>
      </c>
      <c r="E156" s="51">
        <v>7.0000000000000007E-2</v>
      </c>
      <c r="F156" s="42" t="s">
        <v>4036</v>
      </c>
      <c r="G156" s="50">
        <v>41004</v>
      </c>
      <c r="H156" s="49">
        <v>10</v>
      </c>
      <c r="I156" s="49">
        <f t="shared" si="5"/>
        <v>3500.0000000000009</v>
      </c>
      <c r="J156" s="29">
        <f t="shared" si="4"/>
        <v>2250.0000000000005</v>
      </c>
      <c r="K156" s="13"/>
      <c r="L156" s="10"/>
    </row>
    <row r="157" spans="1:12">
      <c r="A157" s="13"/>
      <c r="B157" s="48"/>
      <c r="C157" s="13"/>
      <c r="D157" s="49">
        <v>30000</v>
      </c>
      <c r="E157" s="51">
        <v>7.0000000000000007E-2</v>
      </c>
      <c r="F157" s="42" t="s">
        <v>4036</v>
      </c>
      <c r="G157" s="50">
        <v>41008</v>
      </c>
      <c r="H157" s="49">
        <v>10</v>
      </c>
      <c r="I157" s="49">
        <f t="shared" si="5"/>
        <v>5250</v>
      </c>
      <c r="J157" s="29">
        <f t="shared" si="4"/>
        <v>3375.0000000000009</v>
      </c>
      <c r="K157" s="13"/>
      <c r="L157" s="10"/>
    </row>
    <row r="158" spans="1:12">
      <c r="A158" s="13"/>
      <c r="B158" s="48"/>
      <c r="C158" s="13"/>
      <c r="D158" s="49">
        <v>20000</v>
      </c>
      <c r="E158" s="51">
        <v>7.4999999999999997E-2</v>
      </c>
      <c r="F158" s="42">
        <v>15</v>
      </c>
      <c r="G158" s="50">
        <v>41013</v>
      </c>
      <c r="H158" s="49">
        <v>12</v>
      </c>
      <c r="I158" s="49">
        <f t="shared" si="5"/>
        <v>9000</v>
      </c>
      <c r="J158" s="29">
        <f t="shared" si="4"/>
        <v>5999.9999999999991</v>
      </c>
      <c r="K158" s="13"/>
      <c r="L158" s="10"/>
    </row>
    <row r="159" spans="1:12">
      <c r="A159" s="13"/>
      <c r="B159" s="48"/>
      <c r="C159" s="13"/>
      <c r="D159" s="49">
        <v>20000</v>
      </c>
      <c r="E159" s="51">
        <v>7.0000000000000007E-2</v>
      </c>
      <c r="F159" s="42" t="s">
        <v>4036</v>
      </c>
      <c r="G159" s="50">
        <v>41053</v>
      </c>
      <c r="H159" s="49">
        <v>10</v>
      </c>
      <c r="I159" s="49">
        <f t="shared" si="5"/>
        <v>3500.0000000000009</v>
      </c>
      <c r="J159" s="29">
        <f t="shared" si="4"/>
        <v>2250.0000000000005</v>
      </c>
      <c r="K159" s="13"/>
      <c r="L159" s="10"/>
    </row>
    <row r="160" spans="1:12">
      <c r="A160" s="13"/>
      <c r="B160" s="48"/>
      <c r="C160" s="13"/>
      <c r="D160" s="49">
        <v>30000</v>
      </c>
      <c r="E160" s="51">
        <v>7.0000000000000007E-2</v>
      </c>
      <c r="F160" s="42" t="s">
        <v>4036</v>
      </c>
      <c r="G160" s="50">
        <v>41057</v>
      </c>
      <c r="H160" s="49">
        <v>10</v>
      </c>
      <c r="I160" s="49">
        <f t="shared" si="5"/>
        <v>5250</v>
      </c>
      <c r="J160" s="29">
        <f t="shared" si="4"/>
        <v>3375.0000000000009</v>
      </c>
      <c r="K160" s="13"/>
      <c r="L160" s="10"/>
    </row>
    <row r="161" spans="1:12">
      <c r="A161" s="13"/>
      <c r="B161" s="48"/>
      <c r="C161" s="13"/>
      <c r="D161" s="49">
        <v>30000</v>
      </c>
      <c r="E161" s="51">
        <v>7.0000000000000007E-2</v>
      </c>
      <c r="F161" s="42" t="s">
        <v>4036</v>
      </c>
      <c r="G161" s="50">
        <v>41113</v>
      </c>
      <c r="H161" s="49">
        <v>10</v>
      </c>
      <c r="I161" s="49">
        <f t="shared" si="5"/>
        <v>5250</v>
      </c>
      <c r="J161" s="29">
        <f t="shared" si="4"/>
        <v>3375.0000000000009</v>
      </c>
      <c r="K161" s="13"/>
      <c r="L161" s="10"/>
    </row>
    <row r="162" spans="1:12">
      <c r="A162" s="13"/>
      <c r="B162" s="48"/>
      <c r="C162" s="13"/>
      <c r="D162" s="49">
        <v>20000</v>
      </c>
      <c r="E162" s="51">
        <v>7.0000000000000007E-2</v>
      </c>
      <c r="F162" s="42" t="s">
        <v>4036</v>
      </c>
      <c r="G162" s="50">
        <v>41117</v>
      </c>
      <c r="H162" s="49">
        <v>10</v>
      </c>
      <c r="I162" s="49">
        <f t="shared" si="5"/>
        <v>3500.0000000000009</v>
      </c>
      <c r="J162" s="29">
        <f t="shared" si="4"/>
        <v>2250.0000000000005</v>
      </c>
      <c r="K162" s="13"/>
      <c r="L162" s="10"/>
    </row>
    <row r="163" spans="1:12">
      <c r="A163" s="13"/>
      <c r="B163" s="48"/>
      <c r="C163" s="13"/>
      <c r="D163" s="49">
        <v>30000</v>
      </c>
      <c r="E163" s="51">
        <v>7.0000000000000007E-2</v>
      </c>
      <c r="F163" s="42" t="s">
        <v>4036</v>
      </c>
      <c r="G163" s="50">
        <v>41157</v>
      </c>
      <c r="H163" s="49">
        <v>10</v>
      </c>
      <c r="I163" s="49">
        <f t="shared" si="5"/>
        <v>5250</v>
      </c>
      <c r="J163" s="29">
        <f t="shared" si="4"/>
        <v>3375.0000000000009</v>
      </c>
      <c r="K163" s="13"/>
      <c r="L163" s="10"/>
    </row>
    <row r="164" spans="1:12">
      <c r="A164" s="13"/>
      <c r="B164" s="48"/>
      <c r="C164" s="13"/>
      <c r="D164" s="49">
        <v>20000</v>
      </c>
      <c r="E164" s="51">
        <v>7.0000000000000007E-2</v>
      </c>
      <c r="F164" s="42" t="s">
        <v>4036</v>
      </c>
      <c r="G164" s="50">
        <v>41177</v>
      </c>
      <c r="H164" s="49">
        <v>10</v>
      </c>
      <c r="I164" s="49">
        <f t="shared" si="5"/>
        <v>3500.0000000000009</v>
      </c>
      <c r="J164" s="29">
        <f t="shared" si="4"/>
        <v>2250.0000000000005</v>
      </c>
      <c r="K164" s="13"/>
      <c r="L164" s="10"/>
    </row>
    <row r="165" spans="1:12">
      <c r="A165" s="13"/>
      <c r="B165" s="48"/>
      <c r="C165" s="13"/>
      <c r="D165" s="49">
        <v>50000</v>
      </c>
      <c r="E165" s="51">
        <v>7.4999999999999997E-2</v>
      </c>
      <c r="F165" s="42">
        <v>15</v>
      </c>
      <c r="G165" s="50">
        <v>41193</v>
      </c>
      <c r="H165" s="49">
        <v>7</v>
      </c>
      <c r="I165" s="49">
        <f t="shared" si="5"/>
        <v>13125</v>
      </c>
      <c r="J165" s="29">
        <f t="shared" si="4"/>
        <v>8750</v>
      </c>
      <c r="K165" s="13"/>
      <c r="L165" s="10"/>
    </row>
    <row r="166" spans="1:12">
      <c r="A166" s="13"/>
      <c r="B166" s="48"/>
      <c r="C166" s="13"/>
      <c r="D166" s="49">
        <v>30000</v>
      </c>
      <c r="E166" s="51">
        <v>7.0000000000000007E-2</v>
      </c>
      <c r="F166" s="42" t="s">
        <v>4036</v>
      </c>
      <c r="G166" s="50">
        <v>41213</v>
      </c>
      <c r="H166" s="49">
        <v>10</v>
      </c>
      <c r="I166" s="49">
        <f t="shared" si="5"/>
        <v>5250</v>
      </c>
      <c r="J166" s="29">
        <f t="shared" si="4"/>
        <v>3375.0000000000009</v>
      </c>
      <c r="K166" s="13"/>
      <c r="L166" s="10"/>
    </row>
    <row r="167" spans="1:12">
      <c r="A167" s="13"/>
      <c r="B167" s="48"/>
      <c r="C167" s="13"/>
      <c r="D167" s="49">
        <v>20000</v>
      </c>
      <c r="E167" s="51">
        <v>7.0000000000000007E-2</v>
      </c>
      <c r="F167" s="42" t="s">
        <v>4036</v>
      </c>
      <c r="G167" s="50">
        <v>41239</v>
      </c>
      <c r="H167" s="62">
        <v>9</v>
      </c>
      <c r="I167" s="49">
        <f t="shared" si="5"/>
        <v>3150.0000000000005</v>
      </c>
      <c r="J167" s="29">
        <f t="shared" si="4"/>
        <v>2025.0000000000005</v>
      </c>
      <c r="K167" s="13"/>
      <c r="L167" s="10" t="s">
        <v>1508</v>
      </c>
    </row>
    <row r="168" spans="1:12">
      <c r="A168" s="13"/>
      <c r="B168" s="48"/>
      <c r="C168" s="13"/>
      <c r="D168" s="49">
        <v>30000</v>
      </c>
      <c r="E168" s="51">
        <v>7.0000000000000007E-2</v>
      </c>
      <c r="F168" s="42" t="s">
        <v>4036</v>
      </c>
      <c r="G168" s="50">
        <v>41281</v>
      </c>
      <c r="H168" s="62">
        <v>3</v>
      </c>
      <c r="I168" s="49">
        <f t="shared" si="5"/>
        <v>1575</v>
      </c>
      <c r="J168" s="29">
        <f t="shared" si="4"/>
        <v>1012.5000000000002</v>
      </c>
      <c r="K168" s="13"/>
      <c r="L168" s="10" t="s">
        <v>1508</v>
      </c>
    </row>
    <row r="169" spans="1:12">
      <c r="A169" s="13">
        <v>34</v>
      </c>
      <c r="B169" s="48">
        <v>27</v>
      </c>
      <c r="C169" s="13" t="s">
        <v>3855</v>
      </c>
      <c r="D169" s="49">
        <v>130000</v>
      </c>
      <c r="E169" s="51">
        <v>7.4999999999999997E-2</v>
      </c>
      <c r="F169" s="42">
        <v>15</v>
      </c>
      <c r="G169" s="50">
        <v>40764</v>
      </c>
      <c r="H169" s="49">
        <v>22</v>
      </c>
      <c r="I169" s="49">
        <f t="shared" si="5"/>
        <v>107250</v>
      </c>
      <c r="J169" s="29">
        <f t="shared" si="4"/>
        <v>71499.999999999985</v>
      </c>
      <c r="K169" s="13" t="s">
        <v>756</v>
      </c>
      <c r="L169" s="10"/>
    </row>
    <row r="170" spans="1:12">
      <c r="A170" s="13"/>
      <c r="B170" s="48"/>
      <c r="C170" s="13"/>
      <c r="D170" s="49">
        <v>60000</v>
      </c>
      <c r="E170" s="51">
        <v>7.4999999999999997E-2</v>
      </c>
      <c r="F170" s="42">
        <v>30</v>
      </c>
      <c r="G170" s="50">
        <v>40935</v>
      </c>
      <c r="H170" s="49">
        <v>1</v>
      </c>
      <c r="I170" s="49">
        <f t="shared" si="5"/>
        <v>4500</v>
      </c>
      <c r="J170" s="29">
        <f t="shared" si="4"/>
        <v>2999.9999999999995</v>
      </c>
      <c r="K170" s="13"/>
      <c r="L170" s="10"/>
    </row>
    <row r="171" spans="1:12">
      <c r="A171" s="13">
        <v>35</v>
      </c>
      <c r="B171" s="48">
        <v>33</v>
      </c>
      <c r="C171" s="13" t="s">
        <v>1400</v>
      </c>
      <c r="D171" s="49">
        <v>15000</v>
      </c>
      <c r="E171" s="51">
        <v>7.4999999999999997E-2</v>
      </c>
      <c r="F171" s="42">
        <v>15</v>
      </c>
      <c r="G171" s="50">
        <v>40799</v>
      </c>
      <c r="H171" s="49">
        <v>4</v>
      </c>
      <c r="I171" s="49">
        <f t="shared" si="5"/>
        <v>2250</v>
      </c>
      <c r="J171" s="29">
        <f t="shared" si="4"/>
        <v>1499.9999999999998</v>
      </c>
      <c r="K171" s="13" t="s">
        <v>757</v>
      </c>
      <c r="L171" s="10"/>
    </row>
    <row r="172" spans="1:12">
      <c r="A172" s="13"/>
      <c r="B172" s="48"/>
      <c r="C172" s="13"/>
      <c r="D172" s="49">
        <v>10000</v>
      </c>
      <c r="E172" s="51">
        <v>7.4999999999999997E-2</v>
      </c>
      <c r="F172" s="42">
        <v>15</v>
      </c>
      <c r="G172" s="50">
        <v>40859</v>
      </c>
      <c r="H172" s="49">
        <v>4</v>
      </c>
      <c r="I172" s="49">
        <f t="shared" si="5"/>
        <v>1500</v>
      </c>
      <c r="J172" s="29">
        <f t="shared" si="4"/>
        <v>999.99999999999989</v>
      </c>
      <c r="K172" s="13"/>
      <c r="L172" s="10"/>
    </row>
    <row r="173" spans="1:12">
      <c r="A173" s="13"/>
      <c r="B173" s="48"/>
      <c r="C173" s="13"/>
      <c r="D173" s="49">
        <v>20000</v>
      </c>
      <c r="E173" s="51">
        <v>7.4999999999999997E-2</v>
      </c>
      <c r="F173" s="42">
        <v>15</v>
      </c>
      <c r="G173" s="50">
        <v>40934</v>
      </c>
      <c r="H173" s="49">
        <v>23</v>
      </c>
      <c r="I173" s="49">
        <f t="shared" si="5"/>
        <v>17250</v>
      </c>
      <c r="J173" s="29">
        <f t="shared" si="4"/>
        <v>11499.999999999998</v>
      </c>
      <c r="K173" s="13"/>
      <c r="L173" s="10"/>
    </row>
    <row r="174" spans="1:12">
      <c r="A174" s="13">
        <v>36</v>
      </c>
      <c r="B174" s="48">
        <v>43</v>
      </c>
      <c r="C174" s="13" t="s">
        <v>1096</v>
      </c>
      <c r="D174" s="49">
        <v>20000</v>
      </c>
      <c r="E174" s="51">
        <v>7.0000000000000007E-2</v>
      </c>
      <c r="F174" s="42" t="s">
        <v>4036</v>
      </c>
      <c r="G174" s="50">
        <v>40763</v>
      </c>
      <c r="H174" s="49">
        <v>10</v>
      </c>
      <c r="I174" s="49">
        <f t="shared" si="5"/>
        <v>3500.0000000000009</v>
      </c>
      <c r="J174" s="29">
        <f t="shared" si="4"/>
        <v>2250.0000000000005</v>
      </c>
      <c r="K174" s="13" t="s">
        <v>758</v>
      </c>
      <c r="L174" s="10"/>
    </row>
    <row r="175" spans="1:12">
      <c r="A175" s="13"/>
      <c r="B175" s="48"/>
      <c r="C175" s="13"/>
      <c r="D175" s="49">
        <v>40000</v>
      </c>
      <c r="E175" s="51">
        <v>7.0000000000000007E-2</v>
      </c>
      <c r="F175" s="42" t="s">
        <v>4036</v>
      </c>
      <c r="G175" s="50">
        <v>40806</v>
      </c>
      <c r="H175" s="49">
        <v>10</v>
      </c>
      <c r="I175" s="49">
        <f t="shared" si="5"/>
        <v>7000.0000000000018</v>
      </c>
      <c r="J175" s="29">
        <f t="shared" si="4"/>
        <v>4500.0000000000009</v>
      </c>
      <c r="K175" s="13"/>
      <c r="L175" s="10"/>
    </row>
    <row r="176" spans="1:12">
      <c r="A176" s="13"/>
      <c r="B176" s="48"/>
      <c r="C176" s="13"/>
      <c r="D176" s="49">
        <v>20000</v>
      </c>
      <c r="E176" s="51">
        <v>7.0000000000000007E-2</v>
      </c>
      <c r="F176" s="42" t="s">
        <v>4036</v>
      </c>
      <c r="G176" s="50">
        <v>40833</v>
      </c>
      <c r="H176" s="49">
        <v>10</v>
      </c>
      <c r="I176" s="49">
        <f t="shared" si="5"/>
        <v>3500.0000000000009</v>
      </c>
      <c r="J176" s="29">
        <f t="shared" si="4"/>
        <v>2250.0000000000005</v>
      </c>
      <c r="K176" s="13"/>
      <c r="L176" s="10"/>
    </row>
    <row r="177" spans="1:12">
      <c r="A177" s="13"/>
      <c r="B177" s="48"/>
      <c r="C177" s="13"/>
      <c r="D177" s="49">
        <v>10000</v>
      </c>
      <c r="E177" s="51">
        <v>7.0000000000000007E-2</v>
      </c>
      <c r="F177" s="42" t="s">
        <v>4036</v>
      </c>
      <c r="G177" s="50">
        <v>40854</v>
      </c>
      <c r="H177" s="49">
        <v>10</v>
      </c>
      <c r="I177" s="49">
        <f t="shared" si="5"/>
        <v>1750.0000000000005</v>
      </c>
      <c r="J177" s="29">
        <f t="shared" si="4"/>
        <v>1125.0000000000002</v>
      </c>
      <c r="K177" s="13"/>
      <c r="L177" s="10"/>
    </row>
    <row r="178" spans="1:12">
      <c r="A178" s="13"/>
      <c r="B178" s="48"/>
      <c r="C178" s="13"/>
      <c r="D178" s="49">
        <v>10000</v>
      </c>
      <c r="E178" s="51">
        <v>7.0000000000000007E-2</v>
      </c>
      <c r="F178" s="42" t="s">
        <v>4036</v>
      </c>
      <c r="G178" s="50">
        <v>40895</v>
      </c>
      <c r="H178" s="49">
        <v>10</v>
      </c>
      <c r="I178" s="49">
        <f t="shared" si="5"/>
        <v>1750.0000000000005</v>
      </c>
      <c r="J178" s="29">
        <f t="shared" si="4"/>
        <v>1125.0000000000002</v>
      </c>
      <c r="K178" s="13"/>
      <c r="L178" s="10"/>
    </row>
    <row r="179" spans="1:12">
      <c r="A179" s="13"/>
      <c r="B179" s="48"/>
      <c r="C179" s="13"/>
      <c r="D179" s="49">
        <v>10000</v>
      </c>
      <c r="E179" s="51">
        <v>7.0000000000000007E-2</v>
      </c>
      <c r="F179" s="42" t="s">
        <v>4036</v>
      </c>
      <c r="G179" s="50">
        <v>40924</v>
      </c>
      <c r="H179" s="49">
        <v>10</v>
      </c>
      <c r="I179" s="49">
        <f t="shared" si="5"/>
        <v>1750.0000000000005</v>
      </c>
      <c r="J179" s="29">
        <f t="shared" si="4"/>
        <v>1125.0000000000002</v>
      </c>
      <c r="K179" s="13"/>
      <c r="L179" s="10"/>
    </row>
    <row r="180" spans="1:12">
      <c r="A180" s="13"/>
      <c r="B180" s="48"/>
      <c r="C180" s="13"/>
      <c r="D180" s="49">
        <v>20000</v>
      </c>
      <c r="E180" s="51">
        <v>7.0000000000000007E-2</v>
      </c>
      <c r="F180" s="42" t="s">
        <v>4036</v>
      </c>
      <c r="G180" s="50">
        <v>40966</v>
      </c>
      <c r="H180" s="49">
        <v>10</v>
      </c>
      <c r="I180" s="49">
        <f t="shared" si="5"/>
        <v>3500.0000000000009</v>
      </c>
      <c r="J180" s="29">
        <f t="shared" si="4"/>
        <v>2250.0000000000005</v>
      </c>
      <c r="K180" s="13"/>
      <c r="L180" s="10"/>
    </row>
    <row r="181" spans="1:12">
      <c r="A181" s="13"/>
      <c r="B181" s="48"/>
      <c r="C181" s="13"/>
      <c r="D181" s="49">
        <v>10000</v>
      </c>
      <c r="E181" s="51">
        <v>7.0000000000000007E-2</v>
      </c>
      <c r="F181" s="42" t="s">
        <v>4036</v>
      </c>
      <c r="G181" s="50">
        <v>40981</v>
      </c>
      <c r="H181" s="49">
        <v>10</v>
      </c>
      <c r="I181" s="49">
        <f t="shared" si="5"/>
        <v>1750.0000000000005</v>
      </c>
      <c r="J181" s="29">
        <f t="shared" si="4"/>
        <v>1125.0000000000002</v>
      </c>
      <c r="K181" s="13"/>
      <c r="L181" s="10"/>
    </row>
    <row r="182" spans="1:12">
      <c r="A182" s="13"/>
      <c r="B182" s="48"/>
      <c r="C182" s="13"/>
      <c r="D182" s="49">
        <v>20000</v>
      </c>
      <c r="E182" s="51">
        <v>7.0000000000000007E-2</v>
      </c>
      <c r="F182" s="42" t="s">
        <v>4036</v>
      </c>
      <c r="G182" s="50">
        <v>41036</v>
      </c>
      <c r="H182" s="49">
        <v>10</v>
      </c>
      <c r="I182" s="49">
        <f t="shared" si="5"/>
        <v>3500.0000000000009</v>
      </c>
      <c r="J182" s="29">
        <f t="shared" si="4"/>
        <v>2250.0000000000005</v>
      </c>
      <c r="K182" s="13"/>
      <c r="L182" s="10"/>
    </row>
    <row r="183" spans="1:12">
      <c r="A183" s="13"/>
      <c r="B183" s="48"/>
      <c r="C183" s="13"/>
      <c r="D183" s="49">
        <v>10000</v>
      </c>
      <c r="E183" s="51">
        <v>7.0000000000000007E-2</v>
      </c>
      <c r="F183" s="42" t="s">
        <v>4036</v>
      </c>
      <c r="G183" s="50">
        <v>41044</v>
      </c>
      <c r="H183" s="49">
        <v>10</v>
      </c>
      <c r="I183" s="49">
        <f t="shared" si="5"/>
        <v>1750.0000000000005</v>
      </c>
      <c r="J183" s="29">
        <f t="shared" si="4"/>
        <v>1125.0000000000002</v>
      </c>
      <c r="K183" s="13"/>
      <c r="L183" s="10"/>
    </row>
    <row r="184" spans="1:12">
      <c r="A184" s="13"/>
      <c r="B184" s="48"/>
      <c r="C184" s="13"/>
      <c r="D184" s="49">
        <v>20000</v>
      </c>
      <c r="E184" s="51">
        <v>7.0000000000000007E-2</v>
      </c>
      <c r="F184" s="42" t="s">
        <v>4036</v>
      </c>
      <c r="G184" s="50">
        <v>41106</v>
      </c>
      <c r="H184" s="49">
        <v>10</v>
      </c>
      <c r="I184" s="49">
        <f t="shared" si="5"/>
        <v>3500.0000000000009</v>
      </c>
      <c r="J184" s="29">
        <f t="shared" si="4"/>
        <v>2250.0000000000005</v>
      </c>
      <c r="K184" s="13"/>
      <c r="L184" s="10"/>
    </row>
    <row r="185" spans="1:12">
      <c r="A185" s="13"/>
      <c r="B185" s="48"/>
      <c r="C185" s="13"/>
      <c r="D185" s="49">
        <v>10000</v>
      </c>
      <c r="E185" s="51">
        <v>7.0000000000000007E-2</v>
      </c>
      <c r="F185" s="42" t="s">
        <v>4036</v>
      </c>
      <c r="G185" s="50">
        <v>41113</v>
      </c>
      <c r="H185" s="49">
        <v>10</v>
      </c>
      <c r="I185" s="49">
        <f t="shared" si="5"/>
        <v>1750.0000000000005</v>
      </c>
      <c r="J185" s="29">
        <f t="shared" si="4"/>
        <v>1125.0000000000002</v>
      </c>
      <c r="K185" s="13"/>
      <c r="L185" s="10"/>
    </row>
    <row r="186" spans="1:12">
      <c r="A186" s="13"/>
      <c r="B186" s="48"/>
      <c r="C186" s="13"/>
      <c r="D186" s="49">
        <v>20000</v>
      </c>
      <c r="E186" s="51">
        <v>7.0000000000000007E-2</v>
      </c>
      <c r="F186" s="42" t="s">
        <v>4036</v>
      </c>
      <c r="G186" s="50">
        <v>41159</v>
      </c>
      <c r="H186" s="49">
        <v>10</v>
      </c>
      <c r="I186" s="49">
        <f t="shared" si="5"/>
        <v>3500.0000000000009</v>
      </c>
      <c r="J186" s="29">
        <f t="shared" si="4"/>
        <v>2250.0000000000005</v>
      </c>
      <c r="K186" s="13"/>
      <c r="L186" s="10"/>
    </row>
    <row r="187" spans="1:12">
      <c r="A187" s="13"/>
      <c r="B187" s="48"/>
      <c r="C187" s="13"/>
      <c r="D187" s="49">
        <v>10000</v>
      </c>
      <c r="E187" s="51">
        <v>7.0000000000000007E-2</v>
      </c>
      <c r="F187" s="42" t="s">
        <v>4036</v>
      </c>
      <c r="G187" s="50">
        <v>41183</v>
      </c>
      <c r="H187" s="49">
        <v>10</v>
      </c>
      <c r="I187" s="49">
        <f t="shared" si="5"/>
        <v>1750.0000000000005</v>
      </c>
      <c r="J187" s="29">
        <f t="shared" si="4"/>
        <v>1125.0000000000002</v>
      </c>
      <c r="K187" s="13"/>
      <c r="L187" s="10"/>
    </row>
    <row r="188" spans="1:12">
      <c r="A188" s="13"/>
      <c r="B188" s="48"/>
      <c r="C188" s="13"/>
      <c r="D188" s="49">
        <v>20000</v>
      </c>
      <c r="E188" s="51">
        <v>7.0000000000000007E-2</v>
      </c>
      <c r="F188" s="42" t="s">
        <v>4036</v>
      </c>
      <c r="G188" s="50">
        <v>41222</v>
      </c>
      <c r="H188" s="49">
        <v>10</v>
      </c>
      <c r="I188" s="49">
        <f t="shared" si="5"/>
        <v>3500.0000000000009</v>
      </c>
      <c r="J188" s="29">
        <f t="shared" si="4"/>
        <v>2250.0000000000005</v>
      </c>
      <c r="K188" s="13"/>
      <c r="L188" s="10"/>
    </row>
    <row r="189" spans="1:12">
      <c r="A189" s="13"/>
      <c r="B189" s="48"/>
      <c r="C189" s="13"/>
      <c r="D189" s="49">
        <v>10000</v>
      </c>
      <c r="E189" s="51">
        <v>7.0000000000000007E-2</v>
      </c>
      <c r="F189" s="42" t="s">
        <v>4036</v>
      </c>
      <c r="G189" s="50">
        <v>41242</v>
      </c>
      <c r="H189" s="62">
        <v>9</v>
      </c>
      <c r="I189" s="49">
        <f t="shared" si="5"/>
        <v>1575.0000000000002</v>
      </c>
      <c r="J189" s="29">
        <f t="shared" si="4"/>
        <v>1012.5000000000002</v>
      </c>
      <c r="K189" s="13"/>
      <c r="L189" s="10" t="s">
        <v>1508</v>
      </c>
    </row>
    <row r="190" spans="1:12">
      <c r="A190" s="13"/>
      <c r="B190" s="48"/>
      <c r="C190" s="13"/>
      <c r="D190" s="49">
        <v>10000</v>
      </c>
      <c r="E190" s="51">
        <v>7.0000000000000007E-2</v>
      </c>
      <c r="F190" s="42" t="s">
        <v>4036</v>
      </c>
      <c r="G190" s="50">
        <v>41281</v>
      </c>
      <c r="H190" s="62">
        <v>3</v>
      </c>
      <c r="I190" s="49">
        <f t="shared" si="5"/>
        <v>525.00000000000011</v>
      </c>
      <c r="J190" s="29">
        <f t="shared" si="4"/>
        <v>337.50000000000011</v>
      </c>
      <c r="K190" s="13"/>
      <c r="L190" s="10" t="s">
        <v>1508</v>
      </c>
    </row>
    <row r="191" spans="1:12">
      <c r="A191" s="13">
        <v>37</v>
      </c>
      <c r="B191" s="48">
        <v>83</v>
      </c>
      <c r="C191" s="13" t="s">
        <v>3891</v>
      </c>
      <c r="D191" s="49">
        <v>50000</v>
      </c>
      <c r="E191" s="51">
        <v>6.5000000000000002E-2</v>
      </c>
      <c r="F191" s="42">
        <v>15</v>
      </c>
      <c r="G191" s="50">
        <v>40783</v>
      </c>
      <c r="H191" s="49">
        <v>5</v>
      </c>
      <c r="I191" s="49">
        <f t="shared" si="5"/>
        <v>8125</v>
      </c>
      <c r="J191" s="29">
        <f t="shared" si="4"/>
        <v>5000</v>
      </c>
      <c r="K191" s="13" t="s">
        <v>761</v>
      </c>
      <c r="L191" s="10"/>
    </row>
    <row r="192" spans="1:12">
      <c r="A192" s="13"/>
      <c r="B192" s="48"/>
      <c r="C192" s="13"/>
      <c r="D192" s="49">
        <v>150000</v>
      </c>
      <c r="E192" s="51">
        <v>6.5000000000000002E-2</v>
      </c>
      <c r="F192" s="42">
        <v>15</v>
      </c>
      <c r="G192" s="50">
        <v>40786</v>
      </c>
      <c r="H192" s="49">
        <v>5</v>
      </c>
      <c r="I192" s="49">
        <f t="shared" si="5"/>
        <v>24375</v>
      </c>
      <c r="J192" s="29">
        <f t="shared" si="4"/>
        <v>15000</v>
      </c>
      <c r="K192" s="13"/>
      <c r="L192" s="10"/>
    </row>
    <row r="193" spans="1:12">
      <c r="A193" s="13"/>
      <c r="B193" s="48"/>
      <c r="C193" s="13"/>
      <c r="D193" s="49">
        <v>40000</v>
      </c>
      <c r="E193" s="51">
        <v>6.5000000000000002E-2</v>
      </c>
      <c r="F193" s="42">
        <v>15</v>
      </c>
      <c r="G193" s="50">
        <v>40787</v>
      </c>
      <c r="H193" s="49">
        <v>9</v>
      </c>
      <c r="I193" s="49">
        <f t="shared" si="5"/>
        <v>11700</v>
      </c>
      <c r="J193" s="29">
        <f t="shared" si="4"/>
        <v>7200</v>
      </c>
      <c r="K193" s="13"/>
      <c r="L193" s="10"/>
    </row>
    <row r="194" spans="1:12">
      <c r="A194" s="13"/>
      <c r="B194" s="48"/>
      <c r="C194" s="13"/>
      <c r="D194" s="49">
        <v>60000</v>
      </c>
      <c r="E194" s="51">
        <v>6.5000000000000002E-2</v>
      </c>
      <c r="F194" s="42">
        <v>15</v>
      </c>
      <c r="G194" s="50">
        <v>40787</v>
      </c>
      <c r="H194" s="49">
        <v>9</v>
      </c>
      <c r="I194" s="49">
        <f t="shared" si="5"/>
        <v>17550</v>
      </c>
      <c r="J194" s="29">
        <f t="shared" ref="J194:J257" si="6">IF(F194="分期",D194*(E194-0.025)*2.5*H194/10,D194*(E194-0.025)*F194/30*H194)</f>
        <v>10800</v>
      </c>
      <c r="K194" s="13"/>
      <c r="L194" s="10"/>
    </row>
    <row r="195" spans="1:12">
      <c r="A195" s="13"/>
      <c r="B195" s="48"/>
      <c r="C195" s="13"/>
      <c r="D195" s="49">
        <v>150000</v>
      </c>
      <c r="E195" s="51">
        <v>6.5000000000000002E-2</v>
      </c>
      <c r="F195" s="42">
        <v>15</v>
      </c>
      <c r="G195" s="50">
        <v>40787</v>
      </c>
      <c r="H195" s="49">
        <v>9</v>
      </c>
      <c r="I195" s="49">
        <f t="shared" si="5"/>
        <v>43875</v>
      </c>
      <c r="J195" s="29">
        <f t="shared" si="6"/>
        <v>27000</v>
      </c>
      <c r="K195" s="13"/>
      <c r="L195" s="10"/>
    </row>
    <row r="196" spans="1:12">
      <c r="A196" s="13"/>
      <c r="B196" s="48"/>
      <c r="C196" s="13"/>
      <c r="D196" s="49">
        <v>50000</v>
      </c>
      <c r="E196" s="51">
        <v>6.5000000000000002E-2</v>
      </c>
      <c r="F196" s="42">
        <v>15</v>
      </c>
      <c r="G196" s="50">
        <v>40789</v>
      </c>
      <c r="H196" s="49">
        <v>8</v>
      </c>
      <c r="I196" s="49">
        <f t="shared" ref="I196:I259" si="7">IF(F196="分期",D196*E196*2.5*H196/10,D196*E196*F196*H196/30)</f>
        <v>13000</v>
      </c>
      <c r="J196" s="29">
        <f t="shared" si="6"/>
        <v>8000</v>
      </c>
      <c r="K196" s="13"/>
      <c r="L196" s="10"/>
    </row>
    <row r="197" spans="1:12">
      <c r="A197" s="13"/>
      <c r="B197" s="48"/>
      <c r="C197" s="13"/>
      <c r="D197" s="49">
        <v>100000</v>
      </c>
      <c r="E197" s="51">
        <v>6.5000000000000002E-2</v>
      </c>
      <c r="F197" s="42">
        <v>15</v>
      </c>
      <c r="G197" s="50">
        <v>40789</v>
      </c>
      <c r="H197" s="49">
        <v>4</v>
      </c>
      <c r="I197" s="49">
        <f t="shared" si="7"/>
        <v>13000</v>
      </c>
      <c r="J197" s="29">
        <f t="shared" si="6"/>
        <v>8000</v>
      </c>
      <c r="K197" s="13"/>
      <c r="L197" s="10"/>
    </row>
    <row r="198" spans="1:12">
      <c r="A198" s="13"/>
      <c r="B198" s="48"/>
      <c r="C198" s="13"/>
      <c r="D198" s="49">
        <v>150000</v>
      </c>
      <c r="E198" s="51">
        <v>6.5000000000000002E-2</v>
      </c>
      <c r="F198" s="42">
        <v>15</v>
      </c>
      <c r="G198" s="50">
        <v>40789</v>
      </c>
      <c r="H198" s="49">
        <v>10</v>
      </c>
      <c r="I198" s="49">
        <f t="shared" si="7"/>
        <v>48750</v>
      </c>
      <c r="J198" s="29">
        <f t="shared" si="6"/>
        <v>30000</v>
      </c>
      <c r="K198" s="13"/>
      <c r="L198" s="10"/>
    </row>
    <row r="199" spans="1:12">
      <c r="A199" s="13"/>
      <c r="B199" s="48"/>
      <c r="C199" s="13"/>
      <c r="D199" s="49">
        <v>100000</v>
      </c>
      <c r="E199" s="51">
        <v>6.5000000000000002E-2</v>
      </c>
      <c r="F199" s="42">
        <v>15</v>
      </c>
      <c r="G199" s="50">
        <v>40792</v>
      </c>
      <c r="H199" s="49">
        <v>4</v>
      </c>
      <c r="I199" s="49">
        <f t="shared" si="7"/>
        <v>13000</v>
      </c>
      <c r="J199" s="29">
        <f t="shared" si="6"/>
        <v>8000</v>
      </c>
      <c r="K199" s="13"/>
      <c r="L199" s="10"/>
    </row>
    <row r="200" spans="1:12">
      <c r="A200" s="13"/>
      <c r="B200" s="48"/>
      <c r="C200" s="13"/>
      <c r="D200" s="49">
        <v>100000</v>
      </c>
      <c r="E200" s="51">
        <v>6.5000000000000002E-2</v>
      </c>
      <c r="F200" s="42">
        <v>15</v>
      </c>
      <c r="G200" s="50">
        <v>40792</v>
      </c>
      <c r="H200" s="49">
        <v>4</v>
      </c>
      <c r="I200" s="49">
        <f t="shared" si="7"/>
        <v>13000</v>
      </c>
      <c r="J200" s="29">
        <f t="shared" si="6"/>
        <v>8000</v>
      </c>
      <c r="K200" s="13"/>
      <c r="L200" s="10"/>
    </row>
    <row r="201" spans="1:12">
      <c r="A201" s="13"/>
      <c r="B201" s="48"/>
      <c r="C201" s="13"/>
      <c r="D201" s="49">
        <v>400000</v>
      </c>
      <c r="E201" s="51">
        <v>6.5000000000000002E-2</v>
      </c>
      <c r="F201" s="42">
        <v>15</v>
      </c>
      <c r="G201" s="50">
        <v>40797</v>
      </c>
      <c r="H201" s="49">
        <v>4</v>
      </c>
      <c r="I201" s="49">
        <f t="shared" si="7"/>
        <v>52000</v>
      </c>
      <c r="J201" s="29">
        <f t="shared" si="6"/>
        <v>32000</v>
      </c>
      <c r="K201" s="13"/>
      <c r="L201" s="10"/>
    </row>
    <row r="202" spans="1:12">
      <c r="A202" s="13"/>
      <c r="B202" s="48"/>
      <c r="C202" s="13"/>
      <c r="D202" s="49">
        <v>100000</v>
      </c>
      <c r="E202" s="51">
        <v>6.5000000000000002E-2</v>
      </c>
      <c r="F202" s="42">
        <v>15</v>
      </c>
      <c r="G202" s="50">
        <v>40799</v>
      </c>
      <c r="H202" s="49">
        <v>4</v>
      </c>
      <c r="I202" s="49">
        <f t="shared" si="7"/>
        <v>13000</v>
      </c>
      <c r="J202" s="29">
        <f t="shared" si="6"/>
        <v>8000</v>
      </c>
      <c r="K202" s="13"/>
      <c r="L202" s="10"/>
    </row>
    <row r="203" spans="1:12">
      <c r="A203" s="13"/>
      <c r="B203" s="48"/>
      <c r="C203" s="13"/>
      <c r="D203" s="49">
        <v>50000</v>
      </c>
      <c r="E203" s="51">
        <v>6.5000000000000002E-2</v>
      </c>
      <c r="F203" s="42">
        <v>15</v>
      </c>
      <c r="G203" s="50">
        <v>40813</v>
      </c>
      <c r="H203" s="49">
        <v>3</v>
      </c>
      <c r="I203" s="49">
        <f t="shared" si="7"/>
        <v>4875</v>
      </c>
      <c r="J203" s="29">
        <f t="shared" si="6"/>
        <v>3000</v>
      </c>
      <c r="K203" s="13"/>
      <c r="L203" s="10"/>
    </row>
    <row r="204" spans="1:12">
      <c r="A204" s="13"/>
      <c r="B204" s="48"/>
      <c r="C204" s="13"/>
      <c r="D204" s="49">
        <v>80000</v>
      </c>
      <c r="E204" s="51">
        <v>6.5000000000000002E-2</v>
      </c>
      <c r="F204" s="42">
        <v>15</v>
      </c>
      <c r="G204" s="50">
        <v>40879</v>
      </c>
      <c r="H204" s="49">
        <v>3</v>
      </c>
      <c r="I204" s="49">
        <f t="shared" si="7"/>
        <v>7800</v>
      </c>
      <c r="J204" s="29">
        <f t="shared" si="6"/>
        <v>4800</v>
      </c>
      <c r="K204" s="13"/>
      <c r="L204" s="10"/>
    </row>
    <row r="205" spans="1:12">
      <c r="A205" s="13"/>
      <c r="B205" s="48"/>
      <c r="C205" s="13"/>
      <c r="D205" s="49">
        <v>200000</v>
      </c>
      <c r="E205" s="51">
        <v>6.5000000000000002E-2</v>
      </c>
      <c r="F205" s="42">
        <v>15</v>
      </c>
      <c r="G205" s="50">
        <v>40886</v>
      </c>
      <c r="H205" s="49">
        <v>3</v>
      </c>
      <c r="I205" s="49">
        <f t="shared" si="7"/>
        <v>19500</v>
      </c>
      <c r="J205" s="29">
        <f t="shared" si="6"/>
        <v>12000</v>
      </c>
      <c r="K205" s="13"/>
      <c r="L205" s="10"/>
    </row>
    <row r="206" spans="1:12">
      <c r="A206" s="13"/>
      <c r="B206" s="48"/>
      <c r="C206" s="13"/>
      <c r="D206" s="49">
        <v>100000</v>
      </c>
      <c r="E206" s="51">
        <v>6.5000000000000002E-2</v>
      </c>
      <c r="F206" s="42">
        <v>15</v>
      </c>
      <c r="G206" s="50">
        <v>40892</v>
      </c>
      <c r="H206" s="49">
        <v>2</v>
      </c>
      <c r="I206" s="49">
        <f t="shared" si="7"/>
        <v>6500</v>
      </c>
      <c r="J206" s="29">
        <f t="shared" si="6"/>
        <v>4000</v>
      </c>
      <c r="K206" s="13"/>
      <c r="L206" s="10"/>
    </row>
    <row r="207" spans="1:12">
      <c r="A207" s="13"/>
      <c r="B207" s="48"/>
      <c r="C207" s="13"/>
      <c r="D207" s="49">
        <v>150000</v>
      </c>
      <c r="E207" s="51">
        <v>6.5000000000000002E-2</v>
      </c>
      <c r="F207" s="42">
        <v>15</v>
      </c>
      <c r="G207" s="50">
        <v>40897</v>
      </c>
      <c r="H207" s="49">
        <v>2</v>
      </c>
      <c r="I207" s="49">
        <f t="shared" si="7"/>
        <v>9750</v>
      </c>
      <c r="J207" s="29">
        <f t="shared" si="6"/>
        <v>6000</v>
      </c>
      <c r="K207" s="13"/>
      <c r="L207" s="10"/>
    </row>
    <row r="208" spans="1:12">
      <c r="A208" s="13"/>
      <c r="B208" s="48"/>
      <c r="C208" s="13"/>
      <c r="D208" s="49">
        <v>25000</v>
      </c>
      <c r="E208" s="51">
        <v>6.5000000000000002E-2</v>
      </c>
      <c r="F208" s="42">
        <v>15</v>
      </c>
      <c r="G208" s="50">
        <v>40906</v>
      </c>
      <c r="H208" s="49">
        <v>2</v>
      </c>
      <c r="I208" s="49">
        <f t="shared" si="7"/>
        <v>1625</v>
      </c>
      <c r="J208" s="29">
        <f t="shared" si="6"/>
        <v>1000</v>
      </c>
      <c r="K208" s="13"/>
      <c r="L208" s="10"/>
    </row>
    <row r="209" spans="1:12">
      <c r="A209" s="13"/>
      <c r="B209" s="48"/>
      <c r="C209" s="13"/>
      <c r="D209" s="49">
        <v>100000</v>
      </c>
      <c r="E209" s="51">
        <v>6.5000000000000002E-2</v>
      </c>
      <c r="F209" s="42">
        <v>15</v>
      </c>
      <c r="G209" s="50">
        <v>40917</v>
      </c>
      <c r="H209" s="49">
        <v>1</v>
      </c>
      <c r="I209" s="49">
        <f t="shared" si="7"/>
        <v>3250</v>
      </c>
      <c r="J209" s="29">
        <f t="shared" si="6"/>
        <v>2000</v>
      </c>
      <c r="K209" s="13"/>
      <c r="L209" s="10"/>
    </row>
    <row r="210" spans="1:12">
      <c r="A210" s="13">
        <v>38</v>
      </c>
      <c r="B210" s="48">
        <v>113</v>
      </c>
      <c r="C210" s="13" t="s">
        <v>3849</v>
      </c>
      <c r="D210" s="49">
        <v>50000</v>
      </c>
      <c r="E210" s="51">
        <v>7.4999999999999997E-2</v>
      </c>
      <c r="F210" s="42">
        <v>15</v>
      </c>
      <c r="G210" s="50">
        <v>40802</v>
      </c>
      <c r="H210" s="62">
        <v>34</v>
      </c>
      <c r="I210" s="49">
        <f t="shared" si="7"/>
        <v>63750</v>
      </c>
      <c r="J210" s="29">
        <f t="shared" si="6"/>
        <v>42500</v>
      </c>
      <c r="K210" s="13" t="s">
        <v>759</v>
      </c>
      <c r="L210" s="10" t="s">
        <v>1508</v>
      </c>
    </row>
    <row r="211" spans="1:12" ht="32.4">
      <c r="A211" s="13">
        <v>39</v>
      </c>
      <c r="B211" s="48">
        <v>293</v>
      </c>
      <c r="C211" s="13" t="s">
        <v>3733</v>
      </c>
      <c r="D211" s="49">
        <v>180000</v>
      </c>
      <c r="E211" s="51">
        <v>7.4999999999999997E-2</v>
      </c>
      <c r="F211" s="42">
        <v>15</v>
      </c>
      <c r="G211" s="50">
        <v>40798</v>
      </c>
      <c r="H211" s="49">
        <v>34</v>
      </c>
      <c r="I211" s="49">
        <f t="shared" si="7"/>
        <v>229500</v>
      </c>
      <c r="J211" s="29">
        <f t="shared" si="6"/>
        <v>153000</v>
      </c>
      <c r="K211" s="13" t="s">
        <v>760</v>
      </c>
      <c r="L211" s="10" t="s">
        <v>3734</v>
      </c>
    </row>
    <row r="212" spans="1:12">
      <c r="A212" s="13">
        <v>40</v>
      </c>
      <c r="B212" s="48">
        <v>407</v>
      </c>
      <c r="C212" s="13" t="s">
        <v>1067</v>
      </c>
      <c r="D212" s="49">
        <v>10000</v>
      </c>
      <c r="E212" s="51">
        <v>7.4999999999999997E-2</v>
      </c>
      <c r="F212" s="42">
        <v>30</v>
      </c>
      <c r="G212" s="50">
        <v>40601</v>
      </c>
      <c r="H212" s="49">
        <v>2</v>
      </c>
      <c r="I212" s="49">
        <f t="shared" si="7"/>
        <v>1500</v>
      </c>
      <c r="J212" s="29">
        <f t="shared" si="6"/>
        <v>999.99999999999989</v>
      </c>
      <c r="K212" s="13" t="s">
        <v>762</v>
      </c>
      <c r="L212" s="10"/>
    </row>
    <row r="213" spans="1:12">
      <c r="A213" s="13"/>
      <c r="B213" s="48"/>
      <c r="C213" s="13"/>
      <c r="D213" s="49">
        <v>10000</v>
      </c>
      <c r="E213" s="51">
        <v>7.4999999999999997E-2</v>
      </c>
      <c r="F213" s="42">
        <v>30</v>
      </c>
      <c r="G213" s="50">
        <v>40750</v>
      </c>
      <c r="H213" s="49">
        <v>1</v>
      </c>
      <c r="I213" s="49">
        <f t="shared" si="7"/>
        <v>750</v>
      </c>
      <c r="J213" s="29">
        <f t="shared" si="6"/>
        <v>499.99999999999994</v>
      </c>
      <c r="K213" s="13"/>
      <c r="L213" s="10"/>
    </row>
    <row r="214" spans="1:12">
      <c r="A214" s="13"/>
      <c r="B214" s="48"/>
      <c r="C214" s="13"/>
      <c r="D214" s="49">
        <v>10000</v>
      </c>
      <c r="E214" s="51">
        <v>7.4999999999999997E-2</v>
      </c>
      <c r="F214" s="42">
        <v>30</v>
      </c>
      <c r="G214" s="50">
        <v>40800</v>
      </c>
      <c r="H214" s="49">
        <v>4</v>
      </c>
      <c r="I214" s="49">
        <f t="shared" si="7"/>
        <v>3000</v>
      </c>
      <c r="J214" s="29">
        <f t="shared" si="6"/>
        <v>1999.9999999999998</v>
      </c>
      <c r="K214" s="13"/>
      <c r="L214" s="10"/>
    </row>
    <row r="215" spans="1:12">
      <c r="A215" s="13">
        <v>41</v>
      </c>
      <c r="B215" s="48">
        <v>965</v>
      </c>
      <c r="C215" s="13" t="s">
        <v>1128</v>
      </c>
      <c r="D215" s="49">
        <v>20000</v>
      </c>
      <c r="E215" s="51">
        <v>7.4999999999999997E-2</v>
      </c>
      <c r="F215" s="42">
        <v>15</v>
      </c>
      <c r="G215" s="50">
        <v>40709</v>
      </c>
      <c r="H215" s="49">
        <v>2</v>
      </c>
      <c r="I215" s="49">
        <f t="shared" si="7"/>
        <v>1500</v>
      </c>
      <c r="J215" s="29">
        <f t="shared" si="6"/>
        <v>999.99999999999989</v>
      </c>
      <c r="K215" s="13" t="s">
        <v>763</v>
      </c>
      <c r="L215" s="10"/>
    </row>
    <row r="216" spans="1:12">
      <c r="A216" s="13"/>
      <c r="B216" s="48"/>
      <c r="C216" s="13"/>
      <c r="D216" s="49">
        <v>40000</v>
      </c>
      <c r="E216" s="51">
        <v>7.4999999999999997E-2</v>
      </c>
      <c r="F216" s="42">
        <v>15</v>
      </c>
      <c r="G216" s="50">
        <v>40736</v>
      </c>
      <c r="H216" s="49">
        <v>1</v>
      </c>
      <c r="I216" s="49">
        <f t="shared" si="7"/>
        <v>1500</v>
      </c>
      <c r="J216" s="29">
        <f t="shared" si="6"/>
        <v>999.99999999999989</v>
      </c>
      <c r="K216" s="13"/>
      <c r="L216" s="10"/>
    </row>
    <row r="217" spans="1:12">
      <c r="A217" s="13"/>
      <c r="B217" s="48"/>
      <c r="C217" s="13"/>
      <c r="D217" s="49">
        <v>60000</v>
      </c>
      <c r="E217" s="51">
        <v>7.4999999999999997E-2</v>
      </c>
      <c r="F217" s="42">
        <v>15</v>
      </c>
      <c r="G217" s="50">
        <v>40794</v>
      </c>
      <c r="H217" s="49">
        <v>3</v>
      </c>
      <c r="I217" s="49">
        <f t="shared" si="7"/>
        <v>6750</v>
      </c>
      <c r="J217" s="29">
        <f t="shared" si="6"/>
        <v>4499.9999999999991</v>
      </c>
      <c r="K217" s="13"/>
      <c r="L217" s="10"/>
    </row>
    <row r="218" spans="1:12">
      <c r="A218" s="13"/>
      <c r="B218" s="48"/>
      <c r="C218" s="13"/>
      <c r="D218" s="49">
        <v>20000</v>
      </c>
      <c r="E218" s="51">
        <v>7.4999999999999997E-2</v>
      </c>
      <c r="F218" s="42">
        <v>15</v>
      </c>
      <c r="G218" s="50">
        <v>40900</v>
      </c>
      <c r="H218" s="49">
        <v>1</v>
      </c>
      <c r="I218" s="49">
        <f t="shared" si="7"/>
        <v>750</v>
      </c>
      <c r="J218" s="29">
        <f t="shared" si="6"/>
        <v>499.99999999999994</v>
      </c>
      <c r="K218" s="13"/>
      <c r="L218" s="10"/>
    </row>
    <row r="219" spans="1:12">
      <c r="A219" s="13"/>
      <c r="B219" s="48"/>
      <c r="C219" s="13"/>
      <c r="D219" s="49">
        <v>40000</v>
      </c>
      <c r="E219" s="51">
        <v>7.4999999999999997E-2</v>
      </c>
      <c r="F219" s="42">
        <v>15</v>
      </c>
      <c r="G219" s="50">
        <v>40915</v>
      </c>
      <c r="H219" s="49">
        <v>3</v>
      </c>
      <c r="I219" s="49">
        <f t="shared" si="7"/>
        <v>4500</v>
      </c>
      <c r="J219" s="29">
        <f t="shared" si="6"/>
        <v>2999.9999999999995</v>
      </c>
      <c r="K219" s="13"/>
      <c r="L219" s="10"/>
    </row>
    <row r="220" spans="1:12">
      <c r="A220" s="13"/>
      <c r="B220" s="48"/>
      <c r="C220" s="13"/>
      <c r="D220" s="49">
        <v>45000</v>
      </c>
      <c r="E220" s="51">
        <v>7.4999999999999997E-2</v>
      </c>
      <c r="F220" s="42">
        <v>15</v>
      </c>
      <c r="G220" s="50">
        <v>40953</v>
      </c>
      <c r="H220" s="49">
        <v>2</v>
      </c>
      <c r="I220" s="49">
        <f t="shared" si="7"/>
        <v>3375</v>
      </c>
      <c r="J220" s="29">
        <f t="shared" si="6"/>
        <v>2250</v>
      </c>
      <c r="K220" s="13"/>
      <c r="L220" s="10"/>
    </row>
    <row r="221" spans="1:12">
      <c r="A221" s="13"/>
      <c r="B221" s="48"/>
      <c r="C221" s="13"/>
      <c r="D221" s="49">
        <v>60000</v>
      </c>
      <c r="E221" s="51">
        <v>7.4999999999999997E-2</v>
      </c>
      <c r="F221" s="42">
        <v>15</v>
      </c>
      <c r="G221" s="50">
        <v>41117</v>
      </c>
      <c r="H221" s="49">
        <v>1</v>
      </c>
      <c r="I221" s="49">
        <f t="shared" si="7"/>
        <v>2250</v>
      </c>
      <c r="J221" s="29">
        <f t="shared" si="6"/>
        <v>1499.9999999999998</v>
      </c>
      <c r="K221" s="13"/>
      <c r="L221" s="10"/>
    </row>
    <row r="222" spans="1:12">
      <c r="A222" s="13"/>
      <c r="B222" s="48"/>
      <c r="C222" s="13"/>
      <c r="D222" s="49">
        <v>40000</v>
      </c>
      <c r="E222" s="51">
        <v>7.4999999999999997E-2</v>
      </c>
      <c r="F222" s="42">
        <v>15</v>
      </c>
      <c r="G222" s="50">
        <v>41132</v>
      </c>
      <c r="H222" s="49">
        <v>2</v>
      </c>
      <c r="I222" s="49">
        <f t="shared" si="7"/>
        <v>3000</v>
      </c>
      <c r="J222" s="29">
        <f t="shared" si="6"/>
        <v>1999.9999999999998</v>
      </c>
      <c r="K222" s="13"/>
      <c r="L222" s="10"/>
    </row>
    <row r="223" spans="1:12">
      <c r="A223" s="13"/>
      <c r="B223" s="48"/>
      <c r="C223" s="13"/>
      <c r="D223" s="49">
        <v>60000</v>
      </c>
      <c r="E223" s="51">
        <v>7.4999999999999997E-2</v>
      </c>
      <c r="F223" s="42">
        <v>15</v>
      </c>
      <c r="G223" s="50">
        <v>41162</v>
      </c>
      <c r="H223" s="49">
        <v>2</v>
      </c>
      <c r="I223" s="49">
        <f t="shared" si="7"/>
        <v>4500</v>
      </c>
      <c r="J223" s="29">
        <f t="shared" si="6"/>
        <v>2999.9999999999995</v>
      </c>
      <c r="K223" s="13"/>
      <c r="L223" s="10"/>
    </row>
    <row r="224" spans="1:12">
      <c r="A224" s="13">
        <v>42</v>
      </c>
      <c r="B224" s="48">
        <v>1437</v>
      </c>
      <c r="C224" s="13" t="s">
        <v>1125</v>
      </c>
      <c r="D224" s="49">
        <v>70000</v>
      </c>
      <c r="E224" s="51">
        <v>7.4999999999999997E-2</v>
      </c>
      <c r="F224" s="42">
        <v>15</v>
      </c>
      <c r="G224" s="50">
        <v>40793</v>
      </c>
      <c r="H224" s="49">
        <v>12</v>
      </c>
      <c r="I224" s="49">
        <f t="shared" si="7"/>
        <v>31500</v>
      </c>
      <c r="J224" s="29">
        <f t="shared" si="6"/>
        <v>20999.999999999996</v>
      </c>
      <c r="K224" s="13" t="s">
        <v>764</v>
      </c>
      <c r="L224" s="10"/>
    </row>
    <row r="225" spans="1:12">
      <c r="A225" s="13"/>
      <c r="B225" s="48"/>
      <c r="C225" s="13"/>
      <c r="D225" s="49">
        <v>60000</v>
      </c>
      <c r="E225" s="51">
        <v>7.4999999999999997E-2</v>
      </c>
      <c r="F225" s="42">
        <v>15</v>
      </c>
      <c r="G225" s="50">
        <v>40973</v>
      </c>
      <c r="H225" s="49">
        <v>16</v>
      </c>
      <c r="I225" s="49">
        <f t="shared" si="7"/>
        <v>36000</v>
      </c>
      <c r="J225" s="29">
        <f t="shared" si="6"/>
        <v>23999.999999999996</v>
      </c>
      <c r="K225" s="13"/>
      <c r="L225" s="10"/>
    </row>
    <row r="226" spans="1:12">
      <c r="A226" s="13"/>
      <c r="B226" s="48"/>
      <c r="C226" s="13"/>
      <c r="D226" s="49">
        <v>100000</v>
      </c>
      <c r="E226" s="51">
        <v>7.4999999999999997E-2</v>
      </c>
      <c r="F226" s="42">
        <v>15</v>
      </c>
      <c r="G226" s="50">
        <v>41213</v>
      </c>
      <c r="H226" s="49">
        <v>6</v>
      </c>
      <c r="I226" s="49">
        <f t="shared" si="7"/>
        <v>22500</v>
      </c>
      <c r="J226" s="29">
        <f t="shared" si="6"/>
        <v>15000</v>
      </c>
      <c r="K226" s="13"/>
      <c r="L226" s="10"/>
    </row>
    <row r="227" spans="1:12">
      <c r="A227" s="13">
        <v>43</v>
      </c>
      <c r="B227" s="48">
        <v>1553</v>
      </c>
      <c r="C227" s="13" t="s">
        <v>2587</v>
      </c>
      <c r="D227" s="49">
        <v>20000</v>
      </c>
      <c r="E227" s="51">
        <v>7.4999999999999997E-2</v>
      </c>
      <c r="F227" s="42">
        <v>15</v>
      </c>
      <c r="G227" s="50">
        <v>40798</v>
      </c>
      <c r="H227" s="49">
        <v>15</v>
      </c>
      <c r="I227" s="49">
        <f t="shared" si="7"/>
        <v>11250</v>
      </c>
      <c r="J227" s="29">
        <f t="shared" si="6"/>
        <v>7499.9999999999991</v>
      </c>
      <c r="K227" s="13" t="s">
        <v>765</v>
      </c>
      <c r="L227" s="10"/>
    </row>
    <row r="228" spans="1:12">
      <c r="A228" s="13"/>
      <c r="B228" s="48"/>
      <c r="C228" s="13"/>
      <c r="D228" s="49">
        <v>50000</v>
      </c>
      <c r="E228" s="51">
        <v>7.4999999999999997E-2</v>
      </c>
      <c r="F228" s="42">
        <v>15</v>
      </c>
      <c r="G228" s="50">
        <v>40819</v>
      </c>
      <c r="H228" s="49">
        <v>3</v>
      </c>
      <c r="I228" s="49">
        <f t="shared" si="7"/>
        <v>5625</v>
      </c>
      <c r="J228" s="29">
        <f t="shared" si="6"/>
        <v>3750</v>
      </c>
      <c r="K228" s="13"/>
      <c r="L228" s="10"/>
    </row>
    <row r="229" spans="1:12">
      <c r="A229" s="13"/>
      <c r="B229" s="48"/>
      <c r="C229" s="13"/>
      <c r="D229" s="49">
        <v>20000</v>
      </c>
      <c r="E229" s="51">
        <v>7.4999999999999997E-2</v>
      </c>
      <c r="F229" s="42">
        <v>15</v>
      </c>
      <c r="G229" s="50">
        <v>40957</v>
      </c>
      <c r="H229" s="49">
        <v>10</v>
      </c>
      <c r="I229" s="49">
        <f t="shared" si="7"/>
        <v>7500</v>
      </c>
      <c r="J229" s="29">
        <f t="shared" si="6"/>
        <v>4999.9999999999991</v>
      </c>
      <c r="K229" s="13"/>
      <c r="L229" s="10"/>
    </row>
    <row r="230" spans="1:12">
      <c r="A230" s="13"/>
      <c r="B230" s="48"/>
      <c r="C230" s="13"/>
      <c r="D230" s="49">
        <v>20000</v>
      </c>
      <c r="E230" s="51">
        <v>7.4999999999999997E-2</v>
      </c>
      <c r="F230" s="42">
        <v>15</v>
      </c>
      <c r="G230" s="50">
        <v>41023</v>
      </c>
      <c r="H230" s="49">
        <v>8</v>
      </c>
      <c r="I230" s="49">
        <f t="shared" si="7"/>
        <v>6000</v>
      </c>
      <c r="J230" s="29">
        <f t="shared" si="6"/>
        <v>3999.9999999999995</v>
      </c>
      <c r="K230" s="13"/>
      <c r="L230" s="10"/>
    </row>
    <row r="231" spans="1:12">
      <c r="A231" s="13"/>
      <c r="B231" s="48"/>
      <c r="C231" s="13"/>
      <c r="D231" s="49">
        <v>20000</v>
      </c>
      <c r="E231" s="51">
        <v>7.4999999999999997E-2</v>
      </c>
      <c r="F231" s="42">
        <v>15</v>
      </c>
      <c r="G231" s="50">
        <v>41099</v>
      </c>
      <c r="H231" s="49">
        <v>14</v>
      </c>
      <c r="I231" s="49">
        <f t="shared" si="7"/>
        <v>10500</v>
      </c>
      <c r="J231" s="29">
        <f t="shared" si="6"/>
        <v>6999.9999999999991</v>
      </c>
      <c r="K231" s="13"/>
      <c r="L231" s="10"/>
    </row>
    <row r="232" spans="1:12">
      <c r="A232" s="13"/>
      <c r="B232" s="48"/>
      <c r="C232" s="13"/>
      <c r="D232" s="49">
        <v>40000</v>
      </c>
      <c r="E232" s="51">
        <v>7.4999999999999997E-2</v>
      </c>
      <c r="F232" s="42">
        <v>15</v>
      </c>
      <c r="G232" s="50">
        <v>41107</v>
      </c>
      <c r="H232" s="49">
        <v>7</v>
      </c>
      <c r="I232" s="49">
        <f t="shared" si="7"/>
        <v>10500</v>
      </c>
      <c r="J232" s="29">
        <f t="shared" si="6"/>
        <v>6999.9999999999991</v>
      </c>
      <c r="K232" s="13"/>
      <c r="L232" s="10"/>
    </row>
    <row r="233" spans="1:12">
      <c r="A233" s="13"/>
      <c r="B233" s="48"/>
      <c r="C233" s="13"/>
      <c r="D233" s="49">
        <v>60000</v>
      </c>
      <c r="E233" s="51">
        <v>7.4999999999999997E-2</v>
      </c>
      <c r="F233" s="42">
        <v>15</v>
      </c>
      <c r="G233" s="50">
        <v>41158</v>
      </c>
      <c r="H233" s="49">
        <v>10</v>
      </c>
      <c r="I233" s="49">
        <f t="shared" si="7"/>
        <v>22500</v>
      </c>
      <c r="J233" s="29">
        <f t="shared" si="6"/>
        <v>14999.999999999998</v>
      </c>
      <c r="K233" s="13"/>
      <c r="L233" s="10"/>
    </row>
    <row r="234" spans="1:12">
      <c r="A234" s="13"/>
      <c r="B234" s="48"/>
      <c r="C234" s="13"/>
      <c r="D234" s="49">
        <v>380000</v>
      </c>
      <c r="E234" s="51">
        <v>7.4999999999999997E-2</v>
      </c>
      <c r="F234" s="42">
        <v>15</v>
      </c>
      <c r="G234" s="50">
        <v>41191</v>
      </c>
      <c r="H234" s="49">
        <v>8</v>
      </c>
      <c r="I234" s="49">
        <f t="shared" si="7"/>
        <v>114000</v>
      </c>
      <c r="J234" s="29">
        <f t="shared" si="6"/>
        <v>76000</v>
      </c>
      <c r="K234" s="13"/>
      <c r="L234" s="10"/>
    </row>
    <row r="235" spans="1:12">
      <c r="A235" s="13"/>
      <c r="B235" s="48"/>
      <c r="C235" s="13"/>
      <c r="D235" s="49">
        <v>140000</v>
      </c>
      <c r="E235" s="51">
        <v>7.4999999999999997E-2</v>
      </c>
      <c r="F235" s="42">
        <v>15</v>
      </c>
      <c r="G235" s="50">
        <v>41212</v>
      </c>
      <c r="H235" s="49">
        <v>6</v>
      </c>
      <c r="I235" s="49">
        <f t="shared" si="7"/>
        <v>31500</v>
      </c>
      <c r="J235" s="29">
        <f t="shared" si="6"/>
        <v>20999.999999999996</v>
      </c>
      <c r="K235" s="13"/>
      <c r="L235" s="10"/>
    </row>
    <row r="236" spans="1:12">
      <c r="A236" s="13"/>
      <c r="B236" s="48"/>
      <c r="C236" s="13"/>
      <c r="D236" s="49">
        <v>200000</v>
      </c>
      <c r="E236" s="51">
        <v>7.4999999999999997E-2</v>
      </c>
      <c r="F236" s="42">
        <v>15</v>
      </c>
      <c r="G236" s="50">
        <v>41271</v>
      </c>
      <c r="H236" s="49">
        <v>3</v>
      </c>
      <c r="I236" s="49">
        <f t="shared" si="7"/>
        <v>22500</v>
      </c>
      <c r="J236" s="29">
        <f t="shared" si="6"/>
        <v>15000</v>
      </c>
      <c r="K236" s="13"/>
      <c r="L236" s="10"/>
    </row>
    <row r="237" spans="1:12">
      <c r="A237" s="13"/>
      <c r="B237" s="48"/>
      <c r="C237" s="13"/>
      <c r="D237" s="49">
        <v>50000</v>
      </c>
      <c r="E237" s="51">
        <v>7.4999999999999997E-2</v>
      </c>
      <c r="F237" s="42">
        <v>15</v>
      </c>
      <c r="G237" s="50">
        <v>41293</v>
      </c>
      <c r="H237" s="49">
        <v>1</v>
      </c>
      <c r="I237" s="49">
        <f t="shared" si="7"/>
        <v>1875</v>
      </c>
      <c r="J237" s="29">
        <f t="shared" si="6"/>
        <v>1250</v>
      </c>
      <c r="K237" s="13"/>
      <c r="L237" s="10"/>
    </row>
    <row r="238" spans="1:12">
      <c r="A238" s="13">
        <v>44</v>
      </c>
      <c r="B238" s="48">
        <v>1705</v>
      </c>
      <c r="C238" s="13" t="s">
        <v>1420</v>
      </c>
      <c r="D238" s="49">
        <v>50000</v>
      </c>
      <c r="E238" s="51">
        <v>7.4999999999999997E-2</v>
      </c>
      <c r="F238" s="42">
        <v>15</v>
      </c>
      <c r="G238" s="50">
        <v>40791</v>
      </c>
      <c r="H238" s="49">
        <v>31</v>
      </c>
      <c r="I238" s="49">
        <f t="shared" si="7"/>
        <v>58125</v>
      </c>
      <c r="J238" s="29">
        <f t="shared" si="6"/>
        <v>38750</v>
      </c>
      <c r="K238" s="13" t="s">
        <v>766</v>
      </c>
      <c r="L238" s="10"/>
    </row>
    <row r="239" spans="1:12">
      <c r="A239" s="13"/>
      <c r="B239" s="48"/>
      <c r="C239" s="13"/>
      <c r="D239" s="49">
        <v>100000</v>
      </c>
      <c r="E239" s="51">
        <v>7.4999999999999997E-2</v>
      </c>
      <c r="F239" s="42">
        <v>15</v>
      </c>
      <c r="G239" s="50">
        <v>41256</v>
      </c>
      <c r="H239" s="49">
        <v>3</v>
      </c>
      <c r="I239" s="49">
        <f t="shared" si="7"/>
        <v>11250</v>
      </c>
      <c r="J239" s="29">
        <f t="shared" si="6"/>
        <v>7500</v>
      </c>
      <c r="K239" s="13"/>
      <c r="L239" s="10"/>
    </row>
    <row r="240" spans="1:12">
      <c r="A240" s="13">
        <v>45</v>
      </c>
      <c r="B240" s="48">
        <v>2147</v>
      </c>
      <c r="C240" s="13" t="s">
        <v>1397</v>
      </c>
      <c r="D240" s="49">
        <v>20000</v>
      </c>
      <c r="E240" s="51">
        <v>7.4999999999999997E-2</v>
      </c>
      <c r="F240" s="42">
        <v>15</v>
      </c>
      <c r="G240" s="50">
        <v>40801</v>
      </c>
      <c r="H240" s="49">
        <v>1</v>
      </c>
      <c r="I240" s="49">
        <f t="shared" si="7"/>
        <v>750</v>
      </c>
      <c r="J240" s="29">
        <f t="shared" si="6"/>
        <v>499.99999999999994</v>
      </c>
      <c r="K240" s="13" t="s">
        <v>767</v>
      </c>
      <c r="L240" s="10"/>
    </row>
    <row r="241" spans="1:12">
      <c r="A241" s="13">
        <v>46</v>
      </c>
      <c r="B241" s="48">
        <v>2493</v>
      </c>
      <c r="C241" s="13" t="s">
        <v>1158</v>
      </c>
      <c r="D241" s="49">
        <v>20000</v>
      </c>
      <c r="E241" s="51">
        <v>7.0000000000000007E-2</v>
      </c>
      <c r="F241" s="42" t="s">
        <v>4036</v>
      </c>
      <c r="G241" s="50">
        <v>40594</v>
      </c>
      <c r="H241" s="49">
        <v>10</v>
      </c>
      <c r="I241" s="49">
        <f t="shared" si="7"/>
        <v>3500.0000000000009</v>
      </c>
      <c r="J241" s="29">
        <f t="shared" si="6"/>
        <v>2250.0000000000005</v>
      </c>
      <c r="K241" s="13" t="s">
        <v>768</v>
      </c>
      <c r="L241" s="10"/>
    </row>
    <row r="242" spans="1:12">
      <c r="A242" s="13"/>
      <c r="B242" s="48"/>
      <c r="C242" s="13"/>
      <c r="D242" s="49">
        <v>40000</v>
      </c>
      <c r="E242" s="51">
        <v>7.0000000000000007E-2</v>
      </c>
      <c r="F242" s="42" t="s">
        <v>4036</v>
      </c>
      <c r="G242" s="50">
        <v>40649</v>
      </c>
      <c r="H242" s="49">
        <v>10</v>
      </c>
      <c r="I242" s="49">
        <f t="shared" si="7"/>
        <v>7000.0000000000018</v>
      </c>
      <c r="J242" s="29">
        <f t="shared" si="6"/>
        <v>4500.0000000000009</v>
      </c>
      <c r="K242" s="13"/>
      <c r="L242" s="10"/>
    </row>
    <row r="243" spans="1:12">
      <c r="A243" s="13"/>
      <c r="B243" s="48"/>
      <c r="C243" s="13"/>
      <c r="D243" s="49">
        <v>20000</v>
      </c>
      <c r="E243" s="51">
        <v>7.0000000000000007E-2</v>
      </c>
      <c r="F243" s="42" t="s">
        <v>4036</v>
      </c>
      <c r="G243" s="50">
        <v>40719</v>
      </c>
      <c r="H243" s="49">
        <v>10</v>
      </c>
      <c r="I243" s="49">
        <f t="shared" si="7"/>
        <v>3500.0000000000009</v>
      </c>
      <c r="J243" s="29">
        <f t="shared" si="6"/>
        <v>2250.0000000000005</v>
      </c>
      <c r="K243" s="13"/>
      <c r="L243" s="10"/>
    </row>
    <row r="244" spans="1:12">
      <c r="A244" s="13"/>
      <c r="B244" s="48"/>
      <c r="C244" s="13"/>
      <c r="D244" s="49">
        <v>30000</v>
      </c>
      <c r="E244" s="51">
        <v>7.4999999999999997E-2</v>
      </c>
      <c r="F244" s="42">
        <v>15</v>
      </c>
      <c r="G244" s="50">
        <v>40807</v>
      </c>
      <c r="H244" s="49">
        <v>1</v>
      </c>
      <c r="I244" s="49">
        <f t="shared" si="7"/>
        <v>1125</v>
      </c>
      <c r="J244" s="29">
        <f t="shared" si="6"/>
        <v>749.99999999999989</v>
      </c>
      <c r="K244" s="13"/>
      <c r="L244" s="10"/>
    </row>
    <row r="245" spans="1:12">
      <c r="A245" s="13"/>
      <c r="B245" s="48"/>
      <c r="C245" s="13"/>
      <c r="D245" s="49">
        <v>30000</v>
      </c>
      <c r="E245" s="51">
        <v>7.0000000000000007E-2</v>
      </c>
      <c r="F245" s="42" t="s">
        <v>4036</v>
      </c>
      <c r="G245" s="50">
        <v>40813</v>
      </c>
      <c r="H245" s="49">
        <v>10</v>
      </c>
      <c r="I245" s="49">
        <f t="shared" si="7"/>
        <v>5250</v>
      </c>
      <c r="J245" s="29">
        <f t="shared" si="6"/>
        <v>3375.0000000000009</v>
      </c>
      <c r="K245" s="13"/>
      <c r="L245" s="10"/>
    </row>
    <row r="246" spans="1:12">
      <c r="A246" s="13"/>
      <c r="B246" s="48"/>
      <c r="C246" s="13"/>
      <c r="D246" s="49">
        <v>20000</v>
      </c>
      <c r="E246" s="51">
        <v>7.4999999999999997E-2</v>
      </c>
      <c r="F246" s="42">
        <v>15</v>
      </c>
      <c r="G246" s="50">
        <v>40866</v>
      </c>
      <c r="H246" s="49">
        <v>5</v>
      </c>
      <c r="I246" s="49">
        <f t="shared" si="7"/>
        <v>3750</v>
      </c>
      <c r="J246" s="29">
        <f t="shared" si="6"/>
        <v>2499.9999999999995</v>
      </c>
      <c r="K246" s="13"/>
      <c r="L246" s="10"/>
    </row>
    <row r="247" spans="1:12">
      <c r="A247" s="13"/>
      <c r="B247" s="48"/>
      <c r="C247" s="13"/>
      <c r="D247" s="49">
        <v>20000</v>
      </c>
      <c r="E247" s="51">
        <v>7.0000000000000007E-2</v>
      </c>
      <c r="F247" s="42" t="s">
        <v>4036</v>
      </c>
      <c r="G247" s="50">
        <v>40882</v>
      </c>
      <c r="H247" s="49">
        <v>10</v>
      </c>
      <c r="I247" s="49">
        <f t="shared" si="7"/>
        <v>3500.0000000000009</v>
      </c>
      <c r="J247" s="29">
        <f t="shared" si="6"/>
        <v>2250.0000000000005</v>
      </c>
      <c r="K247" s="13"/>
      <c r="L247" s="10"/>
    </row>
    <row r="248" spans="1:12">
      <c r="A248" s="13"/>
      <c r="B248" s="48"/>
      <c r="C248" s="13"/>
      <c r="D248" s="49">
        <v>30000</v>
      </c>
      <c r="E248" s="51">
        <v>7.4999999999999997E-2</v>
      </c>
      <c r="F248" s="42">
        <v>15</v>
      </c>
      <c r="G248" s="50">
        <v>40941</v>
      </c>
      <c r="H248" s="49">
        <v>4</v>
      </c>
      <c r="I248" s="49">
        <f t="shared" si="7"/>
        <v>4500</v>
      </c>
      <c r="J248" s="29">
        <f t="shared" si="6"/>
        <v>2999.9999999999995</v>
      </c>
      <c r="K248" s="13"/>
      <c r="L248" s="10"/>
    </row>
    <row r="249" spans="1:12">
      <c r="A249" s="13"/>
      <c r="B249" s="48"/>
      <c r="C249" s="13"/>
      <c r="D249" s="49">
        <v>100000</v>
      </c>
      <c r="E249" s="51">
        <v>7.4999999999999997E-2</v>
      </c>
      <c r="F249" s="42">
        <v>15</v>
      </c>
      <c r="G249" s="50">
        <v>40994</v>
      </c>
      <c r="H249" s="49">
        <v>18</v>
      </c>
      <c r="I249" s="49">
        <f t="shared" si="7"/>
        <v>67500</v>
      </c>
      <c r="J249" s="29">
        <f t="shared" si="6"/>
        <v>45000</v>
      </c>
      <c r="K249" s="13"/>
      <c r="L249" s="10"/>
    </row>
    <row r="250" spans="1:12">
      <c r="A250" s="13"/>
      <c r="B250" s="48"/>
      <c r="C250" s="13"/>
      <c r="D250" s="49">
        <v>10000</v>
      </c>
      <c r="E250" s="51">
        <v>7.4999999999999997E-2</v>
      </c>
      <c r="F250" s="42">
        <v>15</v>
      </c>
      <c r="G250" s="50">
        <v>41063</v>
      </c>
      <c r="H250" s="49">
        <v>13</v>
      </c>
      <c r="I250" s="49">
        <f t="shared" si="7"/>
        <v>4875</v>
      </c>
      <c r="J250" s="29">
        <f t="shared" si="6"/>
        <v>3249.9999999999995</v>
      </c>
      <c r="K250" s="13"/>
      <c r="L250" s="10"/>
    </row>
    <row r="251" spans="1:12">
      <c r="A251" s="13"/>
      <c r="B251" s="48"/>
      <c r="C251" s="13"/>
      <c r="D251" s="49">
        <v>20000</v>
      </c>
      <c r="E251" s="51">
        <v>7.0000000000000007E-2</v>
      </c>
      <c r="F251" s="42" t="s">
        <v>4036</v>
      </c>
      <c r="G251" s="50">
        <v>41149</v>
      </c>
      <c r="H251" s="49">
        <v>10</v>
      </c>
      <c r="I251" s="49">
        <f t="shared" si="7"/>
        <v>3500.0000000000009</v>
      </c>
      <c r="J251" s="29">
        <f t="shared" si="6"/>
        <v>2250.0000000000005</v>
      </c>
      <c r="K251" s="13"/>
      <c r="L251" s="10"/>
    </row>
    <row r="252" spans="1:12">
      <c r="A252" s="13"/>
      <c r="B252" s="48"/>
      <c r="C252" s="13"/>
      <c r="D252" s="49">
        <v>15000</v>
      </c>
      <c r="E252" s="51">
        <v>7.0000000000000007E-2</v>
      </c>
      <c r="F252" s="42" t="s">
        <v>4036</v>
      </c>
      <c r="G252" s="50">
        <v>41222</v>
      </c>
      <c r="H252" s="49">
        <v>10</v>
      </c>
      <c r="I252" s="49">
        <f t="shared" si="7"/>
        <v>2625</v>
      </c>
      <c r="J252" s="29">
        <f t="shared" si="6"/>
        <v>1687.5000000000005</v>
      </c>
      <c r="K252" s="13"/>
      <c r="L252" s="10"/>
    </row>
    <row r="253" spans="1:12">
      <c r="A253" s="13"/>
      <c r="B253" s="48"/>
      <c r="C253" s="13"/>
      <c r="D253" s="49">
        <v>80000</v>
      </c>
      <c r="E253" s="51">
        <v>7.4999999999999997E-2</v>
      </c>
      <c r="F253" s="42">
        <v>15</v>
      </c>
      <c r="G253" s="50">
        <v>41264</v>
      </c>
      <c r="H253" s="49">
        <v>1</v>
      </c>
      <c r="I253" s="49">
        <f t="shared" si="7"/>
        <v>3000</v>
      </c>
      <c r="J253" s="29">
        <f t="shared" si="6"/>
        <v>1999.9999999999998</v>
      </c>
      <c r="K253" s="13"/>
      <c r="L253" s="10"/>
    </row>
    <row r="254" spans="1:12">
      <c r="A254" s="13"/>
      <c r="B254" s="48"/>
      <c r="C254" s="13"/>
      <c r="D254" s="49">
        <v>25000</v>
      </c>
      <c r="E254" s="51">
        <v>7.4999999999999997E-2</v>
      </c>
      <c r="F254" s="42">
        <v>15</v>
      </c>
      <c r="G254" s="50">
        <v>41279</v>
      </c>
      <c r="H254" s="49">
        <v>1</v>
      </c>
      <c r="I254" s="49">
        <f t="shared" si="7"/>
        <v>937.5</v>
      </c>
      <c r="J254" s="29">
        <f t="shared" si="6"/>
        <v>625</v>
      </c>
      <c r="K254" s="13"/>
      <c r="L254" s="10"/>
    </row>
    <row r="255" spans="1:12">
      <c r="A255" s="13"/>
      <c r="B255" s="48"/>
      <c r="C255" s="13"/>
      <c r="D255" s="49">
        <v>10000</v>
      </c>
      <c r="E255" s="51">
        <v>7.4999999999999997E-2</v>
      </c>
      <c r="F255" s="42">
        <v>15</v>
      </c>
      <c r="G255" s="50">
        <v>41294</v>
      </c>
      <c r="H255" s="49">
        <v>1</v>
      </c>
      <c r="I255" s="49">
        <f t="shared" si="7"/>
        <v>375</v>
      </c>
      <c r="J255" s="29">
        <f t="shared" si="6"/>
        <v>249.99999999999997</v>
      </c>
      <c r="K255" s="13"/>
      <c r="L255" s="10"/>
    </row>
    <row r="256" spans="1:12">
      <c r="A256" s="13">
        <v>47</v>
      </c>
      <c r="B256" s="48">
        <v>2551</v>
      </c>
      <c r="C256" s="13" t="s">
        <v>1408</v>
      </c>
      <c r="D256" s="49">
        <v>10000</v>
      </c>
      <c r="E256" s="51">
        <v>7.0000000000000007E-2</v>
      </c>
      <c r="F256" s="42" t="s">
        <v>4036</v>
      </c>
      <c r="G256" s="50">
        <v>40770</v>
      </c>
      <c r="H256" s="49">
        <v>10</v>
      </c>
      <c r="I256" s="49">
        <f t="shared" si="7"/>
        <v>1750.0000000000005</v>
      </c>
      <c r="J256" s="29">
        <f t="shared" si="6"/>
        <v>1125.0000000000002</v>
      </c>
      <c r="K256" s="13" t="s">
        <v>769</v>
      </c>
      <c r="L256" s="10"/>
    </row>
    <row r="257" spans="1:12">
      <c r="A257" s="13"/>
      <c r="B257" s="48"/>
      <c r="C257" s="13"/>
      <c r="D257" s="49">
        <v>10000</v>
      </c>
      <c r="E257" s="51">
        <v>7.4999999999999997E-2</v>
      </c>
      <c r="F257" s="42">
        <v>15</v>
      </c>
      <c r="G257" s="50">
        <v>41164</v>
      </c>
      <c r="H257" s="49">
        <v>9</v>
      </c>
      <c r="I257" s="49">
        <f t="shared" si="7"/>
        <v>3375</v>
      </c>
      <c r="J257" s="29">
        <f t="shared" si="6"/>
        <v>2249.9999999999995</v>
      </c>
      <c r="K257" s="13"/>
      <c r="L257" s="10"/>
    </row>
    <row r="258" spans="1:12">
      <c r="A258" s="13">
        <v>48</v>
      </c>
      <c r="B258" s="48">
        <v>2575</v>
      </c>
      <c r="C258" s="13" t="s">
        <v>1390</v>
      </c>
      <c r="D258" s="49">
        <v>100000</v>
      </c>
      <c r="E258" s="51">
        <v>7.4999999999999997E-2</v>
      </c>
      <c r="F258" s="42">
        <v>30</v>
      </c>
      <c r="G258" s="50">
        <v>40798</v>
      </c>
      <c r="H258" s="49">
        <v>18</v>
      </c>
      <c r="I258" s="49">
        <f t="shared" si="7"/>
        <v>135000</v>
      </c>
      <c r="J258" s="29">
        <f t="shared" ref="J258:J321" si="8">IF(F258="分期",D258*(E258-0.025)*2.5*H258/10,D258*(E258-0.025)*F258/30*H258)</f>
        <v>90000</v>
      </c>
      <c r="K258" s="13" t="s">
        <v>770</v>
      </c>
      <c r="L258" s="10"/>
    </row>
    <row r="259" spans="1:12">
      <c r="A259" s="13"/>
      <c r="B259" s="48"/>
      <c r="C259" s="13"/>
      <c r="D259" s="49">
        <v>20000</v>
      </c>
      <c r="E259" s="51">
        <v>7.4999999999999997E-2</v>
      </c>
      <c r="F259" s="42">
        <v>30</v>
      </c>
      <c r="G259" s="50">
        <v>40801</v>
      </c>
      <c r="H259" s="49">
        <v>18</v>
      </c>
      <c r="I259" s="49">
        <f t="shared" si="7"/>
        <v>27000</v>
      </c>
      <c r="J259" s="29">
        <f t="shared" si="8"/>
        <v>17999.999999999996</v>
      </c>
      <c r="K259" s="13"/>
      <c r="L259" s="10"/>
    </row>
    <row r="260" spans="1:12">
      <c r="A260" s="13">
        <v>49</v>
      </c>
      <c r="B260" s="48">
        <v>2749</v>
      </c>
      <c r="C260" s="13" t="s">
        <v>1799</v>
      </c>
      <c r="D260" s="49">
        <v>50000</v>
      </c>
      <c r="E260" s="51">
        <v>7.4999999999999997E-2</v>
      </c>
      <c r="F260" s="42">
        <v>15</v>
      </c>
      <c r="G260" s="50">
        <v>40792</v>
      </c>
      <c r="H260" s="49">
        <v>15</v>
      </c>
      <c r="I260" s="49">
        <f t="shared" ref="I260:I323" si="9">IF(F260="分期",D260*E260*2.5*H260/10,D260*E260*F260*H260/30)</f>
        <v>28125</v>
      </c>
      <c r="J260" s="29">
        <f t="shared" si="8"/>
        <v>18750</v>
      </c>
      <c r="K260" s="13" t="s">
        <v>771</v>
      </c>
      <c r="L260" s="10"/>
    </row>
    <row r="261" spans="1:12">
      <c r="A261" s="13"/>
      <c r="B261" s="48"/>
      <c r="C261" s="13"/>
      <c r="D261" s="49">
        <v>50000</v>
      </c>
      <c r="E261" s="51">
        <v>7.4999999999999997E-2</v>
      </c>
      <c r="F261" s="42">
        <v>15</v>
      </c>
      <c r="G261" s="50">
        <v>40797</v>
      </c>
      <c r="H261" s="49">
        <v>32</v>
      </c>
      <c r="I261" s="49">
        <f t="shared" si="9"/>
        <v>60000</v>
      </c>
      <c r="J261" s="29">
        <f t="shared" si="8"/>
        <v>40000</v>
      </c>
      <c r="K261" s="13"/>
      <c r="L261" s="10"/>
    </row>
    <row r="262" spans="1:12">
      <c r="A262" s="13"/>
      <c r="B262" s="48"/>
      <c r="C262" s="13"/>
      <c r="D262" s="49">
        <v>50000</v>
      </c>
      <c r="E262" s="51">
        <v>7.4999999999999997E-2</v>
      </c>
      <c r="F262" s="42">
        <v>15</v>
      </c>
      <c r="G262" s="50">
        <v>41002</v>
      </c>
      <c r="H262" s="49">
        <v>20</v>
      </c>
      <c r="I262" s="49">
        <f t="shared" si="9"/>
        <v>37500</v>
      </c>
      <c r="J262" s="29">
        <f t="shared" si="8"/>
        <v>25000</v>
      </c>
      <c r="K262" s="13"/>
      <c r="L262" s="10"/>
    </row>
    <row r="263" spans="1:12">
      <c r="A263" s="13">
        <v>50</v>
      </c>
      <c r="B263" s="48">
        <v>2755</v>
      </c>
      <c r="C263" s="26" t="s">
        <v>1156</v>
      </c>
      <c r="D263" s="49">
        <v>90000</v>
      </c>
      <c r="E263" s="51">
        <v>7.4999999999999997E-2</v>
      </c>
      <c r="F263" s="42">
        <v>15</v>
      </c>
      <c r="G263" s="50">
        <v>40786</v>
      </c>
      <c r="H263" s="49">
        <v>15</v>
      </c>
      <c r="I263" s="49">
        <f t="shared" si="9"/>
        <v>50625</v>
      </c>
      <c r="J263" s="29">
        <f t="shared" si="8"/>
        <v>33750</v>
      </c>
      <c r="K263" s="13" t="s">
        <v>772</v>
      </c>
      <c r="L263" s="12"/>
    </row>
    <row r="264" spans="1:12">
      <c r="A264" s="13">
        <v>51</v>
      </c>
      <c r="B264" s="48">
        <v>2763</v>
      </c>
      <c r="C264" s="13" t="s">
        <v>1837</v>
      </c>
      <c r="D264" s="49">
        <v>20000</v>
      </c>
      <c r="E264" s="51">
        <v>7.0000000000000007E-2</v>
      </c>
      <c r="F264" s="42" t="s">
        <v>4036</v>
      </c>
      <c r="G264" s="50">
        <v>40784</v>
      </c>
      <c r="H264" s="49">
        <v>10</v>
      </c>
      <c r="I264" s="49">
        <f t="shared" si="9"/>
        <v>3500.0000000000009</v>
      </c>
      <c r="J264" s="29">
        <f t="shared" si="8"/>
        <v>2250.0000000000005</v>
      </c>
      <c r="K264" s="13" t="s">
        <v>773</v>
      </c>
      <c r="L264" s="10"/>
    </row>
    <row r="265" spans="1:12">
      <c r="A265" s="13"/>
      <c r="B265" s="48"/>
      <c r="C265" s="13"/>
      <c r="D265" s="49">
        <v>30000</v>
      </c>
      <c r="E265" s="51">
        <v>7.4999999999999997E-2</v>
      </c>
      <c r="F265" s="42">
        <v>15</v>
      </c>
      <c r="G265" s="50">
        <v>40793</v>
      </c>
      <c r="H265" s="49">
        <v>1</v>
      </c>
      <c r="I265" s="49">
        <f t="shared" si="9"/>
        <v>1125</v>
      </c>
      <c r="J265" s="29">
        <f t="shared" si="8"/>
        <v>749.99999999999989</v>
      </c>
      <c r="K265" s="13"/>
      <c r="L265" s="10"/>
    </row>
    <row r="266" spans="1:12">
      <c r="A266" s="13"/>
      <c r="B266" s="48"/>
      <c r="C266" s="13"/>
      <c r="D266" s="49">
        <v>20000</v>
      </c>
      <c r="E266" s="51">
        <v>7.4999999999999997E-2</v>
      </c>
      <c r="F266" s="42">
        <v>15</v>
      </c>
      <c r="G266" s="50">
        <v>40808</v>
      </c>
      <c r="H266" s="49">
        <v>12</v>
      </c>
      <c r="I266" s="49">
        <f t="shared" si="9"/>
        <v>9000</v>
      </c>
      <c r="J266" s="29">
        <f t="shared" si="8"/>
        <v>5999.9999999999991</v>
      </c>
      <c r="K266" s="13"/>
      <c r="L266" s="10"/>
    </row>
    <row r="267" spans="1:12">
      <c r="A267" s="13"/>
      <c r="B267" s="48"/>
      <c r="C267" s="13"/>
      <c r="D267" s="49">
        <v>20000</v>
      </c>
      <c r="E267" s="51">
        <v>7.0000000000000007E-2</v>
      </c>
      <c r="F267" s="42" t="s">
        <v>4036</v>
      </c>
      <c r="G267" s="50">
        <v>40833</v>
      </c>
      <c r="H267" s="49">
        <v>10</v>
      </c>
      <c r="I267" s="49">
        <f t="shared" si="9"/>
        <v>3500.0000000000009</v>
      </c>
      <c r="J267" s="29">
        <f t="shared" si="8"/>
        <v>2250.0000000000005</v>
      </c>
      <c r="K267" s="13"/>
      <c r="L267" s="10"/>
    </row>
    <row r="268" spans="1:12">
      <c r="A268" s="13"/>
      <c r="B268" s="48"/>
      <c r="C268" s="13"/>
      <c r="D268" s="49">
        <v>80000</v>
      </c>
      <c r="E268" s="51">
        <v>7.0000000000000007E-2</v>
      </c>
      <c r="F268" s="42" t="s">
        <v>4036</v>
      </c>
      <c r="G268" s="50">
        <v>40882</v>
      </c>
      <c r="H268" s="49">
        <v>10</v>
      </c>
      <c r="I268" s="49">
        <f t="shared" si="9"/>
        <v>14000.000000000004</v>
      </c>
      <c r="J268" s="29">
        <f t="shared" si="8"/>
        <v>9000.0000000000018</v>
      </c>
      <c r="K268" s="13"/>
      <c r="L268" s="10"/>
    </row>
    <row r="269" spans="1:12">
      <c r="A269" s="13"/>
      <c r="B269" s="48"/>
      <c r="C269" s="13"/>
      <c r="D269" s="49">
        <v>20000</v>
      </c>
      <c r="E269" s="51">
        <v>7.0000000000000007E-2</v>
      </c>
      <c r="F269" s="42" t="s">
        <v>4036</v>
      </c>
      <c r="G269" s="50">
        <v>40931</v>
      </c>
      <c r="H269" s="49">
        <v>10</v>
      </c>
      <c r="I269" s="49">
        <f t="shared" si="9"/>
        <v>3500.0000000000009</v>
      </c>
      <c r="J269" s="29">
        <f t="shared" si="8"/>
        <v>2250.0000000000005</v>
      </c>
      <c r="K269" s="13"/>
      <c r="L269" s="10"/>
    </row>
    <row r="270" spans="1:12">
      <c r="A270" s="13"/>
      <c r="B270" s="48"/>
      <c r="C270" s="13"/>
      <c r="D270" s="49">
        <v>20000</v>
      </c>
      <c r="E270" s="51">
        <v>7.0000000000000007E-2</v>
      </c>
      <c r="F270" s="42" t="s">
        <v>4036</v>
      </c>
      <c r="G270" s="50">
        <v>40980</v>
      </c>
      <c r="H270" s="49">
        <v>10</v>
      </c>
      <c r="I270" s="49">
        <f t="shared" si="9"/>
        <v>3500.0000000000009</v>
      </c>
      <c r="J270" s="29">
        <f t="shared" si="8"/>
        <v>2250.0000000000005</v>
      </c>
      <c r="K270" s="13"/>
      <c r="L270" s="10"/>
    </row>
    <row r="271" spans="1:12">
      <c r="A271" s="13"/>
      <c r="B271" s="48"/>
      <c r="C271" s="13"/>
      <c r="D271" s="49">
        <v>20000</v>
      </c>
      <c r="E271" s="51">
        <v>7.4999999999999997E-2</v>
      </c>
      <c r="F271" s="42">
        <v>15</v>
      </c>
      <c r="G271" s="50">
        <v>40988</v>
      </c>
      <c r="H271" s="49">
        <v>18</v>
      </c>
      <c r="I271" s="49">
        <f t="shared" si="9"/>
        <v>13500</v>
      </c>
      <c r="J271" s="29">
        <f t="shared" si="8"/>
        <v>8999.9999999999982</v>
      </c>
      <c r="K271" s="13"/>
      <c r="L271" s="10"/>
    </row>
    <row r="272" spans="1:12">
      <c r="A272" s="13"/>
      <c r="B272" s="48"/>
      <c r="C272" s="13"/>
      <c r="D272" s="49">
        <v>20000</v>
      </c>
      <c r="E272" s="51">
        <v>7.0000000000000007E-2</v>
      </c>
      <c r="F272" s="42" t="s">
        <v>4036</v>
      </c>
      <c r="G272" s="50">
        <v>41029</v>
      </c>
      <c r="H272" s="49">
        <v>10</v>
      </c>
      <c r="I272" s="49">
        <f t="shared" si="9"/>
        <v>3500.0000000000009</v>
      </c>
      <c r="J272" s="29">
        <f t="shared" si="8"/>
        <v>2250.0000000000005</v>
      </c>
      <c r="K272" s="13"/>
      <c r="L272" s="10"/>
    </row>
    <row r="273" spans="1:12">
      <c r="A273" s="13"/>
      <c r="B273" s="48"/>
      <c r="C273" s="13"/>
      <c r="D273" s="49">
        <v>20000</v>
      </c>
      <c r="E273" s="51">
        <v>7.0000000000000007E-2</v>
      </c>
      <c r="F273" s="42" t="s">
        <v>4036</v>
      </c>
      <c r="G273" s="50">
        <v>41078</v>
      </c>
      <c r="H273" s="49">
        <v>10</v>
      </c>
      <c r="I273" s="49">
        <f t="shared" si="9"/>
        <v>3500.0000000000009</v>
      </c>
      <c r="J273" s="29">
        <f t="shared" si="8"/>
        <v>2250.0000000000005</v>
      </c>
      <c r="K273" s="13"/>
      <c r="L273" s="10"/>
    </row>
    <row r="274" spans="1:12">
      <c r="A274" s="13"/>
      <c r="B274" s="48"/>
      <c r="C274" s="13"/>
      <c r="D274" s="49">
        <v>20000</v>
      </c>
      <c r="E274" s="51">
        <v>7.0000000000000007E-2</v>
      </c>
      <c r="F274" s="42" t="s">
        <v>4036</v>
      </c>
      <c r="G274" s="50">
        <v>41127</v>
      </c>
      <c r="H274" s="49">
        <v>10</v>
      </c>
      <c r="I274" s="49">
        <f t="shared" si="9"/>
        <v>3500.0000000000009</v>
      </c>
      <c r="J274" s="29">
        <f t="shared" si="8"/>
        <v>2250.0000000000005</v>
      </c>
      <c r="K274" s="13"/>
      <c r="L274" s="10"/>
    </row>
    <row r="275" spans="1:12">
      <c r="A275" s="13"/>
      <c r="B275" s="48"/>
      <c r="C275" s="13"/>
      <c r="D275" s="49">
        <v>20000</v>
      </c>
      <c r="E275" s="51">
        <v>7.0000000000000007E-2</v>
      </c>
      <c r="F275" s="42" t="s">
        <v>4036</v>
      </c>
      <c r="G275" s="50">
        <v>41176</v>
      </c>
      <c r="H275" s="49">
        <v>10</v>
      </c>
      <c r="I275" s="49">
        <f t="shared" si="9"/>
        <v>3500.0000000000009</v>
      </c>
      <c r="J275" s="29">
        <f t="shared" si="8"/>
        <v>2250.0000000000005</v>
      </c>
      <c r="K275" s="13"/>
      <c r="L275" s="10"/>
    </row>
    <row r="276" spans="1:12">
      <c r="A276" s="13"/>
      <c r="B276" s="48"/>
      <c r="C276" s="13"/>
      <c r="D276" s="49">
        <v>20000</v>
      </c>
      <c r="E276" s="51">
        <v>7.0000000000000007E-2</v>
      </c>
      <c r="F276" s="42" t="s">
        <v>4036</v>
      </c>
      <c r="G276" s="50">
        <v>41225</v>
      </c>
      <c r="H276" s="49">
        <v>10</v>
      </c>
      <c r="I276" s="49">
        <f t="shared" si="9"/>
        <v>3500.0000000000009</v>
      </c>
      <c r="J276" s="29">
        <f t="shared" si="8"/>
        <v>2250.0000000000005</v>
      </c>
      <c r="K276" s="13"/>
      <c r="L276" s="10"/>
    </row>
    <row r="277" spans="1:12">
      <c r="A277" s="13"/>
      <c r="B277" s="48"/>
      <c r="C277" s="13"/>
      <c r="D277" s="49">
        <v>30000</v>
      </c>
      <c r="E277" s="51">
        <v>7.4999999999999997E-2</v>
      </c>
      <c r="F277" s="42">
        <v>15</v>
      </c>
      <c r="G277" s="50">
        <v>41257</v>
      </c>
      <c r="H277" s="49">
        <v>3</v>
      </c>
      <c r="I277" s="49">
        <f t="shared" si="9"/>
        <v>3375</v>
      </c>
      <c r="J277" s="29">
        <f t="shared" si="8"/>
        <v>2249.9999999999995</v>
      </c>
      <c r="K277" s="13"/>
      <c r="L277" s="10"/>
    </row>
    <row r="278" spans="1:12">
      <c r="A278" s="13"/>
      <c r="B278" s="48"/>
      <c r="C278" s="13"/>
      <c r="D278" s="49">
        <v>20000</v>
      </c>
      <c r="E278" s="51">
        <v>7.0000000000000007E-2</v>
      </c>
      <c r="F278" s="42" t="s">
        <v>4036</v>
      </c>
      <c r="G278" s="50">
        <v>41274</v>
      </c>
      <c r="H278" s="49">
        <v>4</v>
      </c>
      <c r="I278" s="49">
        <f t="shared" si="9"/>
        <v>1400.0000000000002</v>
      </c>
      <c r="J278" s="29">
        <f t="shared" si="8"/>
        <v>900.00000000000023</v>
      </c>
      <c r="K278" s="13"/>
      <c r="L278" s="10"/>
    </row>
    <row r="279" spans="1:12">
      <c r="A279" s="13">
        <v>52</v>
      </c>
      <c r="B279" s="48">
        <v>2791</v>
      </c>
      <c r="C279" s="13" t="s">
        <v>1153</v>
      </c>
      <c r="D279" s="49">
        <v>50000</v>
      </c>
      <c r="E279" s="51">
        <v>7.4999999999999997E-2</v>
      </c>
      <c r="F279" s="42">
        <v>30</v>
      </c>
      <c r="G279" s="50">
        <v>40767</v>
      </c>
      <c r="H279" s="49">
        <v>6</v>
      </c>
      <c r="I279" s="49">
        <f t="shared" si="9"/>
        <v>22500</v>
      </c>
      <c r="J279" s="29">
        <f t="shared" si="8"/>
        <v>15000</v>
      </c>
      <c r="K279" s="13" t="s">
        <v>774</v>
      </c>
      <c r="L279" s="10"/>
    </row>
    <row r="280" spans="1:12">
      <c r="A280" s="13"/>
      <c r="B280" s="48"/>
      <c r="C280" s="13"/>
      <c r="D280" s="49">
        <v>400000</v>
      </c>
      <c r="E280" s="51">
        <v>7.4999999999999997E-2</v>
      </c>
      <c r="F280" s="42">
        <v>15</v>
      </c>
      <c r="G280" s="50">
        <v>40772</v>
      </c>
      <c r="H280" s="49">
        <v>6</v>
      </c>
      <c r="I280" s="49">
        <f t="shared" si="9"/>
        <v>90000</v>
      </c>
      <c r="J280" s="29">
        <f t="shared" si="8"/>
        <v>60000</v>
      </c>
      <c r="K280" s="13"/>
      <c r="L280" s="10"/>
    </row>
    <row r="281" spans="1:12">
      <c r="A281" s="13"/>
      <c r="B281" s="48"/>
      <c r="C281" s="13"/>
      <c r="D281" s="49">
        <v>50000</v>
      </c>
      <c r="E281" s="51">
        <v>7.4999999999999997E-2</v>
      </c>
      <c r="F281" s="42">
        <v>30</v>
      </c>
      <c r="G281" s="50">
        <v>40852</v>
      </c>
      <c r="H281" s="49">
        <v>4</v>
      </c>
      <c r="I281" s="49">
        <f t="shared" si="9"/>
        <v>15000</v>
      </c>
      <c r="J281" s="29">
        <f t="shared" si="8"/>
        <v>10000</v>
      </c>
      <c r="K281" s="13"/>
      <c r="L281" s="10"/>
    </row>
    <row r="282" spans="1:12">
      <c r="A282" s="13"/>
      <c r="B282" s="48"/>
      <c r="C282" s="13"/>
      <c r="D282" s="49">
        <v>100000</v>
      </c>
      <c r="E282" s="51">
        <v>7.4999999999999997E-2</v>
      </c>
      <c r="F282" s="42">
        <v>15</v>
      </c>
      <c r="G282" s="50">
        <v>40907</v>
      </c>
      <c r="H282" s="49">
        <v>1</v>
      </c>
      <c r="I282" s="49">
        <f t="shared" si="9"/>
        <v>3750</v>
      </c>
      <c r="J282" s="29">
        <f t="shared" si="8"/>
        <v>2500</v>
      </c>
      <c r="K282" s="13"/>
      <c r="L282" s="10"/>
    </row>
    <row r="283" spans="1:12">
      <c r="A283" s="13">
        <v>53</v>
      </c>
      <c r="B283" s="48">
        <v>2797</v>
      </c>
      <c r="C283" s="13" t="s">
        <v>3496</v>
      </c>
      <c r="D283" s="49">
        <v>45000</v>
      </c>
      <c r="E283" s="51">
        <v>7.4999999999999997E-2</v>
      </c>
      <c r="F283" s="42">
        <v>15</v>
      </c>
      <c r="G283" s="50">
        <v>40788</v>
      </c>
      <c r="H283" s="49">
        <v>15</v>
      </c>
      <c r="I283" s="49">
        <f t="shared" si="9"/>
        <v>25312.5</v>
      </c>
      <c r="J283" s="29">
        <f t="shared" si="8"/>
        <v>16875</v>
      </c>
      <c r="K283" s="13" t="s">
        <v>775</v>
      </c>
      <c r="L283" s="10"/>
    </row>
    <row r="284" spans="1:12">
      <c r="A284" s="13"/>
      <c r="B284" s="48"/>
      <c r="C284" s="13"/>
      <c r="D284" s="49">
        <v>35000</v>
      </c>
      <c r="E284" s="51">
        <v>7.4999999999999997E-2</v>
      </c>
      <c r="F284" s="42">
        <v>15</v>
      </c>
      <c r="G284" s="50">
        <v>41013</v>
      </c>
      <c r="H284" s="49">
        <v>19</v>
      </c>
      <c r="I284" s="49">
        <f t="shared" si="9"/>
        <v>24937.5</v>
      </c>
      <c r="J284" s="29">
        <f t="shared" si="8"/>
        <v>16624.999999999996</v>
      </c>
      <c r="K284" s="13"/>
      <c r="L284" s="10"/>
    </row>
    <row r="285" spans="1:12">
      <c r="A285" s="13">
        <v>54</v>
      </c>
      <c r="B285" s="48">
        <v>2815</v>
      </c>
      <c r="C285" s="13" t="s">
        <v>2006</v>
      </c>
      <c r="D285" s="49">
        <v>20000</v>
      </c>
      <c r="E285" s="51">
        <v>7.4999999999999997E-2</v>
      </c>
      <c r="F285" s="42">
        <v>30</v>
      </c>
      <c r="G285" s="50">
        <v>40775</v>
      </c>
      <c r="H285" s="49">
        <v>14</v>
      </c>
      <c r="I285" s="49">
        <f t="shared" si="9"/>
        <v>21000</v>
      </c>
      <c r="J285" s="29">
        <f t="shared" si="8"/>
        <v>13999.999999999998</v>
      </c>
      <c r="K285" s="13" t="s">
        <v>776</v>
      </c>
      <c r="L285" s="10"/>
    </row>
    <row r="286" spans="1:12">
      <c r="A286" s="13">
        <v>55</v>
      </c>
      <c r="B286" s="48">
        <v>2819</v>
      </c>
      <c r="C286" s="13" t="s">
        <v>3845</v>
      </c>
      <c r="D286" s="49">
        <v>50000</v>
      </c>
      <c r="E286" s="51">
        <v>7.4999999999999997E-2</v>
      </c>
      <c r="F286" s="42">
        <v>15</v>
      </c>
      <c r="G286" s="50">
        <v>40793</v>
      </c>
      <c r="H286" s="49">
        <v>6</v>
      </c>
      <c r="I286" s="49">
        <f t="shared" si="9"/>
        <v>11250</v>
      </c>
      <c r="J286" s="29">
        <f t="shared" si="8"/>
        <v>7500</v>
      </c>
      <c r="K286" s="13" t="s">
        <v>777</v>
      </c>
      <c r="L286" s="10"/>
    </row>
    <row r="287" spans="1:12">
      <c r="A287" s="13">
        <v>56</v>
      </c>
      <c r="B287" s="48">
        <v>2863</v>
      </c>
      <c r="C287" s="13" t="s">
        <v>1407</v>
      </c>
      <c r="D287" s="49">
        <v>20000</v>
      </c>
      <c r="E287" s="51">
        <v>7.0000000000000007E-2</v>
      </c>
      <c r="F287" s="42" t="s">
        <v>4036</v>
      </c>
      <c r="G287" s="50">
        <v>40791</v>
      </c>
      <c r="H287" s="49">
        <v>10</v>
      </c>
      <c r="I287" s="49">
        <f t="shared" si="9"/>
        <v>3500.0000000000009</v>
      </c>
      <c r="J287" s="29">
        <f t="shared" si="8"/>
        <v>2250.0000000000005</v>
      </c>
      <c r="K287" s="13" t="s">
        <v>778</v>
      </c>
      <c r="L287" s="10"/>
    </row>
    <row r="288" spans="1:12">
      <c r="A288" s="13"/>
      <c r="B288" s="48"/>
      <c r="C288" s="13"/>
      <c r="D288" s="49">
        <v>20000</v>
      </c>
      <c r="E288" s="51">
        <v>7.0000000000000007E-2</v>
      </c>
      <c r="F288" s="42" t="s">
        <v>4036</v>
      </c>
      <c r="G288" s="50">
        <v>40854</v>
      </c>
      <c r="H288" s="49">
        <v>10</v>
      </c>
      <c r="I288" s="49">
        <f t="shared" si="9"/>
        <v>3500.0000000000009</v>
      </c>
      <c r="J288" s="29">
        <f t="shared" si="8"/>
        <v>2250.0000000000005</v>
      </c>
      <c r="K288" s="13"/>
      <c r="L288" s="10"/>
    </row>
    <row r="289" spans="1:12">
      <c r="A289" s="13"/>
      <c r="B289" s="48"/>
      <c r="C289" s="13"/>
      <c r="D289" s="49">
        <v>20000</v>
      </c>
      <c r="E289" s="51">
        <v>7.0000000000000007E-2</v>
      </c>
      <c r="F289" s="42" t="s">
        <v>4036</v>
      </c>
      <c r="G289" s="50">
        <v>40910</v>
      </c>
      <c r="H289" s="49">
        <v>10</v>
      </c>
      <c r="I289" s="49">
        <f t="shared" si="9"/>
        <v>3500.0000000000009</v>
      </c>
      <c r="J289" s="29">
        <f t="shared" si="8"/>
        <v>2250.0000000000005</v>
      </c>
      <c r="K289" s="13"/>
      <c r="L289" s="10"/>
    </row>
    <row r="290" spans="1:12">
      <c r="A290" s="13"/>
      <c r="B290" s="48"/>
      <c r="C290" s="13"/>
      <c r="D290" s="49">
        <v>20000</v>
      </c>
      <c r="E290" s="51">
        <v>7.0000000000000007E-2</v>
      </c>
      <c r="F290" s="42" t="s">
        <v>4036</v>
      </c>
      <c r="G290" s="50">
        <v>40980</v>
      </c>
      <c r="H290" s="49">
        <v>10</v>
      </c>
      <c r="I290" s="49">
        <f t="shared" si="9"/>
        <v>3500.0000000000009</v>
      </c>
      <c r="J290" s="29">
        <f t="shared" si="8"/>
        <v>2250.0000000000005</v>
      </c>
      <c r="K290" s="13"/>
      <c r="L290" s="10"/>
    </row>
    <row r="291" spans="1:12">
      <c r="A291" s="13"/>
      <c r="B291" s="48"/>
      <c r="C291" s="13"/>
      <c r="D291" s="49">
        <v>20000</v>
      </c>
      <c r="E291" s="51">
        <v>7.0000000000000007E-2</v>
      </c>
      <c r="F291" s="42" t="s">
        <v>4036</v>
      </c>
      <c r="G291" s="50">
        <v>41047</v>
      </c>
      <c r="H291" s="49">
        <v>10</v>
      </c>
      <c r="I291" s="49">
        <f t="shared" si="9"/>
        <v>3500.0000000000009</v>
      </c>
      <c r="J291" s="29">
        <f t="shared" si="8"/>
        <v>2250.0000000000005</v>
      </c>
      <c r="K291" s="13"/>
      <c r="L291" s="10"/>
    </row>
    <row r="292" spans="1:12">
      <c r="A292" s="13"/>
      <c r="B292" s="48"/>
      <c r="C292" s="13"/>
      <c r="D292" s="49">
        <v>20000</v>
      </c>
      <c r="E292" s="51">
        <v>7.0000000000000007E-2</v>
      </c>
      <c r="F292" s="42" t="s">
        <v>4036</v>
      </c>
      <c r="G292" s="50">
        <v>41113</v>
      </c>
      <c r="H292" s="49">
        <v>10</v>
      </c>
      <c r="I292" s="49">
        <f t="shared" si="9"/>
        <v>3500.0000000000009</v>
      </c>
      <c r="J292" s="29">
        <f t="shared" si="8"/>
        <v>2250.0000000000005</v>
      </c>
      <c r="K292" s="13"/>
      <c r="L292" s="10"/>
    </row>
    <row r="293" spans="1:12">
      <c r="A293" s="13"/>
      <c r="B293" s="48"/>
      <c r="C293" s="13"/>
      <c r="D293" s="49">
        <v>45000</v>
      </c>
      <c r="E293" s="51">
        <v>7.4999999999999997E-2</v>
      </c>
      <c r="F293" s="42">
        <v>15</v>
      </c>
      <c r="G293" s="50">
        <v>41158</v>
      </c>
      <c r="H293" s="49">
        <v>34</v>
      </c>
      <c r="I293" s="49">
        <f t="shared" si="9"/>
        <v>57375</v>
      </c>
      <c r="J293" s="29">
        <f t="shared" si="8"/>
        <v>38250</v>
      </c>
      <c r="K293" s="13"/>
      <c r="L293" s="10"/>
    </row>
    <row r="294" spans="1:12">
      <c r="A294" s="13"/>
      <c r="B294" s="48"/>
      <c r="C294" s="13"/>
      <c r="D294" s="49">
        <v>20000</v>
      </c>
      <c r="E294" s="51">
        <v>7.0000000000000007E-2</v>
      </c>
      <c r="F294" s="42" t="s">
        <v>4036</v>
      </c>
      <c r="G294" s="50">
        <v>41166</v>
      </c>
      <c r="H294" s="49">
        <v>10</v>
      </c>
      <c r="I294" s="49">
        <f t="shared" si="9"/>
        <v>3500.0000000000009</v>
      </c>
      <c r="J294" s="29">
        <f t="shared" si="8"/>
        <v>2250.0000000000005</v>
      </c>
      <c r="K294" s="13"/>
      <c r="L294" s="10"/>
    </row>
    <row r="295" spans="1:12">
      <c r="A295" s="13"/>
      <c r="B295" s="48"/>
      <c r="C295" s="13"/>
      <c r="D295" s="49">
        <v>20000</v>
      </c>
      <c r="E295" s="51">
        <v>7.0000000000000007E-2</v>
      </c>
      <c r="F295" s="42" t="s">
        <v>4036</v>
      </c>
      <c r="G295" s="50">
        <v>41219</v>
      </c>
      <c r="H295" s="49">
        <v>10</v>
      </c>
      <c r="I295" s="49">
        <f t="shared" si="9"/>
        <v>3500.0000000000009</v>
      </c>
      <c r="J295" s="29">
        <f t="shared" si="8"/>
        <v>2250.0000000000005</v>
      </c>
      <c r="K295" s="13"/>
      <c r="L295" s="10"/>
    </row>
    <row r="296" spans="1:12">
      <c r="A296" s="13"/>
      <c r="B296" s="48"/>
      <c r="C296" s="13"/>
      <c r="D296" s="49">
        <v>20000</v>
      </c>
      <c r="E296" s="51">
        <v>7.0000000000000007E-2</v>
      </c>
      <c r="F296" s="42" t="s">
        <v>4036</v>
      </c>
      <c r="G296" s="50">
        <v>41277</v>
      </c>
      <c r="H296" s="49">
        <v>3</v>
      </c>
      <c r="I296" s="49">
        <f t="shared" si="9"/>
        <v>1050.0000000000002</v>
      </c>
      <c r="J296" s="29">
        <f t="shared" si="8"/>
        <v>675.00000000000023</v>
      </c>
      <c r="K296" s="13"/>
      <c r="L296" s="10"/>
    </row>
    <row r="297" spans="1:12">
      <c r="A297" s="13">
        <v>57</v>
      </c>
      <c r="B297" s="48">
        <v>2871</v>
      </c>
      <c r="C297" s="13" t="s">
        <v>1155</v>
      </c>
      <c r="D297" s="49">
        <v>10000</v>
      </c>
      <c r="E297" s="51">
        <v>7.0000000000000007E-2</v>
      </c>
      <c r="F297" s="42" t="s">
        <v>4036</v>
      </c>
      <c r="G297" s="50">
        <v>40781</v>
      </c>
      <c r="H297" s="49">
        <v>10</v>
      </c>
      <c r="I297" s="49">
        <f t="shared" si="9"/>
        <v>1750.0000000000005</v>
      </c>
      <c r="J297" s="29">
        <f t="shared" si="8"/>
        <v>1125.0000000000002</v>
      </c>
      <c r="K297" s="13" t="s">
        <v>779</v>
      </c>
      <c r="L297" s="10"/>
    </row>
    <row r="298" spans="1:12">
      <c r="A298" s="13"/>
      <c r="B298" s="48"/>
      <c r="C298" s="13"/>
      <c r="D298" s="49">
        <v>20000</v>
      </c>
      <c r="E298" s="51">
        <v>7.4999999999999997E-2</v>
      </c>
      <c r="F298" s="42">
        <v>15</v>
      </c>
      <c r="G298" s="50">
        <v>40796</v>
      </c>
      <c r="H298" s="49">
        <v>6</v>
      </c>
      <c r="I298" s="49">
        <f t="shared" si="9"/>
        <v>4500</v>
      </c>
      <c r="J298" s="29">
        <f t="shared" si="8"/>
        <v>2999.9999999999995</v>
      </c>
      <c r="K298" s="13"/>
      <c r="L298" s="10"/>
    </row>
    <row r="299" spans="1:12">
      <c r="A299" s="13"/>
      <c r="B299" s="48"/>
      <c r="C299" s="13"/>
      <c r="D299" s="49">
        <v>10000</v>
      </c>
      <c r="E299" s="51">
        <v>7.0000000000000007E-2</v>
      </c>
      <c r="F299" s="42" t="s">
        <v>4036</v>
      </c>
      <c r="G299" s="50">
        <v>40805</v>
      </c>
      <c r="H299" s="49">
        <v>10</v>
      </c>
      <c r="I299" s="49">
        <f t="shared" si="9"/>
        <v>1750.0000000000005</v>
      </c>
      <c r="J299" s="29">
        <f t="shared" si="8"/>
        <v>1125.0000000000002</v>
      </c>
      <c r="K299" s="13"/>
      <c r="L299" s="10"/>
    </row>
    <row r="300" spans="1:12">
      <c r="A300" s="13"/>
      <c r="B300" s="48"/>
      <c r="C300" s="13"/>
      <c r="D300" s="49">
        <v>10000</v>
      </c>
      <c r="E300" s="51">
        <v>7.0000000000000007E-2</v>
      </c>
      <c r="F300" s="42" t="s">
        <v>4036</v>
      </c>
      <c r="G300" s="50">
        <v>40835</v>
      </c>
      <c r="H300" s="49">
        <v>10</v>
      </c>
      <c r="I300" s="49">
        <f t="shared" si="9"/>
        <v>1750.0000000000005</v>
      </c>
      <c r="J300" s="29">
        <f t="shared" si="8"/>
        <v>1125.0000000000002</v>
      </c>
      <c r="K300" s="13"/>
      <c r="L300" s="10"/>
    </row>
    <row r="301" spans="1:12">
      <c r="A301" s="13"/>
      <c r="B301" s="48"/>
      <c r="C301" s="13"/>
      <c r="D301" s="49">
        <v>10000</v>
      </c>
      <c r="E301" s="51">
        <v>7.0000000000000007E-2</v>
      </c>
      <c r="F301" s="42" t="s">
        <v>4036</v>
      </c>
      <c r="G301" s="50">
        <v>40854</v>
      </c>
      <c r="H301" s="49">
        <v>10</v>
      </c>
      <c r="I301" s="49">
        <f t="shared" si="9"/>
        <v>1750.0000000000005</v>
      </c>
      <c r="J301" s="29">
        <f t="shared" si="8"/>
        <v>1125.0000000000002</v>
      </c>
      <c r="K301" s="13"/>
      <c r="L301" s="10"/>
    </row>
    <row r="302" spans="1:12">
      <c r="A302" s="13"/>
      <c r="B302" s="48"/>
      <c r="C302" s="13"/>
      <c r="D302" s="49">
        <v>40000</v>
      </c>
      <c r="E302" s="51">
        <v>7.4999999999999997E-2</v>
      </c>
      <c r="F302" s="42">
        <v>15</v>
      </c>
      <c r="G302" s="50">
        <v>40886</v>
      </c>
      <c r="H302" s="49">
        <v>7</v>
      </c>
      <c r="I302" s="49">
        <f t="shared" si="9"/>
        <v>10500</v>
      </c>
      <c r="J302" s="29">
        <f t="shared" si="8"/>
        <v>6999.9999999999991</v>
      </c>
      <c r="K302" s="13"/>
      <c r="L302" s="10"/>
    </row>
    <row r="303" spans="1:12">
      <c r="A303" s="13"/>
      <c r="B303" s="48"/>
      <c r="C303" s="13"/>
      <c r="D303" s="49">
        <v>10000</v>
      </c>
      <c r="E303" s="51">
        <v>7.0000000000000007E-2</v>
      </c>
      <c r="F303" s="42" t="s">
        <v>4036</v>
      </c>
      <c r="G303" s="50">
        <v>40910</v>
      </c>
      <c r="H303" s="49">
        <v>10</v>
      </c>
      <c r="I303" s="49">
        <f t="shared" si="9"/>
        <v>1750.0000000000005</v>
      </c>
      <c r="J303" s="29">
        <f t="shared" si="8"/>
        <v>1125.0000000000002</v>
      </c>
      <c r="K303" s="13"/>
      <c r="L303" s="10"/>
    </row>
    <row r="304" spans="1:12">
      <c r="A304" s="13"/>
      <c r="B304" s="48"/>
      <c r="C304" s="13"/>
      <c r="D304" s="49">
        <v>10000</v>
      </c>
      <c r="E304" s="51">
        <v>7.0000000000000007E-2</v>
      </c>
      <c r="F304" s="42" t="s">
        <v>4036</v>
      </c>
      <c r="G304" s="50">
        <v>40969</v>
      </c>
      <c r="H304" s="49">
        <v>10</v>
      </c>
      <c r="I304" s="49">
        <f t="shared" si="9"/>
        <v>1750.0000000000005</v>
      </c>
      <c r="J304" s="29">
        <f t="shared" si="8"/>
        <v>1125.0000000000002</v>
      </c>
      <c r="K304" s="13"/>
      <c r="L304" s="10"/>
    </row>
    <row r="305" spans="1:12">
      <c r="A305" s="13"/>
      <c r="B305" s="48"/>
      <c r="C305" s="13"/>
      <c r="D305" s="49">
        <v>10000</v>
      </c>
      <c r="E305" s="51">
        <v>7.0000000000000007E-2</v>
      </c>
      <c r="F305" s="42" t="s">
        <v>4036</v>
      </c>
      <c r="G305" s="50">
        <v>40980</v>
      </c>
      <c r="H305" s="49">
        <v>10</v>
      </c>
      <c r="I305" s="49">
        <f t="shared" si="9"/>
        <v>1750.0000000000005</v>
      </c>
      <c r="J305" s="29">
        <f t="shared" si="8"/>
        <v>1125.0000000000002</v>
      </c>
      <c r="K305" s="13"/>
      <c r="L305" s="10"/>
    </row>
    <row r="306" spans="1:12">
      <c r="A306" s="13"/>
      <c r="B306" s="48"/>
      <c r="C306" s="13"/>
      <c r="D306" s="49">
        <v>40000</v>
      </c>
      <c r="E306" s="51">
        <v>7.4999999999999997E-2</v>
      </c>
      <c r="F306" s="42">
        <v>15</v>
      </c>
      <c r="G306" s="50">
        <v>40991</v>
      </c>
      <c r="H306" s="49">
        <v>22</v>
      </c>
      <c r="I306" s="49">
        <f t="shared" si="9"/>
        <v>33000</v>
      </c>
      <c r="J306" s="29">
        <f t="shared" si="8"/>
        <v>21999.999999999996</v>
      </c>
      <c r="K306" s="13"/>
      <c r="L306" s="10"/>
    </row>
    <row r="307" spans="1:12">
      <c r="A307" s="13"/>
      <c r="B307" s="48"/>
      <c r="C307" s="13"/>
      <c r="D307" s="49">
        <v>10000</v>
      </c>
      <c r="E307" s="51">
        <v>7.4999999999999997E-2</v>
      </c>
      <c r="F307" s="42">
        <v>15</v>
      </c>
      <c r="G307" s="50">
        <v>41017</v>
      </c>
      <c r="H307" s="49">
        <v>8</v>
      </c>
      <c r="I307" s="49">
        <f t="shared" si="9"/>
        <v>3000</v>
      </c>
      <c r="J307" s="29">
        <f t="shared" si="8"/>
        <v>1999.9999999999998</v>
      </c>
      <c r="K307" s="13"/>
      <c r="L307" s="10"/>
    </row>
    <row r="308" spans="1:12">
      <c r="A308" s="13"/>
      <c r="B308" s="48"/>
      <c r="C308" s="13"/>
      <c r="D308" s="49">
        <v>10000</v>
      </c>
      <c r="E308" s="51">
        <v>7.4999999999999997E-2</v>
      </c>
      <c r="F308" s="42">
        <v>15</v>
      </c>
      <c r="G308" s="50">
        <v>41029</v>
      </c>
      <c r="H308" s="49">
        <v>10</v>
      </c>
      <c r="I308" s="49">
        <f t="shared" si="9"/>
        <v>3750</v>
      </c>
      <c r="J308" s="29">
        <f t="shared" si="8"/>
        <v>2499.9999999999995</v>
      </c>
      <c r="K308" s="13"/>
      <c r="L308" s="10"/>
    </row>
    <row r="309" spans="1:12">
      <c r="A309" s="13"/>
      <c r="B309" s="48"/>
      <c r="C309" s="13"/>
      <c r="D309" s="49">
        <v>10000</v>
      </c>
      <c r="E309" s="51">
        <v>7.0000000000000007E-2</v>
      </c>
      <c r="F309" s="42" t="s">
        <v>4036</v>
      </c>
      <c r="G309" s="50">
        <v>41066</v>
      </c>
      <c r="H309" s="49">
        <v>10</v>
      </c>
      <c r="I309" s="49">
        <f t="shared" si="9"/>
        <v>1750.0000000000005</v>
      </c>
      <c r="J309" s="29">
        <f t="shared" si="8"/>
        <v>1125.0000000000002</v>
      </c>
      <c r="K309" s="13"/>
      <c r="L309" s="10"/>
    </row>
    <row r="310" spans="1:12">
      <c r="A310" s="13"/>
      <c r="B310" s="48"/>
      <c r="C310" s="13"/>
      <c r="D310" s="49">
        <v>10000</v>
      </c>
      <c r="E310" s="51">
        <v>7.0000000000000007E-2</v>
      </c>
      <c r="F310" s="42" t="s">
        <v>4036</v>
      </c>
      <c r="G310" s="50">
        <v>41096</v>
      </c>
      <c r="H310" s="49">
        <v>10</v>
      </c>
      <c r="I310" s="49">
        <f t="shared" si="9"/>
        <v>1750.0000000000005</v>
      </c>
      <c r="J310" s="29">
        <f t="shared" si="8"/>
        <v>1125.0000000000002</v>
      </c>
      <c r="K310" s="13"/>
      <c r="L310" s="10"/>
    </row>
    <row r="311" spans="1:12">
      <c r="A311" s="13"/>
      <c r="B311" s="48"/>
      <c r="C311" s="13"/>
      <c r="D311" s="49">
        <v>10000</v>
      </c>
      <c r="E311" s="51">
        <v>7.0000000000000007E-2</v>
      </c>
      <c r="F311" s="42" t="s">
        <v>4036</v>
      </c>
      <c r="G311" s="50">
        <v>41116</v>
      </c>
      <c r="H311" s="49">
        <v>10</v>
      </c>
      <c r="I311" s="49">
        <f t="shared" si="9"/>
        <v>1750.0000000000005</v>
      </c>
      <c r="J311" s="29">
        <f t="shared" si="8"/>
        <v>1125.0000000000002</v>
      </c>
      <c r="K311" s="13"/>
      <c r="L311" s="10"/>
    </row>
    <row r="312" spans="1:12">
      <c r="A312" s="13"/>
      <c r="B312" s="48"/>
      <c r="C312" s="13"/>
      <c r="D312" s="49">
        <v>10000</v>
      </c>
      <c r="E312" s="51">
        <v>7.0000000000000007E-2</v>
      </c>
      <c r="F312" s="42" t="s">
        <v>4036</v>
      </c>
      <c r="G312" s="50">
        <v>41128</v>
      </c>
      <c r="H312" s="49">
        <v>10</v>
      </c>
      <c r="I312" s="49">
        <f t="shared" si="9"/>
        <v>1750.0000000000005</v>
      </c>
      <c r="J312" s="29">
        <f t="shared" si="8"/>
        <v>1125.0000000000002</v>
      </c>
      <c r="K312" s="13"/>
      <c r="L312" s="10"/>
    </row>
    <row r="313" spans="1:12">
      <c r="A313" s="13"/>
      <c r="B313" s="48"/>
      <c r="C313" s="13"/>
      <c r="D313" s="49">
        <v>10000</v>
      </c>
      <c r="E313" s="51">
        <v>7.0000000000000007E-2</v>
      </c>
      <c r="F313" s="42" t="s">
        <v>4036</v>
      </c>
      <c r="G313" s="50">
        <v>41176</v>
      </c>
      <c r="H313" s="49">
        <v>10</v>
      </c>
      <c r="I313" s="49">
        <f t="shared" si="9"/>
        <v>1750.0000000000005</v>
      </c>
      <c r="J313" s="29">
        <f t="shared" si="8"/>
        <v>1125.0000000000002</v>
      </c>
      <c r="K313" s="13"/>
      <c r="L313" s="10"/>
    </row>
    <row r="314" spans="1:12">
      <c r="A314" s="13"/>
      <c r="B314" s="48"/>
      <c r="C314" s="13"/>
      <c r="D314" s="49">
        <v>10000</v>
      </c>
      <c r="E314" s="51">
        <v>7.0000000000000007E-2</v>
      </c>
      <c r="F314" s="42" t="s">
        <v>4036</v>
      </c>
      <c r="G314" s="50">
        <v>41187</v>
      </c>
      <c r="H314" s="49">
        <v>10</v>
      </c>
      <c r="I314" s="49">
        <f t="shared" si="9"/>
        <v>1750.0000000000005</v>
      </c>
      <c r="J314" s="29">
        <f t="shared" si="8"/>
        <v>1125.0000000000002</v>
      </c>
      <c r="K314" s="13"/>
      <c r="L314" s="10"/>
    </row>
    <row r="315" spans="1:12">
      <c r="A315" s="13"/>
      <c r="B315" s="48"/>
      <c r="C315" s="13"/>
      <c r="D315" s="49">
        <v>10000</v>
      </c>
      <c r="E315" s="51">
        <v>7.0000000000000007E-2</v>
      </c>
      <c r="F315" s="42" t="s">
        <v>4036</v>
      </c>
      <c r="G315" s="50">
        <v>41232</v>
      </c>
      <c r="H315" s="49">
        <v>10</v>
      </c>
      <c r="I315" s="49">
        <f t="shared" si="9"/>
        <v>1750.0000000000005</v>
      </c>
      <c r="J315" s="29">
        <f t="shared" si="8"/>
        <v>1125.0000000000002</v>
      </c>
      <c r="K315" s="13"/>
      <c r="L315" s="10"/>
    </row>
    <row r="316" spans="1:12">
      <c r="A316" s="13"/>
      <c r="B316" s="48"/>
      <c r="C316" s="13"/>
      <c r="D316" s="49">
        <v>10000</v>
      </c>
      <c r="E316" s="51">
        <v>7.0000000000000007E-2</v>
      </c>
      <c r="F316" s="42" t="s">
        <v>4036</v>
      </c>
      <c r="G316" s="50">
        <v>41267</v>
      </c>
      <c r="H316" s="49">
        <v>5</v>
      </c>
      <c r="I316" s="49">
        <f t="shared" si="9"/>
        <v>875.00000000000023</v>
      </c>
      <c r="J316" s="29">
        <f t="shared" si="8"/>
        <v>562.50000000000011</v>
      </c>
      <c r="K316" s="13"/>
      <c r="L316" s="10"/>
    </row>
    <row r="317" spans="1:12">
      <c r="A317" s="13"/>
      <c r="B317" s="48"/>
      <c r="C317" s="13"/>
      <c r="D317" s="49">
        <v>10000</v>
      </c>
      <c r="E317" s="51">
        <v>7.0000000000000007E-2</v>
      </c>
      <c r="F317" s="42" t="s">
        <v>4036</v>
      </c>
      <c r="G317" s="50">
        <v>41288</v>
      </c>
      <c r="H317" s="49">
        <v>2</v>
      </c>
      <c r="I317" s="49">
        <f t="shared" si="9"/>
        <v>350.00000000000006</v>
      </c>
      <c r="J317" s="29">
        <f t="shared" si="8"/>
        <v>225.00000000000006</v>
      </c>
      <c r="K317" s="13"/>
      <c r="L317" s="10"/>
    </row>
    <row r="318" spans="1:12">
      <c r="A318" s="13">
        <v>58</v>
      </c>
      <c r="B318" s="48">
        <v>2879</v>
      </c>
      <c r="C318" s="13" t="s">
        <v>3497</v>
      </c>
      <c r="D318" s="49">
        <v>30000</v>
      </c>
      <c r="E318" s="51">
        <v>7.0000000000000007E-2</v>
      </c>
      <c r="F318" s="42" t="s">
        <v>4036</v>
      </c>
      <c r="G318" s="50">
        <v>40788</v>
      </c>
      <c r="H318" s="49">
        <v>10</v>
      </c>
      <c r="I318" s="49">
        <f t="shared" si="9"/>
        <v>5250</v>
      </c>
      <c r="J318" s="29">
        <f t="shared" si="8"/>
        <v>3375.0000000000009</v>
      </c>
      <c r="K318" s="13" t="s">
        <v>780</v>
      </c>
      <c r="L318" s="10"/>
    </row>
    <row r="319" spans="1:12">
      <c r="A319" s="13"/>
      <c r="B319" s="48"/>
      <c r="C319" s="13"/>
      <c r="D319" s="49">
        <v>140000</v>
      </c>
      <c r="E319" s="51">
        <v>7.4999999999999997E-2</v>
      </c>
      <c r="F319" s="42">
        <v>15</v>
      </c>
      <c r="G319" s="50">
        <v>40796</v>
      </c>
      <c r="H319" s="49">
        <v>4</v>
      </c>
      <c r="I319" s="49">
        <f t="shared" si="9"/>
        <v>21000</v>
      </c>
      <c r="J319" s="29">
        <f t="shared" si="8"/>
        <v>13999.999999999998</v>
      </c>
      <c r="K319" s="13"/>
      <c r="L319" s="10"/>
    </row>
    <row r="320" spans="1:12">
      <c r="A320" s="13"/>
      <c r="B320" s="48"/>
      <c r="C320" s="13"/>
      <c r="D320" s="49">
        <v>30000</v>
      </c>
      <c r="E320" s="51">
        <v>7.0000000000000007E-2</v>
      </c>
      <c r="F320" s="42" t="s">
        <v>4036</v>
      </c>
      <c r="G320" s="50">
        <v>40819</v>
      </c>
      <c r="H320" s="49">
        <v>10</v>
      </c>
      <c r="I320" s="49">
        <f t="shared" si="9"/>
        <v>5250</v>
      </c>
      <c r="J320" s="29">
        <f t="shared" si="8"/>
        <v>3375.0000000000009</v>
      </c>
      <c r="K320" s="13"/>
      <c r="L320" s="10"/>
    </row>
    <row r="321" spans="1:12">
      <c r="A321" s="13"/>
      <c r="B321" s="48"/>
      <c r="C321" s="13"/>
      <c r="D321" s="49">
        <v>30000</v>
      </c>
      <c r="E321" s="51">
        <v>7.0000000000000007E-2</v>
      </c>
      <c r="F321" s="42" t="s">
        <v>4036</v>
      </c>
      <c r="G321" s="50">
        <v>40840</v>
      </c>
      <c r="H321" s="49">
        <v>10</v>
      </c>
      <c r="I321" s="49">
        <f t="shared" si="9"/>
        <v>5250</v>
      </c>
      <c r="J321" s="29">
        <f t="shared" si="8"/>
        <v>3375.0000000000009</v>
      </c>
      <c r="K321" s="13"/>
      <c r="L321" s="10"/>
    </row>
    <row r="322" spans="1:12">
      <c r="A322" s="13"/>
      <c r="B322" s="48"/>
      <c r="C322" s="13"/>
      <c r="D322" s="49">
        <v>30000</v>
      </c>
      <c r="E322" s="51">
        <v>7.0000000000000007E-2</v>
      </c>
      <c r="F322" s="42" t="s">
        <v>4036</v>
      </c>
      <c r="G322" s="50">
        <v>40854</v>
      </c>
      <c r="H322" s="49">
        <v>10</v>
      </c>
      <c r="I322" s="49">
        <f t="shared" si="9"/>
        <v>5250</v>
      </c>
      <c r="J322" s="29">
        <f t="shared" ref="J322:J385" si="10">IF(F322="分期",D322*(E322-0.025)*2.5*H322/10,D322*(E322-0.025)*F322/30*H322)</f>
        <v>3375.0000000000009</v>
      </c>
      <c r="K322" s="13"/>
      <c r="L322" s="10"/>
    </row>
    <row r="323" spans="1:12">
      <c r="A323" s="13"/>
      <c r="B323" s="48"/>
      <c r="C323" s="13"/>
      <c r="D323" s="49">
        <v>150000</v>
      </c>
      <c r="E323" s="51">
        <v>7.4999999999999997E-2</v>
      </c>
      <c r="F323" s="42">
        <v>15</v>
      </c>
      <c r="G323" s="50">
        <v>40856</v>
      </c>
      <c r="H323" s="49">
        <v>8</v>
      </c>
      <c r="I323" s="49">
        <f t="shared" si="9"/>
        <v>45000</v>
      </c>
      <c r="J323" s="29">
        <f t="shared" si="10"/>
        <v>29999.999999999996</v>
      </c>
      <c r="K323" s="13"/>
      <c r="L323" s="10"/>
    </row>
    <row r="324" spans="1:12">
      <c r="A324" s="13"/>
      <c r="B324" s="48"/>
      <c r="C324" s="13"/>
      <c r="D324" s="49">
        <v>30000</v>
      </c>
      <c r="E324" s="51">
        <v>7.0000000000000007E-2</v>
      </c>
      <c r="F324" s="42" t="s">
        <v>4036</v>
      </c>
      <c r="G324" s="50">
        <v>40898</v>
      </c>
      <c r="H324" s="49">
        <v>10</v>
      </c>
      <c r="I324" s="49">
        <f t="shared" ref="I324:I387" si="11">IF(F324="分期",D324*E324*2.5*H324/10,D324*E324*F324*H324/30)</f>
        <v>5250</v>
      </c>
      <c r="J324" s="29">
        <f t="shared" si="10"/>
        <v>3375.0000000000009</v>
      </c>
      <c r="K324" s="13"/>
      <c r="L324" s="10"/>
    </row>
    <row r="325" spans="1:12">
      <c r="A325" s="13"/>
      <c r="B325" s="48"/>
      <c r="C325" s="13"/>
      <c r="D325" s="49">
        <v>30000</v>
      </c>
      <c r="E325" s="51">
        <v>7.0000000000000007E-2</v>
      </c>
      <c r="F325" s="42" t="s">
        <v>4036</v>
      </c>
      <c r="G325" s="50">
        <v>40913</v>
      </c>
      <c r="H325" s="49">
        <v>10</v>
      </c>
      <c r="I325" s="49">
        <f t="shared" si="11"/>
        <v>5250</v>
      </c>
      <c r="J325" s="29">
        <f t="shared" si="10"/>
        <v>3375.0000000000009</v>
      </c>
      <c r="K325" s="13"/>
      <c r="L325" s="10"/>
    </row>
    <row r="326" spans="1:12">
      <c r="A326" s="13"/>
      <c r="B326" s="48"/>
      <c r="C326" s="13"/>
      <c r="D326" s="49">
        <v>30000</v>
      </c>
      <c r="E326" s="51">
        <v>7.0000000000000007E-2</v>
      </c>
      <c r="F326" s="42" t="s">
        <v>4036</v>
      </c>
      <c r="G326" s="50">
        <v>40953</v>
      </c>
      <c r="H326" s="49">
        <v>10</v>
      </c>
      <c r="I326" s="49">
        <f t="shared" si="11"/>
        <v>5250</v>
      </c>
      <c r="J326" s="29">
        <f t="shared" si="10"/>
        <v>3375.0000000000009</v>
      </c>
      <c r="K326" s="13"/>
      <c r="L326" s="10"/>
    </row>
    <row r="327" spans="1:12">
      <c r="A327" s="13"/>
      <c r="B327" s="48"/>
      <c r="C327" s="13"/>
      <c r="D327" s="49">
        <v>30000</v>
      </c>
      <c r="E327" s="51">
        <v>7.0000000000000007E-2</v>
      </c>
      <c r="F327" s="42" t="s">
        <v>4036</v>
      </c>
      <c r="G327" s="50">
        <v>40962</v>
      </c>
      <c r="H327" s="49">
        <v>10</v>
      </c>
      <c r="I327" s="49">
        <f t="shared" si="11"/>
        <v>5250</v>
      </c>
      <c r="J327" s="29">
        <f t="shared" si="10"/>
        <v>3375.0000000000009</v>
      </c>
      <c r="K327" s="13"/>
      <c r="L327" s="10"/>
    </row>
    <row r="328" spans="1:12">
      <c r="A328" s="13"/>
      <c r="B328" s="48"/>
      <c r="C328" s="13"/>
      <c r="D328" s="49">
        <v>150000</v>
      </c>
      <c r="E328" s="51">
        <v>7.4999999999999997E-2</v>
      </c>
      <c r="F328" s="42">
        <v>15</v>
      </c>
      <c r="G328" s="50">
        <v>40976</v>
      </c>
      <c r="H328" s="49">
        <v>21</v>
      </c>
      <c r="I328" s="49">
        <f t="shared" si="11"/>
        <v>118125</v>
      </c>
      <c r="J328" s="29">
        <f t="shared" si="10"/>
        <v>78749.999999999985</v>
      </c>
      <c r="K328" s="13"/>
      <c r="L328" s="10"/>
    </row>
    <row r="329" spans="1:12">
      <c r="A329" s="13"/>
      <c r="B329" s="48"/>
      <c r="C329" s="13"/>
      <c r="D329" s="49">
        <v>60000</v>
      </c>
      <c r="E329" s="51">
        <v>7.0000000000000007E-2</v>
      </c>
      <c r="F329" s="42" t="s">
        <v>4036</v>
      </c>
      <c r="G329" s="50">
        <v>40995</v>
      </c>
      <c r="H329" s="49">
        <v>10</v>
      </c>
      <c r="I329" s="49">
        <f t="shared" si="11"/>
        <v>10500</v>
      </c>
      <c r="J329" s="29">
        <f t="shared" si="10"/>
        <v>6750.0000000000018</v>
      </c>
      <c r="K329" s="13"/>
      <c r="L329" s="10"/>
    </row>
    <row r="330" spans="1:12">
      <c r="A330" s="13"/>
      <c r="B330" s="48"/>
      <c r="C330" s="13"/>
      <c r="D330" s="49">
        <v>60000</v>
      </c>
      <c r="E330" s="51">
        <v>7.0000000000000007E-2</v>
      </c>
      <c r="F330" s="42" t="s">
        <v>4036</v>
      </c>
      <c r="G330" s="50">
        <v>41039</v>
      </c>
      <c r="H330" s="49">
        <v>10</v>
      </c>
      <c r="I330" s="49">
        <f t="shared" si="11"/>
        <v>10500</v>
      </c>
      <c r="J330" s="29">
        <f t="shared" si="10"/>
        <v>6750.0000000000018</v>
      </c>
      <c r="K330" s="13"/>
      <c r="L330" s="10"/>
    </row>
    <row r="331" spans="1:12">
      <c r="A331" s="13"/>
      <c r="B331" s="48"/>
      <c r="C331" s="13"/>
      <c r="D331" s="49">
        <v>60000</v>
      </c>
      <c r="E331" s="51">
        <v>7.0000000000000007E-2</v>
      </c>
      <c r="F331" s="42" t="s">
        <v>4036</v>
      </c>
      <c r="G331" s="50">
        <v>41071</v>
      </c>
      <c r="H331" s="49">
        <v>10</v>
      </c>
      <c r="I331" s="49">
        <f t="shared" si="11"/>
        <v>10500</v>
      </c>
      <c r="J331" s="29">
        <f t="shared" si="10"/>
        <v>6750.0000000000018</v>
      </c>
      <c r="K331" s="13"/>
      <c r="L331" s="10"/>
    </row>
    <row r="332" spans="1:12">
      <c r="A332" s="13"/>
      <c r="B332" s="48"/>
      <c r="C332" s="13"/>
      <c r="D332" s="49">
        <v>60000</v>
      </c>
      <c r="E332" s="51">
        <v>7.0000000000000007E-2</v>
      </c>
      <c r="F332" s="42" t="s">
        <v>4036</v>
      </c>
      <c r="G332" s="50">
        <v>41121</v>
      </c>
      <c r="H332" s="49">
        <v>10</v>
      </c>
      <c r="I332" s="49">
        <f t="shared" si="11"/>
        <v>10500</v>
      </c>
      <c r="J332" s="29">
        <f t="shared" si="10"/>
        <v>6750.0000000000018</v>
      </c>
      <c r="K332" s="13"/>
      <c r="L332" s="10"/>
    </row>
    <row r="333" spans="1:12">
      <c r="A333" s="13"/>
      <c r="B333" s="48"/>
      <c r="C333" s="13"/>
      <c r="D333" s="49">
        <v>60000</v>
      </c>
      <c r="E333" s="51">
        <v>7.0000000000000007E-2</v>
      </c>
      <c r="F333" s="42" t="s">
        <v>4036</v>
      </c>
      <c r="G333" s="50">
        <v>41162</v>
      </c>
      <c r="H333" s="49">
        <v>10</v>
      </c>
      <c r="I333" s="49">
        <f t="shared" si="11"/>
        <v>10500</v>
      </c>
      <c r="J333" s="29">
        <f t="shared" si="10"/>
        <v>6750.0000000000018</v>
      </c>
      <c r="K333" s="13"/>
      <c r="L333" s="10"/>
    </row>
    <row r="334" spans="1:12">
      <c r="A334" s="13"/>
      <c r="B334" s="48"/>
      <c r="C334" s="13"/>
      <c r="D334" s="49">
        <v>60000</v>
      </c>
      <c r="E334" s="51">
        <v>7.0000000000000007E-2</v>
      </c>
      <c r="F334" s="42" t="s">
        <v>4036</v>
      </c>
      <c r="G334" s="50">
        <v>41197</v>
      </c>
      <c r="H334" s="49">
        <v>10</v>
      </c>
      <c r="I334" s="49">
        <f t="shared" si="11"/>
        <v>10500</v>
      </c>
      <c r="J334" s="29">
        <f t="shared" si="10"/>
        <v>6750.0000000000018</v>
      </c>
      <c r="K334" s="13"/>
      <c r="L334" s="10"/>
    </row>
    <row r="335" spans="1:12">
      <c r="A335" s="13"/>
      <c r="B335" s="48"/>
      <c r="C335" s="13"/>
      <c r="D335" s="49">
        <v>60000</v>
      </c>
      <c r="E335" s="51">
        <v>7.0000000000000007E-2</v>
      </c>
      <c r="F335" s="42" t="s">
        <v>4036</v>
      </c>
      <c r="G335" s="50">
        <v>41243</v>
      </c>
      <c r="H335" s="49">
        <v>10</v>
      </c>
      <c r="I335" s="49">
        <f t="shared" si="11"/>
        <v>10500</v>
      </c>
      <c r="J335" s="29">
        <f t="shared" si="10"/>
        <v>6750.0000000000018</v>
      </c>
      <c r="K335" s="13"/>
      <c r="L335" s="10"/>
    </row>
    <row r="336" spans="1:12">
      <c r="A336" s="13">
        <v>59</v>
      </c>
      <c r="B336" s="48">
        <v>2913</v>
      </c>
      <c r="C336" s="13" t="s">
        <v>1063</v>
      </c>
      <c r="D336" s="49">
        <v>70000</v>
      </c>
      <c r="E336" s="51">
        <v>7.4999999999999997E-2</v>
      </c>
      <c r="F336" s="42">
        <v>15</v>
      </c>
      <c r="G336" s="50">
        <v>40796</v>
      </c>
      <c r="H336" s="49">
        <v>4</v>
      </c>
      <c r="I336" s="49">
        <f t="shared" si="11"/>
        <v>10500</v>
      </c>
      <c r="J336" s="29">
        <f t="shared" si="10"/>
        <v>6999.9999999999991</v>
      </c>
      <c r="K336" s="13" t="s">
        <v>781</v>
      </c>
      <c r="L336" s="10"/>
    </row>
    <row r="337" spans="1:12">
      <c r="A337" s="13"/>
      <c r="B337" s="48"/>
      <c r="C337" s="13"/>
      <c r="D337" s="49">
        <v>80000</v>
      </c>
      <c r="E337" s="51">
        <v>7.4999999999999997E-2</v>
      </c>
      <c r="F337" s="42">
        <v>15</v>
      </c>
      <c r="G337" s="50">
        <v>40856</v>
      </c>
      <c r="H337" s="49">
        <v>2</v>
      </c>
      <c r="I337" s="49">
        <f t="shared" si="11"/>
        <v>6000</v>
      </c>
      <c r="J337" s="29">
        <f t="shared" si="10"/>
        <v>3999.9999999999995</v>
      </c>
      <c r="K337" s="13"/>
      <c r="L337" s="10"/>
    </row>
    <row r="338" spans="1:12">
      <c r="A338" s="13">
        <v>60</v>
      </c>
      <c r="B338" s="48">
        <v>2919</v>
      </c>
      <c r="C338" s="13" t="s">
        <v>1802</v>
      </c>
      <c r="D338" s="49">
        <v>90000</v>
      </c>
      <c r="E338" s="51">
        <v>7.4999999999999997E-2</v>
      </c>
      <c r="F338" s="42">
        <v>15</v>
      </c>
      <c r="G338" s="50">
        <v>40798</v>
      </c>
      <c r="H338" s="49">
        <v>1</v>
      </c>
      <c r="I338" s="49">
        <f t="shared" si="11"/>
        <v>3375</v>
      </c>
      <c r="J338" s="29">
        <f t="shared" si="10"/>
        <v>2250</v>
      </c>
      <c r="K338" s="13" t="s">
        <v>782</v>
      </c>
      <c r="L338" s="10"/>
    </row>
    <row r="339" spans="1:12">
      <c r="A339" s="13"/>
      <c r="B339" s="48"/>
      <c r="C339" s="13"/>
      <c r="D339" s="49">
        <v>80000</v>
      </c>
      <c r="E339" s="51">
        <v>7.4999999999999997E-2</v>
      </c>
      <c r="F339" s="42">
        <v>15</v>
      </c>
      <c r="G339" s="50">
        <v>40813</v>
      </c>
      <c r="H339" s="49">
        <v>2</v>
      </c>
      <c r="I339" s="49">
        <f t="shared" si="11"/>
        <v>6000</v>
      </c>
      <c r="J339" s="29">
        <f t="shared" si="10"/>
        <v>3999.9999999999995</v>
      </c>
      <c r="K339" s="13"/>
      <c r="L339" s="10"/>
    </row>
    <row r="340" spans="1:12">
      <c r="A340" s="13"/>
      <c r="B340" s="48"/>
      <c r="C340" s="13"/>
      <c r="D340" s="49">
        <v>70000</v>
      </c>
      <c r="E340" s="51">
        <v>7.4999999999999997E-2</v>
      </c>
      <c r="F340" s="42">
        <v>15</v>
      </c>
      <c r="G340" s="50">
        <v>40843</v>
      </c>
      <c r="H340" s="49">
        <v>2</v>
      </c>
      <c r="I340" s="49">
        <f t="shared" si="11"/>
        <v>5250</v>
      </c>
      <c r="J340" s="29">
        <f t="shared" si="10"/>
        <v>3499.9999999999995</v>
      </c>
      <c r="K340" s="13"/>
      <c r="L340" s="10"/>
    </row>
    <row r="341" spans="1:12">
      <c r="A341" s="13"/>
      <c r="B341" s="48"/>
      <c r="C341" s="13"/>
      <c r="D341" s="49">
        <v>60000</v>
      </c>
      <c r="E341" s="51">
        <v>7.4999999999999997E-2</v>
      </c>
      <c r="F341" s="42">
        <v>15</v>
      </c>
      <c r="G341" s="50">
        <v>40873</v>
      </c>
      <c r="H341" s="49">
        <v>6</v>
      </c>
      <c r="I341" s="49">
        <f t="shared" si="11"/>
        <v>13500</v>
      </c>
      <c r="J341" s="29">
        <f t="shared" si="10"/>
        <v>8999.9999999999982</v>
      </c>
      <c r="K341" s="13"/>
      <c r="L341" s="10"/>
    </row>
    <row r="342" spans="1:12">
      <c r="A342" s="13"/>
      <c r="B342" s="48"/>
      <c r="C342" s="13"/>
      <c r="D342" s="49">
        <v>10000</v>
      </c>
      <c r="E342" s="51">
        <v>7.0000000000000007E-2</v>
      </c>
      <c r="F342" s="42" t="s">
        <v>4036</v>
      </c>
      <c r="G342" s="50">
        <v>40882</v>
      </c>
      <c r="H342" s="49">
        <v>10</v>
      </c>
      <c r="I342" s="49">
        <f t="shared" si="11"/>
        <v>1750.0000000000005</v>
      </c>
      <c r="J342" s="29">
        <f t="shared" si="10"/>
        <v>1125.0000000000002</v>
      </c>
      <c r="K342" s="13"/>
      <c r="L342" s="10"/>
    </row>
    <row r="343" spans="1:12">
      <c r="A343" s="13"/>
      <c r="B343" s="48"/>
      <c r="C343" s="13"/>
      <c r="D343" s="49">
        <v>10000</v>
      </c>
      <c r="E343" s="51">
        <v>7.0000000000000007E-2</v>
      </c>
      <c r="F343" s="42" t="s">
        <v>4036</v>
      </c>
      <c r="G343" s="50">
        <v>40934</v>
      </c>
      <c r="H343" s="49">
        <v>10</v>
      </c>
      <c r="I343" s="49">
        <f t="shared" si="11"/>
        <v>1750.0000000000005</v>
      </c>
      <c r="J343" s="29">
        <f t="shared" si="10"/>
        <v>1125.0000000000002</v>
      </c>
      <c r="K343" s="13"/>
      <c r="L343" s="10"/>
    </row>
    <row r="344" spans="1:12">
      <c r="A344" s="13"/>
      <c r="B344" s="48"/>
      <c r="C344" s="13"/>
      <c r="D344" s="49">
        <v>50000</v>
      </c>
      <c r="E344" s="51">
        <v>7.4999999999999997E-2</v>
      </c>
      <c r="F344" s="42">
        <v>15</v>
      </c>
      <c r="G344" s="50">
        <v>40953</v>
      </c>
      <c r="H344" s="49">
        <v>3</v>
      </c>
      <c r="I344" s="49">
        <f t="shared" si="11"/>
        <v>5625</v>
      </c>
      <c r="J344" s="29">
        <f t="shared" si="10"/>
        <v>3750</v>
      </c>
      <c r="K344" s="13"/>
      <c r="L344" s="10"/>
    </row>
    <row r="345" spans="1:12">
      <c r="A345" s="13"/>
      <c r="B345" s="48"/>
      <c r="C345" s="13"/>
      <c r="D345" s="49">
        <v>10000</v>
      </c>
      <c r="E345" s="51">
        <v>7.0000000000000007E-2</v>
      </c>
      <c r="F345" s="42" t="s">
        <v>4036</v>
      </c>
      <c r="G345" s="50">
        <v>40989</v>
      </c>
      <c r="H345" s="49">
        <v>10</v>
      </c>
      <c r="I345" s="49">
        <f t="shared" si="11"/>
        <v>1750.0000000000005</v>
      </c>
      <c r="J345" s="29">
        <f t="shared" si="10"/>
        <v>1125.0000000000002</v>
      </c>
      <c r="K345" s="13"/>
      <c r="L345" s="10"/>
    </row>
    <row r="346" spans="1:12">
      <c r="A346" s="13"/>
      <c r="B346" s="48"/>
      <c r="C346" s="13"/>
      <c r="D346" s="49">
        <v>60000</v>
      </c>
      <c r="E346" s="51">
        <v>7.4999999999999997E-2</v>
      </c>
      <c r="F346" s="42">
        <v>15</v>
      </c>
      <c r="G346" s="50">
        <v>41002</v>
      </c>
      <c r="H346" s="49">
        <v>13</v>
      </c>
      <c r="I346" s="49">
        <f t="shared" si="11"/>
        <v>29250</v>
      </c>
      <c r="J346" s="29">
        <f t="shared" si="10"/>
        <v>19499.999999999996</v>
      </c>
      <c r="K346" s="13"/>
      <c r="L346" s="10"/>
    </row>
    <row r="347" spans="1:12">
      <c r="A347" s="13"/>
      <c r="B347" s="48"/>
      <c r="C347" s="13"/>
      <c r="D347" s="49">
        <v>10000</v>
      </c>
      <c r="E347" s="51">
        <v>7.0000000000000007E-2</v>
      </c>
      <c r="F347" s="42" t="s">
        <v>4036</v>
      </c>
      <c r="G347" s="50">
        <v>41038</v>
      </c>
      <c r="H347" s="49">
        <v>10</v>
      </c>
      <c r="I347" s="49">
        <f t="shared" si="11"/>
        <v>1750.0000000000005</v>
      </c>
      <c r="J347" s="29">
        <f t="shared" si="10"/>
        <v>1125.0000000000002</v>
      </c>
      <c r="K347" s="13"/>
      <c r="L347" s="10"/>
    </row>
    <row r="348" spans="1:12">
      <c r="A348" s="13"/>
      <c r="B348" s="48"/>
      <c r="C348" s="13"/>
      <c r="D348" s="49">
        <v>185000</v>
      </c>
      <c r="E348" s="51">
        <v>7.4999999999999997E-2</v>
      </c>
      <c r="F348" s="42">
        <v>15</v>
      </c>
      <c r="G348" s="50">
        <v>41053</v>
      </c>
      <c r="H348" s="49">
        <v>9</v>
      </c>
      <c r="I348" s="49">
        <f t="shared" si="11"/>
        <v>62437.5</v>
      </c>
      <c r="J348" s="29">
        <f t="shared" si="10"/>
        <v>41625</v>
      </c>
      <c r="K348" s="13"/>
      <c r="L348" s="10"/>
    </row>
    <row r="349" spans="1:12">
      <c r="A349" s="13"/>
      <c r="B349" s="48"/>
      <c r="C349" s="13"/>
      <c r="D349" s="49">
        <v>10000</v>
      </c>
      <c r="E349" s="51">
        <v>7.0000000000000007E-2</v>
      </c>
      <c r="F349" s="42" t="s">
        <v>4036</v>
      </c>
      <c r="G349" s="50">
        <v>41073</v>
      </c>
      <c r="H349" s="49">
        <v>10</v>
      </c>
      <c r="I349" s="49">
        <f t="shared" si="11"/>
        <v>1750.0000000000005</v>
      </c>
      <c r="J349" s="29">
        <f t="shared" si="10"/>
        <v>1125.0000000000002</v>
      </c>
      <c r="K349" s="13"/>
      <c r="L349" s="10"/>
    </row>
    <row r="350" spans="1:12">
      <c r="A350" s="13"/>
      <c r="B350" s="48"/>
      <c r="C350" s="13"/>
      <c r="D350" s="49">
        <v>10000</v>
      </c>
      <c r="E350" s="51">
        <v>7.0000000000000007E-2</v>
      </c>
      <c r="F350" s="42" t="s">
        <v>4036</v>
      </c>
      <c r="G350" s="50">
        <v>41113</v>
      </c>
      <c r="H350" s="49">
        <v>10</v>
      </c>
      <c r="I350" s="49">
        <f t="shared" si="11"/>
        <v>1750.0000000000005</v>
      </c>
      <c r="J350" s="29">
        <f t="shared" si="10"/>
        <v>1125.0000000000002</v>
      </c>
      <c r="K350" s="13"/>
      <c r="L350" s="10"/>
    </row>
    <row r="351" spans="1:12">
      <c r="A351" s="13"/>
      <c r="B351" s="48"/>
      <c r="C351" s="13"/>
      <c r="D351" s="49">
        <v>10000</v>
      </c>
      <c r="E351" s="51">
        <v>7.0000000000000007E-2</v>
      </c>
      <c r="F351" s="42" t="s">
        <v>4036</v>
      </c>
      <c r="G351" s="50">
        <v>41162</v>
      </c>
      <c r="H351" s="49">
        <v>10</v>
      </c>
      <c r="I351" s="49">
        <f t="shared" si="11"/>
        <v>1750.0000000000005</v>
      </c>
      <c r="J351" s="29">
        <f t="shared" si="10"/>
        <v>1125.0000000000002</v>
      </c>
      <c r="K351" s="13"/>
      <c r="L351" s="10"/>
    </row>
    <row r="352" spans="1:12">
      <c r="A352" s="13"/>
      <c r="B352" s="48"/>
      <c r="C352" s="13"/>
      <c r="D352" s="49">
        <v>10000</v>
      </c>
      <c r="E352" s="51">
        <v>7.0000000000000007E-2</v>
      </c>
      <c r="F352" s="42" t="s">
        <v>4036</v>
      </c>
      <c r="G352" s="50">
        <v>41232</v>
      </c>
      <c r="H352" s="49">
        <v>10</v>
      </c>
      <c r="I352" s="49">
        <f t="shared" si="11"/>
        <v>1750.0000000000005</v>
      </c>
      <c r="J352" s="29">
        <f t="shared" si="10"/>
        <v>1125.0000000000002</v>
      </c>
      <c r="K352" s="13"/>
      <c r="L352" s="10"/>
    </row>
    <row r="353" spans="1:12">
      <c r="A353" s="13"/>
      <c r="B353" s="48"/>
      <c r="C353" s="13"/>
      <c r="D353" s="49">
        <v>20000</v>
      </c>
      <c r="E353" s="51">
        <v>7.4999999999999997E-2</v>
      </c>
      <c r="F353" s="42">
        <v>15</v>
      </c>
      <c r="G353" s="50">
        <v>41238</v>
      </c>
      <c r="H353" s="49">
        <v>2</v>
      </c>
      <c r="I353" s="49">
        <f t="shared" si="11"/>
        <v>1500</v>
      </c>
      <c r="J353" s="29">
        <f t="shared" si="10"/>
        <v>999.99999999999989</v>
      </c>
      <c r="K353" s="13"/>
      <c r="L353" s="10"/>
    </row>
    <row r="354" spans="1:12">
      <c r="A354" s="13">
        <v>61</v>
      </c>
      <c r="B354" s="48">
        <v>2937</v>
      </c>
      <c r="C354" s="13" t="s">
        <v>1088</v>
      </c>
      <c r="D354" s="49">
        <v>80000</v>
      </c>
      <c r="E354" s="51">
        <v>7.4999999999999997E-2</v>
      </c>
      <c r="F354" s="42">
        <v>15</v>
      </c>
      <c r="G354" s="50">
        <v>40788</v>
      </c>
      <c r="H354" s="49">
        <v>5</v>
      </c>
      <c r="I354" s="49">
        <f t="shared" si="11"/>
        <v>15000</v>
      </c>
      <c r="J354" s="29">
        <f t="shared" si="10"/>
        <v>9999.9999999999982</v>
      </c>
      <c r="K354" s="13" t="s">
        <v>783</v>
      </c>
      <c r="L354" s="10"/>
    </row>
    <row r="355" spans="1:12">
      <c r="A355" s="13"/>
      <c r="B355" s="48"/>
      <c r="C355" s="13"/>
      <c r="D355" s="49">
        <v>130000</v>
      </c>
      <c r="E355" s="51">
        <v>7.4999999999999997E-2</v>
      </c>
      <c r="F355" s="42">
        <v>15</v>
      </c>
      <c r="G355" s="50">
        <v>40864</v>
      </c>
      <c r="H355" s="49">
        <v>5</v>
      </c>
      <c r="I355" s="49">
        <f t="shared" si="11"/>
        <v>24375</v>
      </c>
      <c r="J355" s="29">
        <f t="shared" si="10"/>
        <v>16249.999999999998</v>
      </c>
      <c r="K355" s="13"/>
      <c r="L355" s="10"/>
    </row>
    <row r="356" spans="1:12">
      <c r="A356" s="13"/>
      <c r="B356" s="48"/>
      <c r="C356" s="13"/>
      <c r="D356" s="49">
        <v>80000</v>
      </c>
      <c r="E356" s="51">
        <v>7.4999999999999997E-2</v>
      </c>
      <c r="F356" s="42">
        <v>15</v>
      </c>
      <c r="G356" s="50">
        <v>40938</v>
      </c>
      <c r="H356" s="49">
        <v>8</v>
      </c>
      <c r="I356" s="49">
        <f t="shared" si="11"/>
        <v>24000</v>
      </c>
      <c r="J356" s="29">
        <f t="shared" si="10"/>
        <v>15999.999999999998</v>
      </c>
      <c r="K356" s="13"/>
      <c r="L356" s="10"/>
    </row>
    <row r="357" spans="1:12">
      <c r="A357" s="13"/>
      <c r="B357" s="48"/>
      <c r="C357" s="13"/>
      <c r="D357" s="49">
        <v>130000</v>
      </c>
      <c r="E357" s="51">
        <v>7.4999999999999997E-2</v>
      </c>
      <c r="F357" s="42">
        <v>15</v>
      </c>
      <c r="G357" s="50">
        <v>41054</v>
      </c>
      <c r="H357" s="49">
        <v>4</v>
      </c>
      <c r="I357" s="49">
        <f t="shared" si="11"/>
        <v>19500</v>
      </c>
      <c r="J357" s="29">
        <f t="shared" si="10"/>
        <v>12999.999999999998</v>
      </c>
      <c r="K357" s="13"/>
      <c r="L357" s="10"/>
    </row>
    <row r="358" spans="1:12">
      <c r="A358" s="13"/>
      <c r="B358" s="48"/>
      <c r="C358" s="13"/>
      <c r="D358" s="49">
        <v>80000</v>
      </c>
      <c r="E358" s="51">
        <v>7.4999999999999997E-2</v>
      </c>
      <c r="F358" s="42">
        <v>15</v>
      </c>
      <c r="G358" s="50">
        <v>41114</v>
      </c>
      <c r="H358" s="49">
        <v>3</v>
      </c>
      <c r="I358" s="49">
        <f t="shared" si="11"/>
        <v>9000</v>
      </c>
      <c r="J358" s="29">
        <f t="shared" si="10"/>
        <v>5999.9999999999991</v>
      </c>
      <c r="K358" s="13"/>
      <c r="L358" s="10"/>
    </row>
    <row r="359" spans="1:12">
      <c r="A359" s="13"/>
      <c r="B359" s="48"/>
      <c r="C359" s="13"/>
      <c r="D359" s="49">
        <v>130000</v>
      </c>
      <c r="E359" s="51">
        <v>7.4999999999999997E-2</v>
      </c>
      <c r="F359" s="42">
        <v>15</v>
      </c>
      <c r="G359" s="50">
        <v>41155</v>
      </c>
      <c r="H359" s="49">
        <v>11</v>
      </c>
      <c r="I359" s="49">
        <f t="shared" si="11"/>
        <v>53625</v>
      </c>
      <c r="J359" s="29">
        <f t="shared" si="10"/>
        <v>35749.999999999993</v>
      </c>
      <c r="K359" s="13"/>
      <c r="L359" s="10"/>
    </row>
    <row r="360" spans="1:12">
      <c r="A360" s="13">
        <v>62</v>
      </c>
      <c r="B360" s="48">
        <v>2943</v>
      </c>
      <c r="C360" s="13" t="s">
        <v>1087</v>
      </c>
      <c r="D360" s="49">
        <v>20000</v>
      </c>
      <c r="E360" s="51">
        <v>7.0000000000000007E-2</v>
      </c>
      <c r="F360" s="42" t="s">
        <v>4036</v>
      </c>
      <c r="G360" s="50">
        <v>40770</v>
      </c>
      <c r="H360" s="49">
        <v>10</v>
      </c>
      <c r="I360" s="49">
        <f t="shared" si="11"/>
        <v>3500.0000000000009</v>
      </c>
      <c r="J360" s="29">
        <f t="shared" si="10"/>
        <v>2250.0000000000005</v>
      </c>
      <c r="K360" s="13" t="s">
        <v>784</v>
      </c>
      <c r="L360" s="10"/>
    </row>
    <row r="361" spans="1:12">
      <c r="A361" s="13"/>
      <c r="B361" s="48"/>
      <c r="C361" s="13"/>
      <c r="D361" s="49">
        <v>120000</v>
      </c>
      <c r="E361" s="51">
        <v>7.4999999999999997E-2</v>
      </c>
      <c r="F361" s="42">
        <v>15</v>
      </c>
      <c r="G361" s="50">
        <v>40789</v>
      </c>
      <c r="H361" s="49">
        <v>7</v>
      </c>
      <c r="I361" s="49">
        <f t="shared" si="11"/>
        <v>31500</v>
      </c>
      <c r="J361" s="29">
        <f t="shared" si="10"/>
        <v>20999.999999999996</v>
      </c>
      <c r="K361" s="13"/>
      <c r="L361" s="10"/>
    </row>
    <row r="362" spans="1:12">
      <c r="A362" s="13"/>
      <c r="B362" s="48"/>
      <c r="C362" s="13"/>
      <c r="D362" s="49">
        <v>10000</v>
      </c>
      <c r="E362" s="51">
        <v>7.0000000000000007E-2</v>
      </c>
      <c r="F362" s="42" t="s">
        <v>4036</v>
      </c>
      <c r="G362" s="50">
        <v>40805</v>
      </c>
      <c r="H362" s="49">
        <v>10</v>
      </c>
      <c r="I362" s="49">
        <f t="shared" si="11"/>
        <v>1750.0000000000005</v>
      </c>
      <c r="J362" s="29">
        <f t="shared" si="10"/>
        <v>1125.0000000000002</v>
      </c>
      <c r="K362" s="13"/>
      <c r="L362" s="10"/>
    </row>
    <row r="363" spans="1:12">
      <c r="A363" s="13"/>
      <c r="B363" s="48"/>
      <c r="C363" s="13"/>
      <c r="D363" s="49">
        <v>20000</v>
      </c>
      <c r="E363" s="51">
        <v>7.0000000000000007E-2</v>
      </c>
      <c r="F363" s="42" t="s">
        <v>4036</v>
      </c>
      <c r="G363" s="50">
        <v>40822</v>
      </c>
      <c r="H363" s="49">
        <v>10</v>
      </c>
      <c r="I363" s="49">
        <f t="shared" si="11"/>
        <v>3500.0000000000009</v>
      </c>
      <c r="J363" s="29">
        <f t="shared" si="10"/>
        <v>2250.0000000000005</v>
      </c>
      <c r="K363" s="13"/>
      <c r="L363" s="10"/>
    </row>
    <row r="364" spans="1:12">
      <c r="A364" s="13"/>
      <c r="B364" s="48"/>
      <c r="C364" s="13"/>
      <c r="D364" s="49">
        <v>10000</v>
      </c>
      <c r="E364" s="51">
        <v>7.0000000000000007E-2</v>
      </c>
      <c r="F364" s="42" t="s">
        <v>4036</v>
      </c>
      <c r="G364" s="50">
        <v>40854</v>
      </c>
      <c r="H364" s="49">
        <v>10</v>
      </c>
      <c r="I364" s="49">
        <f t="shared" si="11"/>
        <v>1750.0000000000005</v>
      </c>
      <c r="J364" s="29">
        <f t="shared" si="10"/>
        <v>1125.0000000000002</v>
      </c>
      <c r="K364" s="13"/>
      <c r="L364" s="10"/>
    </row>
    <row r="365" spans="1:12">
      <c r="A365" s="13"/>
      <c r="B365" s="48"/>
      <c r="C365" s="13"/>
      <c r="D365" s="49">
        <v>20000</v>
      </c>
      <c r="E365" s="51">
        <v>7.0000000000000007E-2</v>
      </c>
      <c r="F365" s="42" t="s">
        <v>4036</v>
      </c>
      <c r="G365" s="50">
        <v>40871</v>
      </c>
      <c r="H365" s="49">
        <v>10</v>
      </c>
      <c r="I365" s="49">
        <f t="shared" si="11"/>
        <v>3500.0000000000009</v>
      </c>
      <c r="J365" s="29">
        <f t="shared" si="10"/>
        <v>2250.0000000000005</v>
      </c>
      <c r="K365" s="13"/>
      <c r="L365" s="10"/>
    </row>
    <row r="366" spans="1:12">
      <c r="A366" s="13"/>
      <c r="B366" s="48"/>
      <c r="C366" s="13"/>
      <c r="D366" s="49">
        <v>130000</v>
      </c>
      <c r="E366" s="51">
        <v>7.4999999999999997E-2</v>
      </c>
      <c r="F366" s="42">
        <v>15</v>
      </c>
      <c r="G366" s="50">
        <v>40894</v>
      </c>
      <c r="H366" s="49">
        <v>1</v>
      </c>
      <c r="I366" s="49">
        <f t="shared" si="11"/>
        <v>4875</v>
      </c>
      <c r="J366" s="29">
        <f t="shared" si="10"/>
        <v>3249.9999999999995</v>
      </c>
      <c r="K366" s="13"/>
      <c r="L366" s="10"/>
    </row>
    <row r="367" spans="1:12">
      <c r="A367" s="13"/>
      <c r="B367" s="48"/>
      <c r="C367" s="13"/>
      <c r="D367" s="49">
        <v>30000</v>
      </c>
      <c r="E367" s="51">
        <v>7.4999999999999997E-2</v>
      </c>
      <c r="F367" s="42">
        <v>15</v>
      </c>
      <c r="G367" s="50">
        <v>40921</v>
      </c>
      <c r="H367" s="49">
        <v>15</v>
      </c>
      <c r="I367" s="49">
        <f t="shared" si="11"/>
        <v>16875</v>
      </c>
      <c r="J367" s="29">
        <f t="shared" si="10"/>
        <v>11249.999999999998</v>
      </c>
      <c r="K367" s="13"/>
      <c r="L367" s="10"/>
    </row>
    <row r="368" spans="1:12">
      <c r="A368" s="13"/>
      <c r="B368" s="48"/>
      <c r="C368" s="13"/>
      <c r="D368" s="49">
        <v>10000</v>
      </c>
      <c r="E368" s="51">
        <v>7.4999999999999997E-2</v>
      </c>
      <c r="F368" s="42">
        <v>15</v>
      </c>
      <c r="G368" s="50">
        <v>40941</v>
      </c>
      <c r="H368" s="49">
        <v>15</v>
      </c>
      <c r="I368" s="49">
        <f t="shared" si="11"/>
        <v>5625</v>
      </c>
      <c r="J368" s="29">
        <f t="shared" si="10"/>
        <v>3749.9999999999995</v>
      </c>
      <c r="K368" s="13"/>
      <c r="L368" s="10"/>
    </row>
    <row r="369" spans="1:12">
      <c r="A369" s="13"/>
      <c r="B369" s="48"/>
      <c r="C369" s="13"/>
      <c r="D369" s="49">
        <v>20000</v>
      </c>
      <c r="E369" s="51">
        <v>7.0000000000000007E-2</v>
      </c>
      <c r="F369" s="42" t="s">
        <v>4036</v>
      </c>
      <c r="G369" s="50">
        <v>40945</v>
      </c>
      <c r="H369" s="49">
        <v>10</v>
      </c>
      <c r="I369" s="49">
        <f t="shared" si="11"/>
        <v>3500.0000000000009</v>
      </c>
      <c r="J369" s="29">
        <f t="shared" si="10"/>
        <v>2250.0000000000005</v>
      </c>
      <c r="K369" s="13"/>
      <c r="L369" s="10"/>
    </row>
    <row r="370" spans="1:12">
      <c r="A370" s="13"/>
      <c r="B370" s="48"/>
      <c r="C370" s="13"/>
      <c r="D370" s="49">
        <v>20000</v>
      </c>
      <c r="E370" s="51">
        <v>7.0000000000000007E-2</v>
      </c>
      <c r="F370" s="42" t="s">
        <v>4036</v>
      </c>
      <c r="G370" s="50">
        <v>40987</v>
      </c>
      <c r="H370" s="49">
        <v>10</v>
      </c>
      <c r="I370" s="49">
        <f t="shared" si="11"/>
        <v>3500.0000000000009</v>
      </c>
      <c r="J370" s="29">
        <f t="shared" si="10"/>
        <v>2250.0000000000005</v>
      </c>
      <c r="K370" s="13"/>
      <c r="L370" s="10"/>
    </row>
    <row r="371" spans="1:12">
      <c r="A371" s="13"/>
      <c r="B371" s="48"/>
      <c r="C371" s="13"/>
      <c r="D371" s="49">
        <v>20000</v>
      </c>
      <c r="E371" s="51">
        <v>7.0000000000000007E-2</v>
      </c>
      <c r="F371" s="42" t="s">
        <v>4036</v>
      </c>
      <c r="G371" s="50">
        <v>41022</v>
      </c>
      <c r="H371" s="49">
        <v>10</v>
      </c>
      <c r="I371" s="49">
        <f t="shared" si="11"/>
        <v>3500.0000000000009</v>
      </c>
      <c r="J371" s="29">
        <f t="shared" si="10"/>
        <v>2250.0000000000005</v>
      </c>
      <c r="K371" s="13"/>
      <c r="L371" s="10"/>
    </row>
    <row r="372" spans="1:12">
      <c r="A372" s="13"/>
      <c r="B372" s="48"/>
      <c r="C372" s="13"/>
      <c r="D372" s="49">
        <v>20000</v>
      </c>
      <c r="E372" s="51">
        <v>7.0000000000000007E-2</v>
      </c>
      <c r="F372" s="42" t="s">
        <v>4036</v>
      </c>
      <c r="G372" s="50">
        <v>41064</v>
      </c>
      <c r="H372" s="49">
        <v>10</v>
      </c>
      <c r="I372" s="49">
        <f t="shared" si="11"/>
        <v>3500.0000000000009</v>
      </c>
      <c r="J372" s="29">
        <f t="shared" si="10"/>
        <v>2250.0000000000005</v>
      </c>
      <c r="K372" s="13"/>
      <c r="L372" s="10"/>
    </row>
    <row r="373" spans="1:12">
      <c r="A373" s="13"/>
      <c r="B373" s="48"/>
      <c r="C373" s="13"/>
      <c r="D373" s="49">
        <v>20000</v>
      </c>
      <c r="E373" s="51">
        <v>7.0000000000000007E-2</v>
      </c>
      <c r="F373" s="42" t="s">
        <v>4036</v>
      </c>
      <c r="G373" s="50">
        <v>41106</v>
      </c>
      <c r="H373" s="49">
        <v>10</v>
      </c>
      <c r="I373" s="49">
        <f t="shared" si="11"/>
        <v>3500.0000000000009</v>
      </c>
      <c r="J373" s="29">
        <f t="shared" si="10"/>
        <v>2250.0000000000005</v>
      </c>
      <c r="K373" s="13"/>
      <c r="L373" s="10"/>
    </row>
    <row r="374" spans="1:12">
      <c r="A374" s="13"/>
      <c r="B374" s="48"/>
      <c r="C374" s="13"/>
      <c r="D374" s="49">
        <v>40000</v>
      </c>
      <c r="E374" s="51">
        <v>7.4999999999999997E-2</v>
      </c>
      <c r="F374" s="42">
        <v>15</v>
      </c>
      <c r="G374" s="50">
        <v>41126</v>
      </c>
      <c r="H374" s="49">
        <v>3</v>
      </c>
      <c r="I374" s="49">
        <f t="shared" si="11"/>
        <v>4500</v>
      </c>
      <c r="J374" s="29">
        <f t="shared" si="10"/>
        <v>2999.9999999999995</v>
      </c>
      <c r="K374" s="13"/>
      <c r="L374" s="10"/>
    </row>
    <row r="375" spans="1:12">
      <c r="A375" s="13"/>
      <c r="B375" s="48"/>
      <c r="C375" s="13"/>
      <c r="D375" s="49">
        <v>20000</v>
      </c>
      <c r="E375" s="51">
        <v>7.0000000000000007E-2</v>
      </c>
      <c r="F375" s="42" t="s">
        <v>4036</v>
      </c>
      <c r="G375" s="50">
        <v>41141</v>
      </c>
      <c r="H375" s="49">
        <v>10</v>
      </c>
      <c r="I375" s="49">
        <f t="shared" si="11"/>
        <v>3500.0000000000009</v>
      </c>
      <c r="J375" s="29">
        <f t="shared" si="10"/>
        <v>2250.0000000000005</v>
      </c>
      <c r="K375" s="13"/>
      <c r="L375" s="10"/>
    </row>
    <row r="376" spans="1:12">
      <c r="A376" s="13"/>
      <c r="B376" s="48"/>
      <c r="C376" s="13"/>
      <c r="D376" s="49">
        <v>10000</v>
      </c>
      <c r="E376" s="51">
        <v>7.4999999999999997E-2</v>
      </c>
      <c r="F376" s="42">
        <v>15</v>
      </c>
      <c r="G376" s="50">
        <v>41166</v>
      </c>
      <c r="H376" s="49">
        <v>2</v>
      </c>
      <c r="I376" s="49">
        <f t="shared" si="11"/>
        <v>750</v>
      </c>
      <c r="J376" s="29">
        <f t="shared" si="10"/>
        <v>499.99999999999994</v>
      </c>
      <c r="K376" s="13"/>
      <c r="L376" s="10"/>
    </row>
    <row r="377" spans="1:12">
      <c r="A377" s="13"/>
      <c r="B377" s="48"/>
      <c r="C377" s="13"/>
      <c r="D377" s="49">
        <v>20000</v>
      </c>
      <c r="E377" s="51">
        <v>7.4999999999999997E-2</v>
      </c>
      <c r="F377" s="42">
        <v>15</v>
      </c>
      <c r="G377" s="50">
        <v>41199</v>
      </c>
      <c r="H377" s="49">
        <v>2</v>
      </c>
      <c r="I377" s="49">
        <f t="shared" si="11"/>
        <v>1500</v>
      </c>
      <c r="J377" s="29">
        <f t="shared" si="10"/>
        <v>999.99999999999989</v>
      </c>
      <c r="K377" s="13"/>
      <c r="L377" s="10"/>
    </row>
    <row r="378" spans="1:12">
      <c r="A378" s="13"/>
      <c r="B378" s="48"/>
      <c r="C378" s="13"/>
      <c r="D378" s="49">
        <v>20000</v>
      </c>
      <c r="E378" s="51">
        <v>7.0000000000000007E-2</v>
      </c>
      <c r="F378" s="42" t="s">
        <v>4036</v>
      </c>
      <c r="G378" s="50">
        <v>41204</v>
      </c>
      <c r="H378" s="49">
        <v>10</v>
      </c>
      <c r="I378" s="49">
        <f t="shared" si="11"/>
        <v>3500.0000000000009</v>
      </c>
      <c r="J378" s="29">
        <f t="shared" si="10"/>
        <v>2250.0000000000005</v>
      </c>
      <c r="K378" s="13"/>
      <c r="L378" s="10"/>
    </row>
    <row r="379" spans="1:12">
      <c r="A379" s="13"/>
      <c r="B379" s="48"/>
      <c r="C379" s="13"/>
      <c r="D379" s="49">
        <v>40000</v>
      </c>
      <c r="E379" s="51">
        <v>7.4999999999999997E-2</v>
      </c>
      <c r="F379" s="42">
        <v>15</v>
      </c>
      <c r="G379" s="50">
        <v>41225</v>
      </c>
      <c r="H379" s="49">
        <v>4</v>
      </c>
      <c r="I379" s="49">
        <f t="shared" si="11"/>
        <v>6000</v>
      </c>
      <c r="J379" s="29">
        <f t="shared" si="10"/>
        <v>3999.9999999999995</v>
      </c>
      <c r="K379" s="13"/>
      <c r="L379" s="10"/>
    </row>
    <row r="380" spans="1:12">
      <c r="A380" s="13"/>
      <c r="B380" s="48"/>
      <c r="C380" s="13"/>
      <c r="D380" s="49">
        <v>20000</v>
      </c>
      <c r="E380" s="51">
        <v>7.0000000000000007E-2</v>
      </c>
      <c r="F380" s="42" t="s">
        <v>4036</v>
      </c>
      <c r="G380" s="50">
        <v>41246</v>
      </c>
      <c r="H380" s="49">
        <v>10</v>
      </c>
      <c r="I380" s="49">
        <f t="shared" si="11"/>
        <v>3500.0000000000009</v>
      </c>
      <c r="J380" s="29">
        <f t="shared" si="10"/>
        <v>2250.0000000000005</v>
      </c>
      <c r="K380" s="13"/>
      <c r="L380" s="10"/>
    </row>
    <row r="381" spans="1:12">
      <c r="A381" s="13">
        <v>63</v>
      </c>
      <c r="B381" s="48">
        <v>2951</v>
      </c>
      <c r="C381" s="13" t="s">
        <v>1104</v>
      </c>
      <c r="D381" s="49">
        <v>30000</v>
      </c>
      <c r="E381" s="51">
        <v>7.0000000000000007E-2</v>
      </c>
      <c r="F381" s="42" t="s">
        <v>4036</v>
      </c>
      <c r="G381" s="50">
        <v>40798</v>
      </c>
      <c r="H381" s="49">
        <v>10</v>
      </c>
      <c r="I381" s="49">
        <f t="shared" si="11"/>
        <v>5250</v>
      </c>
      <c r="J381" s="29">
        <f t="shared" si="10"/>
        <v>3375.0000000000009</v>
      </c>
      <c r="K381" s="13" t="s">
        <v>785</v>
      </c>
      <c r="L381" s="10"/>
    </row>
    <row r="382" spans="1:12">
      <c r="A382" s="13"/>
      <c r="B382" s="48"/>
      <c r="C382" s="13"/>
      <c r="D382" s="49">
        <v>30000</v>
      </c>
      <c r="E382" s="51">
        <v>7.0000000000000007E-2</v>
      </c>
      <c r="F382" s="42" t="s">
        <v>4036</v>
      </c>
      <c r="G382" s="50">
        <v>40858</v>
      </c>
      <c r="H382" s="49">
        <v>10</v>
      </c>
      <c r="I382" s="49">
        <f t="shared" si="11"/>
        <v>5250</v>
      </c>
      <c r="J382" s="29">
        <f t="shared" si="10"/>
        <v>3375.0000000000009</v>
      </c>
      <c r="K382" s="13"/>
      <c r="L382" s="10"/>
    </row>
    <row r="383" spans="1:12">
      <c r="A383" s="13"/>
      <c r="B383" s="48"/>
      <c r="C383" s="13"/>
      <c r="D383" s="49">
        <v>30000</v>
      </c>
      <c r="E383" s="51">
        <v>7.0000000000000007E-2</v>
      </c>
      <c r="F383" s="42" t="s">
        <v>4036</v>
      </c>
      <c r="G383" s="50">
        <v>40920</v>
      </c>
      <c r="H383" s="49">
        <v>10</v>
      </c>
      <c r="I383" s="49">
        <f t="shared" si="11"/>
        <v>5250</v>
      </c>
      <c r="J383" s="29">
        <f t="shared" si="10"/>
        <v>3375.0000000000009</v>
      </c>
      <c r="K383" s="13"/>
      <c r="L383" s="10"/>
    </row>
    <row r="384" spans="1:12">
      <c r="A384" s="13"/>
      <c r="B384" s="48"/>
      <c r="C384" s="13"/>
      <c r="D384" s="49">
        <v>30000</v>
      </c>
      <c r="E384" s="51">
        <v>7.0000000000000007E-2</v>
      </c>
      <c r="F384" s="42" t="s">
        <v>4036</v>
      </c>
      <c r="G384" s="50">
        <v>40982</v>
      </c>
      <c r="H384" s="49">
        <v>10</v>
      </c>
      <c r="I384" s="49">
        <f t="shared" si="11"/>
        <v>5250</v>
      </c>
      <c r="J384" s="29">
        <f t="shared" si="10"/>
        <v>3375.0000000000009</v>
      </c>
      <c r="K384" s="13"/>
      <c r="L384" s="10"/>
    </row>
    <row r="385" spans="1:12">
      <c r="A385" s="13"/>
      <c r="B385" s="48"/>
      <c r="C385" s="13"/>
      <c r="D385" s="49">
        <v>20000</v>
      </c>
      <c r="E385" s="51">
        <v>7.0000000000000007E-2</v>
      </c>
      <c r="F385" s="42" t="s">
        <v>4036</v>
      </c>
      <c r="G385" s="50">
        <v>41072</v>
      </c>
      <c r="H385" s="49">
        <v>10</v>
      </c>
      <c r="I385" s="49">
        <f t="shared" si="11"/>
        <v>3500.0000000000009</v>
      </c>
      <c r="J385" s="29">
        <f t="shared" si="10"/>
        <v>2250.0000000000005</v>
      </c>
      <c r="K385" s="13"/>
      <c r="L385" s="10"/>
    </row>
    <row r="386" spans="1:12">
      <c r="A386" s="13"/>
      <c r="B386" s="48"/>
      <c r="C386" s="13"/>
      <c r="D386" s="49">
        <v>20000</v>
      </c>
      <c r="E386" s="51">
        <v>7.0000000000000007E-2</v>
      </c>
      <c r="F386" s="42" t="s">
        <v>4036</v>
      </c>
      <c r="G386" s="50">
        <v>41134</v>
      </c>
      <c r="H386" s="49">
        <v>10</v>
      </c>
      <c r="I386" s="49">
        <f t="shared" si="11"/>
        <v>3500.0000000000009</v>
      </c>
      <c r="J386" s="29">
        <f t="shared" ref="J386:J449" si="12">IF(F386="分期",D386*(E386-0.025)*2.5*H386/10,D386*(E386-0.025)*F386/30*H386)</f>
        <v>2250.0000000000005</v>
      </c>
      <c r="K386" s="13"/>
      <c r="L386" s="10"/>
    </row>
    <row r="387" spans="1:12">
      <c r="A387" s="13"/>
      <c r="B387" s="48"/>
      <c r="C387" s="13"/>
      <c r="D387" s="49">
        <v>20000</v>
      </c>
      <c r="E387" s="51">
        <v>7.0000000000000007E-2</v>
      </c>
      <c r="F387" s="42" t="s">
        <v>4036</v>
      </c>
      <c r="G387" s="50">
        <v>41201</v>
      </c>
      <c r="H387" s="49">
        <v>10</v>
      </c>
      <c r="I387" s="49">
        <f t="shared" si="11"/>
        <v>3500.0000000000009</v>
      </c>
      <c r="J387" s="29">
        <f t="shared" si="12"/>
        <v>2250.0000000000005</v>
      </c>
      <c r="K387" s="13"/>
      <c r="L387" s="10"/>
    </row>
    <row r="388" spans="1:12">
      <c r="A388" s="13"/>
      <c r="B388" s="48"/>
      <c r="C388" s="13"/>
      <c r="D388" s="49">
        <v>20000</v>
      </c>
      <c r="E388" s="51">
        <v>7.0000000000000007E-2</v>
      </c>
      <c r="F388" s="42" t="s">
        <v>4036</v>
      </c>
      <c r="G388" s="50">
        <v>41264</v>
      </c>
      <c r="H388" s="49">
        <v>5</v>
      </c>
      <c r="I388" s="49">
        <f t="shared" ref="I388:I451" si="13">IF(F388="分期",D388*E388*2.5*H388/10,D388*E388*F388*H388/30)</f>
        <v>1750.0000000000005</v>
      </c>
      <c r="J388" s="29">
        <f t="shared" si="12"/>
        <v>1125.0000000000002</v>
      </c>
      <c r="K388" s="13"/>
      <c r="L388" s="10"/>
    </row>
    <row r="389" spans="1:12">
      <c r="A389" s="13">
        <v>64</v>
      </c>
      <c r="B389" s="48">
        <v>2953</v>
      </c>
      <c r="C389" s="13" t="s">
        <v>1396</v>
      </c>
      <c r="D389" s="49">
        <v>50000</v>
      </c>
      <c r="E389" s="51">
        <v>7.4999999999999997E-2</v>
      </c>
      <c r="F389" s="42">
        <v>15</v>
      </c>
      <c r="G389" s="50">
        <v>40796</v>
      </c>
      <c r="H389" s="49">
        <v>14</v>
      </c>
      <c r="I389" s="49">
        <f t="shared" si="13"/>
        <v>26250</v>
      </c>
      <c r="J389" s="29">
        <f t="shared" si="12"/>
        <v>17500</v>
      </c>
      <c r="K389" s="13" t="s">
        <v>786</v>
      </c>
      <c r="L389" s="10"/>
    </row>
    <row r="390" spans="1:12">
      <c r="A390" s="13"/>
      <c r="B390" s="48"/>
      <c r="C390" s="13"/>
      <c r="D390" s="49">
        <v>50000</v>
      </c>
      <c r="E390" s="51">
        <v>7.0000000000000007E-2</v>
      </c>
      <c r="F390" s="42" t="s">
        <v>4036</v>
      </c>
      <c r="G390" s="50">
        <v>41057</v>
      </c>
      <c r="H390" s="49">
        <v>10</v>
      </c>
      <c r="I390" s="49">
        <f t="shared" si="13"/>
        <v>8750.0000000000018</v>
      </c>
      <c r="J390" s="29">
        <f t="shared" si="12"/>
        <v>5625.0000000000009</v>
      </c>
      <c r="K390" s="13"/>
      <c r="L390" s="10"/>
    </row>
    <row r="391" spans="1:12">
      <c r="A391" s="13"/>
      <c r="B391" s="48"/>
      <c r="C391" s="13"/>
      <c r="D391" s="49">
        <v>50000</v>
      </c>
      <c r="E391" s="51">
        <v>7.4999999999999997E-2</v>
      </c>
      <c r="F391" s="42">
        <v>15</v>
      </c>
      <c r="G391" s="50">
        <v>41103</v>
      </c>
      <c r="H391" s="49">
        <v>2</v>
      </c>
      <c r="I391" s="49">
        <f t="shared" si="13"/>
        <v>3750</v>
      </c>
      <c r="J391" s="29">
        <f t="shared" si="12"/>
        <v>2500</v>
      </c>
      <c r="K391" s="13"/>
      <c r="L391" s="10"/>
    </row>
    <row r="392" spans="1:12">
      <c r="A392" s="13"/>
      <c r="B392" s="48"/>
      <c r="C392" s="13"/>
      <c r="D392" s="49">
        <v>50000</v>
      </c>
      <c r="E392" s="51">
        <v>7.0000000000000007E-2</v>
      </c>
      <c r="F392" s="42" t="s">
        <v>4036</v>
      </c>
      <c r="G392" s="50">
        <v>41113</v>
      </c>
      <c r="H392" s="49">
        <v>10</v>
      </c>
      <c r="I392" s="49">
        <f t="shared" si="13"/>
        <v>8750.0000000000018</v>
      </c>
      <c r="J392" s="29">
        <f t="shared" si="12"/>
        <v>5625.0000000000009</v>
      </c>
      <c r="K392" s="13"/>
      <c r="L392" s="10"/>
    </row>
    <row r="393" spans="1:12">
      <c r="A393" s="13"/>
      <c r="B393" s="48"/>
      <c r="C393" s="13"/>
      <c r="D393" s="49">
        <v>100000</v>
      </c>
      <c r="E393" s="51">
        <v>7.4999999999999997E-2</v>
      </c>
      <c r="F393" s="42">
        <v>15</v>
      </c>
      <c r="G393" s="50">
        <v>41133</v>
      </c>
      <c r="H393" s="49">
        <v>1</v>
      </c>
      <c r="I393" s="49">
        <f t="shared" si="13"/>
        <v>3750</v>
      </c>
      <c r="J393" s="29">
        <f t="shared" si="12"/>
        <v>2500</v>
      </c>
      <c r="K393" s="13"/>
      <c r="L393" s="10"/>
    </row>
    <row r="394" spans="1:12">
      <c r="A394" s="13">
        <v>65</v>
      </c>
      <c r="B394" s="48">
        <v>2985</v>
      </c>
      <c r="C394" s="13" t="s">
        <v>3841</v>
      </c>
      <c r="D394" s="49">
        <v>100000</v>
      </c>
      <c r="E394" s="51">
        <v>7.4999999999999997E-2</v>
      </c>
      <c r="F394" s="42">
        <v>15</v>
      </c>
      <c r="G394" s="50">
        <v>40845</v>
      </c>
      <c r="H394" s="49">
        <v>5</v>
      </c>
      <c r="I394" s="49">
        <f t="shared" si="13"/>
        <v>18750</v>
      </c>
      <c r="J394" s="29">
        <f t="shared" si="12"/>
        <v>12500</v>
      </c>
      <c r="K394" s="13" t="s">
        <v>787</v>
      </c>
      <c r="L394" s="10"/>
    </row>
    <row r="395" spans="1:12">
      <c r="A395" s="13"/>
      <c r="B395" s="48"/>
      <c r="C395" s="13"/>
      <c r="D395" s="49">
        <v>150000</v>
      </c>
      <c r="E395" s="51">
        <v>7.4999999999999997E-2</v>
      </c>
      <c r="F395" s="42">
        <v>15</v>
      </c>
      <c r="G395" s="50">
        <v>40920</v>
      </c>
      <c r="H395" s="49">
        <v>8</v>
      </c>
      <c r="I395" s="49">
        <f t="shared" si="13"/>
        <v>45000</v>
      </c>
      <c r="J395" s="29">
        <f t="shared" si="12"/>
        <v>29999.999999999996</v>
      </c>
      <c r="K395" s="13"/>
      <c r="L395" s="10"/>
    </row>
    <row r="396" spans="1:12">
      <c r="A396" s="13"/>
      <c r="B396" s="48"/>
      <c r="C396" s="13"/>
      <c r="D396" s="49">
        <v>150000</v>
      </c>
      <c r="E396" s="51">
        <v>7.4999999999999997E-2</v>
      </c>
      <c r="F396" s="42">
        <v>15</v>
      </c>
      <c r="G396" s="50">
        <v>41058</v>
      </c>
      <c r="H396" s="49">
        <v>9</v>
      </c>
      <c r="I396" s="49">
        <f t="shared" si="13"/>
        <v>50625</v>
      </c>
      <c r="J396" s="29">
        <f t="shared" si="12"/>
        <v>33749.999999999993</v>
      </c>
      <c r="K396" s="13"/>
      <c r="L396" s="10"/>
    </row>
    <row r="397" spans="1:12">
      <c r="A397" s="13"/>
      <c r="B397" s="48"/>
      <c r="C397" s="13"/>
      <c r="D397" s="49">
        <v>200000</v>
      </c>
      <c r="E397" s="51">
        <v>7.4999999999999997E-2</v>
      </c>
      <c r="F397" s="42">
        <v>15</v>
      </c>
      <c r="G397" s="50">
        <v>41189</v>
      </c>
      <c r="H397" s="49">
        <v>8</v>
      </c>
      <c r="I397" s="49">
        <f t="shared" si="13"/>
        <v>60000</v>
      </c>
      <c r="J397" s="29">
        <f t="shared" si="12"/>
        <v>40000</v>
      </c>
      <c r="K397" s="13"/>
      <c r="L397" s="10"/>
    </row>
    <row r="398" spans="1:12">
      <c r="A398" s="13"/>
      <c r="B398" s="48"/>
      <c r="C398" s="13"/>
      <c r="D398" s="49">
        <v>50000</v>
      </c>
      <c r="E398" s="51">
        <v>7.0000000000000007E-2</v>
      </c>
      <c r="F398" s="42" t="s">
        <v>4036</v>
      </c>
      <c r="G398" s="50">
        <v>41237</v>
      </c>
      <c r="H398" s="49">
        <v>10</v>
      </c>
      <c r="I398" s="49">
        <f t="shared" si="13"/>
        <v>8750.0000000000018</v>
      </c>
      <c r="J398" s="29">
        <f t="shared" si="12"/>
        <v>5625.0000000000009</v>
      </c>
      <c r="K398" s="13"/>
      <c r="L398" s="10"/>
    </row>
    <row r="399" spans="1:12">
      <c r="A399" s="13">
        <v>66</v>
      </c>
      <c r="B399" s="48">
        <v>3013</v>
      </c>
      <c r="C399" s="13" t="s">
        <v>1124</v>
      </c>
      <c r="D399" s="49">
        <v>20000</v>
      </c>
      <c r="E399" s="51">
        <v>7.0000000000000007E-2</v>
      </c>
      <c r="F399" s="42" t="s">
        <v>4036</v>
      </c>
      <c r="G399" s="50">
        <v>40742</v>
      </c>
      <c r="H399" s="49">
        <v>10</v>
      </c>
      <c r="I399" s="49">
        <f t="shared" si="13"/>
        <v>3500.0000000000009</v>
      </c>
      <c r="J399" s="29">
        <f t="shared" si="12"/>
        <v>2250.0000000000005</v>
      </c>
      <c r="K399" s="13" t="s">
        <v>788</v>
      </c>
      <c r="L399" s="10"/>
    </row>
    <row r="400" spans="1:12">
      <c r="A400" s="13"/>
      <c r="B400" s="48"/>
      <c r="C400" s="13"/>
      <c r="D400" s="49">
        <v>20000</v>
      </c>
      <c r="E400" s="51">
        <v>7.0000000000000007E-2</v>
      </c>
      <c r="F400" s="42" t="s">
        <v>4036</v>
      </c>
      <c r="G400" s="50">
        <v>40744</v>
      </c>
      <c r="H400" s="49">
        <v>10</v>
      </c>
      <c r="I400" s="49">
        <f t="shared" si="13"/>
        <v>3500.0000000000009</v>
      </c>
      <c r="J400" s="29">
        <f t="shared" si="12"/>
        <v>2250.0000000000005</v>
      </c>
      <c r="K400" s="13"/>
      <c r="L400" s="10"/>
    </row>
    <row r="401" spans="1:12">
      <c r="A401" s="13"/>
      <c r="B401" s="48"/>
      <c r="C401" s="13"/>
      <c r="D401" s="49">
        <v>100000</v>
      </c>
      <c r="E401" s="51">
        <v>7.4999999999999997E-2</v>
      </c>
      <c r="F401" s="42">
        <v>15</v>
      </c>
      <c r="G401" s="50">
        <v>40823</v>
      </c>
      <c r="H401" s="49">
        <v>22</v>
      </c>
      <c r="I401" s="49">
        <f t="shared" si="13"/>
        <v>82500</v>
      </c>
      <c r="J401" s="29">
        <f t="shared" si="12"/>
        <v>55000</v>
      </c>
      <c r="K401" s="13"/>
      <c r="L401" s="10"/>
    </row>
    <row r="402" spans="1:12">
      <c r="A402" s="13"/>
      <c r="B402" s="48"/>
      <c r="C402" s="13"/>
      <c r="D402" s="49">
        <v>30000</v>
      </c>
      <c r="E402" s="51">
        <v>7.0000000000000007E-2</v>
      </c>
      <c r="F402" s="42" t="s">
        <v>4036</v>
      </c>
      <c r="G402" s="50">
        <v>41038</v>
      </c>
      <c r="H402" s="49">
        <v>10</v>
      </c>
      <c r="I402" s="49">
        <f t="shared" si="13"/>
        <v>5250</v>
      </c>
      <c r="J402" s="29">
        <f t="shared" si="12"/>
        <v>3375.0000000000009</v>
      </c>
      <c r="K402" s="13"/>
      <c r="L402" s="10"/>
    </row>
    <row r="403" spans="1:12">
      <c r="A403" s="13"/>
      <c r="B403" s="48"/>
      <c r="C403" s="13"/>
      <c r="D403" s="49">
        <v>30000</v>
      </c>
      <c r="E403" s="51">
        <v>7.0000000000000007E-2</v>
      </c>
      <c r="F403" s="42" t="s">
        <v>4036</v>
      </c>
      <c r="G403" s="50">
        <v>41087</v>
      </c>
      <c r="H403" s="49">
        <v>10</v>
      </c>
      <c r="I403" s="49">
        <f t="shared" si="13"/>
        <v>5250</v>
      </c>
      <c r="J403" s="29">
        <f t="shared" si="12"/>
        <v>3375.0000000000009</v>
      </c>
      <c r="K403" s="13"/>
      <c r="L403" s="10"/>
    </row>
    <row r="404" spans="1:12">
      <c r="A404" s="13"/>
      <c r="B404" s="48"/>
      <c r="C404" s="13"/>
      <c r="D404" s="49">
        <v>30000</v>
      </c>
      <c r="E404" s="51">
        <v>7.0000000000000007E-2</v>
      </c>
      <c r="F404" s="42" t="s">
        <v>4036</v>
      </c>
      <c r="G404" s="50">
        <v>41136</v>
      </c>
      <c r="H404" s="49">
        <v>10</v>
      </c>
      <c r="I404" s="49">
        <f t="shared" si="13"/>
        <v>5250</v>
      </c>
      <c r="J404" s="29">
        <f t="shared" si="12"/>
        <v>3375.0000000000009</v>
      </c>
      <c r="K404" s="13"/>
      <c r="L404" s="10"/>
    </row>
    <row r="405" spans="1:12">
      <c r="A405" s="13"/>
      <c r="B405" s="48"/>
      <c r="C405" s="13"/>
      <c r="D405" s="49">
        <v>30000</v>
      </c>
      <c r="E405" s="51">
        <v>7.0000000000000007E-2</v>
      </c>
      <c r="F405" s="42" t="s">
        <v>4036</v>
      </c>
      <c r="G405" s="50">
        <v>41136</v>
      </c>
      <c r="H405" s="49">
        <v>7</v>
      </c>
      <c r="I405" s="49">
        <f t="shared" si="13"/>
        <v>3675</v>
      </c>
      <c r="J405" s="29">
        <f t="shared" si="12"/>
        <v>2362.5000000000005</v>
      </c>
      <c r="K405" s="13"/>
      <c r="L405" s="10"/>
    </row>
    <row r="406" spans="1:12">
      <c r="A406" s="13">
        <v>67</v>
      </c>
      <c r="B406" s="48">
        <v>3021</v>
      </c>
      <c r="C406" s="13" t="s">
        <v>1839</v>
      </c>
      <c r="D406" s="49">
        <v>100000</v>
      </c>
      <c r="E406" s="51">
        <v>7.4999999999999997E-2</v>
      </c>
      <c r="F406" s="42">
        <v>15</v>
      </c>
      <c r="G406" s="50">
        <v>40789</v>
      </c>
      <c r="H406" s="49">
        <v>34</v>
      </c>
      <c r="I406" s="49">
        <f t="shared" si="13"/>
        <v>127500</v>
      </c>
      <c r="J406" s="29">
        <f t="shared" si="12"/>
        <v>85000</v>
      </c>
      <c r="K406" s="13" t="s">
        <v>789</v>
      </c>
      <c r="L406" s="10"/>
    </row>
    <row r="407" spans="1:12">
      <c r="A407" s="13">
        <v>68</v>
      </c>
      <c r="B407" s="48">
        <v>3023</v>
      </c>
      <c r="C407" s="13" t="s">
        <v>1419</v>
      </c>
      <c r="D407" s="49">
        <v>200000</v>
      </c>
      <c r="E407" s="51">
        <v>7.4999999999999997E-2</v>
      </c>
      <c r="F407" s="42">
        <v>30</v>
      </c>
      <c r="G407" s="50">
        <v>40912</v>
      </c>
      <c r="H407" s="49">
        <v>1</v>
      </c>
      <c r="I407" s="49">
        <f t="shared" si="13"/>
        <v>15000</v>
      </c>
      <c r="J407" s="29">
        <f t="shared" si="12"/>
        <v>10000</v>
      </c>
      <c r="K407" s="13" t="s">
        <v>790</v>
      </c>
      <c r="L407" s="10"/>
    </row>
    <row r="408" spans="1:12">
      <c r="A408" s="13"/>
      <c r="B408" s="48"/>
      <c r="C408" s="13"/>
      <c r="D408" s="49">
        <v>300000</v>
      </c>
      <c r="E408" s="51">
        <v>7.4999999999999997E-2</v>
      </c>
      <c r="F408" s="42">
        <v>30</v>
      </c>
      <c r="G408" s="50">
        <v>40948</v>
      </c>
      <c r="H408" s="49">
        <v>1</v>
      </c>
      <c r="I408" s="49">
        <f t="shared" si="13"/>
        <v>22500</v>
      </c>
      <c r="J408" s="29">
        <f t="shared" si="12"/>
        <v>14999.999999999998</v>
      </c>
      <c r="K408" s="13"/>
      <c r="L408" s="10"/>
    </row>
    <row r="409" spans="1:12">
      <c r="A409" s="13"/>
      <c r="B409" s="48"/>
      <c r="C409" s="13"/>
      <c r="D409" s="49">
        <v>300000</v>
      </c>
      <c r="E409" s="51">
        <v>7.4999999999999997E-2</v>
      </c>
      <c r="F409" s="42">
        <v>30</v>
      </c>
      <c r="G409" s="50">
        <v>40977</v>
      </c>
      <c r="H409" s="49">
        <v>1</v>
      </c>
      <c r="I409" s="49">
        <f t="shared" si="13"/>
        <v>22500</v>
      </c>
      <c r="J409" s="29">
        <f t="shared" si="12"/>
        <v>14999.999999999998</v>
      </c>
      <c r="K409" s="13"/>
      <c r="L409" s="10"/>
    </row>
    <row r="410" spans="1:12">
      <c r="A410" s="13">
        <v>69</v>
      </c>
      <c r="B410" s="48">
        <v>3027</v>
      </c>
      <c r="C410" s="13" t="s">
        <v>1163</v>
      </c>
      <c r="D410" s="49">
        <v>120000</v>
      </c>
      <c r="E410" s="51">
        <v>7.4999999999999997E-2</v>
      </c>
      <c r="F410" s="42">
        <v>15</v>
      </c>
      <c r="G410" s="50">
        <v>40792</v>
      </c>
      <c r="H410" s="49">
        <v>11</v>
      </c>
      <c r="I410" s="49">
        <f t="shared" si="13"/>
        <v>49500</v>
      </c>
      <c r="J410" s="29">
        <f t="shared" si="12"/>
        <v>32999.999999999993</v>
      </c>
      <c r="K410" s="13" t="s">
        <v>791</v>
      </c>
      <c r="L410" s="10"/>
    </row>
    <row r="411" spans="1:12">
      <c r="A411" s="13"/>
      <c r="B411" s="48"/>
      <c r="C411" s="13"/>
      <c r="D411" s="49">
        <v>80000</v>
      </c>
      <c r="E411" s="51">
        <v>7.4999999999999997E-2</v>
      </c>
      <c r="F411" s="42">
        <v>15</v>
      </c>
      <c r="G411" s="50">
        <v>41017</v>
      </c>
      <c r="H411" s="49">
        <v>4</v>
      </c>
      <c r="I411" s="49">
        <f t="shared" si="13"/>
        <v>12000</v>
      </c>
      <c r="J411" s="29">
        <f t="shared" si="12"/>
        <v>7999.9999999999991</v>
      </c>
      <c r="K411" s="13"/>
      <c r="L411" s="10"/>
    </row>
    <row r="412" spans="1:12">
      <c r="A412" s="13"/>
      <c r="B412" s="48"/>
      <c r="C412" s="13"/>
      <c r="D412" s="49">
        <v>120000</v>
      </c>
      <c r="E412" s="51">
        <v>7.4999999999999997E-2</v>
      </c>
      <c r="F412" s="42">
        <v>15</v>
      </c>
      <c r="G412" s="50">
        <v>41077</v>
      </c>
      <c r="H412" s="49">
        <v>5</v>
      </c>
      <c r="I412" s="49">
        <f t="shared" si="13"/>
        <v>22500</v>
      </c>
      <c r="J412" s="29">
        <f t="shared" si="12"/>
        <v>14999.999999999998</v>
      </c>
      <c r="K412" s="13"/>
      <c r="L412" s="10"/>
    </row>
    <row r="413" spans="1:12">
      <c r="A413" s="13"/>
      <c r="B413" s="48"/>
      <c r="C413" s="13"/>
      <c r="D413" s="49">
        <v>150000</v>
      </c>
      <c r="E413" s="51">
        <v>7.4999999999999997E-2</v>
      </c>
      <c r="F413" s="42">
        <v>15</v>
      </c>
      <c r="G413" s="50">
        <v>41152</v>
      </c>
      <c r="H413" s="49">
        <v>9</v>
      </c>
      <c r="I413" s="49">
        <f t="shared" si="13"/>
        <v>50625</v>
      </c>
      <c r="J413" s="29">
        <f t="shared" si="12"/>
        <v>33749.999999999993</v>
      </c>
      <c r="K413" s="13"/>
      <c r="L413" s="10"/>
    </row>
    <row r="414" spans="1:12" ht="32.4">
      <c r="A414" s="13">
        <v>70</v>
      </c>
      <c r="B414" s="48">
        <v>3029</v>
      </c>
      <c r="C414" s="13" t="s">
        <v>1090</v>
      </c>
      <c r="D414" s="49">
        <v>30000</v>
      </c>
      <c r="E414" s="51">
        <v>7.4999999999999997E-2</v>
      </c>
      <c r="F414" s="42">
        <v>15</v>
      </c>
      <c r="G414" s="50">
        <v>40788</v>
      </c>
      <c r="H414" s="49">
        <v>34</v>
      </c>
      <c r="I414" s="49">
        <f t="shared" si="13"/>
        <v>38250</v>
      </c>
      <c r="J414" s="29">
        <f t="shared" si="12"/>
        <v>25499.999999999996</v>
      </c>
      <c r="K414" s="13" t="s">
        <v>792</v>
      </c>
      <c r="L414" s="54" t="s">
        <v>3735</v>
      </c>
    </row>
    <row r="415" spans="1:12">
      <c r="A415" s="13"/>
      <c r="B415" s="55"/>
      <c r="C415" s="26"/>
      <c r="D415" s="49">
        <v>10000</v>
      </c>
      <c r="E415" s="51">
        <v>7.0000000000000007E-2</v>
      </c>
      <c r="F415" s="42" t="s">
        <v>4036</v>
      </c>
      <c r="G415" s="50">
        <v>40794</v>
      </c>
      <c r="H415" s="49">
        <v>7</v>
      </c>
      <c r="I415" s="49">
        <f t="shared" si="13"/>
        <v>1225.0000000000002</v>
      </c>
      <c r="J415" s="29">
        <f t="shared" si="12"/>
        <v>787.50000000000023</v>
      </c>
      <c r="K415" s="13"/>
      <c r="L415" s="10"/>
    </row>
    <row r="416" spans="1:12">
      <c r="A416" s="13"/>
      <c r="B416" s="55"/>
      <c r="C416" s="26"/>
      <c r="D416" s="49">
        <v>10000</v>
      </c>
      <c r="E416" s="51">
        <v>7.0000000000000007E-2</v>
      </c>
      <c r="F416" s="42" t="s">
        <v>4036</v>
      </c>
      <c r="G416" s="50">
        <v>40841</v>
      </c>
      <c r="H416" s="49">
        <v>6</v>
      </c>
      <c r="I416" s="49">
        <f t="shared" si="13"/>
        <v>1050.0000000000002</v>
      </c>
      <c r="J416" s="29">
        <f t="shared" si="12"/>
        <v>675.00000000000023</v>
      </c>
      <c r="K416" s="13"/>
      <c r="L416" s="10"/>
    </row>
    <row r="417" spans="1:12">
      <c r="A417" s="13"/>
      <c r="B417" s="55"/>
      <c r="C417" s="26"/>
      <c r="D417" s="49">
        <v>10000</v>
      </c>
      <c r="E417" s="51">
        <v>7.0000000000000007E-2</v>
      </c>
      <c r="F417" s="42" t="s">
        <v>4036</v>
      </c>
      <c r="G417" s="50">
        <v>40883</v>
      </c>
      <c r="H417" s="49">
        <v>7</v>
      </c>
      <c r="I417" s="49">
        <f t="shared" si="13"/>
        <v>1225.0000000000002</v>
      </c>
      <c r="J417" s="29">
        <f t="shared" si="12"/>
        <v>787.50000000000023</v>
      </c>
      <c r="K417" s="13"/>
      <c r="L417" s="10"/>
    </row>
    <row r="418" spans="1:12">
      <c r="A418" s="13"/>
      <c r="B418" s="55"/>
      <c r="C418" s="26"/>
      <c r="D418" s="49">
        <v>10000</v>
      </c>
      <c r="E418" s="51">
        <v>7.0000000000000007E-2</v>
      </c>
      <c r="F418" s="42" t="s">
        <v>4036</v>
      </c>
      <c r="G418" s="50">
        <v>40927</v>
      </c>
      <c r="H418" s="49">
        <v>7</v>
      </c>
      <c r="I418" s="49">
        <f t="shared" si="13"/>
        <v>1225.0000000000002</v>
      </c>
      <c r="J418" s="29">
        <f t="shared" si="12"/>
        <v>787.50000000000023</v>
      </c>
      <c r="K418" s="13"/>
      <c r="L418" s="10"/>
    </row>
    <row r="419" spans="1:12">
      <c r="A419" s="13"/>
      <c r="B419" s="55"/>
      <c r="C419" s="26"/>
      <c r="D419" s="49">
        <v>10000</v>
      </c>
      <c r="E419" s="51">
        <v>7.0000000000000007E-2</v>
      </c>
      <c r="F419" s="42" t="s">
        <v>4036</v>
      </c>
      <c r="G419" s="50">
        <v>40976</v>
      </c>
      <c r="H419" s="49">
        <v>4</v>
      </c>
      <c r="I419" s="49">
        <f t="shared" si="13"/>
        <v>700.00000000000011</v>
      </c>
      <c r="J419" s="29">
        <f t="shared" si="12"/>
        <v>450.00000000000011</v>
      </c>
      <c r="K419" s="13"/>
      <c r="L419" s="10"/>
    </row>
    <row r="420" spans="1:12">
      <c r="A420" s="13"/>
      <c r="B420" s="55"/>
      <c r="C420" s="26"/>
      <c r="D420" s="49">
        <v>10000</v>
      </c>
      <c r="E420" s="51">
        <v>7.0000000000000007E-2</v>
      </c>
      <c r="F420" s="42" t="s">
        <v>4036</v>
      </c>
      <c r="G420" s="50">
        <v>41008</v>
      </c>
      <c r="H420" s="49">
        <v>6</v>
      </c>
      <c r="I420" s="49">
        <f t="shared" si="13"/>
        <v>1050.0000000000002</v>
      </c>
      <c r="J420" s="29">
        <f t="shared" si="12"/>
        <v>675.00000000000023</v>
      </c>
      <c r="K420" s="13"/>
      <c r="L420" s="10"/>
    </row>
    <row r="421" spans="1:12">
      <c r="A421" s="13"/>
      <c r="B421" s="55"/>
      <c r="C421" s="26"/>
      <c r="D421" s="49">
        <v>10000</v>
      </c>
      <c r="E421" s="51">
        <v>7.0000000000000007E-2</v>
      </c>
      <c r="F421" s="42" t="s">
        <v>4036</v>
      </c>
      <c r="G421" s="50">
        <v>41043</v>
      </c>
      <c r="H421" s="49">
        <v>7</v>
      </c>
      <c r="I421" s="49">
        <f t="shared" si="13"/>
        <v>1225.0000000000002</v>
      </c>
      <c r="J421" s="29">
        <f t="shared" si="12"/>
        <v>787.50000000000023</v>
      </c>
      <c r="K421" s="13"/>
      <c r="L421" s="10"/>
    </row>
    <row r="422" spans="1:12">
      <c r="A422" s="13"/>
      <c r="B422" s="55"/>
      <c r="C422" s="26"/>
      <c r="D422" s="49">
        <v>10000</v>
      </c>
      <c r="E422" s="51">
        <v>7.0000000000000007E-2</v>
      </c>
      <c r="F422" s="42" t="s">
        <v>4036</v>
      </c>
      <c r="G422" s="50">
        <v>41078</v>
      </c>
      <c r="H422" s="49">
        <v>5</v>
      </c>
      <c r="I422" s="49">
        <f t="shared" si="13"/>
        <v>875.00000000000023</v>
      </c>
      <c r="J422" s="29">
        <f t="shared" si="12"/>
        <v>562.50000000000011</v>
      </c>
      <c r="K422" s="13"/>
      <c r="L422" s="10"/>
    </row>
    <row r="423" spans="1:12">
      <c r="A423" s="13"/>
      <c r="B423" s="55"/>
      <c r="C423" s="26"/>
      <c r="D423" s="49">
        <v>10000</v>
      </c>
      <c r="E423" s="51">
        <v>7.0000000000000007E-2</v>
      </c>
      <c r="F423" s="42" t="s">
        <v>4036</v>
      </c>
      <c r="G423" s="50">
        <v>41110</v>
      </c>
      <c r="H423" s="49">
        <v>5</v>
      </c>
      <c r="I423" s="49">
        <f t="shared" si="13"/>
        <v>875.00000000000023</v>
      </c>
      <c r="J423" s="29">
        <f t="shared" si="12"/>
        <v>562.50000000000011</v>
      </c>
      <c r="K423" s="13"/>
      <c r="L423" s="10"/>
    </row>
    <row r="424" spans="1:12">
      <c r="A424" s="13"/>
      <c r="B424" s="55"/>
      <c r="C424" s="26"/>
      <c r="D424" s="49">
        <v>10000</v>
      </c>
      <c r="E424" s="51">
        <v>7.0000000000000007E-2</v>
      </c>
      <c r="F424" s="42" t="s">
        <v>4036</v>
      </c>
      <c r="G424" s="50">
        <v>41141</v>
      </c>
      <c r="H424" s="49">
        <v>7</v>
      </c>
      <c r="I424" s="49">
        <f t="shared" si="13"/>
        <v>1225.0000000000002</v>
      </c>
      <c r="J424" s="29">
        <f t="shared" si="12"/>
        <v>787.50000000000023</v>
      </c>
      <c r="K424" s="13"/>
      <c r="L424" s="10"/>
    </row>
    <row r="425" spans="1:12">
      <c r="A425" s="13"/>
      <c r="B425" s="55"/>
      <c r="C425" s="26"/>
      <c r="D425" s="49">
        <v>10000</v>
      </c>
      <c r="E425" s="51">
        <v>7.0000000000000007E-2</v>
      </c>
      <c r="F425" s="42" t="s">
        <v>4036</v>
      </c>
      <c r="G425" s="50">
        <v>41176</v>
      </c>
      <c r="H425" s="49">
        <v>6</v>
      </c>
      <c r="I425" s="49">
        <f t="shared" si="13"/>
        <v>1050.0000000000002</v>
      </c>
      <c r="J425" s="29">
        <f t="shared" si="12"/>
        <v>675.00000000000023</v>
      </c>
      <c r="K425" s="13"/>
      <c r="L425" s="10"/>
    </row>
    <row r="426" spans="1:12">
      <c r="A426" s="13"/>
      <c r="B426" s="55"/>
      <c r="C426" s="26"/>
      <c r="D426" s="49">
        <v>10000</v>
      </c>
      <c r="E426" s="51">
        <v>7.0000000000000007E-2</v>
      </c>
      <c r="F426" s="42" t="s">
        <v>4036</v>
      </c>
      <c r="G426" s="50">
        <v>41211</v>
      </c>
      <c r="H426" s="49">
        <v>7</v>
      </c>
      <c r="I426" s="49">
        <f t="shared" si="13"/>
        <v>1225.0000000000002</v>
      </c>
      <c r="J426" s="29">
        <f t="shared" si="12"/>
        <v>787.50000000000023</v>
      </c>
      <c r="K426" s="13"/>
      <c r="L426" s="10"/>
    </row>
    <row r="427" spans="1:12">
      <c r="A427" s="13"/>
      <c r="B427" s="55"/>
      <c r="C427" s="26"/>
      <c r="D427" s="49">
        <v>10000</v>
      </c>
      <c r="E427" s="51">
        <v>7.0000000000000007E-2</v>
      </c>
      <c r="F427" s="42" t="s">
        <v>4036</v>
      </c>
      <c r="G427" s="50">
        <v>41247</v>
      </c>
      <c r="H427" s="49">
        <v>6</v>
      </c>
      <c r="I427" s="49">
        <f t="shared" si="13"/>
        <v>1050.0000000000002</v>
      </c>
      <c r="J427" s="29">
        <f t="shared" si="12"/>
        <v>675.00000000000023</v>
      </c>
      <c r="K427" s="13"/>
      <c r="L427" s="10"/>
    </row>
    <row r="428" spans="1:12">
      <c r="A428" s="13"/>
      <c r="B428" s="55"/>
      <c r="C428" s="26"/>
      <c r="D428" s="49">
        <v>10000</v>
      </c>
      <c r="E428" s="51">
        <v>7.0000000000000007E-2</v>
      </c>
      <c r="F428" s="42" t="s">
        <v>4036</v>
      </c>
      <c r="G428" s="50">
        <v>41288</v>
      </c>
      <c r="H428" s="62">
        <v>2</v>
      </c>
      <c r="I428" s="49">
        <f t="shared" si="13"/>
        <v>350.00000000000006</v>
      </c>
      <c r="J428" s="29">
        <f t="shared" si="12"/>
        <v>225.00000000000006</v>
      </c>
      <c r="K428" s="13"/>
      <c r="L428" s="10" t="s">
        <v>1508</v>
      </c>
    </row>
    <row r="429" spans="1:12">
      <c r="A429" s="13">
        <v>71</v>
      </c>
      <c r="B429" s="48">
        <v>3063</v>
      </c>
      <c r="C429" s="13" t="s">
        <v>1081</v>
      </c>
      <c r="D429" s="49">
        <v>10000</v>
      </c>
      <c r="E429" s="51">
        <v>7.0000000000000007E-2</v>
      </c>
      <c r="F429" s="42" t="s">
        <v>4036</v>
      </c>
      <c r="G429" s="50">
        <v>40759</v>
      </c>
      <c r="H429" s="49">
        <v>10</v>
      </c>
      <c r="I429" s="49">
        <f t="shared" si="13"/>
        <v>1750.0000000000005</v>
      </c>
      <c r="J429" s="29">
        <f t="shared" si="12"/>
        <v>1125.0000000000002</v>
      </c>
      <c r="K429" s="13" t="s">
        <v>793</v>
      </c>
      <c r="L429" s="10"/>
    </row>
    <row r="430" spans="1:12">
      <c r="A430" s="13"/>
      <c r="B430" s="48"/>
      <c r="C430" s="13"/>
      <c r="D430" s="49">
        <v>10000</v>
      </c>
      <c r="E430" s="51">
        <v>7.0000000000000007E-2</v>
      </c>
      <c r="F430" s="42" t="s">
        <v>4036</v>
      </c>
      <c r="G430" s="50">
        <v>40784</v>
      </c>
      <c r="H430" s="49">
        <v>10</v>
      </c>
      <c r="I430" s="49">
        <f t="shared" si="13"/>
        <v>1750.0000000000005</v>
      </c>
      <c r="J430" s="29">
        <f t="shared" si="12"/>
        <v>1125.0000000000002</v>
      </c>
      <c r="K430" s="13"/>
      <c r="L430" s="10"/>
    </row>
    <row r="431" spans="1:12">
      <c r="A431" s="13"/>
      <c r="B431" s="48"/>
      <c r="C431" s="13"/>
      <c r="D431" s="49">
        <v>15000</v>
      </c>
      <c r="E431" s="51">
        <v>7.4999999999999997E-2</v>
      </c>
      <c r="F431" s="42">
        <v>15</v>
      </c>
      <c r="G431" s="50">
        <v>40799</v>
      </c>
      <c r="H431" s="49">
        <v>19</v>
      </c>
      <c r="I431" s="49">
        <f t="shared" si="13"/>
        <v>10687.5</v>
      </c>
      <c r="J431" s="29">
        <f t="shared" si="12"/>
        <v>7124.9999999999991</v>
      </c>
      <c r="K431" s="13"/>
      <c r="L431" s="10"/>
    </row>
    <row r="432" spans="1:12">
      <c r="A432" s="13"/>
      <c r="B432" s="48"/>
      <c r="C432" s="13"/>
      <c r="D432" s="49">
        <v>10000</v>
      </c>
      <c r="E432" s="51">
        <v>7.0000000000000007E-2</v>
      </c>
      <c r="F432" s="42" t="s">
        <v>4036</v>
      </c>
      <c r="G432" s="50">
        <v>40821</v>
      </c>
      <c r="H432" s="49">
        <v>10</v>
      </c>
      <c r="I432" s="49">
        <f t="shared" si="13"/>
        <v>1750.0000000000005</v>
      </c>
      <c r="J432" s="29">
        <f t="shared" si="12"/>
        <v>1125.0000000000002</v>
      </c>
      <c r="K432" s="13"/>
      <c r="L432" s="10"/>
    </row>
    <row r="433" spans="1:12">
      <c r="A433" s="13"/>
      <c r="B433" s="48"/>
      <c r="C433" s="13"/>
      <c r="D433" s="49">
        <v>10000</v>
      </c>
      <c r="E433" s="51">
        <v>7.0000000000000007E-2</v>
      </c>
      <c r="F433" s="42" t="s">
        <v>4036</v>
      </c>
      <c r="G433" s="50">
        <v>40840</v>
      </c>
      <c r="H433" s="49">
        <v>10</v>
      </c>
      <c r="I433" s="49">
        <f t="shared" si="13"/>
        <v>1750.0000000000005</v>
      </c>
      <c r="J433" s="29">
        <f t="shared" si="12"/>
        <v>1125.0000000000002</v>
      </c>
      <c r="K433" s="13"/>
      <c r="L433" s="10"/>
    </row>
    <row r="434" spans="1:12">
      <c r="A434" s="13"/>
      <c r="B434" s="48"/>
      <c r="C434" s="13"/>
      <c r="D434" s="49">
        <v>10000</v>
      </c>
      <c r="E434" s="51">
        <v>7.0000000000000007E-2</v>
      </c>
      <c r="F434" s="42" t="s">
        <v>4036</v>
      </c>
      <c r="G434" s="50">
        <v>40876</v>
      </c>
      <c r="H434" s="49">
        <v>10</v>
      </c>
      <c r="I434" s="49">
        <f t="shared" si="13"/>
        <v>1750.0000000000005</v>
      </c>
      <c r="J434" s="29">
        <f t="shared" si="12"/>
        <v>1125.0000000000002</v>
      </c>
      <c r="K434" s="13"/>
      <c r="L434" s="10"/>
    </row>
    <row r="435" spans="1:12">
      <c r="A435" s="13"/>
      <c r="B435" s="48"/>
      <c r="C435" s="13"/>
      <c r="D435" s="49">
        <v>10000</v>
      </c>
      <c r="E435" s="51">
        <v>7.0000000000000007E-2</v>
      </c>
      <c r="F435" s="42" t="s">
        <v>4036</v>
      </c>
      <c r="G435" s="50">
        <v>40890</v>
      </c>
      <c r="H435" s="49">
        <v>10</v>
      </c>
      <c r="I435" s="49">
        <f t="shared" si="13"/>
        <v>1750.0000000000005</v>
      </c>
      <c r="J435" s="29">
        <f t="shared" si="12"/>
        <v>1125.0000000000002</v>
      </c>
      <c r="K435" s="13"/>
      <c r="L435" s="10"/>
    </row>
    <row r="436" spans="1:12">
      <c r="A436" s="13"/>
      <c r="B436" s="48"/>
      <c r="C436" s="13"/>
      <c r="D436" s="49">
        <v>10000</v>
      </c>
      <c r="E436" s="51">
        <v>7.0000000000000007E-2</v>
      </c>
      <c r="F436" s="42" t="s">
        <v>4036</v>
      </c>
      <c r="G436" s="50">
        <v>40946</v>
      </c>
      <c r="H436" s="49">
        <v>10</v>
      </c>
      <c r="I436" s="49">
        <f t="shared" si="13"/>
        <v>1750.0000000000005</v>
      </c>
      <c r="J436" s="29">
        <f t="shared" si="12"/>
        <v>1125.0000000000002</v>
      </c>
      <c r="K436" s="13"/>
      <c r="L436" s="10"/>
    </row>
    <row r="437" spans="1:12">
      <c r="A437" s="13"/>
      <c r="B437" s="48"/>
      <c r="C437" s="13"/>
      <c r="D437" s="49">
        <v>10000</v>
      </c>
      <c r="E437" s="51">
        <v>7.0000000000000007E-2</v>
      </c>
      <c r="F437" s="42" t="s">
        <v>4036</v>
      </c>
      <c r="G437" s="50">
        <v>40977</v>
      </c>
      <c r="H437" s="49">
        <v>10</v>
      </c>
      <c r="I437" s="49">
        <f t="shared" si="13"/>
        <v>1750.0000000000005</v>
      </c>
      <c r="J437" s="29">
        <f t="shared" si="12"/>
        <v>1125.0000000000002</v>
      </c>
      <c r="K437" s="13"/>
      <c r="L437" s="10"/>
    </row>
    <row r="438" spans="1:12">
      <c r="A438" s="13"/>
      <c r="B438" s="48"/>
      <c r="C438" s="13"/>
      <c r="D438" s="49">
        <v>10000</v>
      </c>
      <c r="E438" s="51">
        <v>7.0000000000000007E-2</v>
      </c>
      <c r="F438" s="42" t="s">
        <v>4036</v>
      </c>
      <c r="G438" s="50">
        <v>41002</v>
      </c>
      <c r="H438" s="49">
        <v>10</v>
      </c>
      <c r="I438" s="49">
        <f t="shared" si="13"/>
        <v>1750.0000000000005</v>
      </c>
      <c r="J438" s="29">
        <f t="shared" si="12"/>
        <v>1125.0000000000002</v>
      </c>
      <c r="K438" s="13"/>
      <c r="L438" s="10"/>
    </row>
    <row r="439" spans="1:12">
      <c r="A439" s="13"/>
      <c r="B439" s="48"/>
      <c r="C439" s="13"/>
      <c r="D439" s="49">
        <v>10000</v>
      </c>
      <c r="E439" s="51">
        <v>7.0000000000000007E-2</v>
      </c>
      <c r="F439" s="42" t="s">
        <v>4036</v>
      </c>
      <c r="G439" s="50">
        <v>41029</v>
      </c>
      <c r="H439" s="49">
        <v>10</v>
      </c>
      <c r="I439" s="49">
        <f t="shared" si="13"/>
        <v>1750.0000000000005</v>
      </c>
      <c r="J439" s="29">
        <f t="shared" si="12"/>
        <v>1125.0000000000002</v>
      </c>
      <c r="K439" s="13"/>
      <c r="L439" s="10"/>
    </row>
    <row r="440" spans="1:12">
      <c r="A440" s="13"/>
      <c r="B440" s="48"/>
      <c r="C440" s="13"/>
      <c r="D440" s="49">
        <v>10000</v>
      </c>
      <c r="E440" s="51">
        <v>7.0000000000000007E-2</v>
      </c>
      <c r="F440" s="42" t="s">
        <v>4036</v>
      </c>
      <c r="G440" s="50">
        <v>41054</v>
      </c>
      <c r="H440" s="49">
        <v>10</v>
      </c>
      <c r="I440" s="49">
        <f t="shared" si="13"/>
        <v>1750.0000000000005</v>
      </c>
      <c r="J440" s="29">
        <f t="shared" si="12"/>
        <v>1125.0000000000002</v>
      </c>
      <c r="K440" s="13"/>
      <c r="L440" s="10"/>
    </row>
    <row r="441" spans="1:12">
      <c r="A441" s="13">
        <v>72</v>
      </c>
      <c r="B441" s="48">
        <v>3073</v>
      </c>
      <c r="C441" s="13" t="s">
        <v>3883</v>
      </c>
      <c r="D441" s="49">
        <v>10000</v>
      </c>
      <c r="E441" s="51">
        <v>7.4999999999999997E-2</v>
      </c>
      <c r="F441" s="42">
        <v>30</v>
      </c>
      <c r="G441" s="50">
        <v>40699</v>
      </c>
      <c r="H441" s="49">
        <v>3</v>
      </c>
      <c r="I441" s="49">
        <f t="shared" si="13"/>
        <v>2250</v>
      </c>
      <c r="J441" s="29">
        <f t="shared" si="12"/>
        <v>1499.9999999999998</v>
      </c>
      <c r="K441" s="13" t="s">
        <v>794</v>
      </c>
      <c r="L441" s="10"/>
    </row>
    <row r="442" spans="1:12">
      <c r="A442" s="13"/>
      <c r="B442" s="48"/>
      <c r="C442" s="13"/>
      <c r="D442" s="49">
        <v>10000</v>
      </c>
      <c r="E442" s="51">
        <v>7.4999999999999997E-2</v>
      </c>
      <c r="F442" s="42">
        <v>30</v>
      </c>
      <c r="G442" s="50">
        <v>40736</v>
      </c>
      <c r="H442" s="49">
        <v>9</v>
      </c>
      <c r="I442" s="49">
        <f t="shared" si="13"/>
        <v>6750</v>
      </c>
      <c r="J442" s="29">
        <f t="shared" si="12"/>
        <v>4499.9999999999991</v>
      </c>
      <c r="K442" s="13"/>
      <c r="L442" s="10"/>
    </row>
    <row r="443" spans="1:12">
      <c r="A443" s="13"/>
      <c r="B443" s="48"/>
      <c r="C443" s="13"/>
      <c r="D443" s="49">
        <v>20000</v>
      </c>
      <c r="E443" s="51">
        <v>7.4999999999999997E-2</v>
      </c>
      <c r="F443" s="42">
        <v>30</v>
      </c>
      <c r="G443" s="50">
        <v>40738</v>
      </c>
      <c r="H443" s="49">
        <v>9</v>
      </c>
      <c r="I443" s="49">
        <f t="shared" si="13"/>
        <v>13500</v>
      </c>
      <c r="J443" s="29">
        <f t="shared" si="12"/>
        <v>8999.9999999999982</v>
      </c>
      <c r="K443" s="13"/>
      <c r="L443" s="10"/>
    </row>
    <row r="444" spans="1:12">
      <c r="A444" s="13"/>
      <c r="B444" s="48"/>
      <c r="C444" s="13"/>
      <c r="D444" s="49">
        <v>10000</v>
      </c>
      <c r="E444" s="51">
        <v>7.4999999999999997E-2</v>
      </c>
      <c r="F444" s="42">
        <v>30</v>
      </c>
      <c r="G444" s="50">
        <v>40740</v>
      </c>
      <c r="H444" s="49">
        <v>9</v>
      </c>
      <c r="I444" s="49">
        <f t="shared" si="13"/>
        <v>6750</v>
      </c>
      <c r="J444" s="29">
        <f t="shared" si="12"/>
        <v>4499.9999999999991</v>
      </c>
      <c r="K444" s="13"/>
      <c r="L444" s="10"/>
    </row>
    <row r="445" spans="1:12">
      <c r="A445" s="13"/>
      <c r="B445" s="48"/>
      <c r="C445" s="13"/>
      <c r="D445" s="49">
        <v>10000</v>
      </c>
      <c r="E445" s="51">
        <v>7.4999999999999997E-2</v>
      </c>
      <c r="F445" s="42">
        <v>30</v>
      </c>
      <c r="G445" s="50">
        <v>40740</v>
      </c>
      <c r="H445" s="49">
        <v>9</v>
      </c>
      <c r="I445" s="49">
        <f t="shared" si="13"/>
        <v>6750</v>
      </c>
      <c r="J445" s="29">
        <f t="shared" si="12"/>
        <v>4499.9999999999991</v>
      </c>
      <c r="K445" s="13"/>
      <c r="L445" s="10"/>
    </row>
    <row r="446" spans="1:12">
      <c r="A446" s="13"/>
      <c r="B446" s="48"/>
      <c r="C446" s="13"/>
      <c r="D446" s="49">
        <v>20000</v>
      </c>
      <c r="E446" s="51">
        <v>7.4999999999999997E-2</v>
      </c>
      <c r="F446" s="42">
        <v>30</v>
      </c>
      <c r="G446" s="50">
        <v>40741</v>
      </c>
      <c r="H446" s="49">
        <v>3</v>
      </c>
      <c r="I446" s="49">
        <f t="shared" si="13"/>
        <v>4500</v>
      </c>
      <c r="J446" s="29">
        <f t="shared" si="12"/>
        <v>2999.9999999999995</v>
      </c>
      <c r="K446" s="13"/>
      <c r="L446" s="10"/>
    </row>
    <row r="447" spans="1:12">
      <c r="A447" s="13"/>
      <c r="B447" s="48"/>
      <c r="C447" s="13"/>
      <c r="D447" s="49">
        <v>10000</v>
      </c>
      <c r="E447" s="51">
        <v>7.4999999999999997E-2</v>
      </c>
      <c r="F447" s="42">
        <v>30</v>
      </c>
      <c r="G447" s="50">
        <v>40770</v>
      </c>
      <c r="H447" s="49">
        <v>9</v>
      </c>
      <c r="I447" s="49">
        <f t="shared" si="13"/>
        <v>6750</v>
      </c>
      <c r="J447" s="29">
        <f t="shared" si="12"/>
        <v>4499.9999999999991</v>
      </c>
      <c r="K447" s="13"/>
      <c r="L447" s="10"/>
    </row>
    <row r="448" spans="1:12">
      <c r="A448" s="13">
        <v>73</v>
      </c>
      <c r="B448" s="48">
        <v>3077</v>
      </c>
      <c r="C448" s="13" t="s">
        <v>1058</v>
      </c>
      <c r="D448" s="49">
        <v>50000</v>
      </c>
      <c r="E448" s="51">
        <v>7.4999999999999997E-2</v>
      </c>
      <c r="F448" s="42">
        <v>15</v>
      </c>
      <c r="G448" s="50">
        <v>41045</v>
      </c>
      <c r="H448" s="49">
        <v>6</v>
      </c>
      <c r="I448" s="49">
        <f t="shared" si="13"/>
        <v>11250</v>
      </c>
      <c r="J448" s="29">
        <f t="shared" si="12"/>
        <v>7500</v>
      </c>
      <c r="K448" s="13" t="s">
        <v>795</v>
      </c>
      <c r="L448" s="10"/>
    </row>
    <row r="449" spans="1:12">
      <c r="A449" s="13"/>
      <c r="B449" s="48"/>
      <c r="C449" s="13"/>
      <c r="D449" s="49">
        <v>10000</v>
      </c>
      <c r="E449" s="51">
        <v>7.0000000000000007E-2</v>
      </c>
      <c r="F449" s="42" t="s">
        <v>4036</v>
      </c>
      <c r="G449" s="50">
        <v>41120</v>
      </c>
      <c r="H449" s="49">
        <v>10</v>
      </c>
      <c r="I449" s="49">
        <f t="shared" si="13"/>
        <v>1750.0000000000005</v>
      </c>
      <c r="J449" s="29">
        <f t="shared" si="12"/>
        <v>1125.0000000000002</v>
      </c>
      <c r="K449" s="13"/>
      <c r="L449" s="10"/>
    </row>
    <row r="450" spans="1:12">
      <c r="A450" s="13"/>
      <c r="B450" s="48"/>
      <c r="C450" s="13"/>
      <c r="D450" s="49">
        <v>70000</v>
      </c>
      <c r="E450" s="51">
        <v>7.4999999999999997E-2</v>
      </c>
      <c r="F450" s="42">
        <v>15</v>
      </c>
      <c r="G450" s="50">
        <v>41127</v>
      </c>
      <c r="H450" s="49">
        <v>12</v>
      </c>
      <c r="I450" s="49">
        <f t="shared" si="13"/>
        <v>31500</v>
      </c>
      <c r="J450" s="29">
        <f t="shared" ref="J450:J513" si="14">IF(F450="分期",D450*(E450-0.025)*2.5*H450/10,D450*(E450-0.025)*F450/30*H450)</f>
        <v>20999.999999999996</v>
      </c>
      <c r="K450" s="13"/>
      <c r="L450" s="10"/>
    </row>
    <row r="451" spans="1:12">
      <c r="A451" s="13"/>
      <c r="B451" s="48"/>
      <c r="C451" s="13"/>
      <c r="D451" s="49">
        <v>10000</v>
      </c>
      <c r="E451" s="51">
        <v>7.0000000000000007E-2</v>
      </c>
      <c r="F451" s="42" t="s">
        <v>4036</v>
      </c>
      <c r="G451" s="50">
        <v>41169</v>
      </c>
      <c r="H451" s="49">
        <v>10</v>
      </c>
      <c r="I451" s="49">
        <f t="shared" si="13"/>
        <v>1750.0000000000005</v>
      </c>
      <c r="J451" s="29">
        <f t="shared" si="14"/>
        <v>1125.0000000000002</v>
      </c>
      <c r="K451" s="13"/>
      <c r="L451" s="10"/>
    </row>
    <row r="452" spans="1:12">
      <c r="A452" s="13"/>
      <c r="B452" s="48"/>
      <c r="C452" s="13"/>
      <c r="D452" s="49">
        <v>10000</v>
      </c>
      <c r="E452" s="51">
        <v>7.0000000000000007E-2</v>
      </c>
      <c r="F452" s="42" t="s">
        <v>4036</v>
      </c>
      <c r="G452" s="50">
        <v>41225</v>
      </c>
      <c r="H452" s="49">
        <v>10</v>
      </c>
      <c r="I452" s="49">
        <f t="shared" ref="I452:I515" si="15">IF(F452="分期",D452*E452*2.5*H452/10,D452*E452*F452*H452/30)</f>
        <v>1750.0000000000005</v>
      </c>
      <c r="J452" s="29">
        <f t="shared" si="14"/>
        <v>1125.0000000000002</v>
      </c>
      <c r="K452" s="13"/>
      <c r="L452" s="10"/>
    </row>
    <row r="453" spans="1:12">
      <c r="A453" s="13"/>
      <c r="B453" s="48"/>
      <c r="C453" s="13"/>
      <c r="D453" s="49">
        <v>10000</v>
      </c>
      <c r="E453" s="51">
        <v>7.0000000000000007E-2</v>
      </c>
      <c r="F453" s="42" t="s">
        <v>4036</v>
      </c>
      <c r="G453" s="50">
        <v>41275</v>
      </c>
      <c r="H453" s="49">
        <v>4</v>
      </c>
      <c r="I453" s="49">
        <f t="shared" si="15"/>
        <v>700.00000000000011</v>
      </c>
      <c r="J453" s="29">
        <f t="shared" si="14"/>
        <v>450.00000000000011</v>
      </c>
      <c r="K453" s="13"/>
      <c r="L453" s="10"/>
    </row>
    <row r="454" spans="1:12">
      <c r="A454" s="13">
        <v>74</v>
      </c>
      <c r="B454" s="48">
        <v>3081</v>
      </c>
      <c r="C454" s="13" t="s">
        <v>1970</v>
      </c>
      <c r="D454" s="49">
        <v>40000</v>
      </c>
      <c r="E454" s="51">
        <v>7.4999999999999997E-2</v>
      </c>
      <c r="F454" s="42">
        <v>15</v>
      </c>
      <c r="G454" s="50">
        <v>40800</v>
      </c>
      <c r="H454" s="49">
        <v>24</v>
      </c>
      <c r="I454" s="49">
        <f t="shared" si="15"/>
        <v>36000</v>
      </c>
      <c r="J454" s="29">
        <f t="shared" si="14"/>
        <v>23999.999999999996</v>
      </c>
      <c r="K454" s="13" t="s">
        <v>796</v>
      </c>
      <c r="L454" s="10"/>
    </row>
    <row r="455" spans="1:12">
      <c r="A455" s="13">
        <v>75</v>
      </c>
      <c r="B455" s="48">
        <v>3083</v>
      </c>
      <c r="C455" s="13" t="s">
        <v>1838</v>
      </c>
      <c r="D455" s="49">
        <v>10000</v>
      </c>
      <c r="E455" s="51">
        <v>7.4999999999999997E-2</v>
      </c>
      <c r="F455" s="42">
        <v>15</v>
      </c>
      <c r="G455" s="50">
        <v>40791</v>
      </c>
      <c r="H455" s="49">
        <v>9</v>
      </c>
      <c r="I455" s="49">
        <f t="shared" si="15"/>
        <v>3375</v>
      </c>
      <c r="J455" s="29">
        <f t="shared" si="14"/>
        <v>2249.9999999999995</v>
      </c>
      <c r="K455" s="13" t="s">
        <v>797</v>
      </c>
      <c r="L455" s="10"/>
    </row>
    <row r="456" spans="1:12">
      <c r="A456" s="13"/>
      <c r="B456" s="48"/>
      <c r="C456" s="13"/>
      <c r="D456" s="49">
        <v>20000</v>
      </c>
      <c r="E456" s="51">
        <v>7.4999999999999997E-2</v>
      </c>
      <c r="F456" s="42">
        <v>15</v>
      </c>
      <c r="G456" s="50">
        <v>40926</v>
      </c>
      <c r="H456" s="49">
        <v>25</v>
      </c>
      <c r="I456" s="49">
        <f t="shared" si="15"/>
        <v>18750</v>
      </c>
      <c r="J456" s="29">
        <f t="shared" si="14"/>
        <v>12499.999999999998</v>
      </c>
      <c r="K456" s="13"/>
      <c r="L456" s="10"/>
    </row>
    <row r="457" spans="1:12">
      <c r="A457" s="13"/>
      <c r="B457" s="48"/>
      <c r="C457" s="13"/>
      <c r="D457" s="49">
        <v>80000</v>
      </c>
      <c r="E457" s="51">
        <v>7.4999999999999997E-2</v>
      </c>
      <c r="F457" s="42">
        <v>15</v>
      </c>
      <c r="G457" s="50">
        <v>41214</v>
      </c>
      <c r="H457" s="49">
        <v>6</v>
      </c>
      <c r="I457" s="49">
        <f t="shared" si="15"/>
        <v>18000</v>
      </c>
      <c r="J457" s="29">
        <f t="shared" si="14"/>
        <v>11999.999999999998</v>
      </c>
      <c r="K457" s="13"/>
      <c r="L457" s="10"/>
    </row>
    <row r="458" spans="1:12">
      <c r="A458" s="13">
        <v>76</v>
      </c>
      <c r="B458" s="48">
        <v>3125</v>
      </c>
      <c r="C458" s="13" t="s">
        <v>3483</v>
      </c>
      <c r="D458" s="49">
        <v>40000</v>
      </c>
      <c r="E458" s="51">
        <v>7.4999999999999997E-2</v>
      </c>
      <c r="F458" s="42">
        <v>15</v>
      </c>
      <c r="G458" s="50">
        <v>40802</v>
      </c>
      <c r="H458" s="49">
        <v>5</v>
      </c>
      <c r="I458" s="49">
        <f t="shared" si="15"/>
        <v>7500</v>
      </c>
      <c r="J458" s="29">
        <f t="shared" si="14"/>
        <v>4999.9999999999991</v>
      </c>
      <c r="K458" s="13" t="s">
        <v>798</v>
      </c>
      <c r="L458" s="10"/>
    </row>
    <row r="459" spans="1:12">
      <c r="A459" s="13"/>
      <c r="B459" s="48"/>
      <c r="C459" s="13"/>
      <c r="D459" s="49">
        <v>10000</v>
      </c>
      <c r="E459" s="51">
        <v>7.0000000000000007E-2</v>
      </c>
      <c r="F459" s="42" t="s">
        <v>4036</v>
      </c>
      <c r="G459" s="50">
        <v>40826</v>
      </c>
      <c r="H459" s="49">
        <v>10</v>
      </c>
      <c r="I459" s="49">
        <f t="shared" si="15"/>
        <v>1750.0000000000005</v>
      </c>
      <c r="J459" s="29">
        <f t="shared" si="14"/>
        <v>1125.0000000000002</v>
      </c>
      <c r="K459" s="13"/>
      <c r="L459" s="10"/>
    </row>
    <row r="460" spans="1:12">
      <c r="A460" s="13"/>
      <c r="B460" s="48"/>
      <c r="C460" s="13"/>
      <c r="D460" s="49">
        <v>50000</v>
      </c>
      <c r="E460" s="51">
        <v>7.4999999999999997E-2</v>
      </c>
      <c r="F460" s="42">
        <v>15</v>
      </c>
      <c r="G460" s="50">
        <v>40877</v>
      </c>
      <c r="H460" s="49">
        <v>13</v>
      </c>
      <c r="I460" s="49">
        <f t="shared" si="15"/>
        <v>24375</v>
      </c>
      <c r="J460" s="29">
        <f t="shared" si="14"/>
        <v>16250</v>
      </c>
      <c r="K460" s="13"/>
      <c r="L460" s="10"/>
    </row>
    <row r="461" spans="1:12">
      <c r="A461" s="13"/>
      <c r="B461" s="48"/>
      <c r="C461" s="13"/>
      <c r="D461" s="49">
        <v>10000</v>
      </c>
      <c r="E461" s="51">
        <v>7.0000000000000007E-2</v>
      </c>
      <c r="F461" s="42" t="s">
        <v>4036</v>
      </c>
      <c r="G461" s="50">
        <v>40882</v>
      </c>
      <c r="H461" s="49">
        <v>10</v>
      </c>
      <c r="I461" s="49">
        <f t="shared" si="15"/>
        <v>1750.0000000000005</v>
      </c>
      <c r="J461" s="29">
        <f t="shared" si="14"/>
        <v>1125.0000000000002</v>
      </c>
      <c r="K461" s="13"/>
      <c r="L461" s="10"/>
    </row>
    <row r="462" spans="1:12">
      <c r="A462" s="13"/>
      <c r="B462" s="48"/>
      <c r="C462" s="13"/>
      <c r="D462" s="49">
        <v>10000</v>
      </c>
      <c r="E462" s="51">
        <v>7.0000000000000007E-2</v>
      </c>
      <c r="F462" s="42" t="s">
        <v>4036</v>
      </c>
      <c r="G462" s="50">
        <v>40924</v>
      </c>
      <c r="H462" s="49">
        <v>1</v>
      </c>
      <c r="I462" s="49">
        <f t="shared" si="15"/>
        <v>175.00000000000003</v>
      </c>
      <c r="J462" s="29">
        <f t="shared" si="14"/>
        <v>112.50000000000003</v>
      </c>
      <c r="K462" s="13"/>
      <c r="L462" s="10"/>
    </row>
    <row r="463" spans="1:12">
      <c r="A463" s="13"/>
      <c r="B463" s="48"/>
      <c r="C463" s="13"/>
      <c r="D463" s="49">
        <v>10000</v>
      </c>
      <c r="E463" s="51">
        <v>7.0000000000000007E-2</v>
      </c>
      <c r="F463" s="42" t="s">
        <v>4036</v>
      </c>
      <c r="G463" s="50">
        <v>40926</v>
      </c>
      <c r="H463" s="49">
        <v>10</v>
      </c>
      <c r="I463" s="49">
        <f t="shared" si="15"/>
        <v>1750.0000000000005</v>
      </c>
      <c r="J463" s="29">
        <f t="shared" si="14"/>
        <v>1125.0000000000002</v>
      </c>
      <c r="K463" s="13"/>
      <c r="L463" s="10"/>
    </row>
    <row r="464" spans="1:12">
      <c r="A464" s="13"/>
      <c r="B464" s="48"/>
      <c r="C464" s="13"/>
      <c r="D464" s="49">
        <v>10000</v>
      </c>
      <c r="E464" s="51">
        <v>7.0000000000000007E-2</v>
      </c>
      <c r="F464" s="42" t="s">
        <v>4036</v>
      </c>
      <c r="G464" s="50">
        <v>40988</v>
      </c>
      <c r="H464" s="49">
        <v>10</v>
      </c>
      <c r="I464" s="49">
        <f t="shared" si="15"/>
        <v>1750.0000000000005</v>
      </c>
      <c r="J464" s="29">
        <f t="shared" si="14"/>
        <v>1125.0000000000002</v>
      </c>
      <c r="K464" s="13"/>
      <c r="L464" s="10"/>
    </row>
    <row r="465" spans="1:12">
      <c r="A465" s="13"/>
      <c r="B465" s="48"/>
      <c r="C465" s="13"/>
      <c r="D465" s="49">
        <v>10000</v>
      </c>
      <c r="E465" s="51">
        <v>7.0000000000000007E-2</v>
      </c>
      <c r="F465" s="42" t="s">
        <v>4036</v>
      </c>
      <c r="G465" s="50">
        <v>41029</v>
      </c>
      <c r="H465" s="49">
        <v>10</v>
      </c>
      <c r="I465" s="49">
        <f t="shared" si="15"/>
        <v>1750.0000000000005</v>
      </c>
      <c r="J465" s="29">
        <f t="shared" si="14"/>
        <v>1125.0000000000002</v>
      </c>
      <c r="K465" s="13"/>
      <c r="L465" s="10"/>
    </row>
    <row r="466" spans="1:12">
      <c r="A466" s="13"/>
      <c r="B466" s="48"/>
      <c r="C466" s="13"/>
      <c r="D466" s="49">
        <v>10000</v>
      </c>
      <c r="E466" s="51">
        <v>7.0000000000000007E-2</v>
      </c>
      <c r="F466" s="42" t="s">
        <v>4036</v>
      </c>
      <c r="G466" s="50">
        <v>41039</v>
      </c>
      <c r="H466" s="49">
        <v>10</v>
      </c>
      <c r="I466" s="49">
        <f t="shared" si="15"/>
        <v>1750.0000000000005</v>
      </c>
      <c r="J466" s="29">
        <f t="shared" si="14"/>
        <v>1125.0000000000002</v>
      </c>
      <c r="K466" s="13"/>
      <c r="L466" s="10"/>
    </row>
    <row r="467" spans="1:12">
      <c r="A467" s="13"/>
      <c r="B467" s="48"/>
      <c r="C467" s="13"/>
      <c r="D467" s="49">
        <v>60000</v>
      </c>
      <c r="E467" s="51">
        <v>7.4999999999999997E-2</v>
      </c>
      <c r="F467" s="42">
        <v>15</v>
      </c>
      <c r="G467" s="50">
        <v>41072</v>
      </c>
      <c r="H467" s="49">
        <v>4</v>
      </c>
      <c r="I467" s="49">
        <f t="shared" si="15"/>
        <v>9000</v>
      </c>
      <c r="J467" s="29">
        <f t="shared" si="14"/>
        <v>5999.9999999999991</v>
      </c>
      <c r="K467" s="13"/>
      <c r="L467" s="10"/>
    </row>
    <row r="468" spans="1:12">
      <c r="A468" s="13"/>
      <c r="B468" s="48"/>
      <c r="C468" s="13"/>
      <c r="D468" s="49">
        <v>10000</v>
      </c>
      <c r="E468" s="51">
        <v>7.0000000000000007E-2</v>
      </c>
      <c r="F468" s="42" t="s">
        <v>4036</v>
      </c>
      <c r="G468" s="50">
        <v>41087</v>
      </c>
      <c r="H468" s="49">
        <v>10</v>
      </c>
      <c r="I468" s="49">
        <f t="shared" si="15"/>
        <v>1750.0000000000005</v>
      </c>
      <c r="J468" s="29">
        <f t="shared" si="14"/>
        <v>1125.0000000000002</v>
      </c>
      <c r="K468" s="13"/>
      <c r="L468" s="10"/>
    </row>
    <row r="469" spans="1:12">
      <c r="A469" s="13"/>
      <c r="B469" s="48"/>
      <c r="C469" s="13"/>
      <c r="D469" s="49">
        <v>70000</v>
      </c>
      <c r="E469" s="51">
        <v>7.4999999999999997E-2</v>
      </c>
      <c r="F469" s="42">
        <v>15</v>
      </c>
      <c r="G469" s="50">
        <v>41161</v>
      </c>
      <c r="H469" s="49">
        <v>3</v>
      </c>
      <c r="I469" s="49">
        <f t="shared" si="15"/>
        <v>7875</v>
      </c>
      <c r="J469" s="29">
        <f t="shared" si="14"/>
        <v>5249.9999999999991</v>
      </c>
      <c r="K469" s="13"/>
      <c r="L469" s="10"/>
    </row>
    <row r="470" spans="1:12">
      <c r="A470" s="13"/>
      <c r="B470" s="48"/>
      <c r="C470" s="13"/>
      <c r="D470" s="49">
        <v>75000</v>
      </c>
      <c r="E470" s="51">
        <v>7.4999999999999997E-2</v>
      </c>
      <c r="F470" s="42">
        <v>15</v>
      </c>
      <c r="G470" s="50">
        <v>41206</v>
      </c>
      <c r="H470" s="49">
        <v>4</v>
      </c>
      <c r="I470" s="49">
        <f t="shared" si="15"/>
        <v>11250</v>
      </c>
      <c r="J470" s="29">
        <f t="shared" si="14"/>
        <v>7499.9999999999991</v>
      </c>
      <c r="K470" s="13"/>
      <c r="L470" s="10"/>
    </row>
    <row r="471" spans="1:12">
      <c r="A471" s="13"/>
      <c r="B471" s="48"/>
      <c r="C471" s="13"/>
      <c r="D471" s="49">
        <v>10000</v>
      </c>
      <c r="E471" s="51">
        <v>7.0000000000000007E-2</v>
      </c>
      <c r="F471" s="42" t="s">
        <v>4036</v>
      </c>
      <c r="G471" s="50">
        <v>41228</v>
      </c>
      <c r="H471" s="49">
        <v>10</v>
      </c>
      <c r="I471" s="49">
        <f t="shared" si="15"/>
        <v>1750.0000000000005</v>
      </c>
      <c r="J471" s="29">
        <f t="shared" si="14"/>
        <v>1125.0000000000002</v>
      </c>
      <c r="K471" s="13"/>
      <c r="L471" s="10"/>
    </row>
    <row r="472" spans="1:12">
      <c r="A472" s="13"/>
      <c r="B472" s="48"/>
      <c r="C472" s="13"/>
      <c r="D472" s="49">
        <v>70000</v>
      </c>
      <c r="E472" s="51">
        <v>7.4999999999999997E-2</v>
      </c>
      <c r="F472" s="42">
        <v>15</v>
      </c>
      <c r="G472" s="50">
        <v>41281</v>
      </c>
      <c r="H472" s="49">
        <v>1</v>
      </c>
      <c r="I472" s="49">
        <f t="shared" si="15"/>
        <v>2625</v>
      </c>
      <c r="J472" s="29">
        <f t="shared" si="14"/>
        <v>1749.9999999999998</v>
      </c>
      <c r="K472" s="13"/>
      <c r="L472" s="10"/>
    </row>
    <row r="473" spans="1:12">
      <c r="A473" s="13">
        <v>77</v>
      </c>
      <c r="B473" s="48">
        <v>3131</v>
      </c>
      <c r="C473" s="13" t="s">
        <v>3486</v>
      </c>
      <c r="D473" s="49">
        <v>150000</v>
      </c>
      <c r="E473" s="51">
        <v>7.4999999999999997E-2</v>
      </c>
      <c r="F473" s="42">
        <v>15</v>
      </c>
      <c r="G473" s="50">
        <v>40799</v>
      </c>
      <c r="H473" s="49">
        <v>24</v>
      </c>
      <c r="I473" s="49">
        <f t="shared" si="15"/>
        <v>135000</v>
      </c>
      <c r="J473" s="29">
        <f t="shared" si="14"/>
        <v>89999.999999999985</v>
      </c>
      <c r="K473" s="13" t="s">
        <v>799</v>
      </c>
      <c r="L473" s="10"/>
    </row>
    <row r="474" spans="1:12">
      <c r="A474" s="13">
        <v>78</v>
      </c>
      <c r="B474" s="48">
        <v>3139</v>
      </c>
      <c r="C474" s="13" t="s">
        <v>3882</v>
      </c>
      <c r="D474" s="49">
        <v>40000</v>
      </c>
      <c r="E474" s="51">
        <v>7.4999999999999997E-2</v>
      </c>
      <c r="F474" s="42">
        <v>15</v>
      </c>
      <c r="G474" s="50">
        <v>40788</v>
      </c>
      <c r="H474" s="49">
        <v>6</v>
      </c>
      <c r="I474" s="49">
        <f t="shared" si="15"/>
        <v>9000</v>
      </c>
      <c r="J474" s="29">
        <f t="shared" si="14"/>
        <v>5999.9999999999991</v>
      </c>
      <c r="K474" s="13" t="s">
        <v>800</v>
      </c>
      <c r="L474" s="10"/>
    </row>
    <row r="475" spans="1:12">
      <c r="A475" s="13"/>
      <c r="B475" s="48"/>
      <c r="C475" s="13"/>
      <c r="D475" s="49">
        <v>10000</v>
      </c>
      <c r="E475" s="51">
        <v>7.0000000000000007E-2</v>
      </c>
      <c r="F475" s="42" t="s">
        <v>4036</v>
      </c>
      <c r="G475" s="50">
        <v>40791</v>
      </c>
      <c r="H475" s="49">
        <v>10</v>
      </c>
      <c r="I475" s="49">
        <f t="shared" si="15"/>
        <v>1750.0000000000005</v>
      </c>
      <c r="J475" s="29">
        <f t="shared" si="14"/>
        <v>1125.0000000000002</v>
      </c>
      <c r="K475" s="13"/>
      <c r="L475" s="10"/>
    </row>
    <row r="476" spans="1:12">
      <c r="A476" s="13"/>
      <c r="B476" s="48"/>
      <c r="C476" s="13"/>
      <c r="D476" s="49">
        <v>200000</v>
      </c>
      <c r="E476" s="51">
        <v>7.4999999999999997E-2</v>
      </c>
      <c r="F476" s="42">
        <v>15</v>
      </c>
      <c r="G476" s="50">
        <v>40800</v>
      </c>
      <c r="H476" s="49">
        <v>4</v>
      </c>
      <c r="I476" s="49">
        <f t="shared" si="15"/>
        <v>30000</v>
      </c>
      <c r="J476" s="29">
        <f t="shared" si="14"/>
        <v>20000</v>
      </c>
      <c r="K476" s="13"/>
      <c r="L476" s="10"/>
    </row>
    <row r="477" spans="1:12">
      <c r="A477" s="13"/>
      <c r="B477" s="48"/>
      <c r="C477" s="13"/>
      <c r="D477" s="49">
        <v>10000</v>
      </c>
      <c r="E477" s="51">
        <v>7.0000000000000007E-2</v>
      </c>
      <c r="F477" s="42" t="s">
        <v>4036</v>
      </c>
      <c r="G477" s="50">
        <v>40856</v>
      </c>
      <c r="H477" s="49">
        <v>10</v>
      </c>
      <c r="I477" s="49">
        <f t="shared" si="15"/>
        <v>1750.0000000000005</v>
      </c>
      <c r="J477" s="29">
        <f t="shared" si="14"/>
        <v>1125.0000000000002</v>
      </c>
      <c r="K477" s="13"/>
      <c r="L477" s="10"/>
    </row>
    <row r="478" spans="1:12">
      <c r="A478" s="13"/>
      <c r="B478" s="48"/>
      <c r="C478" s="13"/>
      <c r="D478" s="49">
        <v>100000</v>
      </c>
      <c r="E478" s="51">
        <v>7.4999999999999997E-2</v>
      </c>
      <c r="F478" s="42">
        <v>15</v>
      </c>
      <c r="G478" s="50">
        <v>40860</v>
      </c>
      <c r="H478" s="49">
        <v>21</v>
      </c>
      <c r="I478" s="49">
        <f t="shared" si="15"/>
        <v>78750</v>
      </c>
      <c r="J478" s="29">
        <f t="shared" si="14"/>
        <v>52500</v>
      </c>
      <c r="K478" s="13"/>
      <c r="L478" s="10"/>
    </row>
    <row r="479" spans="1:12">
      <c r="A479" s="13"/>
      <c r="B479" s="48"/>
      <c r="C479" s="13"/>
      <c r="D479" s="49">
        <v>10000</v>
      </c>
      <c r="E479" s="51">
        <v>7.0000000000000007E-2</v>
      </c>
      <c r="F479" s="42" t="s">
        <v>4036</v>
      </c>
      <c r="G479" s="50">
        <v>40924</v>
      </c>
      <c r="H479" s="49">
        <v>10</v>
      </c>
      <c r="I479" s="49">
        <f t="shared" si="15"/>
        <v>1750.0000000000005</v>
      </c>
      <c r="J479" s="29">
        <f t="shared" si="14"/>
        <v>1125.0000000000002</v>
      </c>
      <c r="K479" s="13"/>
      <c r="L479" s="10"/>
    </row>
    <row r="480" spans="1:12">
      <c r="A480" s="13"/>
      <c r="B480" s="48"/>
      <c r="C480" s="13"/>
      <c r="D480" s="49">
        <v>10000</v>
      </c>
      <c r="E480" s="51">
        <v>7.0000000000000007E-2</v>
      </c>
      <c r="F480" s="42" t="s">
        <v>4036</v>
      </c>
      <c r="G480" s="50">
        <v>40994</v>
      </c>
      <c r="H480" s="49">
        <v>10</v>
      </c>
      <c r="I480" s="49">
        <f t="shared" si="15"/>
        <v>1750.0000000000005</v>
      </c>
      <c r="J480" s="29">
        <f t="shared" si="14"/>
        <v>1125.0000000000002</v>
      </c>
      <c r="K480" s="13"/>
      <c r="L480" s="10"/>
    </row>
    <row r="481" spans="1:12">
      <c r="A481" s="13"/>
      <c r="B481" s="48"/>
      <c r="C481" s="13"/>
      <c r="D481" s="49">
        <v>10000</v>
      </c>
      <c r="E481" s="51">
        <v>7.0000000000000007E-2</v>
      </c>
      <c r="F481" s="42" t="s">
        <v>4036</v>
      </c>
      <c r="G481" s="50">
        <v>41059</v>
      </c>
      <c r="H481" s="49">
        <v>10</v>
      </c>
      <c r="I481" s="49">
        <f t="shared" si="15"/>
        <v>1750.0000000000005</v>
      </c>
      <c r="J481" s="29">
        <f t="shared" si="14"/>
        <v>1125.0000000000002</v>
      </c>
      <c r="K481" s="13"/>
      <c r="L481" s="10"/>
    </row>
    <row r="482" spans="1:12">
      <c r="A482" s="13"/>
      <c r="B482" s="48"/>
      <c r="C482" s="13"/>
      <c r="D482" s="49">
        <v>10000</v>
      </c>
      <c r="E482" s="51">
        <v>7.0000000000000007E-2</v>
      </c>
      <c r="F482" s="42" t="s">
        <v>4036</v>
      </c>
      <c r="G482" s="50">
        <v>41121</v>
      </c>
      <c r="H482" s="49">
        <v>10</v>
      </c>
      <c r="I482" s="49">
        <f t="shared" si="15"/>
        <v>1750.0000000000005</v>
      </c>
      <c r="J482" s="29">
        <f t="shared" si="14"/>
        <v>1125.0000000000002</v>
      </c>
      <c r="K482" s="13"/>
      <c r="L482" s="10"/>
    </row>
    <row r="483" spans="1:12">
      <c r="A483" s="13"/>
      <c r="B483" s="48"/>
      <c r="C483" s="13"/>
      <c r="D483" s="49">
        <v>10000</v>
      </c>
      <c r="E483" s="51">
        <v>7.0000000000000007E-2</v>
      </c>
      <c r="F483" s="42" t="s">
        <v>4036</v>
      </c>
      <c r="G483" s="50">
        <v>41134</v>
      </c>
      <c r="H483" s="49">
        <v>10</v>
      </c>
      <c r="I483" s="49">
        <f t="shared" si="15"/>
        <v>1750.0000000000005</v>
      </c>
      <c r="J483" s="29">
        <f t="shared" si="14"/>
        <v>1125.0000000000002</v>
      </c>
      <c r="K483" s="13"/>
      <c r="L483" s="10"/>
    </row>
    <row r="484" spans="1:12">
      <c r="A484" s="13"/>
      <c r="B484" s="48"/>
      <c r="C484" s="13"/>
      <c r="D484" s="49">
        <v>10000</v>
      </c>
      <c r="E484" s="51">
        <v>7.0000000000000007E-2</v>
      </c>
      <c r="F484" s="42" t="s">
        <v>4036</v>
      </c>
      <c r="G484" s="50">
        <v>41179</v>
      </c>
      <c r="H484" s="49">
        <v>10</v>
      </c>
      <c r="I484" s="49">
        <f t="shared" si="15"/>
        <v>1750.0000000000005</v>
      </c>
      <c r="J484" s="29">
        <f t="shared" si="14"/>
        <v>1125.0000000000002</v>
      </c>
      <c r="K484" s="13"/>
      <c r="L484" s="10"/>
    </row>
    <row r="485" spans="1:12">
      <c r="A485" s="13"/>
      <c r="B485" s="48"/>
      <c r="C485" s="13"/>
      <c r="D485" s="49">
        <v>10000</v>
      </c>
      <c r="E485" s="51">
        <v>7.0000000000000007E-2</v>
      </c>
      <c r="F485" s="42" t="s">
        <v>4036</v>
      </c>
      <c r="G485" s="50">
        <v>41190</v>
      </c>
      <c r="H485" s="49">
        <v>10</v>
      </c>
      <c r="I485" s="49">
        <f t="shared" si="15"/>
        <v>1750.0000000000005</v>
      </c>
      <c r="J485" s="29">
        <f t="shared" si="14"/>
        <v>1125.0000000000002</v>
      </c>
      <c r="K485" s="13"/>
      <c r="L485" s="10"/>
    </row>
    <row r="486" spans="1:12">
      <c r="A486" s="13"/>
      <c r="B486" s="48"/>
      <c r="C486" s="13"/>
      <c r="D486" s="49">
        <v>60000</v>
      </c>
      <c r="E486" s="51">
        <v>7.4999999999999997E-2</v>
      </c>
      <c r="F486" s="42">
        <v>15</v>
      </c>
      <c r="G486" s="50">
        <v>41218</v>
      </c>
      <c r="H486" s="49">
        <v>6</v>
      </c>
      <c r="I486" s="49">
        <f t="shared" si="15"/>
        <v>13500</v>
      </c>
      <c r="J486" s="29">
        <f t="shared" si="14"/>
        <v>8999.9999999999982</v>
      </c>
      <c r="K486" s="13"/>
      <c r="L486" s="10"/>
    </row>
    <row r="487" spans="1:12">
      <c r="A487" s="13"/>
      <c r="B487" s="48"/>
      <c r="C487" s="13"/>
      <c r="D487" s="49">
        <v>10000</v>
      </c>
      <c r="E487" s="51">
        <v>7.0000000000000007E-2</v>
      </c>
      <c r="F487" s="42" t="s">
        <v>4036</v>
      </c>
      <c r="G487" s="50">
        <v>41241</v>
      </c>
      <c r="H487" s="49">
        <v>10</v>
      </c>
      <c r="I487" s="49">
        <f t="shared" si="15"/>
        <v>1750.0000000000005</v>
      </c>
      <c r="J487" s="29">
        <f t="shared" si="14"/>
        <v>1125.0000000000002</v>
      </c>
      <c r="K487" s="13"/>
      <c r="L487" s="10"/>
    </row>
    <row r="488" spans="1:12">
      <c r="A488" s="13"/>
      <c r="B488" s="48"/>
      <c r="C488" s="13"/>
      <c r="D488" s="49">
        <v>60000</v>
      </c>
      <c r="E488" s="51">
        <v>7.4999999999999997E-2</v>
      </c>
      <c r="F488" s="42">
        <v>15</v>
      </c>
      <c r="G488" s="50">
        <v>41254</v>
      </c>
      <c r="H488" s="49">
        <v>22</v>
      </c>
      <c r="I488" s="49">
        <f t="shared" si="15"/>
        <v>49500</v>
      </c>
      <c r="J488" s="29">
        <f t="shared" si="14"/>
        <v>32999.999999999993</v>
      </c>
      <c r="K488" s="13"/>
      <c r="L488" s="10"/>
    </row>
    <row r="489" spans="1:12">
      <c r="A489" s="13"/>
      <c r="B489" s="48"/>
      <c r="C489" s="13"/>
      <c r="D489" s="49">
        <v>10000</v>
      </c>
      <c r="E489" s="51">
        <v>7.0000000000000007E-2</v>
      </c>
      <c r="F489" s="42" t="s">
        <v>4036</v>
      </c>
      <c r="G489" s="50">
        <v>41260</v>
      </c>
      <c r="H489" s="49">
        <v>6</v>
      </c>
      <c r="I489" s="49">
        <f t="shared" si="15"/>
        <v>1050.0000000000002</v>
      </c>
      <c r="J489" s="29">
        <f t="shared" si="14"/>
        <v>675.00000000000023</v>
      </c>
      <c r="K489" s="13"/>
      <c r="L489" s="10"/>
    </row>
    <row r="490" spans="1:12" ht="32.4">
      <c r="A490" s="13">
        <v>79</v>
      </c>
      <c r="B490" s="48">
        <v>3145</v>
      </c>
      <c r="C490" s="13" t="s">
        <v>3737</v>
      </c>
      <c r="D490" s="49">
        <v>70000</v>
      </c>
      <c r="E490" s="51">
        <v>7.4999999999999997E-2</v>
      </c>
      <c r="F490" s="42">
        <v>15</v>
      </c>
      <c r="G490" s="50">
        <v>41159</v>
      </c>
      <c r="H490" s="49">
        <v>2</v>
      </c>
      <c r="I490" s="49">
        <f t="shared" si="15"/>
        <v>5250</v>
      </c>
      <c r="J490" s="29">
        <f t="shared" si="14"/>
        <v>3499.9999999999995</v>
      </c>
      <c r="K490" s="13" t="s">
        <v>801</v>
      </c>
      <c r="L490" s="10" t="s">
        <v>3736</v>
      </c>
    </row>
    <row r="491" spans="1:12">
      <c r="A491" s="13"/>
      <c r="B491" s="48"/>
      <c r="C491" s="13"/>
      <c r="D491" s="49">
        <v>90000</v>
      </c>
      <c r="E491" s="51">
        <v>7.4999999999999997E-2</v>
      </c>
      <c r="F491" s="42">
        <v>15</v>
      </c>
      <c r="G491" s="50">
        <v>41189</v>
      </c>
      <c r="H491" s="49">
        <v>4</v>
      </c>
      <c r="I491" s="49">
        <f t="shared" si="15"/>
        <v>13500</v>
      </c>
      <c r="J491" s="29">
        <f t="shared" si="14"/>
        <v>9000</v>
      </c>
      <c r="K491" s="13"/>
      <c r="L491" s="10"/>
    </row>
    <row r="492" spans="1:12">
      <c r="A492" s="13">
        <v>80</v>
      </c>
      <c r="B492" s="48">
        <v>3153</v>
      </c>
      <c r="C492" s="13" t="s">
        <v>1824</v>
      </c>
      <c r="D492" s="49">
        <v>15000</v>
      </c>
      <c r="E492" s="51">
        <v>7.0000000000000007E-2</v>
      </c>
      <c r="F492" s="42" t="s">
        <v>4036</v>
      </c>
      <c r="G492" s="50">
        <v>41157</v>
      </c>
      <c r="H492" s="49">
        <v>10</v>
      </c>
      <c r="I492" s="49">
        <f t="shared" si="15"/>
        <v>2625</v>
      </c>
      <c r="J492" s="29">
        <f t="shared" si="14"/>
        <v>1687.5000000000005</v>
      </c>
      <c r="K492" s="13" t="s">
        <v>802</v>
      </c>
      <c r="L492" s="10"/>
    </row>
    <row r="493" spans="1:12">
      <c r="A493" s="13"/>
      <c r="B493" s="48"/>
      <c r="C493" s="13"/>
      <c r="D493" s="49">
        <v>15000</v>
      </c>
      <c r="E493" s="51">
        <v>7.0000000000000007E-2</v>
      </c>
      <c r="F493" s="42" t="s">
        <v>4036</v>
      </c>
      <c r="G493" s="50">
        <v>41220</v>
      </c>
      <c r="H493" s="49">
        <v>10</v>
      </c>
      <c r="I493" s="49">
        <f t="shared" si="15"/>
        <v>2625</v>
      </c>
      <c r="J493" s="29">
        <f t="shared" si="14"/>
        <v>1687.5000000000005</v>
      </c>
      <c r="K493" s="13"/>
      <c r="L493" s="10"/>
    </row>
    <row r="494" spans="1:12">
      <c r="A494" s="13">
        <v>81</v>
      </c>
      <c r="B494" s="48">
        <v>3157</v>
      </c>
      <c r="C494" s="13" t="s">
        <v>3738</v>
      </c>
      <c r="D494" s="49">
        <v>50000</v>
      </c>
      <c r="E494" s="51">
        <v>7.4999999999999997E-2</v>
      </c>
      <c r="F494" s="42">
        <v>15</v>
      </c>
      <c r="G494" s="50">
        <v>41219</v>
      </c>
      <c r="H494" s="49">
        <v>6</v>
      </c>
      <c r="I494" s="49">
        <f t="shared" si="15"/>
        <v>11250</v>
      </c>
      <c r="J494" s="29">
        <f t="shared" si="14"/>
        <v>7500</v>
      </c>
      <c r="K494" s="13" t="s">
        <v>803</v>
      </c>
      <c r="L494" s="10"/>
    </row>
    <row r="495" spans="1:12">
      <c r="A495" s="13">
        <v>82</v>
      </c>
      <c r="B495" s="48">
        <v>3159</v>
      </c>
      <c r="C495" s="13" t="s">
        <v>4041</v>
      </c>
      <c r="D495" s="49">
        <v>60000</v>
      </c>
      <c r="E495" s="51">
        <v>7.4999999999999997E-2</v>
      </c>
      <c r="F495" s="42">
        <v>15</v>
      </c>
      <c r="G495" s="50">
        <v>41154</v>
      </c>
      <c r="H495" s="49">
        <v>5</v>
      </c>
      <c r="I495" s="49">
        <f t="shared" si="15"/>
        <v>11250</v>
      </c>
      <c r="J495" s="29">
        <f t="shared" si="14"/>
        <v>7499.9999999999991</v>
      </c>
      <c r="K495" s="13" t="s">
        <v>804</v>
      </c>
      <c r="L495" s="10"/>
    </row>
    <row r="496" spans="1:12">
      <c r="A496" s="13">
        <v>83</v>
      </c>
      <c r="B496" s="48">
        <v>3171</v>
      </c>
      <c r="C496" s="13" t="s">
        <v>1060</v>
      </c>
      <c r="D496" s="49">
        <v>140000</v>
      </c>
      <c r="E496" s="51">
        <v>7.4999999999999997E-2</v>
      </c>
      <c r="F496" s="42">
        <v>15</v>
      </c>
      <c r="G496" s="50">
        <v>40799</v>
      </c>
      <c r="H496" s="49">
        <v>11</v>
      </c>
      <c r="I496" s="49">
        <f t="shared" si="15"/>
        <v>57750</v>
      </c>
      <c r="J496" s="29">
        <f t="shared" si="14"/>
        <v>38499.999999999993</v>
      </c>
      <c r="K496" s="13" t="s">
        <v>805</v>
      </c>
      <c r="L496" s="10"/>
    </row>
    <row r="497" spans="1:12">
      <c r="A497" s="13"/>
      <c r="B497" s="48"/>
      <c r="C497" s="13"/>
      <c r="D497" s="49">
        <v>150000</v>
      </c>
      <c r="E497" s="51">
        <v>7.4999999999999997E-2</v>
      </c>
      <c r="F497" s="42">
        <v>15</v>
      </c>
      <c r="G497" s="50">
        <v>40964</v>
      </c>
      <c r="H497" s="49">
        <v>23</v>
      </c>
      <c r="I497" s="49">
        <f t="shared" si="15"/>
        <v>129375</v>
      </c>
      <c r="J497" s="29">
        <f t="shared" si="14"/>
        <v>86249.999999999985</v>
      </c>
      <c r="K497" s="13"/>
      <c r="L497" s="10"/>
    </row>
    <row r="498" spans="1:12">
      <c r="A498" s="13">
        <v>84</v>
      </c>
      <c r="B498" s="48">
        <v>3177</v>
      </c>
      <c r="C498" s="13" t="s">
        <v>1069</v>
      </c>
      <c r="D498" s="49">
        <v>20000</v>
      </c>
      <c r="E498" s="51">
        <v>7.0000000000000007E-2</v>
      </c>
      <c r="F498" s="42" t="s">
        <v>4036</v>
      </c>
      <c r="G498" s="50">
        <v>40392</v>
      </c>
      <c r="H498" s="49">
        <v>1</v>
      </c>
      <c r="I498" s="49">
        <f t="shared" si="15"/>
        <v>350.00000000000006</v>
      </c>
      <c r="J498" s="29">
        <f t="shared" si="14"/>
        <v>225.00000000000006</v>
      </c>
      <c r="K498" s="13" t="s">
        <v>806</v>
      </c>
      <c r="L498" s="10"/>
    </row>
    <row r="499" spans="1:12">
      <c r="A499" s="13"/>
      <c r="B499" s="48"/>
      <c r="C499" s="13"/>
      <c r="D499" s="49">
        <v>60000</v>
      </c>
      <c r="E499" s="51">
        <v>7.4999999999999997E-2</v>
      </c>
      <c r="F499" s="42">
        <v>15</v>
      </c>
      <c r="G499" s="50">
        <v>40585</v>
      </c>
      <c r="H499" s="49">
        <v>24</v>
      </c>
      <c r="I499" s="49">
        <f t="shared" si="15"/>
        <v>54000</v>
      </c>
      <c r="J499" s="29">
        <f t="shared" si="14"/>
        <v>35999.999999999993</v>
      </c>
      <c r="K499" s="13"/>
      <c r="L499" s="10"/>
    </row>
    <row r="500" spans="1:12">
      <c r="A500" s="13"/>
      <c r="B500" s="48"/>
      <c r="C500" s="13"/>
      <c r="D500" s="49">
        <v>30000</v>
      </c>
      <c r="E500" s="51">
        <v>7.4999999999999997E-2</v>
      </c>
      <c r="F500" s="42">
        <v>15</v>
      </c>
      <c r="G500" s="50">
        <v>40800</v>
      </c>
      <c r="H500" s="49">
        <v>10</v>
      </c>
      <c r="I500" s="49">
        <f t="shared" si="15"/>
        <v>11250</v>
      </c>
      <c r="J500" s="29">
        <f t="shared" si="14"/>
        <v>7499.9999999999991</v>
      </c>
      <c r="K500" s="13"/>
      <c r="L500" s="10"/>
    </row>
    <row r="501" spans="1:12">
      <c r="A501" s="13"/>
      <c r="B501" s="48"/>
      <c r="C501" s="13"/>
      <c r="D501" s="49">
        <v>20000</v>
      </c>
      <c r="E501" s="51">
        <v>7.0000000000000007E-2</v>
      </c>
      <c r="F501" s="42" t="s">
        <v>4036</v>
      </c>
      <c r="G501" s="50">
        <v>40819</v>
      </c>
      <c r="H501" s="49">
        <v>10</v>
      </c>
      <c r="I501" s="49">
        <f t="shared" si="15"/>
        <v>3500.0000000000009</v>
      </c>
      <c r="J501" s="29">
        <f t="shared" si="14"/>
        <v>2250.0000000000005</v>
      </c>
      <c r="K501" s="13"/>
      <c r="L501" s="10"/>
    </row>
    <row r="502" spans="1:12">
      <c r="A502" s="13"/>
      <c r="B502" s="48"/>
      <c r="C502" s="13"/>
      <c r="D502" s="49">
        <v>20000</v>
      </c>
      <c r="E502" s="51">
        <v>7.0000000000000007E-2</v>
      </c>
      <c r="F502" s="42" t="s">
        <v>4036</v>
      </c>
      <c r="G502" s="50">
        <v>40875</v>
      </c>
      <c r="H502" s="49">
        <v>10</v>
      </c>
      <c r="I502" s="49">
        <f t="shared" si="15"/>
        <v>3500.0000000000009</v>
      </c>
      <c r="J502" s="29">
        <f t="shared" si="14"/>
        <v>2250.0000000000005</v>
      </c>
      <c r="K502" s="13"/>
      <c r="L502" s="10"/>
    </row>
    <row r="503" spans="1:12">
      <c r="A503" s="13"/>
      <c r="B503" s="48"/>
      <c r="C503" s="13"/>
      <c r="D503" s="49">
        <v>20000</v>
      </c>
      <c r="E503" s="51">
        <v>7.0000000000000007E-2</v>
      </c>
      <c r="F503" s="42" t="s">
        <v>4036</v>
      </c>
      <c r="G503" s="50">
        <v>40931</v>
      </c>
      <c r="H503" s="49">
        <v>10</v>
      </c>
      <c r="I503" s="49">
        <f t="shared" si="15"/>
        <v>3500.0000000000009</v>
      </c>
      <c r="J503" s="29">
        <f t="shared" si="14"/>
        <v>2250.0000000000005</v>
      </c>
      <c r="K503" s="13"/>
      <c r="L503" s="10"/>
    </row>
    <row r="504" spans="1:12">
      <c r="A504" s="13"/>
      <c r="B504" s="48"/>
      <c r="C504" s="13"/>
      <c r="D504" s="49">
        <v>20000</v>
      </c>
      <c r="E504" s="51">
        <v>7.0000000000000007E-2</v>
      </c>
      <c r="F504" s="42" t="s">
        <v>4036</v>
      </c>
      <c r="G504" s="50">
        <v>40989</v>
      </c>
      <c r="H504" s="49">
        <v>10</v>
      </c>
      <c r="I504" s="49">
        <f t="shared" si="15"/>
        <v>3500.0000000000009</v>
      </c>
      <c r="J504" s="29">
        <f t="shared" si="14"/>
        <v>2250.0000000000005</v>
      </c>
      <c r="K504" s="13"/>
      <c r="L504" s="10"/>
    </row>
    <row r="505" spans="1:12">
      <c r="A505" s="13"/>
      <c r="B505" s="48"/>
      <c r="C505" s="13"/>
      <c r="D505" s="49">
        <v>20000</v>
      </c>
      <c r="E505" s="51">
        <v>7.0000000000000007E-2</v>
      </c>
      <c r="F505" s="42" t="s">
        <v>4036</v>
      </c>
      <c r="G505" s="50">
        <v>41046</v>
      </c>
      <c r="H505" s="49">
        <v>10</v>
      </c>
      <c r="I505" s="49">
        <f t="shared" si="15"/>
        <v>3500.0000000000009</v>
      </c>
      <c r="J505" s="29">
        <f t="shared" si="14"/>
        <v>2250.0000000000005</v>
      </c>
      <c r="K505" s="13"/>
      <c r="L505" s="10"/>
    </row>
    <row r="506" spans="1:12">
      <c r="A506" s="13"/>
      <c r="B506" s="48"/>
      <c r="C506" s="13"/>
      <c r="D506" s="49">
        <v>20000</v>
      </c>
      <c r="E506" s="51">
        <v>7.0000000000000007E-2</v>
      </c>
      <c r="F506" s="42" t="s">
        <v>4036</v>
      </c>
      <c r="G506" s="50">
        <v>41100</v>
      </c>
      <c r="H506" s="49">
        <v>10</v>
      </c>
      <c r="I506" s="49">
        <f t="shared" si="15"/>
        <v>3500.0000000000009</v>
      </c>
      <c r="J506" s="29">
        <f t="shared" si="14"/>
        <v>2250.0000000000005</v>
      </c>
      <c r="K506" s="13"/>
      <c r="L506" s="10"/>
    </row>
    <row r="507" spans="1:12">
      <c r="A507" s="13"/>
      <c r="B507" s="48"/>
      <c r="C507" s="13"/>
      <c r="D507" s="49">
        <v>40000</v>
      </c>
      <c r="E507" s="51">
        <v>7.0000000000000007E-2</v>
      </c>
      <c r="F507" s="42" t="s">
        <v>4036</v>
      </c>
      <c r="G507" s="50">
        <v>41157</v>
      </c>
      <c r="H507" s="49">
        <v>10</v>
      </c>
      <c r="I507" s="49">
        <f t="shared" si="15"/>
        <v>7000.0000000000018</v>
      </c>
      <c r="J507" s="29">
        <f t="shared" si="14"/>
        <v>4500.0000000000009</v>
      </c>
      <c r="K507" s="13"/>
      <c r="L507" s="10"/>
    </row>
    <row r="508" spans="1:12">
      <c r="A508" s="13"/>
      <c r="B508" s="48"/>
      <c r="C508" s="13"/>
      <c r="D508" s="49">
        <v>40000</v>
      </c>
      <c r="E508" s="51">
        <v>7.0000000000000007E-2</v>
      </c>
      <c r="F508" s="42" t="s">
        <v>4036</v>
      </c>
      <c r="G508" s="50">
        <v>41206</v>
      </c>
      <c r="H508" s="49">
        <v>10</v>
      </c>
      <c r="I508" s="49">
        <f t="shared" si="15"/>
        <v>7000.0000000000018</v>
      </c>
      <c r="J508" s="29">
        <f t="shared" si="14"/>
        <v>4500.0000000000009</v>
      </c>
      <c r="K508" s="13"/>
      <c r="L508" s="10"/>
    </row>
    <row r="509" spans="1:12">
      <c r="A509" s="13"/>
      <c r="B509" s="48"/>
      <c r="C509" s="13"/>
      <c r="D509" s="49">
        <v>40000</v>
      </c>
      <c r="E509" s="51">
        <v>7.0000000000000007E-2</v>
      </c>
      <c r="F509" s="42" t="s">
        <v>4036</v>
      </c>
      <c r="G509" s="50">
        <v>41256</v>
      </c>
      <c r="H509" s="49">
        <v>6</v>
      </c>
      <c r="I509" s="49">
        <f t="shared" si="15"/>
        <v>4200.0000000000009</v>
      </c>
      <c r="J509" s="29">
        <f t="shared" si="14"/>
        <v>2700.0000000000009</v>
      </c>
      <c r="K509" s="13"/>
      <c r="L509" s="10"/>
    </row>
    <row r="510" spans="1:12">
      <c r="A510" s="13">
        <v>85</v>
      </c>
      <c r="B510" s="48">
        <v>3185</v>
      </c>
      <c r="C510" s="13" t="s">
        <v>3853</v>
      </c>
      <c r="D510" s="49">
        <v>55000</v>
      </c>
      <c r="E510" s="51">
        <v>7.4999999999999997E-2</v>
      </c>
      <c r="F510" s="42">
        <v>15</v>
      </c>
      <c r="G510" s="50">
        <v>40790</v>
      </c>
      <c r="H510" s="49">
        <v>28</v>
      </c>
      <c r="I510" s="49">
        <f t="shared" si="15"/>
        <v>57750</v>
      </c>
      <c r="J510" s="29">
        <f t="shared" si="14"/>
        <v>38499.999999999993</v>
      </c>
      <c r="K510" s="13" t="s">
        <v>807</v>
      </c>
      <c r="L510" s="10"/>
    </row>
    <row r="511" spans="1:12">
      <c r="A511" s="13">
        <v>86</v>
      </c>
      <c r="B511" s="48">
        <v>3193</v>
      </c>
      <c r="C511" s="13" t="s">
        <v>1172</v>
      </c>
      <c r="D511" s="49">
        <v>200000</v>
      </c>
      <c r="E511" s="51">
        <v>7.4999999999999997E-2</v>
      </c>
      <c r="F511" s="42">
        <v>15</v>
      </c>
      <c r="G511" s="50">
        <v>40810</v>
      </c>
      <c r="H511" s="49">
        <v>24</v>
      </c>
      <c r="I511" s="49">
        <f t="shared" si="15"/>
        <v>180000</v>
      </c>
      <c r="J511" s="29">
        <f t="shared" si="14"/>
        <v>120000</v>
      </c>
      <c r="K511" s="13" t="s">
        <v>808</v>
      </c>
      <c r="L511" s="10"/>
    </row>
    <row r="512" spans="1:12">
      <c r="A512" s="13"/>
      <c r="B512" s="48"/>
      <c r="C512" s="13"/>
      <c r="D512" s="49">
        <v>10000</v>
      </c>
      <c r="E512" s="51">
        <v>7.0000000000000007E-2</v>
      </c>
      <c r="F512" s="42" t="s">
        <v>4036</v>
      </c>
      <c r="G512" s="50">
        <v>40812</v>
      </c>
      <c r="H512" s="49">
        <v>10</v>
      </c>
      <c r="I512" s="49">
        <f t="shared" si="15"/>
        <v>1750.0000000000005</v>
      </c>
      <c r="J512" s="29">
        <f t="shared" si="14"/>
        <v>1125.0000000000002</v>
      </c>
      <c r="K512" s="13"/>
      <c r="L512" s="10"/>
    </row>
    <row r="513" spans="1:12">
      <c r="A513" s="13"/>
      <c r="B513" s="48"/>
      <c r="C513" s="13"/>
      <c r="D513" s="49">
        <v>10000</v>
      </c>
      <c r="E513" s="51">
        <v>7.0000000000000007E-2</v>
      </c>
      <c r="F513" s="42" t="s">
        <v>4036</v>
      </c>
      <c r="G513" s="50">
        <v>40868</v>
      </c>
      <c r="H513" s="49">
        <v>10</v>
      </c>
      <c r="I513" s="49">
        <f t="shared" si="15"/>
        <v>1750.0000000000005</v>
      </c>
      <c r="J513" s="29">
        <f t="shared" si="14"/>
        <v>1125.0000000000002</v>
      </c>
      <c r="K513" s="13"/>
      <c r="L513" s="10"/>
    </row>
    <row r="514" spans="1:12">
      <c r="A514" s="13"/>
      <c r="B514" s="48"/>
      <c r="C514" s="13"/>
      <c r="D514" s="49">
        <v>10000</v>
      </c>
      <c r="E514" s="51">
        <v>7.0000000000000007E-2</v>
      </c>
      <c r="F514" s="42" t="s">
        <v>4036</v>
      </c>
      <c r="G514" s="50">
        <v>40925</v>
      </c>
      <c r="H514" s="49">
        <v>10</v>
      </c>
      <c r="I514" s="49">
        <f t="shared" si="15"/>
        <v>1750.0000000000005</v>
      </c>
      <c r="J514" s="29">
        <f t="shared" ref="J514:J577" si="16">IF(F514="分期",D514*(E514-0.025)*2.5*H514/10,D514*(E514-0.025)*F514/30*H514)</f>
        <v>1125.0000000000002</v>
      </c>
      <c r="K514" s="13"/>
      <c r="L514" s="10"/>
    </row>
    <row r="515" spans="1:12">
      <c r="A515" s="13"/>
      <c r="B515" s="48"/>
      <c r="C515" s="13"/>
      <c r="D515" s="49">
        <v>10000</v>
      </c>
      <c r="E515" s="51">
        <v>7.0000000000000007E-2</v>
      </c>
      <c r="F515" s="42" t="s">
        <v>4036</v>
      </c>
      <c r="G515" s="50">
        <v>40980</v>
      </c>
      <c r="H515" s="49">
        <v>10</v>
      </c>
      <c r="I515" s="49">
        <f t="shared" si="15"/>
        <v>1750.0000000000005</v>
      </c>
      <c r="J515" s="29">
        <f t="shared" si="16"/>
        <v>1125.0000000000002</v>
      </c>
      <c r="K515" s="13"/>
      <c r="L515" s="10"/>
    </row>
    <row r="516" spans="1:12">
      <c r="A516" s="13"/>
      <c r="B516" s="48"/>
      <c r="C516" s="13"/>
      <c r="D516" s="49">
        <v>10000</v>
      </c>
      <c r="E516" s="51">
        <v>7.0000000000000007E-2</v>
      </c>
      <c r="F516" s="42" t="s">
        <v>4036</v>
      </c>
      <c r="G516" s="50">
        <v>41039</v>
      </c>
      <c r="H516" s="49">
        <v>10</v>
      </c>
      <c r="I516" s="49">
        <f t="shared" ref="I516:I579" si="17">IF(F516="分期",D516*E516*2.5*H516/10,D516*E516*F516*H516/30)</f>
        <v>1750.0000000000005</v>
      </c>
      <c r="J516" s="29">
        <f t="shared" si="16"/>
        <v>1125.0000000000002</v>
      </c>
      <c r="K516" s="13"/>
      <c r="L516" s="10"/>
    </row>
    <row r="517" spans="1:12">
      <c r="A517" s="13"/>
      <c r="B517" s="48"/>
      <c r="C517" s="13"/>
      <c r="D517" s="49">
        <v>10000</v>
      </c>
      <c r="E517" s="51">
        <v>7.0000000000000007E-2</v>
      </c>
      <c r="F517" s="42" t="s">
        <v>4036</v>
      </c>
      <c r="G517" s="50">
        <v>41095</v>
      </c>
      <c r="H517" s="49">
        <v>10</v>
      </c>
      <c r="I517" s="49">
        <f t="shared" si="17"/>
        <v>1750.0000000000005</v>
      </c>
      <c r="J517" s="29">
        <f t="shared" si="16"/>
        <v>1125.0000000000002</v>
      </c>
      <c r="K517" s="13"/>
      <c r="L517" s="10"/>
    </row>
    <row r="518" spans="1:12">
      <c r="A518" s="13"/>
      <c r="B518" s="48"/>
      <c r="C518" s="13"/>
      <c r="D518" s="49">
        <v>10000</v>
      </c>
      <c r="E518" s="51">
        <v>7.0000000000000007E-2</v>
      </c>
      <c r="F518" s="42" t="s">
        <v>4036</v>
      </c>
      <c r="G518" s="50">
        <v>41150</v>
      </c>
      <c r="H518" s="49">
        <v>3</v>
      </c>
      <c r="I518" s="49">
        <f t="shared" si="17"/>
        <v>525.00000000000011</v>
      </c>
      <c r="J518" s="29">
        <f t="shared" si="16"/>
        <v>337.50000000000011</v>
      </c>
      <c r="K518" s="13"/>
      <c r="L518" s="10"/>
    </row>
    <row r="519" spans="1:12">
      <c r="A519" s="13">
        <v>87</v>
      </c>
      <c r="B519" s="48">
        <v>3195</v>
      </c>
      <c r="C519" s="13" t="s">
        <v>3739</v>
      </c>
      <c r="D519" s="49">
        <v>20000</v>
      </c>
      <c r="E519" s="51">
        <v>7.4999999999999997E-2</v>
      </c>
      <c r="F519" s="42">
        <v>15</v>
      </c>
      <c r="G519" s="50">
        <v>40800</v>
      </c>
      <c r="H519" s="49">
        <v>2</v>
      </c>
      <c r="I519" s="49">
        <f t="shared" si="17"/>
        <v>1500</v>
      </c>
      <c r="J519" s="29">
        <f t="shared" si="16"/>
        <v>999.99999999999989</v>
      </c>
      <c r="K519" s="13" t="s">
        <v>809</v>
      </c>
      <c r="L519" s="10"/>
    </row>
    <row r="520" spans="1:12">
      <c r="A520" s="13">
        <v>88</v>
      </c>
      <c r="B520" s="48">
        <v>3199</v>
      </c>
      <c r="C520" s="13" t="s">
        <v>1161</v>
      </c>
      <c r="D520" s="49">
        <v>10000</v>
      </c>
      <c r="E520" s="51">
        <v>7.0000000000000007E-2</v>
      </c>
      <c r="F520" s="42" t="s">
        <v>4036</v>
      </c>
      <c r="G520" s="50">
        <v>40967</v>
      </c>
      <c r="H520" s="49">
        <v>10</v>
      </c>
      <c r="I520" s="49">
        <f t="shared" si="17"/>
        <v>1750.0000000000005</v>
      </c>
      <c r="J520" s="29">
        <f t="shared" si="16"/>
        <v>1125.0000000000002</v>
      </c>
      <c r="K520" s="13" t="s">
        <v>810</v>
      </c>
      <c r="L520" s="10"/>
    </row>
    <row r="521" spans="1:12">
      <c r="A521" s="13"/>
      <c r="B521" s="48"/>
      <c r="C521" s="13"/>
      <c r="D521" s="49">
        <v>20000</v>
      </c>
      <c r="E521" s="51">
        <v>7.4999999999999997E-2</v>
      </c>
      <c r="F521" s="42">
        <v>15</v>
      </c>
      <c r="G521" s="50">
        <v>40975</v>
      </c>
      <c r="H521" s="49">
        <v>19</v>
      </c>
      <c r="I521" s="49">
        <f t="shared" si="17"/>
        <v>14250</v>
      </c>
      <c r="J521" s="29">
        <f t="shared" si="16"/>
        <v>9499.9999999999982</v>
      </c>
      <c r="K521" s="13"/>
      <c r="L521" s="10"/>
    </row>
    <row r="522" spans="1:12">
      <c r="A522" s="13"/>
      <c r="B522" s="48"/>
      <c r="C522" s="13"/>
      <c r="D522" s="49">
        <v>10000</v>
      </c>
      <c r="E522" s="51">
        <v>7.0000000000000007E-2</v>
      </c>
      <c r="F522" s="42" t="s">
        <v>4036</v>
      </c>
      <c r="G522" s="50">
        <v>41162</v>
      </c>
      <c r="H522" s="49">
        <v>10</v>
      </c>
      <c r="I522" s="49">
        <f t="shared" si="17"/>
        <v>1750.0000000000005</v>
      </c>
      <c r="J522" s="29">
        <f t="shared" si="16"/>
        <v>1125.0000000000002</v>
      </c>
      <c r="K522" s="13"/>
      <c r="L522" s="10"/>
    </row>
    <row r="523" spans="1:12">
      <c r="A523" s="13"/>
      <c r="B523" s="48"/>
      <c r="C523" s="13"/>
      <c r="D523" s="49">
        <v>10000</v>
      </c>
      <c r="E523" s="51">
        <v>7.0000000000000007E-2</v>
      </c>
      <c r="F523" s="42" t="s">
        <v>4036</v>
      </c>
      <c r="G523" s="50">
        <v>41253</v>
      </c>
      <c r="H523" s="49">
        <v>7</v>
      </c>
      <c r="I523" s="49">
        <f t="shared" si="17"/>
        <v>1225.0000000000002</v>
      </c>
      <c r="J523" s="29">
        <f t="shared" si="16"/>
        <v>787.50000000000023</v>
      </c>
      <c r="K523" s="13"/>
      <c r="L523" s="10"/>
    </row>
    <row r="524" spans="1:12">
      <c r="A524" s="13"/>
      <c r="B524" s="48"/>
      <c r="C524" s="13"/>
      <c r="D524" s="49">
        <v>10000</v>
      </c>
      <c r="E524" s="51">
        <v>7.4999999999999997E-2</v>
      </c>
      <c r="F524" s="42">
        <v>15</v>
      </c>
      <c r="G524" s="50">
        <v>41260</v>
      </c>
      <c r="H524" s="49">
        <v>1</v>
      </c>
      <c r="I524" s="49">
        <f t="shared" si="17"/>
        <v>375</v>
      </c>
      <c r="J524" s="29">
        <f t="shared" si="16"/>
        <v>249.99999999999997</v>
      </c>
      <c r="K524" s="13"/>
      <c r="L524" s="10"/>
    </row>
    <row r="525" spans="1:12">
      <c r="A525" s="13"/>
      <c r="B525" s="48"/>
      <c r="C525" s="13"/>
      <c r="D525" s="49">
        <v>20000</v>
      </c>
      <c r="E525" s="51">
        <v>7.4999999999999997E-2</v>
      </c>
      <c r="F525" s="42">
        <v>15</v>
      </c>
      <c r="G525" s="50">
        <v>41271</v>
      </c>
      <c r="H525" s="49">
        <v>2</v>
      </c>
      <c r="I525" s="49">
        <f t="shared" si="17"/>
        <v>1500</v>
      </c>
      <c r="J525" s="29">
        <f t="shared" si="16"/>
        <v>999.99999999999989</v>
      </c>
      <c r="K525" s="13"/>
      <c r="L525" s="10"/>
    </row>
    <row r="526" spans="1:12">
      <c r="A526" s="13">
        <v>89</v>
      </c>
      <c r="B526" s="48">
        <v>3209</v>
      </c>
      <c r="C526" s="13" t="s">
        <v>1824</v>
      </c>
      <c r="D526" s="49">
        <v>15000</v>
      </c>
      <c r="E526" s="51">
        <v>7.0000000000000007E-2</v>
      </c>
      <c r="F526" s="42" t="s">
        <v>4036</v>
      </c>
      <c r="G526" s="100" t="s">
        <v>385</v>
      </c>
      <c r="H526" s="49">
        <v>7</v>
      </c>
      <c r="I526" s="49">
        <f t="shared" si="17"/>
        <v>1837.5</v>
      </c>
      <c r="J526" s="29">
        <f t="shared" si="16"/>
        <v>1181.2500000000002</v>
      </c>
      <c r="K526" s="13" t="s">
        <v>811</v>
      </c>
      <c r="L526" s="10"/>
    </row>
    <row r="527" spans="1:12">
      <c r="A527" s="13">
        <v>90</v>
      </c>
      <c r="B527" s="48">
        <v>3213</v>
      </c>
      <c r="C527" s="13" t="s">
        <v>955</v>
      </c>
      <c r="D527" s="49">
        <v>50000</v>
      </c>
      <c r="E527" s="51">
        <v>7.4999999999999997E-2</v>
      </c>
      <c r="F527" s="42">
        <v>15</v>
      </c>
      <c r="G527" s="50">
        <v>40801</v>
      </c>
      <c r="H527" s="49">
        <v>2</v>
      </c>
      <c r="I527" s="49">
        <f t="shared" si="17"/>
        <v>3750</v>
      </c>
      <c r="J527" s="29">
        <f t="shared" si="16"/>
        <v>2500</v>
      </c>
      <c r="K527" s="13" t="s">
        <v>812</v>
      </c>
      <c r="L527" s="10"/>
    </row>
    <row r="528" spans="1:12">
      <c r="A528" s="13"/>
      <c r="B528" s="48"/>
      <c r="C528" s="13"/>
      <c r="D528" s="49">
        <v>80000</v>
      </c>
      <c r="E528" s="51">
        <v>7.4999999999999997E-2</v>
      </c>
      <c r="F528" s="42">
        <v>15</v>
      </c>
      <c r="G528" s="50">
        <v>40831</v>
      </c>
      <c r="H528" s="49">
        <v>8</v>
      </c>
      <c r="I528" s="49">
        <f t="shared" si="17"/>
        <v>24000</v>
      </c>
      <c r="J528" s="29">
        <f t="shared" si="16"/>
        <v>15999.999999999998</v>
      </c>
      <c r="K528" s="13"/>
      <c r="L528" s="10"/>
    </row>
    <row r="529" spans="1:12">
      <c r="A529" s="13"/>
      <c r="B529" s="48"/>
      <c r="C529" s="13"/>
      <c r="D529" s="49">
        <v>100000</v>
      </c>
      <c r="E529" s="51">
        <v>7.4999999999999997E-2</v>
      </c>
      <c r="F529" s="42">
        <v>15</v>
      </c>
      <c r="G529" s="50">
        <v>40951</v>
      </c>
      <c r="H529" s="49">
        <v>11</v>
      </c>
      <c r="I529" s="49">
        <f t="shared" si="17"/>
        <v>41250</v>
      </c>
      <c r="J529" s="29">
        <f t="shared" si="16"/>
        <v>27500</v>
      </c>
      <c r="K529" s="13"/>
      <c r="L529" s="10"/>
    </row>
    <row r="530" spans="1:12">
      <c r="A530" s="13"/>
      <c r="B530" s="48"/>
      <c r="C530" s="13"/>
      <c r="D530" s="49">
        <v>20000</v>
      </c>
      <c r="E530" s="51">
        <v>7.0000000000000007E-2</v>
      </c>
      <c r="F530" s="42" t="s">
        <v>4036</v>
      </c>
      <c r="G530" s="50">
        <v>40982</v>
      </c>
      <c r="H530" s="49">
        <v>10</v>
      </c>
      <c r="I530" s="49">
        <f t="shared" si="17"/>
        <v>3500.0000000000009</v>
      </c>
      <c r="J530" s="29">
        <f t="shared" si="16"/>
        <v>2250.0000000000005</v>
      </c>
      <c r="K530" s="13"/>
      <c r="L530" s="10"/>
    </row>
    <row r="531" spans="1:12">
      <c r="A531" s="13"/>
      <c r="B531" s="48"/>
      <c r="C531" s="13"/>
      <c r="D531" s="49">
        <v>20000</v>
      </c>
      <c r="E531" s="51">
        <v>7.0000000000000007E-2</v>
      </c>
      <c r="F531" s="42" t="s">
        <v>4036</v>
      </c>
      <c r="G531" s="50">
        <v>41026</v>
      </c>
      <c r="H531" s="49">
        <v>10</v>
      </c>
      <c r="I531" s="49">
        <f t="shared" si="17"/>
        <v>3500.0000000000009</v>
      </c>
      <c r="J531" s="29">
        <f t="shared" si="16"/>
        <v>2250.0000000000005</v>
      </c>
      <c r="K531" s="13"/>
      <c r="L531" s="10"/>
    </row>
    <row r="532" spans="1:12">
      <c r="A532" s="13"/>
      <c r="B532" s="48"/>
      <c r="C532" s="13"/>
      <c r="D532" s="49">
        <v>30000</v>
      </c>
      <c r="E532" s="51">
        <v>7.0000000000000007E-2</v>
      </c>
      <c r="F532" s="42" t="s">
        <v>4036</v>
      </c>
      <c r="G532" s="50">
        <v>41039</v>
      </c>
      <c r="H532" s="49">
        <v>10</v>
      </c>
      <c r="I532" s="49">
        <f t="shared" si="17"/>
        <v>5250</v>
      </c>
      <c r="J532" s="29">
        <f t="shared" si="16"/>
        <v>3375.0000000000009</v>
      </c>
      <c r="K532" s="13"/>
      <c r="L532" s="10"/>
    </row>
    <row r="533" spans="1:12">
      <c r="A533" s="13"/>
      <c r="B533" s="48"/>
      <c r="C533" s="13"/>
      <c r="D533" s="49">
        <v>20000</v>
      </c>
      <c r="E533" s="51">
        <v>7.0000000000000007E-2</v>
      </c>
      <c r="F533" s="42" t="s">
        <v>4036</v>
      </c>
      <c r="G533" s="50">
        <v>41072</v>
      </c>
      <c r="H533" s="49">
        <v>10</v>
      </c>
      <c r="I533" s="49">
        <f t="shared" si="17"/>
        <v>3500.0000000000009</v>
      </c>
      <c r="J533" s="29">
        <f t="shared" si="16"/>
        <v>2250.0000000000005</v>
      </c>
      <c r="K533" s="13"/>
      <c r="L533" s="10"/>
    </row>
    <row r="534" spans="1:12">
      <c r="A534" s="13"/>
      <c r="B534" s="48"/>
      <c r="C534" s="13"/>
      <c r="D534" s="49">
        <v>10000</v>
      </c>
      <c r="E534" s="51">
        <v>7.0000000000000007E-2</v>
      </c>
      <c r="F534" s="42" t="s">
        <v>4036</v>
      </c>
      <c r="G534" s="50">
        <v>41106</v>
      </c>
      <c r="H534" s="49">
        <v>10</v>
      </c>
      <c r="I534" s="49">
        <f t="shared" si="17"/>
        <v>1750.0000000000005</v>
      </c>
      <c r="J534" s="29">
        <f t="shared" si="16"/>
        <v>1125.0000000000002</v>
      </c>
      <c r="K534" s="13"/>
      <c r="L534" s="10"/>
    </row>
    <row r="535" spans="1:12">
      <c r="A535" s="13">
        <v>91</v>
      </c>
      <c r="B535" s="48">
        <v>3219</v>
      </c>
      <c r="C535" s="13" t="s">
        <v>1073</v>
      </c>
      <c r="D535" s="49">
        <v>10000</v>
      </c>
      <c r="E535" s="51">
        <v>7.0000000000000007E-2</v>
      </c>
      <c r="F535" s="42" t="s">
        <v>4036</v>
      </c>
      <c r="G535" s="50">
        <v>40756</v>
      </c>
      <c r="H535" s="49">
        <v>10</v>
      </c>
      <c r="I535" s="49">
        <f t="shared" si="17"/>
        <v>1750.0000000000005</v>
      </c>
      <c r="J535" s="29">
        <f t="shared" si="16"/>
        <v>1125.0000000000002</v>
      </c>
      <c r="K535" s="13" t="s">
        <v>813</v>
      </c>
      <c r="L535" s="10"/>
    </row>
    <row r="536" spans="1:12">
      <c r="A536" s="13"/>
      <c r="B536" s="48"/>
      <c r="C536" s="13"/>
      <c r="D536" s="49">
        <v>20000</v>
      </c>
      <c r="E536" s="51">
        <v>7.4999999999999997E-2</v>
      </c>
      <c r="F536" s="42">
        <v>15</v>
      </c>
      <c r="G536" s="50">
        <v>40804</v>
      </c>
      <c r="H536" s="49">
        <v>2</v>
      </c>
      <c r="I536" s="49">
        <f t="shared" si="17"/>
        <v>1500</v>
      </c>
      <c r="J536" s="29">
        <f t="shared" si="16"/>
        <v>999.99999999999989</v>
      </c>
      <c r="K536" s="13"/>
      <c r="L536" s="10"/>
    </row>
    <row r="537" spans="1:12">
      <c r="A537" s="13"/>
      <c r="B537" s="48"/>
      <c r="C537" s="13"/>
      <c r="D537" s="49">
        <v>10000</v>
      </c>
      <c r="E537" s="51">
        <v>7.0000000000000007E-2</v>
      </c>
      <c r="F537" s="42" t="s">
        <v>4036</v>
      </c>
      <c r="G537" s="50">
        <v>40822</v>
      </c>
      <c r="H537" s="49">
        <v>10</v>
      </c>
      <c r="I537" s="49">
        <f t="shared" si="17"/>
        <v>1750.0000000000005</v>
      </c>
      <c r="J537" s="29">
        <f t="shared" si="16"/>
        <v>1125.0000000000002</v>
      </c>
      <c r="K537" s="13"/>
      <c r="L537" s="10"/>
    </row>
    <row r="538" spans="1:12">
      <c r="A538" s="13"/>
      <c r="B538" s="48"/>
      <c r="C538" s="13"/>
      <c r="D538" s="49">
        <v>30000</v>
      </c>
      <c r="E538" s="51">
        <v>7.4999999999999997E-2</v>
      </c>
      <c r="F538" s="42">
        <v>15</v>
      </c>
      <c r="G538" s="50">
        <v>40834</v>
      </c>
      <c r="H538" s="49">
        <v>2</v>
      </c>
      <c r="I538" s="49">
        <f t="shared" si="17"/>
        <v>2250</v>
      </c>
      <c r="J538" s="29">
        <f t="shared" si="16"/>
        <v>1499.9999999999998</v>
      </c>
      <c r="K538" s="13"/>
      <c r="L538" s="10"/>
    </row>
    <row r="539" spans="1:12">
      <c r="A539" s="13"/>
      <c r="B539" s="48"/>
      <c r="C539" s="13"/>
      <c r="D539" s="49">
        <v>10000</v>
      </c>
      <c r="E539" s="51">
        <v>7.0000000000000007E-2</v>
      </c>
      <c r="F539" s="42" t="s">
        <v>4036</v>
      </c>
      <c r="G539" s="50">
        <v>40872</v>
      </c>
      <c r="H539" s="49">
        <v>10</v>
      </c>
      <c r="I539" s="49">
        <f t="shared" si="17"/>
        <v>1750.0000000000005</v>
      </c>
      <c r="J539" s="29">
        <f t="shared" si="16"/>
        <v>1125.0000000000002</v>
      </c>
      <c r="K539" s="13"/>
      <c r="L539" s="10"/>
    </row>
    <row r="540" spans="1:12">
      <c r="A540" s="13"/>
      <c r="B540" s="48"/>
      <c r="C540" s="13"/>
      <c r="D540" s="49">
        <v>10000</v>
      </c>
      <c r="E540" s="51">
        <v>7.0000000000000007E-2</v>
      </c>
      <c r="F540" s="42" t="s">
        <v>4036</v>
      </c>
      <c r="G540" s="50">
        <v>40918</v>
      </c>
      <c r="H540" s="49">
        <v>10</v>
      </c>
      <c r="I540" s="49">
        <f t="shared" si="17"/>
        <v>1750.0000000000005</v>
      </c>
      <c r="J540" s="29">
        <f t="shared" si="16"/>
        <v>1125.0000000000002</v>
      </c>
      <c r="K540" s="13"/>
      <c r="L540" s="10"/>
    </row>
    <row r="541" spans="1:12">
      <c r="A541" s="13"/>
      <c r="B541" s="48"/>
      <c r="C541" s="13"/>
      <c r="D541" s="49">
        <v>5000</v>
      </c>
      <c r="E541" s="51">
        <v>7.0000000000000007E-2</v>
      </c>
      <c r="F541" s="42" t="s">
        <v>4036</v>
      </c>
      <c r="G541" s="50">
        <v>40933</v>
      </c>
      <c r="H541" s="49">
        <v>10</v>
      </c>
      <c r="I541" s="49">
        <f t="shared" si="17"/>
        <v>875.00000000000023</v>
      </c>
      <c r="J541" s="29">
        <f t="shared" si="16"/>
        <v>562.50000000000011</v>
      </c>
      <c r="K541" s="13"/>
      <c r="L541" s="10"/>
    </row>
    <row r="542" spans="1:12">
      <c r="A542" s="13"/>
      <c r="B542" s="48"/>
      <c r="C542" s="13"/>
      <c r="D542" s="49">
        <v>10000</v>
      </c>
      <c r="E542" s="51">
        <v>7.0000000000000007E-2</v>
      </c>
      <c r="F542" s="42" t="s">
        <v>4036</v>
      </c>
      <c r="G542" s="50">
        <v>40970</v>
      </c>
      <c r="H542" s="49">
        <v>10</v>
      </c>
      <c r="I542" s="49">
        <f t="shared" si="17"/>
        <v>1750.0000000000005</v>
      </c>
      <c r="J542" s="29">
        <f t="shared" si="16"/>
        <v>1125.0000000000002</v>
      </c>
      <c r="K542" s="13"/>
      <c r="L542" s="10"/>
    </row>
    <row r="543" spans="1:12">
      <c r="A543" s="13"/>
      <c r="B543" s="48"/>
      <c r="C543" s="13"/>
      <c r="D543" s="49">
        <v>10000</v>
      </c>
      <c r="E543" s="51">
        <v>7.0000000000000007E-2</v>
      </c>
      <c r="F543" s="42" t="s">
        <v>4036</v>
      </c>
      <c r="G543" s="50">
        <v>41030</v>
      </c>
      <c r="H543" s="49">
        <v>10</v>
      </c>
      <c r="I543" s="49">
        <f t="shared" si="17"/>
        <v>1750.0000000000005</v>
      </c>
      <c r="J543" s="29">
        <f t="shared" si="16"/>
        <v>1125.0000000000002</v>
      </c>
      <c r="K543" s="13"/>
      <c r="L543" s="10"/>
    </row>
    <row r="544" spans="1:12">
      <c r="A544" s="13"/>
      <c r="B544" s="48"/>
      <c r="C544" s="13"/>
      <c r="D544" s="49">
        <v>10000</v>
      </c>
      <c r="E544" s="51">
        <v>7.4999999999999997E-2</v>
      </c>
      <c r="F544" s="42">
        <v>15</v>
      </c>
      <c r="G544" s="50">
        <v>41050</v>
      </c>
      <c r="H544" s="49">
        <v>5</v>
      </c>
      <c r="I544" s="49">
        <f t="shared" si="17"/>
        <v>1875</v>
      </c>
      <c r="J544" s="29">
        <f t="shared" si="16"/>
        <v>1249.9999999999998</v>
      </c>
      <c r="K544" s="13"/>
      <c r="L544" s="10"/>
    </row>
    <row r="545" spans="1:12">
      <c r="A545" s="13"/>
      <c r="B545" s="48"/>
      <c r="C545" s="13"/>
      <c r="D545" s="49">
        <v>10000</v>
      </c>
      <c r="E545" s="51">
        <v>7.0000000000000007E-2</v>
      </c>
      <c r="F545" s="42" t="s">
        <v>4036</v>
      </c>
      <c r="G545" s="50">
        <v>41079</v>
      </c>
      <c r="H545" s="49">
        <v>10</v>
      </c>
      <c r="I545" s="49">
        <f t="shared" si="17"/>
        <v>1750.0000000000005</v>
      </c>
      <c r="J545" s="29">
        <f t="shared" si="16"/>
        <v>1125.0000000000002</v>
      </c>
      <c r="K545" s="13"/>
      <c r="L545" s="10"/>
    </row>
    <row r="546" spans="1:12">
      <c r="A546" s="13"/>
      <c r="B546" s="48"/>
      <c r="C546" s="13"/>
      <c r="D546" s="49">
        <v>10000</v>
      </c>
      <c r="E546" s="51">
        <v>7.0000000000000007E-2</v>
      </c>
      <c r="F546" s="42" t="s">
        <v>4036</v>
      </c>
      <c r="G546" s="50">
        <v>41092</v>
      </c>
      <c r="H546" s="49">
        <v>10</v>
      </c>
      <c r="I546" s="49">
        <f t="shared" si="17"/>
        <v>1750.0000000000005</v>
      </c>
      <c r="J546" s="29">
        <f t="shared" si="16"/>
        <v>1125.0000000000002</v>
      </c>
      <c r="K546" s="13"/>
      <c r="L546" s="10"/>
    </row>
    <row r="547" spans="1:12">
      <c r="A547" s="13"/>
      <c r="B547" s="48"/>
      <c r="C547" s="13"/>
      <c r="D547" s="49">
        <v>10000</v>
      </c>
      <c r="E547" s="51">
        <v>7.4999999999999997E-2</v>
      </c>
      <c r="F547" s="42">
        <v>15</v>
      </c>
      <c r="G547" s="50">
        <v>41115</v>
      </c>
      <c r="H547" s="49">
        <v>2</v>
      </c>
      <c r="I547" s="49">
        <f t="shared" si="17"/>
        <v>750</v>
      </c>
      <c r="J547" s="29">
        <f t="shared" si="16"/>
        <v>499.99999999999994</v>
      </c>
      <c r="K547" s="13"/>
      <c r="L547" s="10"/>
    </row>
    <row r="548" spans="1:12">
      <c r="A548" s="13"/>
      <c r="B548" s="48"/>
      <c r="C548" s="13"/>
      <c r="D548" s="49">
        <v>10000</v>
      </c>
      <c r="E548" s="51">
        <v>7.0000000000000007E-2</v>
      </c>
      <c r="F548" s="42" t="s">
        <v>4036</v>
      </c>
      <c r="G548" s="50">
        <v>41120</v>
      </c>
      <c r="H548" s="49">
        <v>10</v>
      </c>
      <c r="I548" s="49">
        <f t="shared" si="17"/>
        <v>1750.0000000000005</v>
      </c>
      <c r="J548" s="29">
        <f t="shared" si="16"/>
        <v>1125.0000000000002</v>
      </c>
      <c r="K548" s="13"/>
      <c r="L548" s="10"/>
    </row>
    <row r="549" spans="1:12">
      <c r="A549" s="13"/>
      <c r="B549" s="48"/>
      <c r="C549" s="13"/>
      <c r="D549" s="49">
        <v>20000</v>
      </c>
      <c r="E549" s="51">
        <v>7.4999999999999997E-2</v>
      </c>
      <c r="F549" s="42">
        <v>15</v>
      </c>
      <c r="G549" s="50">
        <v>41125</v>
      </c>
      <c r="H549" s="49">
        <v>12</v>
      </c>
      <c r="I549" s="49">
        <f t="shared" si="17"/>
        <v>9000</v>
      </c>
      <c r="J549" s="29">
        <f t="shared" si="16"/>
        <v>5999.9999999999991</v>
      </c>
      <c r="K549" s="13"/>
      <c r="L549" s="10"/>
    </row>
    <row r="550" spans="1:12">
      <c r="A550" s="13"/>
      <c r="B550" s="48"/>
      <c r="C550" s="13"/>
      <c r="D550" s="49">
        <v>30000</v>
      </c>
      <c r="E550" s="51">
        <v>7.4999999999999997E-2</v>
      </c>
      <c r="F550" s="42">
        <v>15</v>
      </c>
      <c r="G550" s="50">
        <v>41146</v>
      </c>
      <c r="H550" s="49">
        <v>7</v>
      </c>
      <c r="I550" s="49">
        <f t="shared" si="17"/>
        <v>7875</v>
      </c>
      <c r="J550" s="29">
        <f t="shared" si="16"/>
        <v>5249.9999999999991</v>
      </c>
      <c r="K550" s="13"/>
      <c r="L550" s="10"/>
    </row>
    <row r="551" spans="1:12">
      <c r="A551" s="13"/>
      <c r="B551" s="48"/>
      <c r="C551" s="13"/>
      <c r="D551" s="49">
        <v>10000</v>
      </c>
      <c r="E551" s="51">
        <v>7.0000000000000007E-2</v>
      </c>
      <c r="F551" s="42" t="s">
        <v>4036</v>
      </c>
      <c r="G551" s="50">
        <v>41156</v>
      </c>
      <c r="H551" s="49">
        <v>10</v>
      </c>
      <c r="I551" s="49">
        <f t="shared" si="17"/>
        <v>1750.0000000000005</v>
      </c>
      <c r="J551" s="29">
        <f t="shared" si="16"/>
        <v>1125.0000000000002</v>
      </c>
      <c r="K551" s="13"/>
      <c r="L551" s="10"/>
    </row>
    <row r="552" spans="1:12">
      <c r="A552" s="13"/>
      <c r="B552" s="48"/>
      <c r="C552" s="13"/>
      <c r="D552" s="49">
        <v>10000</v>
      </c>
      <c r="E552" s="51">
        <v>7.0000000000000007E-2</v>
      </c>
      <c r="F552" s="42" t="s">
        <v>4036</v>
      </c>
      <c r="G552" s="50">
        <v>41218</v>
      </c>
      <c r="H552" s="49">
        <v>10</v>
      </c>
      <c r="I552" s="49">
        <f t="shared" si="17"/>
        <v>1750.0000000000005</v>
      </c>
      <c r="J552" s="29">
        <f t="shared" si="16"/>
        <v>1125.0000000000002</v>
      </c>
      <c r="K552" s="13"/>
      <c r="L552" s="10"/>
    </row>
    <row r="553" spans="1:12">
      <c r="A553" s="13"/>
      <c r="B553" s="48"/>
      <c r="C553" s="13"/>
      <c r="D553" s="49">
        <v>40000</v>
      </c>
      <c r="E553" s="51">
        <v>7.4999999999999997E-2</v>
      </c>
      <c r="F553" s="42">
        <v>15</v>
      </c>
      <c r="G553" s="50">
        <v>41230</v>
      </c>
      <c r="H553" s="49">
        <v>16</v>
      </c>
      <c r="I553" s="49">
        <f t="shared" si="17"/>
        <v>24000</v>
      </c>
      <c r="J553" s="29">
        <f t="shared" si="16"/>
        <v>15999.999999999998</v>
      </c>
      <c r="K553" s="13"/>
      <c r="L553" s="10"/>
    </row>
    <row r="554" spans="1:12">
      <c r="A554" s="13"/>
      <c r="B554" s="48"/>
      <c r="C554" s="13"/>
      <c r="D554" s="49">
        <v>40000</v>
      </c>
      <c r="E554" s="51">
        <v>7.4999999999999997E-2</v>
      </c>
      <c r="F554" s="42">
        <v>15</v>
      </c>
      <c r="G554" s="50">
        <v>41265</v>
      </c>
      <c r="H554" s="49">
        <v>3</v>
      </c>
      <c r="I554" s="49">
        <f t="shared" si="17"/>
        <v>4500</v>
      </c>
      <c r="J554" s="29">
        <f t="shared" si="16"/>
        <v>2999.9999999999995</v>
      </c>
      <c r="K554" s="13"/>
      <c r="L554" s="10"/>
    </row>
    <row r="555" spans="1:12">
      <c r="A555" s="13"/>
      <c r="B555" s="48"/>
      <c r="C555" s="13"/>
      <c r="D555" s="49">
        <v>10000</v>
      </c>
      <c r="E555" s="51">
        <v>7.0000000000000007E-2</v>
      </c>
      <c r="F555" s="42" t="s">
        <v>4036</v>
      </c>
      <c r="G555" s="50">
        <v>41267</v>
      </c>
      <c r="H555" s="49">
        <v>5</v>
      </c>
      <c r="I555" s="49">
        <f t="shared" si="17"/>
        <v>875.00000000000023</v>
      </c>
      <c r="J555" s="29">
        <f t="shared" si="16"/>
        <v>562.50000000000011</v>
      </c>
      <c r="K555" s="13"/>
      <c r="L555" s="10"/>
    </row>
    <row r="556" spans="1:12">
      <c r="A556" s="13">
        <v>92</v>
      </c>
      <c r="B556" s="48">
        <v>3225</v>
      </c>
      <c r="C556" s="13" t="s">
        <v>1048</v>
      </c>
      <c r="D556" s="49">
        <v>40000</v>
      </c>
      <c r="E556" s="51">
        <v>7.4999999999999997E-2</v>
      </c>
      <c r="F556" s="42">
        <v>15</v>
      </c>
      <c r="G556" s="50">
        <v>40807</v>
      </c>
      <c r="H556" s="49">
        <v>31</v>
      </c>
      <c r="I556" s="49">
        <f t="shared" si="17"/>
        <v>46500</v>
      </c>
      <c r="J556" s="29">
        <f t="shared" si="16"/>
        <v>30999.999999999996</v>
      </c>
      <c r="K556" s="13" t="s">
        <v>814</v>
      </c>
      <c r="L556" s="10"/>
    </row>
    <row r="557" spans="1:12">
      <c r="A557" s="13"/>
      <c r="B557" s="48"/>
      <c r="C557" s="13"/>
      <c r="D557" s="49">
        <v>30000</v>
      </c>
      <c r="E557" s="51">
        <v>7.4999999999999997E-2</v>
      </c>
      <c r="F557" s="42">
        <v>15</v>
      </c>
      <c r="G557" s="50">
        <v>40814</v>
      </c>
      <c r="H557" s="49">
        <v>31</v>
      </c>
      <c r="I557" s="49">
        <f t="shared" si="17"/>
        <v>34875</v>
      </c>
      <c r="J557" s="29">
        <f t="shared" si="16"/>
        <v>23249.999999999996</v>
      </c>
      <c r="K557" s="13"/>
      <c r="L557" s="10"/>
    </row>
    <row r="558" spans="1:12">
      <c r="A558" s="13"/>
      <c r="B558" s="48"/>
      <c r="C558" s="13"/>
      <c r="D558" s="49">
        <v>20000</v>
      </c>
      <c r="E558" s="51">
        <v>7.0000000000000007E-2</v>
      </c>
      <c r="F558" s="42" t="s">
        <v>4036</v>
      </c>
      <c r="G558" s="50">
        <v>40924</v>
      </c>
      <c r="H558" s="49">
        <v>10</v>
      </c>
      <c r="I558" s="49">
        <f t="shared" si="17"/>
        <v>3500.0000000000009</v>
      </c>
      <c r="J558" s="29">
        <f t="shared" si="16"/>
        <v>2250.0000000000005</v>
      </c>
      <c r="K558" s="13"/>
      <c r="L558" s="10"/>
    </row>
    <row r="559" spans="1:12">
      <c r="A559" s="13"/>
      <c r="B559" s="48"/>
      <c r="C559" s="13"/>
      <c r="D559" s="49">
        <v>20000</v>
      </c>
      <c r="E559" s="51">
        <v>7.0000000000000007E-2</v>
      </c>
      <c r="F559" s="42" t="s">
        <v>4036</v>
      </c>
      <c r="G559" s="50">
        <v>40987</v>
      </c>
      <c r="H559" s="49">
        <v>10</v>
      </c>
      <c r="I559" s="49">
        <f t="shared" si="17"/>
        <v>3500.0000000000009</v>
      </c>
      <c r="J559" s="29">
        <f t="shared" si="16"/>
        <v>2250.0000000000005</v>
      </c>
      <c r="K559" s="13"/>
      <c r="L559" s="10"/>
    </row>
    <row r="560" spans="1:12">
      <c r="A560" s="13"/>
      <c r="B560" s="48"/>
      <c r="C560" s="13"/>
      <c r="D560" s="49">
        <v>20000</v>
      </c>
      <c r="E560" s="51">
        <v>7.0000000000000007E-2</v>
      </c>
      <c r="F560" s="42" t="s">
        <v>4036</v>
      </c>
      <c r="G560" s="50">
        <v>41050</v>
      </c>
      <c r="H560" s="49">
        <v>10</v>
      </c>
      <c r="I560" s="49">
        <f t="shared" si="17"/>
        <v>3500.0000000000009</v>
      </c>
      <c r="J560" s="29">
        <f t="shared" si="16"/>
        <v>2250.0000000000005</v>
      </c>
      <c r="K560" s="13"/>
      <c r="L560" s="10"/>
    </row>
    <row r="561" spans="1:12">
      <c r="A561" s="13"/>
      <c r="B561" s="48"/>
      <c r="C561" s="13"/>
      <c r="D561" s="49">
        <v>20000</v>
      </c>
      <c r="E561" s="51">
        <v>7.0000000000000007E-2</v>
      </c>
      <c r="F561" s="42" t="s">
        <v>4036</v>
      </c>
      <c r="G561" s="50">
        <v>41106</v>
      </c>
      <c r="H561" s="49">
        <v>10</v>
      </c>
      <c r="I561" s="49">
        <f t="shared" si="17"/>
        <v>3500.0000000000009</v>
      </c>
      <c r="J561" s="29">
        <f t="shared" si="16"/>
        <v>2250.0000000000005</v>
      </c>
      <c r="K561" s="13"/>
      <c r="L561" s="10"/>
    </row>
    <row r="562" spans="1:12">
      <c r="A562" s="13"/>
      <c r="B562" s="48"/>
      <c r="C562" s="13"/>
      <c r="D562" s="49">
        <v>20000</v>
      </c>
      <c r="E562" s="51">
        <v>7.0000000000000007E-2</v>
      </c>
      <c r="F562" s="42" t="s">
        <v>4036</v>
      </c>
      <c r="G562" s="50">
        <v>41169</v>
      </c>
      <c r="H562" s="49">
        <v>10</v>
      </c>
      <c r="I562" s="49">
        <f t="shared" si="17"/>
        <v>3500.0000000000009</v>
      </c>
      <c r="J562" s="29">
        <f t="shared" si="16"/>
        <v>2250.0000000000005</v>
      </c>
      <c r="K562" s="13"/>
      <c r="L562" s="10"/>
    </row>
    <row r="563" spans="1:12">
      <c r="A563" s="13"/>
      <c r="B563" s="48"/>
      <c r="C563" s="13"/>
      <c r="D563" s="49">
        <v>20000</v>
      </c>
      <c r="E563" s="51">
        <v>7.0000000000000007E-2</v>
      </c>
      <c r="F563" s="42" t="s">
        <v>4036</v>
      </c>
      <c r="G563" s="50">
        <v>41218</v>
      </c>
      <c r="H563" s="49">
        <v>10</v>
      </c>
      <c r="I563" s="49">
        <f t="shared" si="17"/>
        <v>3500.0000000000009</v>
      </c>
      <c r="J563" s="29">
        <f t="shared" si="16"/>
        <v>2250.0000000000005</v>
      </c>
      <c r="K563" s="13"/>
      <c r="L563" s="10"/>
    </row>
    <row r="564" spans="1:12">
      <c r="A564" s="13"/>
      <c r="B564" s="48"/>
      <c r="C564" s="13"/>
      <c r="D564" s="49">
        <v>20000</v>
      </c>
      <c r="E564" s="51">
        <v>7.0000000000000007E-2</v>
      </c>
      <c r="F564" s="42" t="s">
        <v>4036</v>
      </c>
      <c r="G564" s="50">
        <v>41267</v>
      </c>
      <c r="H564" s="49">
        <v>5</v>
      </c>
      <c r="I564" s="49">
        <f t="shared" si="17"/>
        <v>1750.0000000000005</v>
      </c>
      <c r="J564" s="29">
        <f t="shared" si="16"/>
        <v>1125.0000000000002</v>
      </c>
      <c r="K564" s="13"/>
      <c r="L564" s="10"/>
    </row>
    <row r="565" spans="1:12">
      <c r="A565" s="13"/>
      <c r="B565" s="48"/>
      <c r="C565" s="13"/>
      <c r="D565" s="49">
        <v>40000</v>
      </c>
      <c r="E565" s="51">
        <v>7.4999999999999997E-2</v>
      </c>
      <c r="F565" s="42">
        <v>15</v>
      </c>
      <c r="G565" s="50">
        <v>41272</v>
      </c>
      <c r="H565" s="49">
        <v>2</v>
      </c>
      <c r="I565" s="49">
        <f t="shared" si="17"/>
        <v>3000</v>
      </c>
      <c r="J565" s="29">
        <f t="shared" si="16"/>
        <v>1999.9999999999998</v>
      </c>
      <c r="K565" s="13"/>
      <c r="L565" s="10"/>
    </row>
    <row r="566" spans="1:12">
      <c r="A566" s="13"/>
      <c r="B566" s="48"/>
      <c r="C566" s="13"/>
      <c r="D566" s="49">
        <v>30000</v>
      </c>
      <c r="E566" s="51">
        <v>7.4999999999999997E-2</v>
      </c>
      <c r="F566" s="42">
        <v>15</v>
      </c>
      <c r="G566" s="50">
        <v>41279</v>
      </c>
      <c r="H566" s="49">
        <v>2</v>
      </c>
      <c r="I566" s="49">
        <f t="shared" si="17"/>
        <v>2250</v>
      </c>
      <c r="J566" s="29">
        <f t="shared" si="16"/>
        <v>1499.9999999999998</v>
      </c>
      <c r="K566" s="13"/>
      <c r="L566" s="10"/>
    </row>
    <row r="567" spans="1:12">
      <c r="A567" s="13">
        <v>93</v>
      </c>
      <c r="B567" s="48">
        <v>3233</v>
      </c>
      <c r="C567" s="13" t="s">
        <v>1122</v>
      </c>
      <c r="D567" s="49">
        <v>20000</v>
      </c>
      <c r="E567" s="51">
        <v>7.0000000000000007E-2</v>
      </c>
      <c r="F567" s="42" t="s">
        <v>4036</v>
      </c>
      <c r="G567" s="50">
        <v>40834</v>
      </c>
      <c r="H567" s="49">
        <v>10</v>
      </c>
      <c r="I567" s="49">
        <f t="shared" si="17"/>
        <v>3500.0000000000009</v>
      </c>
      <c r="J567" s="29">
        <f t="shared" si="16"/>
        <v>2250.0000000000005</v>
      </c>
      <c r="K567" s="13" t="s">
        <v>815</v>
      </c>
      <c r="L567" s="10"/>
    </row>
    <row r="568" spans="1:12">
      <c r="A568" s="13"/>
      <c r="B568" s="48"/>
      <c r="C568" s="13"/>
      <c r="D568" s="49">
        <v>40000</v>
      </c>
      <c r="E568" s="51">
        <v>7.4999999999999997E-2</v>
      </c>
      <c r="F568" s="42">
        <v>15</v>
      </c>
      <c r="G568" s="50">
        <v>41208</v>
      </c>
      <c r="H568" s="49">
        <v>6</v>
      </c>
      <c r="I568" s="49">
        <f t="shared" si="17"/>
        <v>9000</v>
      </c>
      <c r="J568" s="29">
        <f t="shared" si="16"/>
        <v>5999.9999999999991</v>
      </c>
      <c r="K568" s="13"/>
      <c r="L568" s="10"/>
    </row>
    <row r="569" spans="1:12">
      <c r="A569" s="13"/>
      <c r="B569" s="48"/>
      <c r="C569" s="13"/>
      <c r="D569" s="49">
        <v>20000</v>
      </c>
      <c r="E569" s="51">
        <v>7.0000000000000007E-2</v>
      </c>
      <c r="F569" s="42" t="s">
        <v>4036</v>
      </c>
      <c r="G569" s="50">
        <v>41250</v>
      </c>
      <c r="H569" s="49">
        <v>10</v>
      </c>
      <c r="I569" s="49">
        <f t="shared" si="17"/>
        <v>3500.0000000000009</v>
      </c>
      <c r="J569" s="29">
        <f t="shared" si="16"/>
        <v>2250.0000000000005</v>
      </c>
      <c r="K569" s="13"/>
      <c r="L569" s="10"/>
    </row>
    <row r="570" spans="1:12">
      <c r="A570" s="13">
        <v>94</v>
      </c>
      <c r="B570" s="48">
        <v>3239</v>
      </c>
      <c r="C570" s="13" t="s">
        <v>1164</v>
      </c>
      <c r="D570" s="49">
        <v>30000</v>
      </c>
      <c r="E570" s="51">
        <v>7.0000000000000007E-2</v>
      </c>
      <c r="F570" s="42" t="s">
        <v>4036</v>
      </c>
      <c r="G570" s="50">
        <v>40746</v>
      </c>
      <c r="H570" s="49">
        <v>10</v>
      </c>
      <c r="I570" s="49">
        <f t="shared" si="17"/>
        <v>5250</v>
      </c>
      <c r="J570" s="29">
        <f t="shared" si="16"/>
        <v>3375.0000000000009</v>
      </c>
      <c r="K570" s="13" t="s">
        <v>816</v>
      </c>
      <c r="L570" s="10"/>
    </row>
    <row r="571" spans="1:12">
      <c r="A571" s="13"/>
      <c r="B571" s="48"/>
      <c r="C571" s="13"/>
      <c r="D571" s="49">
        <v>30000</v>
      </c>
      <c r="E571" s="51">
        <v>7.0000000000000007E-2</v>
      </c>
      <c r="F571" s="42" t="s">
        <v>4036</v>
      </c>
      <c r="G571" s="50">
        <v>40791</v>
      </c>
      <c r="H571" s="49">
        <v>10</v>
      </c>
      <c r="I571" s="49">
        <f t="shared" si="17"/>
        <v>5250</v>
      </c>
      <c r="J571" s="29">
        <f t="shared" si="16"/>
        <v>3375.0000000000009</v>
      </c>
      <c r="K571" s="13"/>
      <c r="L571" s="10"/>
    </row>
    <row r="572" spans="1:12">
      <c r="A572" s="13"/>
      <c r="B572" s="48"/>
      <c r="C572" s="13"/>
      <c r="D572" s="49">
        <v>30000</v>
      </c>
      <c r="E572" s="51">
        <v>7.0000000000000007E-2</v>
      </c>
      <c r="F572" s="42" t="s">
        <v>4036</v>
      </c>
      <c r="G572" s="50">
        <v>40809</v>
      </c>
      <c r="H572" s="49">
        <v>10</v>
      </c>
      <c r="I572" s="49">
        <f t="shared" si="17"/>
        <v>5250</v>
      </c>
      <c r="J572" s="29">
        <f t="shared" si="16"/>
        <v>3375.0000000000009</v>
      </c>
      <c r="K572" s="13"/>
      <c r="L572" s="10"/>
    </row>
    <row r="573" spans="1:12">
      <c r="A573" s="13"/>
      <c r="B573" s="48"/>
      <c r="C573" s="13"/>
      <c r="D573" s="49">
        <v>30000</v>
      </c>
      <c r="E573" s="51">
        <v>7.0000000000000007E-2</v>
      </c>
      <c r="F573" s="42" t="s">
        <v>4036</v>
      </c>
      <c r="G573" s="50">
        <v>40850</v>
      </c>
      <c r="H573" s="49">
        <v>10</v>
      </c>
      <c r="I573" s="49">
        <f t="shared" si="17"/>
        <v>5250</v>
      </c>
      <c r="J573" s="29">
        <f t="shared" si="16"/>
        <v>3375.0000000000009</v>
      </c>
      <c r="K573" s="13"/>
      <c r="L573" s="10"/>
    </row>
    <row r="574" spans="1:12">
      <c r="A574" s="13"/>
      <c r="B574" s="48"/>
      <c r="C574" s="13"/>
      <c r="D574" s="49">
        <v>30000</v>
      </c>
      <c r="E574" s="51">
        <v>7.0000000000000007E-2</v>
      </c>
      <c r="F574" s="42" t="s">
        <v>4036</v>
      </c>
      <c r="G574" s="50">
        <v>40863</v>
      </c>
      <c r="H574" s="49">
        <v>10</v>
      </c>
      <c r="I574" s="49">
        <f t="shared" si="17"/>
        <v>5250</v>
      </c>
      <c r="J574" s="29">
        <f t="shared" si="16"/>
        <v>3375.0000000000009</v>
      </c>
      <c r="K574" s="13"/>
      <c r="L574" s="10"/>
    </row>
    <row r="575" spans="1:12">
      <c r="A575" s="13"/>
      <c r="B575" s="48"/>
      <c r="C575" s="13"/>
      <c r="D575" s="49">
        <v>30000</v>
      </c>
      <c r="E575" s="51">
        <v>7.0000000000000007E-2</v>
      </c>
      <c r="F575" s="42" t="s">
        <v>4036</v>
      </c>
      <c r="G575" s="50">
        <v>40904</v>
      </c>
      <c r="H575" s="49">
        <v>10</v>
      </c>
      <c r="I575" s="49">
        <f t="shared" si="17"/>
        <v>5250</v>
      </c>
      <c r="J575" s="29">
        <f t="shared" si="16"/>
        <v>3375.0000000000009</v>
      </c>
      <c r="K575" s="13"/>
      <c r="L575" s="10"/>
    </row>
    <row r="576" spans="1:12">
      <c r="A576" s="13"/>
      <c r="B576" s="48"/>
      <c r="C576" s="13"/>
      <c r="D576" s="49">
        <v>30000</v>
      </c>
      <c r="E576" s="51">
        <v>7.0000000000000007E-2</v>
      </c>
      <c r="F576" s="42" t="s">
        <v>4036</v>
      </c>
      <c r="G576" s="50">
        <v>40913</v>
      </c>
      <c r="H576" s="49">
        <v>10</v>
      </c>
      <c r="I576" s="49">
        <f t="shared" si="17"/>
        <v>5250</v>
      </c>
      <c r="J576" s="29">
        <f t="shared" si="16"/>
        <v>3375.0000000000009</v>
      </c>
      <c r="K576" s="13"/>
      <c r="L576" s="10"/>
    </row>
    <row r="577" spans="1:12">
      <c r="A577" s="13"/>
      <c r="B577" s="48"/>
      <c r="C577" s="13"/>
      <c r="D577" s="49">
        <v>30000</v>
      </c>
      <c r="E577" s="51">
        <v>7.0000000000000007E-2</v>
      </c>
      <c r="F577" s="42" t="s">
        <v>4036</v>
      </c>
      <c r="G577" s="50">
        <v>40973</v>
      </c>
      <c r="H577" s="49">
        <v>10</v>
      </c>
      <c r="I577" s="49">
        <f t="shared" si="17"/>
        <v>5250</v>
      </c>
      <c r="J577" s="29">
        <f t="shared" si="16"/>
        <v>3375.0000000000009</v>
      </c>
      <c r="K577" s="13"/>
      <c r="L577" s="10"/>
    </row>
    <row r="578" spans="1:12">
      <c r="A578" s="13"/>
      <c r="B578" s="48"/>
      <c r="C578" s="13"/>
      <c r="D578" s="49">
        <v>30000</v>
      </c>
      <c r="E578" s="51">
        <v>7.0000000000000007E-2</v>
      </c>
      <c r="F578" s="42" t="s">
        <v>4036</v>
      </c>
      <c r="G578" s="50">
        <v>40973</v>
      </c>
      <c r="H578" s="49">
        <v>10</v>
      </c>
      <c r="I578" s="49">
        <f t="shared" si="17"/>
        <v>5250</v>
      </c>
      <c r="J578" s="29">
        <f t="shared" ref="J578:J641" si="18">IF(F578="分期",D578*(E578-0.025)*2.5*H578/10,D578*(E578-0.025)*F578/30*H578)</f>
        <v>3375.0000000000009</v>
      </c>
      <c r="K578" s="13"/>
      <c r="L578" s="10"/>
    </row>
    <row r="579" spans="1:12">
      <c r="A579" s="13"/>
      <c r="B579" s="48"/>
      <c r="C579" s="13"/>
      <c r="D579" s="49">
        <v>30000</v>
      </c>
      <c r="E579" s="51">
        <v>7.0000000000000007E-2</v>
      </c>
      <c r="F579" s="42" t="s">
        <v>4036</v>
      </c>
      <c r="G579" s="50">
        <v>41064</v>
      </c>
      <c r="H579" s="49">
        <v>10</v>
      </c>
      <c r="I579" s="49">
        <f t="shared" si="17"/>
        <v>5250</v>
      </c>
      <c r="J579" s="29">
        <f t="shared" si="18"/>
        <v>3375.0000000000009</v>
      </c>
      <c r="K579" s="13"/>
      <c r="L579" s="10"/>
    </row>
    <row r="580" spans="1:12">
      <c r="A580" s="13"/>
      <c r="B580" s="48"/>
      <c r="C580" s="13"/>
      <c r="D580" s="49">
        <v>30000</v>
      </c>
      <c r="E580" s="51">
        <v>7.0000000000000007E-2</v>
      </c>
      <c r="F580" s="42" t="s">
        <v>4036</v>
      </c>
      <c r="G580" s="50">
        <v>41064</v>
      </c>
      <c r="H580" s="49">
        <v>10</v>
      </c>
      <c r="I580" s="49">
        <f t="shared" ref="I580:I643" si="19">IF(F580="分期",D580*E580*2.5*H580/10,D580*E580*F580*H580/30)</f>
        <v>5250</v>
      </c>
      <c r="J580" s="29">
        <f t="shared" si="18"/>
        <v>3375.0000000000009</v>
      </c>
      <c r="K580" s="13"/>
      <c r="L580" s="10"/>
    </row>
    <row r="581" spans="1:12">
      <c r="A581" s="13"/>
      <c r="B581" s="48"/>
      <c r="C581" s="13"/>
      <c r="D581" s="49">
        <v>30000</v>
      </c>
      <c r="E581" s="51">
        <v>7.0000000000000007E-2</v>
      </c>
      <c r="F581" s="42" t="s">
        <v>4036</v>
      </c>
      <c r="G581" s="50">
        <v>41113</v>
      </c>
      <c r="H581" s="49">
        <v>10</v>
      </c>
      <c r="I581" s="49">
        <f t="shared" si="19"/>
        <v>5250</v>
      </c>
      <c r="J581" s="29">
        <f t="shared" si="18"/>
        <v>3375.0000000000009</v>
      </c>
      <c r="K581" s="13"/>
      <c r="L581" s="10"/>
    </row>
    <row r="582" spans="1:12">
      <c r="A582" s="13"/>
      <c r="B582" s="48"/>
      <c r="C582" s="13"/>
      <c r="D582" s="49">
        <v>30000</v>
      </c>
      <c r="E582" s="51">
        <v>7.0000000000000007E-2</v>
      </c>
      <c r="F582" s="42" t="s">
        <v>4036</v>
      </c>
      <c r="G582" s="50">
        <v>41113</v>
      </c>
      <c r="H582" s="49">
        <v>10</v>
      </c>
      <c r="I582" s="49">
        <f t="shared" si="19"/>
        <v>5250</v>
      </c>
      <c r="J582" s="29">
        <f t="shared" si="18"/>
        <v>3375.0000000000009</v>
      </c>
      <c r="K582" s="13"/>
      <c r="L582" s="10"/>
    </row>
    <row r="583" spans="1:12">
      <c r="A583" s="13"/>
      <c r="B583" s="48"/>
      <c r="C583" s="13"/>
      <c r="D583" s="49">
        <v>50000</v>
      </c>
      <c r="E583" s="51">
        <v>7.4999999999999997E-2</v>
      </c>
      <c r="F583" s="42">
        <v>15</v>
      </c>
      <c r="G583" s="50">
        <v>41142</v>
      </c>
      <c r="H583" s="49">
        <v>11</v>
      </c>
      <c r="I583" s="49">
        <f t="shared" si="19"/>
        <v>20625</v>
      </c>
      <c r="J583" s="29">
        <f t="shared" si="18"/>
        <v>13750</v>
      </c>
      <c r="K583" s="13"/>
      <c r="L583" s="10"/>
    </row>
    <row r="584" spans="1:12">
      <c r="A584" s="13"/>
      <c r="B584" s="48"/>
      <c r="C584" s="13"/>
      <c r="D584" s="49">
        <v>30000</v>
      </c>
      <c r="E584" s="51">
        <v>7.0000000000000007E-2</v>
      </c>
      <c r="F584" s="42" t="s">
        <v>4036</v>
      </c>
      <c r="G584" s="50">
        <v>41162</v>
      </c>
      <c r="H584" s="49">
        <v>10</v>
      </c>
      <c r="I584" s="49">
        <f t="shared" si="19"/>
        <v>5250</v>
      </c>
      <c r="J584" s="29">
        <f t="shared" si="18"/>
        <v>3375.0000000000009</v>
      </c>
      <c r="K584" s="13"/>
      <c r="L584" s="10"/>
    </row>
    <row r="585" spans="1:12">
      <c r="A585" s="13"/>
      <c r="B585" s="48"/>
      <c r="C585" s="13"/>
      <c r="D585" s="49">
        <v>30000</v>
      </c>
      <c r="E585" s="51">
        <v>7.0000000000000007E-2</v>
      </c>
      <c r="F585" s="42" t="s">
        <v>4036</v>
      </c>
      <c r="G585" s="50">
        <v>41162</v>
      </c>
      <c r="H585" s="49">
        <v>10</v>
      </c>
      <c r="I585" s="49">
        <f t="shared" si="19"/>
        <v>5250</v>
      </c>
      <c r="J585" s="29">
        <f t="shared" si="18"/>
        <v>3375.0000000000009</v>
      </c>
      <c r="K585" s="13"/>
      <c r="L585" s="10"/>
    </row>
    <row r="586" spans="1:12">
      <c r="A586" s="13"/>
      <c r="B586" s="48"/>
      <c r="C586" s="13"/>
      <c r="D586" s="49">
        <v>30000</v>
      </c>
      <c r="E586" s="51">
        <v>7.0000000000000007E-2</v>
      </c>
      <c r="F586" s="42" t="s">
        <v>4036</v>
      </c>
      <c r="G586" s="50">
        <v>41200</v>
      </c>
      <c r="H586" s="49">
        <v>10</v>
      </c>
      <c r="I586" s="49">
        <f t="shared" si="19"/>
        <v>5250</v>
      </c>
      <c r="J586" s="29">
        <f t="shared" si="18"/>
        <v>3375.0000000000009</v>
      </c>
      <c r="K586" s="13"/>
      <c r="L586" s="10"/>
    </row>
    <row r="587" spans="1:12">
      <c r="A587" s="13"/>
      <c r="B587" s="48"/>
      <c r="C587" s="13"/>
      <c r="D587" s="49">
        <v>30000</v>
      </c>
      <c r="E587" s="51">
        <v>7.0000000000000007E-2</v>
      </c>
      <c r="F587" s="42" t="s">
        <v>4036</v>
      </c>
      <c r="G587" s="50">
        <v>41200</v>
      </c>
      <c r="H587" s="49">
        <v>10</v>
      </c>
      <c r="I587" s="49">
        <f t="shared" si="19"/>
        <v>5250</v>
      </c>
      <c r="J587" s="29">
        <f t="shared" si="18"/>
        <v>3375.0000000000009</v>
      </c>
      <c r="K587" s="13"/>
      <c r="L587" s="10"/>
    </row>
    <row r="588" spans="1:12">
      <c r="A588" s="13"/>
      <c r="B588" s="48"/>
      <c r="C588" s="13"/>
      <c r="D588" s="49">
        <v>30000</v>
      </c>
      <c r="E588" s="51">
        <v>7.0000000000000007E-2</v>
      </c>
      <c r="F588" s="42" t="s">
        <v>4036</v>
      </c>
      <c r="G588" s="50">
        <v>41235</v>
      </c>
      <c r="H588" s="49">
        <v>9</v>
      </c>
      <c r="I588" s="49">
        <f t="shared" si="19"/>
        <v>4725</v>
      </c>
      <c r="J588" s="29">
        <f t="shared" si="18"/>
        <v>3037.5000000000005</v>
      </c>
      <c r="K588" s="13"/>
      <c r="L588" s="10"/>
    </row>
    <row r="589" spans="1:12">
      <c r="A589" s="13"/>
      <c r="B589" s="48"/>
      <c r="C589" s="13"/>
      <c r="D589" s="49">
        <v>30000</v>
      </c>
      <c r="E589" s="51">
        <v>7.0000000000000007E-2</v>
      </c>
      <c r="F589" s="42" t="s">
        <v>4036</v>
      </c>
      <c r="G589" s="50">
        <v>41235</v>
      </c>
      <c r="H589" s="49">
        <v>9</v>
      </c>
      <c r="I589" s="49">
        <f t="shared" si="19"/>
        <v>4725</v>
      </c>
      <c r="J589" s="29">
        <f t="shared" si="18"/>
        <v>3037.5000000000005</v>
      </c>
      <c r="K589" s="13"/>
      <c r="L589" s="10"/>
    </row>
    <row r="590" spans="1:12">
      <c r="A590" s="13">
        <v>95</v>
      </c>
      <c r="B590" s="48">
        <v>3249</v>
      </c>
      <c r="C590" s="13" t="s">
        <v>1146</v>
      </c>
      <c r="D590" s="49">
        <v>105000</v>
      </c>
      <c r="E590" s="51">
        <v>7.4999999999999997E-2</v>
      </c>
      <c r="F590" s="42">
        <v>15</v>
      </c>
      <c r="G590" s="50">
        <v>40808</v>
      </c>
      <c r="H590" s="49">
        <v>2</v>
      </c>
      <c r="I590" s="49">
        <f t="shared" si="19"/>
        <v>7875</v>
      </c>
      <c r="J590" s="29">
        <f t="shared" si="18"/>
        <v>5250</v>
      </c>
      <c r="K590" s="13" t="s">
        <v>817</v>
      </c>
      <c r="L590" s="10"/>
    </row>
    <row r="591" spans="1:12">
      <c r="A591" s="13"/>
      <c r="B591" s="48"/>
      <c r="C591" s="13"/>
      <c r="D591" s="49">
        <v>100000</v>
      </c>
      <c r="E591" s="51">
        <v>7.4999999999999997E-2</v>
      </c>
      <c r="F591" s="42">
        <v>15</v>
      </c>
      <c r="G591" s="50">
        <v>40838</v>
      </c>
      <c r="H591" s="49">
        <v>1</v>
      </c>
      <c r="I591" s="49">
        <f t="shared" si="19"/>
        <v>3750</v>
      </c>
      <c r="J591" s="29">
        <f t="shared" si="18"/>
        <v>2500</v>
      </c>
      <c r="K591" s="13"/>
      <c r="L591" s="10"/>
    </row>
    <row r="592" spans="1:12">
      <c r="A592" s="13"/>
      <c r="B592" s="48"/>
      <c r="C592" s="13"/>
      <c r="D592" s="49">
        <v>110000</v>
      </c>
      <c r="E592" s="51">
        <v>7.4999999999999997E-2</v>
      </c>
      <c r="F592" s="42">
        <v>15</v>
      </c>
      <c r="G592" s="50">
        <v>40853</v>
      </c>
      <c r="H592" s="49">
        <v>8</v>
      </c>
      <c r="I592" s="49">
        <f t="shared" si="19"/>
        <v>33000</v>
      </c>
      <c r="J592" s="29">
        <f t="shared" si="18"/>
        <v>21999.999999999996</v>
      </c>
      <c r="K592" s="13"/>
      <c r="L592" s="10"/>
    </row>
    <row r="593" spans="1:12">
      <c r="A593" s="13"/>
      <c r="B593" s="48"/>
      <c r="C593" s="13"/>
      <c r="D593" s="49">
        <v>10000</v>
      </c>
      <c r="E593" s="51">
        <v>7.0000000000000007E-2</v>
      </c>
      <c r="F593" s="42" t="s">
        <v>4036</v>
      </c>
      <c r="G593" s="50">
        <v>40917</v>
      </c>
      <c r="H593" s="49">
        <v>10</v>
      </c>
      <c r="I593" s="49">
        <f t="shared" si="19"/>
        <v>1750.0000000000005</v>
      </c>
      <c r="J593" s="29">
        <f t="shared" si="18"/>
        <v>1125.0000000000002</v>
      </c>
      <c r="K593" s="13"/>
      <c r="L593" s="10"/>
    </row>
    <row r="594" spans="1:12">
      <c r="A594" s="13"/>
      <c r="B594" s="48"/>
      <c r="C594" s="13"/>
      <c r="D594" s="49">
        <v>20000</v>
      </c>
      <c r="E594" s="51">
        <v>7.0000000000000007E-2</v>
      </c>
      <c r="F594" s="42" t="s">
        <v>4036</v>
      </c>
      <c r="G594" s="50">
        <v>40933</v>
      </c>
      <c r="H594" s="49">
        <v>10</v>
      </c>
      <c r="I594" s="49">
        <f t="shared" si="19"/>
        <v>3500.0000000000009</v>
      </c>
      <c r="J594" s="29">
        <f t="shared" si="18"/>
        <v>2250.0000000000005</v>
      </c>
      <c r="K594" s="13"/>
      <c r="L594" s="10"/>
    </row>
    <row r="595" spans="1:12">
      <c r="A595" s="13"/>
      <c r="B595" s="48"/>
      <c r="C595" s="13"/>
      <c r="D595" s="49">
        <v>25000</v>
      </c>
      <c r="E595" s="51">
        <v>7.4999999999999997E-2</v>
      </c>
      <c r="F595" s="42">
        <v>15</v>
      </c>
      <c r="G595" s="50">
        <v>40938</v>
      </c>
      <c r="H595" s="49">
        <v>21</v>
      </c>
      <c r="I595" s="49">
        <f t="shared" si="19"/>
        <v>19687.5</v>
      </c>
      <c r="J595" s="29">
        <f t="shared" si="18"/>
        <v>13125</v>
      </c>
      <c r="K595" s="13"/>
      <c r="L595" s="10"/>
    </row>
    <row r="596" spans="1:12">
      <c r="A596" s="13"/>
      <c r="B596" s="48"/>
      <c r="C596" s="13"/>
      <c r="D596" s="49">
        <v>140000</v>
      </c>
      <c r="E596" s="51">
        <v>7.4999999999999997E-2</v>
      </c>
      <c r="F596" s="42">
        <v>15</v>
      </c>
      <c r="G596" s="50">
        <v>40958</v>
      </c>
      <c r="H596" s="49">
        <v>13</v>
      </c>
      <c r="I596" s="49">
        <f t="shared" si="19"/>
        <v>68250</v>
      </c>
      <c r="J596" s="29">
        <f t="shared" si="18"/>
        <v>45499.999999999993</v>
      </c>
      <c r="K596" s="13"/>
      <c r="L596" s="10"/>
    </row>
    <row r="597" spans="1:12">
      <c r="A597" s="13"/>
      <c r="B597" s="48"/>
      <c r="C597" s="13"/>
      <c r="D597" s="49">
        <v>70000</v>
      </c>
      <c r="E597" s="51">
        <v>7.4999999999999997E-2</v>
      </c>
      <c r="F597" s="42">
        <v>15</v>
      </c>
      <c r="G597" s="50">
        <v>41128</v>
      </c>
      <c r="H597" s="49">
        <v>12</v>
      </c>
      <c r="I597" s="49">
        <f t="shared" si="19"/>
        <v>31500</v>
      </c>
      <c r="J597" s="29">
        <f t="shared" si="18"/>
        <v>20999.999999999996</v>
      </c>
      <c r="K597" s="13"/>
      <c r="L597" s="10"/>
    </row>
    <row r="598" spans="1:12">
      <c r="A598" s="13"/>
      <c r="B598" s="48"/>
      <c r="C598" s="13"/>
      <c r="D598" s="49">
        <v>140000</v>
      </c>
      <c r="E598" s="51">
        <v>7.4999999999999997E-2</v>
      </c>
      <c r="F598" s="42">
        <v>15</v>
      </c>
      <c r="G598" s="50">
        <v>41168</v>
      </c>
      <c r="H598" s="49">
        <v>9</v>
      </c>
      <c r="I598" s="49">
        <f t="shared" si="19"/>
        <v>47250</v>
      </c>
      <c r="J598" s="29">
        <f t="shared" si="18"/>
        <v>31499.999999999996</v>
      </c>
      <c r="K598" s="13"/>
      <c r="L598" s="10"/>
    </row>
    <row r="599" spans="1:12">
      <c r="A599" s="13">
        <v>96</v>
      </c>
      <c r="B599" s="48">
        <v>3257</v>
      </c>
      <c r="C599" s="13" t="s">
        <v>2004</v>
      </c>
      <c r="D599" s="49">
        <v>50000</v>
      </c>
      <c r="E599" s="51">
        <v>7.4999999999999997E-2</v>
      </c>
      <c r="F599" s="42">
        <v>15</v>
      </c>
      <c r="G599" s="50">
        <v>40806</v>
      </c>
      <c r="H599" s="49">
        <v>20</v>
      </c>
      <c r="I599" s="49">
        <f t="shared" si="19"/>
        <v>37500</v>
      </c>
      <c r="J599" s="29">
        <f t="shared" si="18"/>
        <v>25000</v>
      </c>
      <c r="K599" s="13" t="s">
        <v>818</v>
      </c>
      <c r="L599" s="10"/>
    </row>
    <row r="600" spans="1:12">
      <c r="A600" s="13"/>
      <c r="B600" s="48"/>
      <c r="C600" s="13"/>
      <c r="D600" s="49">
        <v>45000</v>
      </c>
      <c r="E600" s="51">
        <v>7.4999999999999997E-2</v>
      </c>
      <c r="F600" s="42">
        <v>15</v>
      </c>
      <c r="G600" s="50">
        <v>41106</v>
      </c>
      <c r="H600" s="49">
        <v>10</v>
      </c>
      <c r="I600" s="49">
        <f t="shared" si="19"/>
        <v>16875</v>
      </c>
      <c r="J600" s="29">
        <f t="shared" si="18"/>
        <v>11250</v>
      </c>
      <c r="K600" s="13"/>
      <c r="L600" s="10"/>
    </row>
    <row r="601" spans="1:12">
      <c r="A601" s="13"/>
      <c r="B601" s="48"/>
      <c r="C601" s="13"/>
      <c r="D601" s="49">
        <v>40000</v>
      </c>
      <c r="E601" s="51">
        <v>7.4999999999999997E-2</v>
      </c>
      <c r="F601" s="42">
        <v>15</v>
      </c>
      <c r="G601" s="50">
        <v>41256</v>
      </c>
      <c r="H601" s="49">
        <v>2</v>
      </c>
      <c r="I601" s="49">
        <f t="shared" si="19"/>
        <v>3000</v>
      </c>
      <c r="J601" s="29">
        <f t="shared" si="18"/>
        <v>1999.9999999999998</v>
      </c>
      <c r="K601" s="13"/>
      <c r="L601" s="10"/>
    </row>
    <row r="602" spans="1:12">
      <c r="A602" s="13"/>
      <c r="B602" s="48"/>
      <c r="C602" s="13"/>
      <c r="D602" s="49">
        <v>35000</v>
      </c>
      <c r="E602" s="51">
        <v>7.4999999999999997E-2</v>
      </c>
      <c r="F602" s="42">
        <v>15</v>
      </c>
      <c r="G602" s="50">
        <v>41286</v>
      </c>
      <c r="H602" s="49">
        <v>1</v>
      </c>
      <c r="I602" s="49">
        <f t="shared" si="19"/>
        <v>1312.5</v>
      </c>
      <c r="J602" s="29">
        <f t="shared" si="18"/>
        <v>874.99999999999989</v>
      </c>
      <c r="K602" s="13"/>
      <c r="L602" s="10"/>
    </row>
    <row r="603" spans="1:12">
      <c r="A603" s="13">
        <v>97</v>
      </c>
      <c r="B603" s="48">
        <v>3259</v>
      </c>
      <c r="C603" s="13" t="s">
        <v>1805</v>
      </c>
      <c r="D603" s="49">
        <v>135000</v>
      </c>
      <c r="E603" s="51">
        <v>7.4999999999999997E-2</v>
      </c>
      <c r="F603" s="42">
        <v>15</v>
      </c>
      <c r="G603" s="50">
        <v>41172</v>
      </c>
      <c r="H603" s="49">
        <v>5</v>
      </c>
      <c r="I603" s="49">
        <f t="shared" si="19"/>
        <v>25312.5</v>
      </c>
      <c r="J603" s="29">
        <f t="shared" si="18"/>
        <v>16874.999999999996</v>
      </c>
      <c r="K603" s="13" t="s">
        <v>819</v>
      </c>
      <c r="L603" s="10"/>
    </row>
    <row r="604" spans="1:12">
      <c r="A604" s="13"/>
      <c r="B604" s="48"/>
      <c r="C604" s="13"/>
      <c r="D604" s="49">
        <v>200000</v>
      </c>
      <c r="E604" s="51">
        <v>7.4999999999999997E-2</v>
      </c>
      <c r="F604" s="42">
        <v>15</v>
      </c>
      <c r="G604" s="50">
        <v>41174</v>
      </c>
      <c r="H604" s="49">
        <v>5</v>
      </c>
      <c r="I604" s="49">
        <f t="shared" si="19"/>
        <v>37500</v>
      </c>
      <c r="J604" s="29">
        <f t="shared" si="18"/>
        <v>25000</v>
      </c>
      <c r="K604" s="13"/>
      <c r="L604" s="10"/>
    </row>
    <row r="605" spans="1:12">
      <c r="A605" s="13"/>
      <c r="B605" s="48"/>
      <c r="C605" s="13"/>
      <c r="D605" s="49">
        <v>55000</v>
      </c>
      <c r="E605" s="51">
        <v>7.4999999999999997E-2</v>
      </c>
      <c r="F605" s="42">
        <v>15</v>
      </c>
      <c r="G605" s="50">
        <v>41175</v>
      </c>
      <c r="H605" s="49">
        <v>5</v>
      </c>
      <c r="I605" s="49">
        <f t="shared" si="19"/>
        <v>10312.5</v>
      </c>
      <c r="J605" s="29">
        <f t="shared" si="18"/>
        <v>6874.9999999999991</v>
      </c>
      <c r="K605" s="13"/>
      <c r="L605" s="10"/>
    </row>
    <row r="606" spans="1:12">
      <c r="A606" s="13"/>
      <c r="B606" s="48"/>
      <c r="C606" s="13"/>
      <c r="D606" s="49">
        <v>350000</v>
      </c>
      <c r="E606" s="51">
        <v>7.4999999999999997E-2</v>
      </c>
      <c r="F606" s="42">
        <v>15</v>
      </c>
      <c r="G606" s="50">
        <v>41177</v>
      </c>
      <c r="H606" s="49">
        <v>5</v>
      </c>
      <c r="I606" s="49">
        <f t="shared" si="19"/>
        <v>65625</v>
      </c>
      <c r="J606" s="29">
        <f t="shared" si="18"/>
        <v>43750</v>
      </c>
      <c r="K606" s="13"/>
      <c r="L606" s="10"/>
    </row>
    <row r="607" spans="1:12">
      <c r="A607" s="13"/>
      <c r="B607" s="48"/>
      <c r="C607" s="13"/>
      <c r="D607" s="49">
        <v>380000</v>
      </c>
      <c r="E607" s="51">
        <v>7.4999999999999997E-2</v>
      </c>
      <c r="F607" s="42">
        <v>15</v>
      </c>
      <c r="G607" s="50">
        <v>41179</v>
      </c>
      <c r="H607" s="49">
        <v>5</v>
      </c>
      <c r="I607" s="49">
        <f t="shared" si="19"/>
        <v>71250</v>
      </c>
      <c r="J607" s="29">
        <f t="shared" si="18"/>
        <v>47500</v>
      </c>
      <c r="K607" s="13"/>
      <c r="L607" s="10"/>
    </row>
    <row r="608" spans="1:12">
      <c r="A608" s="13"/>
      <c r="B608" s="48"/>
      <c r="C608" s="13"/>
      <c r="D608" s="49">
        <v>150000</v>
      </c>
      <c r="E608" s="51">
        <v>7.4999999999999997E-2</v>
      </c>
      <c r="F608" s="42">
        <v>15</v>
      </c>
      <c r="G608" s="50">
        <v>41182</v>
      </c>
      <c r="H608" s="49">
        <v>1</v>
      </c>
      <c r="I608" s="49">
        <f t="shared" si="19"/>
        <v>5625</v>
      </c>
      <c r="J608" s="29">
        <f t="shared" si="18"/>
        <v>3749.9999999999995</v>
      </c>
      <c r="K608" s="13"/>
      <c r="L608" s="10"/>
    </row>
    <row r="609" spans="1:12">
      <c r="A609" s="13"/>
      <c r="B609" s="48"/>
      <c r="C609" s="13"/>
      <c r="D609" s="49">
        <v>200000</v>
      </c>
      <c r="E609" s="51">
        <v>7.4999999999999997E-2</v>
      </c>
      <c r="F609" s="42">
        <v>15</v>
      </c>
      <c r="G609" s="50">
        <v>41182</v>
      </c>
      <c r="H609" s="49">
        <v>1</v>
      </c>
      <c r="I609" s="49">
        <f t="shared" si="19"/>
        <v>7500</v>
      </c>
      <c r="J609" s="29">
        <f t="shared" si="18"/>
        <v>5000</v>
      </c>
      <c r="K609" s="13"/>
      <c r="L609" s="10"/>
    </row>
    <row r="610" spans="1:12">
      <c r="A610" s="13"/>
      <c r="B610" s="48"/>
      <c r="C610" s="13"/>
      <c r="D610" s="49">
        <v>400000</v>
      </c>
      <c r="E610" s="51">
        <v>7.4999999999999997E-2</v>
      </c>
      <c r="F610" s="42">
        <v>30</v>
      </c>
      <c r="G610" s="50">
        <v>41183</v>
      </c>
      <c r="H610" s="49">
        <v>1</v>
      </c>
      <c r="I610" s="49">
        <f t="shared" si="19"/>
        <v>30000</v>
      </c>
      <c r="J610" s="29">
        <f t="shared" si="18"/>
        <v>20000</v>
      </c>
      <c r="K610" s="13"/>
      <c r="L610" s="10"/>
    </row>
    <row r="611" spans="1:12">
      <c r="A611" s="13"/>
      <c r="B611" s="48"/>
      <c r="C611" s="13"/>
      <c r="D611" s="49">
        <v>110000</v>
      </c>
      <c r="E611" s="51">
        <v>7.4999999999999997E-2</v>
      </c>
      <c r="F611" s="42">
        <v>15</v>
      </c>
      <c r="G611" s="50">
        <v>41185</v>
      </c>
      <c r="H611" s="49">
        <v>4</v>
      </c>
      <c r="I611" s="49">
        <f t="shared" si="19"/>
        <v>16500</v>
      </c>
      <c r="J611" s="29">
        <f t="shared" si="18"/>
        <v>10999.999999999998</v>
      </c>
      <c r="K611" s="13"/>
      <c r="L611" s="10"/>
    </row>
    <row r="612" spans="1:12">
      <c r="A612" s="13"/>
      <c r="B612" s="48"/>
      <c r="C612" s="13"/>
      <c r="D612" s="49">
        <v>400000</v>
      </c>
      <c r="E612" s="51">
        <v>7.4999999999999997E-2</v>
      </c>
      <c r="F612" s="42">
        <v>15</v>
      </c>
      <c r="G612" s="50">
        <v>41196</v>
      </c>
      <c r="H612" s="49">
        <v>1</v>
      </c>
      <c r="I612" s="49">
        <f t="shared" si="19"/>
        <v>15000</v>
      </c>
      <c r="J612" s="29">
        <f t="shared" si="18"/>
        <v>10000</v>
      </c>
      <c r="K612" s="13"/>
      <c r="L612" s="10"/>
    </row>
    <row r="613" spans="1:12">
      <c r="A613" s="13"/>
      <c r="B613" s="48"/>
      <c r="C613" s="13"/>
      <c r="D613" s="49">
        <v>300000</v>
      </c>
      <c r="E613" s="51">
        <v>7.4999999999999997E-2</v>
      </c>
      <c r="F613" s="42">
        <v>15</v>
      </c>
      <c r="G613" s="50">
        <v>41200</v>
      </c>
      <c r="H613" s="49">
        <v>1</v>
      </c>
      <c r="I613" s="49">
        <f t="shared" si="19"/>
        <v>11250</v>
      </c>
      <c r="J613" s="29">
        <f t="shared" si="18"/>
        <v>7499.9999999999991</v>
      </c>
      <c r="K613" s="13"/>
      <c r="L613" s="10"/>
    </row>
    <row r="614" spans="1:12">
      <c r="A614" s="13"/>
      <c r="B614" s="48"/>
      <c r="C614" s="13"/>
      <c r="D614" s="49">
        <v>400000</v>
      </c>
      <c r="E614" s="51">
        <v>7.4999999999999997E-2</v>
      </c>
      <c r="F614" s="42">
        <v>15</v>
      </c>
      <c r="G614" s="50">
        <v>41207</v>
      </c>
      <c r="H614" s="49">
        <v>1</v>
      </c>
      <c r="I614" s="49">
        <f t="shared" si="19"/>
        <v>15000</v>
      </c>
      <c r="J614" s="29">
        <f t="shared" si="18"/>
        <v>10000</v>
      </c>
      <c r="K614" s="13"/>
      <c r="L614" s="10"/>
    </row>
    <row r="615" spans="1:12">
      <c r="A615" s="13"/>
      <c r="B615" s="48"/>
      <c r="C615" s="13"/>
      <c r="D615" s="49">
        <v>200000</v>
      </c>
      <c r="E615" s="51">
        <v>7.4999999999999997E-2</v>
      </c>
      <c r="F615" s="42">
        <v>15</v>
      </c>
      <c r="G615" s="50">
        <v>41210</v>
      </c>
      <c r="H615" s="49">
        <v>1</v>
      </c>
      <c r="I615" s="49">
        <f t="shared" si="19"/>
        <v>7500</v>
      </c>
      <c r="J615" s="29">
        <f t="shared" si="18"/>
        <v>5000</v>
      </c>
      <c r="K615" s="13"/>
      <c r="L615" s="10"/>
    </row>
    <row r="616" spans="1:12">
      <c r="A616" s="13"/>
      <c r="B616" s="48"/>
      <c r="C616" s="13"/>
      <c r="D616" s="49">
        <v>1000000</v>
      </c>
      <c r="E616" s="51">
        <v>7.4999999999999997E-2</v>
      </c>
      <c r="F616" s="42">
        <v>30</v>
      </c>
      <c r="G616" s="50">
        <v>41217</v>
      </c>
      <c r="H616" s="49">
        <v>1</v>
      </c>
      <c r="I616" s="49">
        <f t="shared" si="19"/>
        <v>75000</v>
      </c>
      <c r="J616" s="29">
        <f t="shared" si="18"/>
        <v>49999.999999999993</v>
      </c>
      <c r="K616" s="13"/>
      <c r="L616" s="10"/>
    </row>
    <row r="617" spans="1:12">
      <c r="A617" s="13"/>
      <c r="B617" s="48"/>
      <c r="C617" s="13"/>
      <c r="D617" s="49">
        <v>500000</v>
      </c>
      <c r="E617" s="51">
        <v>7.4999999999999997E-2</v>
      </c>
      <c r="F617" s="42">
        <v>30</v>
      </c>
      <c r="G617" s="50">
        <v>41231</v>
      </c>
      <c r="H617" s="49">
        <v>1</v>
      </c>
      <c r="I617" s="49">
        <f t="shared" si="19"/>
        <v>37500</v>
      </c>
      <c r="J617" s="29">
        <f t="shared" si="18"/>
        <v>24999.999999999996</v>
      </c>
      <c r="K617" s="13"/>
      <c r="L617" s="10"/>
    </row>
    <row r="618" spans="1:12">
      <c r="A618" s="13"/>
      <c r="B618" s="48"/>
      <c r="C618" s="13"/>
      <c r="D618" s="49">
        <v>150000</v>
      </c>
      <c r="E618" s="51">
        <v>7.4999999999999997E-2</v>
      </c>
      <c r="F618" s="42">
        <v>15</v>
      </c>
      <c r="G618" s="50">
        <v>41235</v>
      </c>
      <c r="H618" s="49">
        <v>1</v>
      </c>
      <c r="I618" s="49">
        <f t="shared" si="19"/>
        <v>5625</v>
      </c>
      <c r="J618" s="29">
        <f t="shared" si="18"/>
        <v>3749.9999999999995</v>
      </c>
      <c r="K618" s="13"/>
      <c r="L618" s="10"/>
    </row>
    <row r="619" spans="1:12">
      <c r="A619" s="13"/>
      <c r="B619" s="48"/>
      <c r="C619" s="13"/>
      <c r="D619" s="49">
        <v>230000</v>
      </c>
      <c r="E619" s="51">
        <v>7.4999999999999997E-2</v>
      </c>
      <c r="F619" s="42">
        <v>15</v>
      </c>
      <c r="G619" s="50">
        <v>41236</v>
      </c>
      <c r="H619" s="49">
        <v>1</v>
      </c>
      <c r="I619" s="49">
        <f t="shared" si="19"/>
        <v>8625</v>
      </c>
      <c r="J619" s="29">
        <f t="shared" si="18"/>
        <v>5749.9999999999991</v>
      </c>
      <c r="K619" s="13"/>
      <c r="L619" s="10"/>
    </row>
    <row r="620" spans="1:12">
      <c r="A620" s="13"/>
      <c r="B620" s="48"/>
      <c r="C620" s="13"/>
      <c r="D620" s="49">
        <v>200000</v>
      </c>
      <c r="E620" s="51">
        <v>7.4999999999999997E-2</v>
      </c>
      <c r="F620" s="42">
        <v>15</v>
      </c>
      <c r="G620" s="50">
        <v>41237</v>
      </c>
      <c r="H620" s="49">
        <v>1</v>
      </c>
      <c r="I620" s="49">
        <f t="shared" si="19"/>
        <v>7500</v>
      </c>
      <c r="J620" s="29">
        <f t="shared" si="18"/>
        <v>5000</v>
      </c>
      <c r="K620" s="13"/>
      <c r="L620" s="10"/>
    </row>
    <row r="621" spans="1:12">
      <c r="A621" s="13"/>
      <c r="B621" s="48"/>
      <c r="C621" s="13"/>
      <c r="D621" s="49">
        <v>250000</v>
      </c>
      <c r="E621" s="51">
        <v>7.4999999999999997E-2</v>
      </c>
      <c r="F621" s="42">
        <v>15</v>
      </c>
      <c r="G621" s="50">
        <v>41238</v>
      </c>
      <c r="H621" s="49">
        <v>1</v>
      </c>
      <c r="I621" s="49">
        <f t="shared" si="19"/>
        <v>9375</v>
      </c>
      <c r="J621" s="29">
        <f t="shared" si="18"/>
        <v>6249.9999999999991</v>
      </c>
      <c r="K621" s="13"/>
      <c r="L621" s="10"/>
    </row>
    <row r="622" spans="1:12">
      <c r="A622" s="13"/>
      <c r="B622" s="48"/>
      <c r="C622" s="13"/>
      <c r="D622" s="49">
        <v>300000</v>
      </c>
      <c r="E622" s="51">
        <v>7.4999999999999997E-2</v>
      </c>
      <c r="F622" s="42">
        <v>15</v>
      </c>
      <c r="G622" s="50">
        <v>41245</v>
      </c>
      <c r="H622" s="49">
        <v>1</v>
      </c>
      <c r="I622" s="49">
        <f t="shared" si="19"/>
        <v>11250</v>
      </c>
      <c r="J622" s="29">
        <f t="shared" si="18"/>
        <v>7499.9999999999991</v>
      </c>
      <c r="K622" s="13"/>
      <c r="L622" s="10"/>
    </row>
    <row r="623" spans="1:12">
      <c r="A623" s="13">
        <v>97</v>
      </c>
      <c r="B623" s="48">
        <v>3261</v>
      </c>
      <c r="C623" s="13" t="s">
        <v>1998</v>
      </c>
      <c r="D623" s="49">
        <v>20000</v>
      </c>
      <c r="E623" s="51">
        <v>7.4999999999999997E-2</v>
      </c>
      <c r="F623" s="42">
        <v>15</v>
      </c>
      <c r="G623" s="50">
        <v>40809</v>
      </c>
      <c r="H623" s="49">
        <v>1</v>
      </c>
      <c r="I623" s="49">
        <f t="shared" si="19"/>
        <v>750</v>
      </c>
      <c r="J623" s="29">
        <f t="shared" si="18"/>
        <v>499.99999999999994</v>
      </c>
      <c r="K623" s="13" t="s">
        <v>820</v>
      </c>
      <c r="L623" s="10"/>
    </row>
    <row r="624" spans="1:12">
      <c r="A624" s="13"/>
      <c r="B624" s="48"/>
      <c r="C624" s="13"/>
      <c r="D624" s="49">
        <v>10000</v>
      </c>
      <c r="E624" s="51">
        <v>7.4999999999999997E-2</v>
      </c>
      <c r="F624" s="42">
        <v>15</v>
      </c>
      <c r="G624" s="50">
        <v>40811</v>
      </c>
      <c r="H624" s="49">
        <v>2</v>
      </c>
      <c r="I624" s="49">
        <f t="shared" si="19"/>
        <v>750</v>
      </c>
      <c r="J624" s="29">
        <f t="shared" si="18"/>
        <v>499.99999999999994</v>
      </c>
      <c r="K624" s="13"/>
      <c r="L624" s="10"/>
    </row>
    <row r="625" spans="1:12">
      <c r="A625" s="13"/>
      <c r="B625" s="48"/>
      <c r="C625" s="13"/>
      <c r="D625" s="49">
        <v>20000</v>
      </c>
      <c r="E625" s="51">
        <v>7.0000000000000007E-2</v>
      </c>
      <c r="F625" s="42" t="s">
        <v>4036</v>
      </c>
      <c r="G625" s="50">
        <v>40830</v>
      </c>
      <c r="H625" s="49">
        <v>10</v>
      </c>
      <c r="I625" s="49">
        <f t="shared" si="19"/>
        <v>3500.0000000000009</v>
      </c>
      <c r="J625" s="29">
        <f t="shared" si="18"/>
        <v>2250.0000000000005</v>
      </c>
      <c r="K625" s="13"/>
      <c r="L625" s="10"/>
    </row>
    <row r="626" spans="1:12">
      <c r="A626" s="13"/>
      <c r="B626" s="48"/>
      <c r="C626" s="13"/>
      <c r="D626" s="49">
        <v>20000</v>
      </c>
      <c r="E626" s="51">
        <v>7.0000000000000007E-2</v>
      </c>
      <c r="F626" s="42" t="s">
        <v>4036</v>
      </c>
      <c r="G626" s="50">
        <v>40899</v>
      </c>
      <c r="H626" s="49">
        <v>10</v>
      </c>
      <c r="I626" s="49">
        <f t="shared" si="19"/>
        <v>3500.0000000000009</v>
      </c>
      <c r="J626" s="29">
        <f t="shared" si="18"/>
        <v>2250.0000000000005</v>
      </c>
      <c r="K626" s="13"/>
      <c r="L626" s="10"/>
    </row>
    <row r="627" spans="1:12">
      <c r="A627" s="13"/>
      <c r="B627" s="48"/>
      <c r="C627" s="13"/>
      <c r="D627" s="49">
        <v>10000</v>
      </c>
      <c r="E627" s="51">
        <v>7.4999999999999997E-2</v>
      </c>
      <c r="F627" s="42">
        <v>15</v>
      </c>
      <c r="G627" s="50">
        <v>40907</v>
      </c>
      <c r="H627" s="49">
        <v>6</v>
      </c>
      <c r="I627" s="49">
        <f t="shared" si="19"/>
        <v>2250</v>
      </c>
      <c r="J627" s="29">
        <f t="shared" si="18"/>
        <v>1499.9999999999998</v>
      </c>
      <c r="K627" s="13"/>
      <c r="L627" s="10"/>
    </row>
    <row r="628" spans="1:12">
      <c r="A628" s="13"/>
      <c r="B628" s="48"/>
      <c r="C628" s="13"/>
      <c r="D628" s="49">
        <v>20000</v>
      </c>
      <c r="E628" s="51">
        <v>7.0000000000000007E-2</v>
      </c>
      <c r="F628" s="42" t="s">
        <v>4036</v>
      </c>
      <c r="G628" s="50">
        <v>40968</v>
      </c>
      <c r="H628" s="49">
        <v>10</v>
      </c>
      <c r="I628" s="49">
        <f t="shared" si="19"/>
        <v>3500.0000000000009</v>
      </c>
      <c r="J628" s="29">
        <f t="shared" si="18"/>
        <v>2250.0000000000005</v>
      </c>
      <c r="K628" s="13"/>
      <c r="L628" s="10"/>
    </row>
    <row r="629" spans="1:12">
      <c r="A629" s="13">
        <v>98</v>
      </c>
      <c r="B629" s="48">
        <v>3267</v>
      </c>
      <c r="C629" s="13" t="s">
        <v>3846</v>
      </c>
      <c r="D629" s="49">
        <v>340000</v>
      </c>
      <c r="E629" s="51">
        <v>7.4999999999999997E-2</v>
      </c>
      <c r="F629" s="42">
        <v>15</v>
      </c>
      <c r="G629" s="50">
        <v>40805</v>
      </c>
      <c r="H629" s="49">
        <v>4</v>
      </c>
      <c r="I629" s="49">
        <f t="shared" si="19"/>
        <v>51000</v>
      </c>
      <c r="J629" s="29">
        <f t="shared" si="18"/>
        <v>34000</v>
      </c>
      <c r="K629" s="13" t="s">
        <v>821</v>
      </c>
      <c r="L629" s="10"/>
    </row>
    <row r="630" spans="1:12">
      <c r="A630" s="13"/>
      <c r="B630" s="48"/>
      <c r="C630" s="13"/>
      <c r="D630" s="49">
        <v>50000</v>
      </c>
      <c r="E630" s="51">
        <v>7.0000000000000007E-2</v>
      </c>
      <c r="F630" s="42" t="s">
        <v>4036</v>
      </c>
      <c r="G630" s="50">
        <v>40805</v>
      </c>
      <c r="H630" s="49">
        <v>10</v>
      </c>
      <c r="I630" s="49">
        <f t="shared" si="19"/>
        <v>8750.0000000000018</v>
      </c>
      <c r="J630" s="29">
        <f t="shared" si="18"/>
        <v>5625.0000000000009</v>
      </c>
      <c r="K630" s="13"/>
      <c r="L630" s="10"/>
    </row>
    <row r="631" spans="1:12">
      <c r="A631" s="13"/>
      <c r="B631" s="48"/>
      <c r="C631" s="13"/>
      <c r="D631" s="49">
        <v>210000</v>
      </c>
      <c r="E631" s="51">
        <v>7.4999999999999997E-2</v>
      </c>
      <c r="F631" s="42">
        <v>15</v>
      </c>
      <c r="G631" s="50">
        <v>40814</v>
      </c>
      <c r="H631" s="49">
        <v>3</v>
      </c>
      <c r="I631" s="49">
        <f t="shared" si="19"/>
        <v>23625</v>
      </c>
      <c r="J631" s="29">
        <f t="shared" si="18"/>
        <v>15750</v>
      </c>
      <c r="K631" s="13"/>
      <c r="L631" s="10"/>
    </row>
    <row r="632" spans="1:12">
      <c r="A632" s="13">
        <v>99</v>
      </c>
      <c r="B632" s="48">
        <v>3275</v>
      </c>
      <c r="C632" s="13" t="s">
        <v>1162</v>
      </c>
      <c r="D632" s="49">
        <v>15000</v>
      </c>
      <c r="E632" s="51">
        <v>7.4999999999999997E-2</v>
      </c>
      <c r="F632" s="42">
        <v>15</v>
      </c>
      <c r="G632" s="50">
        <v>40838</v>
      </c>
      <c r="H632" s="49">
        <v>3</v>
      </c>
      <c r="I632" s="49">
        <f t="shared" si="19"/>
        <v>1687.5</v>
      </c>
      <c r="J632" s="29">
        <f t="shared" si="18"/>
        <v>1124.9999999999998</v>
      </c>
      <c r="K632" s="13" t="s">
        <v>822</v>
      </c>
      <c r="L632" s="10"/>
    </row>
    <row r="633" spans="1:12">
      <c r="A633" s="13"/>
      <c r="B633" s="48"/>
      <c r="C633" s="13"/>
      <c r="D633" s="49">
        <v>5000</v>
      </c>
      <c r="E633" s="51">
        <v>7.0000000000000007E-2</v>
      </c>
      <c r="F633" s="42" t="s">
        <v>4036</v>
      </c>
      <c r="G633" s="50">
        <v>40890</v>
      </c>
      <c r="H633" s="49">
        <v>10</v>
      </c>
      <c r="I633" s="49">
        <f t="shared" si="19"/>
        <v>875.00000000000023</v>
      </c>
      <c r="J633" s="29">
        <f t="shared" si="18"/>
        <v>562.50000000000011</v>
      </c>
      <c r="K633" s="13"/>
      <c r="L633" s="10"/>
    </row>
    <row r="634" spans="1:12">
      <c r="A634" s="13"/>
      <c r="B634" s="48"/>
      <c r="C634" s="13"/>
      <c r="D634" s="49">
        <v>10000</v>
      </c>
      <c r="E634" s="51">
        <v>7.4999999999999997E-2</v>
      </c>
      <c r="F634" s="42">
        <v>15</v>
      </c>
      <c r="G634" s="50">
        <v>40898</v>
      </c>
      <c r="H634" s="49">
        <v>2</v>
      </c>
      <c r="I634" s="49">
        <f t="shared" si="19"/>
        <v>750</v>
      </c>
      <c r="J634" s="29">
        <f t="shared" si="18"/>
        <v>499.99999999999994</v>
      </c>
      <c r="K634" s="13"/>
      <c r="L634" s="10"/>
    </row>
    <row r="635" spans="1:12">
      <c r="A635" s="13"/>
      <c r="B635" s="48"/>
      <c r="C635" s="13"/>
      <c r="D635" s="49">
        <v>5000</v>
      </c>
      <c r="E635" s="51">
        <v>7.4999999999999997E-2</v>
      </c>
      <c r="F635" s="42">
        <v>15</v>
      </c>
      <c r="G635" s="50">
        <v>40928</v>
      </c>
      <c r="H635" s="49">
        <v>1</v>
      </c>
      <c r="I635" s="49">
        <f t="shared" si="19"/>
        <v>187.5</v>
      </c>
      <c r="J635" s="29">
        <f t="shared" si="18"/>
        <v>124.99999999999999</v>
      </c>
      <c r="K635" s="13"/>
      <c r="L635" s="10"/>
    </row>
    <row r="636" spans="1:12">
      <c r="A636" s="13"/>
      <c r="B636" s="48"/>
      <c r="C636" s="13"/>
      <c r="D636" s="49">
        <v>5000</v>
      </c>
      <c r="E636" s="51">
        <v>7.0000000000000007E-2</v>
      </c>
      <c r="F636" s="42" t="s">
        <v>4036</v>
      </c>
      <c r="G636" s="50">
        <v>40984</v>
      </c>
      <c r="H636" s="49">
        <v>10</v>
      </c>
      <c r="I636" s="49">
        <f t="shared" si="19"/>
        <v>875.00000000000023</v>
      </c>
      <c r="J636" s="29">
        <f t="shared" si="18"/>
        <v>562.50000000000011</v>
      </c>
      <c r="K636" s="13"/>
      <c r="L636" s="10"/>
    </row>
    <row r="637" spans="1:12">
      <c r="A637" s="13">
        <v>100</v>
      </c>
      <c r="B637" s="48">
        <v>3281</v>
      </c>
      <c r="C637" s="13" t="s">
        <v>1154</v>
      </c>
      <c r="D637" s="49">
        <v>10000</v>
      </c>
      <c r="E637" s="51">
        <v>7.0000000000000007E-2</v>
      </c>
      <c r="F637" s="42" t="s">
        <v>4036</v>
      </c>
      <c r="G637" s="50">
        <v>40955</v>
      </c>
      <c r="H637" s="49">
        <v>10</v>
      </c>
      <c r="I637" s="49">
        <f t="shared" si="19"/>
        <v>1750.0000000000005</v>
      </c>
      <c r="J637" s="29">
        <f t="shared" si="18"/>
        <v>1125.0000000000002</v>
      </c>
      <c r="K637" s="13" t="s">
        <v>823</v>
      </c>
      <c r="L637" s="10"/>
    </row>
    <row r="638" spans="1:12">
      <c r="A638" s="13"/>
      <c r="B638" s="48"/>
      <c r="C638" s="13"/>
      <c r="D638" s="49">
        <v>10000</v>
      </c>
      <c r="E638" s="51">
        <v>7.0000000000000007E-2</v>
      </c>
      <c r="F638" s="42" t="s">
        <v>4036</v>
      </c>
      <c r="G638" s="50">
        <v>41015</v>
      </c>
      <c r="H638" s="49">
        <v>10</v>
      </c>
      <c r="I638" s="49">
        <f t="shared" si="19"/>
        <v>1750.0000000000005</v>
      </c>
      <c r="J638" s="29">
        <f t="shared" si="18"/>
        <v>1125.0000000000002</v>
      </c>
      <c r="K638" s="13"/>
      <c r="L638" s="10"/>
    </row>
    <row r="639" spans="1:12">
      <c r="A639" s="13">
        <v>101</v>
      </c>
      <c r="B639" s="48">
        <v>3289</v>
      </c>
      <c r="C639" s="13" t="s">
        <v>4043</v>
      </c>
      <c r="D639" s="49">
        <v>10000</v>
      </c>
      <c r="E639" s="51">
        <v>7.0000000000000007E-2</v>
      </c>
      <c r="F639" s="42" t="s">
        <v>4036</v>
      </c>
      <c r="G639" s="50">
        <v>40780</v>
      </c>
      <c r="H639" s="49">
        <v>10</v>
      </c>
      <c r="I639" s="49">
        <f t="shared" si="19"/>
        <v>1750.0000000000005</v>
      </c>
      <c r="J639" s="29">
        <f t="shared" si="18"/>
        <v>1125.0000000000002</v>
      </c>
      <c r="K639" s="13" t="s">
        <v>824</v>
      </c>
      <c r="L639" s="10"/>
    </row>
    <row r="640" spans="1:12">
      <c r="A640" s="13"/>
      <c r="B640" s="48"/>
      <c r="C640" s="13"/>
      <c r="D640" s="49">
        <v>10000</v>
      </c>
      <c r="E640" s="51">
        <v>7.4999999999999997E-2</v>
      </c>
      <c r="F640" s="42">
        <v>15</v>
      </c>
      <c r="G640" s="50">
        <v>40803</v>
      </c>
      <c r="H640" s="49">
        <v>4</v>
      </c>
      <c r="I640" s="49">
        <f t="shared" si="19"/>
        <v>1500</v>
      </c>
      <c r="J640" s="29">
        <f t="shared" si="18"/>
        <v>999.99999999999989</v>
      </c>
      <c r="K640" s="13"/>
      <c r="L640" s="10"/>
    </row>
    <row r="641" spans="1:12">
      <c r="A641" s="13"/>
      <c r="B641" s="48"/>
      <c r="C641" s="13"/>
      <c r="D641" s="49">
        <v>10000</v>
      </c>
      <c r="E641" s="51">
        <v>7.0000000000000007E-2</v>
      </c>
      <c r="F641" s="42" t="s">
        <v>4036</v>
      </c>
      <c r="G641" s="50">
        <v>40855</v>
      </c>
      <c r="H641" s="49">
        <v>10</v>
      </c>
      <c r="I641" s="49">
        <f t="shared" si="19"/>
        <v>1750.0000000000005</v>
      </c>
      <c r="J641" s="29">
        <f t="shared" si="18"/>
        <v>1125.0000000000002</v>
      </c>
      <c r="K641" s="13"/>
      <c r="L641" s="10"/>
    </row>
    <row r="642" spans="1:12">
      <c r="A642" s="13">
        <v>102</v>
      </c>
      <c r="B642" s="48">
        <v>3303</v>
      </c>
      <c r="C642" s="13" t="s">
        <v>1129</v>
      </c>
      <c r="D642" s="49">
        <v>100000</v>
      </c>
      <c r="E642" s="51">
        <v>7.4999999999999997E-2</v>
      </c>
      <c r="F642" s="42">
        <v>15</v>
      </c>
      <c r="G642" s="50">
        <v>41139</v>
      </c>
      <c r="H642" s="49">
        <v>2</v>
      </c>
      <c r="I642" s="49">
        <f t="shared" si="19"/>
        <v>7500</v>
      </c>
      <c r="J642" s="29">
        <f t="shared" ref="J642:J705" si="20">IF(F642="分期",D642*(E642-0.025)*2.5*H642/10,D642*(E642-0.025)*F642/30*H642)</f>
        <v>5000</v>
      </c>
      <c r="K642" s="13" t="s">
        <v>825</v>
      </c>
      <c r="L642" s="10"/>
    </row>
    <row r="643" spans="1:12">
      <c r="A643" s="13"/>
      <c r="B643" s="48"/>
      <c r="C643" s="13"/>
      <c r="D643" s="49">
        <v>50000</v>
      </c>
      <c r="E643" s="51">
        <v>7.4999999999999997E-2</v>
      </c>
      <c r="F643" s="42">
        <v>15</v>
      </c>
      <c r="G643" s="50">
        <v>41169</v>
      </c>
      <c r="H643" s="49">
        <v>1</v>
      </c>
      <c r="I643" s="49">
        <f t="shared" si="19"/>
        <v>1875</v>
      </c>
      <c r="J643" s="29">
        <f t="shared" si="20"/>
        <v>1250</v>
      </c>
      <c r="K643" s="13"/>
      <c r="L643" s="10"/>
    </row>
    <row r="644" spans="1:12">
      <c r="A644" s="13"/>
      <c r="B644" s="48"/>
      <c r="C644" s="13"/>
      <c r="D644" s="49">
        <v>30000</v>
      </c>
      <c r="E644" s="51">
        <v>7.4999999999999997E-2</v>
      </c>
      <c r="F644" s="42">
        <v>15</v>
      </c>
      <c r="G644" s="50">
        <v>41190</v>
      </c>
      <c r="H644" s="49">
        <v>5</v>
      </c>
      <c r="I644" s="49">
        <f t="shared" ref="I644:I707" si="21">IF(F644="分期",D644*E644*2.5*H644/10,D644*E644*F644*H644/30)</f>
        <v>5625</v>
      </c>
      <c r="J644" s="29">
        <f t="shared" si="20"/>
        <v>3749.9999999999995</v>
      </c>
      <c r="K644" s="13"/>
      <c r="L644" s="10"/>
    </row>
    <row r="645" spans="1:12">
      <c r="A645" s="13">
        <v>103</v>
      </c>
      <c r="B645" s="48">
        <v>3307</v>
      </c>
      <c r="C645" s="13" t="s">
        <v>1901</v>
      </c>
      <c r="D645" s="49">
        <v>30000</v>
      </c>
      <c r="E645" s="51">
        <v>7.0000000000000007E-2</v>
      </c>
      <c r="F645" s="42" t="s">
        <v>4036</v>
      </c>
      <c r="G645" s="50">
        <v>41158</v>
      </c>
      <c r="H645" s="49">
        <v>3</v>
      </c>
      <c r="I645" s="49">
        <f t="shared" si="21"/>
        <v>1575</v>
      </c>
      <c r="J645" s="29">
        <f t="shared" si="20"/>
        <v>1012.5000000000002</v>
      </c>
      <c r="K645" s="13" t="s">
        <v>826</v>
      </c>
      <c r="L645" s="10"/>
    </row>
    <row r="646" spans="1:12">
      <c r="A646" s="13">
        <v>104</v>
      </c>
      <c r="B646" s="48">
        <v>3317</v>
      </c>
      <c r="C646" s="13" t="s">
        <v>1809</v>
      </c>
      <c r="D646" s="49">
        <v>100000</v>
      </c>
      <c r="E646" s="51">
        <v>7.4999999999999997E-2</v>
      </c>
      <c r="F646" s="42">
        <v>15</v>
      </c>
      <c r="G646" s="50">
        <v>40803</v>
      </c>
      <c r="H646" s="49">
        <v>8</v>
      </c>
      <c r="I646" s="49">
        <f t="shared" si="21"/>
        <v>30000</v>
      </c>
      <c r="J646" s="29">
        <f t="shared" si="20"/>
        <v>20000</v>
      </c>
      <c r="K646" s="13" t="s">
        <v>827</v>
      </c>
      <c r="L646" s="10"/>
    </row>
    <row r="647" spans="1:12">
      <c r="A647" s="13">
        <v>105</v>
      </c>
      <c r="B647" s="48">
        <v>3319</v>
      </c>
      <c r="C647" s="13" t="s">
        <v>1055</v>
      </c>
      <c r="D647" s="49">
        <v>30000</v>
      </c>
      <c r="E647" s="51">
        <v>7.4999999999999997E-2</v>
      </c>
      <c r="F647" s="42">
        <v>30</v>
      </c>
      <c r="G647" s="50">
        <v>40854</v>
      </c>
      <c r="H647" s="49">
        <v>17</v>
      </c>
      <c r="I647" s="49">
        <f t="shared" si="21"/>
        <v>38250</v>
      </c>
      <c r="J647" s="29">
        <f t="shared" si="20"/>
        <v>25499.999999999996</v>
      </c>
      <c r="K647" s="13" t="s">
        <v>828</v>
      </c>
      <c r="L647" s="10"/>
    </row>
    <row r="648" spans="1:12">
      <c r="A648" s="13">
        <v>106</v>
      </c>
      <c r="B648" s="48">
        <v>3321</v>
      </c>
      <c r="C648" s="13" t="s">
        <v>1840</v>
      </c>
      <c r="D648" s="49">
        <v>70000</v>
      </c>
      <c r="E648" s="51">
        <v>7.4999999999999997E-2</v>
      </c>
      <c r="F648" s="42">
        <v>15</v>
      </c>
      <c r="G648" s="50">
        <v>40805</v>
      </c>
      <c r="H648" s="49">
        <v>6</v>
      </c>
      <c r="I648" s="49">
        <f t="shared" si="21"/>
        <v>15750</v>
      </c>
      <c r="J648" s="29">
        <f t="shared" si="20"/>
        <v>10499.999999999998</v>
      </c>
      <c r="K648" s="13" t="s">
        <v>829</v>
      </c>
      <c r="L648" s="10"/>
    </row>
    <row r="649" spans="1:12">
      <c r="A649" s="13">
        <v>107</v>
      </c>
      <c r="B649" s="48">
        <v>3325</v>
      </c>
      <c r="C649" s="13" t="s">
        <v>3495</v>
      </c>
      <c r="D649" s="49">
        <v>50000</v>
      </c>
      <c r="E649" s="51">
        <v>7.4999999999999997E-2</v>
      </c>
      <c r="F649" s="42">
        <v>15</v>
      </c>
      <c r="G649" s="50">
        <v>40801</v>
      </c>
      <c r="H649" s="49">
        <v>4</v>
      </c>
      <c r="I649" s="49">
        <f t="shared" si="21"/>
        <v>7500</v>
      </c>
      <c r="J649" s="29">
        <f t="shared" si="20"/>
        <v>5000</v>
      </c>
      <c r="K649" s="13" t="s">
        <v>830</v>
      </c>
      <c r="L649" s="10"/>
    </row>
    <row r="650" spans="1:12">
      <c r="A650" s="13">
        <v>108</v>
      </c>
      <c r="B650" s="48">
        <v>3329</v>
      </c>
      <c r="C650" s="13" t="s">
        <v>1136</v>
      </c>
      <c r="D650" s="49">
        <v>160000</v>
      </c>
      <c r="E650" s="51">
        <v>7.4999999999999997E-2</v>
      </c>
      <c r="F650" s="42">
        <v>15</v>
      </c>
      <c r="G650" s="50">
        <v>40810</v>
      </c>
      <c r="H650" s="49">
        <v>17</v>
      </c>
      <c r="I650" s="49">
        <f t="shared" si="21"/>
        <v>102000</v>
      </c>
      <c r="J650" s="29">
        <f t="shared" si="20"/>
        <v>67999.999999999985</v>
      </c>
      <c r="K650" s="13" t="s">
        <v>831</v>
      </c>
      <c r="L650" s="10"/>
    </row>
    <row r="651" spans="1:12">
      <c r="A651" s="13">
        <v>109</v>
      </c>
      <c r="B651" s="48">
        <v>3333</v>
      </c>
      <c r="C651" s="13" t="s">
        <v>3622</v>
      </c>
      <c r="D651" s="49">
        <v>80000</v>
      </c>
      <c r="E651" s="51">
        <v>7.4999999999999997E-2</v>
      </c>
      <c r="F651" s="42">
        <v>15</v>
      </c>
      <c r="G651" s="50">
        <v>40801</v>
      </c>
      <c r="H651" s="49">
        <v>4</v>
      </c>
      <c r="I651" s="49">
        <f t="shared" si="21"/>
        <v>12000</v>
      </c>
      <c r="J651" s="29">
        <f t="shared" si="20"/>
        <v>7999.9999999999991</v>
      </c>
      <c r="K651" s="13" t="s">
        <v>832</v>
      </c>
      <c r="L651" s="10"/>
    </row>
    <row r="652" spans="1:12">
      <c r="A652" s="13">
        <v>110</v>
      </c>
      <c r="B652" s="48">
        <v>3335</v>
      </c>
      <c r="C652" s="13" t="s">
        <v>1898</v>
      </c>
      <c r="D652" s="49">
        <v>10000</v>
      </c>
      <c r="E652" s="51">
        <v>7.4999999999999997E-2</v>
      </c>
      <c r="F652" s="42">
        <v>15</v>
      </c>
      <c r="G652" s="50">
        <v>40805</v>
      </c>
      <c r="H652" s="49">
        <v>6</v>
      </c>
      <c r="I652" s="49">
        <f t="shared" si="21"/>
        <v>2250</v>
      </c>
      <c r="J652" s="29">
        <f t="shared" si="20"/>
        <v>1499.9999999999998</v>
      </c>
      <c r="K652" s="13" t="s">
        <v>833</v>
      </c>
      <c r="L652" s="10"/>
    </row>
    <row r="653" spans="1:12">
      <c r="A653" s="13">
        <v>111</v>
      </c>
      <c r="B653" s="48">
        <v>3339</v>
      </c>
      <c r="C653" s="13" t="s">
        <v>1409</v>
      </c>
      <c r="D653" s="49">
        <v>160000</v>
      </c>
      <c r="E653" s="51">
        <v>7.4999999999999997E-2</v>
      </c>
      <c r="F653" s="42">
        <v>15</v>
      </c>
      <c r="G653" s="50">
        <v>40806</v>
      </c>
      <c r="H653" s="49">
        <v>17</v>
      </c>
      <c r="I653" s="49">
        <f t="shared" si="21"/>
        <v>102000</v>
      </c>
      <c r="J653" s="29">
        <f t="shared" si="20"/>
        <v>67999.999999999985</v>
      </c>
      <c r="K653" s="13" t="s">
        <v>834</v>
      </c>
      <c r="L653" s="10"/>
    </row>
    <row r="654" spans="1:12">
      <c r="A654" s="13">
        <v>112</v>
      </c>
      <c r="B654" s="48">
        <v>3341</v>
      </c>
      <c r="C654" s="13" t="s">
        <v>1140</v>
      </c>
      <c r="D654" s="49">
        <v>10000</v>
      </c>
      <c r="E654" s="51">
        <v>7.4999999999999997E-2</v>
      </c>
      <c r="F654" s="42">
        <v>15</v>
      </c>
      <c r="G654" s="50">
        <v>40817</v>
      </c>
      <c r="H654" s="49">
        <v>23</v>
      </c>
      <c r="I654" s="49">
        <f t="shared" si="21"/>
        <v>8625</v>
      </c>
      <c r="J654" s="29">
        <f t="shared" si="20"/>
        <v>5749.9999999999991</v>
      </c>
      <c r="K654" s="13" t="s">
        <v>835</v>
      </c>
      <c r="L654" s="10"/>
    </row>
    <row r="655" spans="1:12">
      <c r="A655" s="13">
        <v>113</v>
      </c>
      <c r="B655" s="48">
        <v>3347</v>
      </c>
      <c r="C655" s="13" t="s">
        <v>3886</v>
      </c>
      <c r="D655" s="49">
        <v>10000</v>
      </c>
      <c r="E655" s="51">
        <v>7.0000000000000007E-2</v>
      </c>
      <c r="F655" s="42" t="s">
        <v>4036</v>
      </c>
      <c r="G655" s="50">
        <v>40742</v>
      </c>
      <c r="H655" s="49">
        <v>10</v>
      </c>
      <c r="I655" s="49">
        <f t="shared" si="21"/>
        <v>1750.0000000000005</v>
      </c>
      <c r="J655" s="29">
        <f t="shared" si="20"/>
        <v>1125.0000000000002</v>
      </c>
      <c r="K655" s="13" t="s">
        <v>836</v>
      </c>
      <c r="L655" s="10"/>
    </row>
    <row r="656" spans="1:12">
      <c r="A656" s="13"/>
      <c r="B656" s="48"/>
      <c r="C656" s="13"/>
      <c r="D656" s="49">
        <v>50000</v>
      </c>
      <c r="E656" s="51">
        <v>7.4999999999999997E-2</v>
      </c>
      <c r="F656" s="42">
        <v>15</v>
      </c>
      <c r="G656" s="28">
        <v>40811</v>
      </c>
      <c r="H656" s="49">
        <v>1</v>
      </c>
      <c r="I656" s="49">
        <f t="shared" si="21"/>
        <v>1875</v>
      </c>
      <c r="J656" s="29">
        <f t="shared" si="20"/>
        <v>1250</v>
      </c>
      <c r="K656" s="13"/>
      <c r="L656" s="10"/>
    </row>
    <row r="657" spans="1:12">
      <c r="A657" s="13"/>
      <c r="B657" s="48"/>
      <c r="C657" s="13"/>
      <c r="D657" s="49">
        <v>15000</v>
      </c>
      <c r="E657" s="51">
        <v>7.0000000000000007E-2</v>
      </c>
      <c r="F657" s="42" t="s">
        <v>4036</v>
      </c>
      <c r="G657" s="28">
        <v>40819</v>
      </c>
      <c r="H657" s="49">
        <v>10</v>
      </c>
      <c r="I657" s="49">
        <f t="shared" si="21"/>
        <v>2625</v>
      </c>
      <c r="J657" s="29">
        <f t="shared" si="20"/>
        <v>1687.5000000000005</v>
      </c>
      <c r="K657" s="13"/>
      <c r="L657" s="10"/>
    </row>
    <row r="658" spans="1:12">
      <c r="A658" s="13"/>
      <c r="B658" s="48"/>
      <c r="C658" s="13"/>
      <c r="D658" s="49">
        <v>40000</v>
      </c>
      <c r="E658" s="51">
        <v>7.4999999999999997E-2</v>
      </c>
      <c r="F658" s="42">
        <v>15</v>
      </c>
      <c r="G658" s="28">
        <v>40826</v>
      </c>
      <c r="H658" s="49">
        <v>6</v>
      </c>
      <c r="I658" s="49">
        <f t="shared" si="21"/>
        <v>9000</v>
      </c>
      <c r="J658" s="29">
        <f t="shared" si="20"/>
        <v>5999.9999999999991</v>
      </c>
      <c r="K658" s="13"/>
      <c r="L658" s="10"/>
    </row>
    <row r="659" spans="1:12">
      <c r="A659" s="13"/>
      <c r="B659" s="48"/>
      <c r="C659" s="13"/>
      <c r="D659" s="49">
        <v>20000</v>
      </c>
      <c r="E659" s="51">
        <v>7.4999999999999997E-2</v>
      </c>
      <c r="F659" s="42">
        <v>15</v>
      </c>
      <c r="G659" s="28">
        <v>40835</v>
      </c>
      <c r="H659" s="49">
        <v>4</v>
      </c>
      <c r="I659" s="49">
        <f t="shared" si="21"/>
        <v>3000</v>
      </c>
      <c r="J659" s="29">
        <f t="shared" si="20"/>
        <v>1999.9999999999998</v>
      </c>
      <c r="K659" s="13"/>
      <c r="L659" s="10"/>
    </row>
    <row r="660" spans="1:12">
      <c r="A660" s="13"/>
      <c r="B660" s="48"/>
      <c r="C660" s="13"/>
      <c r="D660" s="49">
        <v>15000</v>
      </c>
      <c r="E660" s="51">
        <v>7.0000000000000007E-2</v>
      </c>
      <c r="F660" s="42" t="s">
        <v>4036</v>
      </c>
      <c r="G660" s="28">
        <v>40849</v>
      </c>
      <c r="H660" s="49">
        <v>10</v>
      </c>
      <c r="I660" s="49">
        <f t="shared" si="21"/>
        <v>2625</v>
      </c>
      <c r="J660" s="29">
        <f t="shared" si="20"/>
        <v>1687.5000000000005</v>
      </c>
      <c r="K660" s="13"/>
      <c r="L660" s="10"/>
    </row>
    <row r="661" spans="1:12">
      <c r="A661" s="13"/>
      <c r="B661" s="48"/>
      <c r="C661" s="13"/>
      <c r="D661" s="49">
        <v>15000</v>
      </c>
      <c r="E661" s="51">
        <v>7.0000000000000007E-2</v>
      </c>
      <c r="F661" s="42" t="s">
        <v>4036</v>
      </c>
      <c r="G661" s="28">
        <v>40877</v>
      </c>
      <c r="H661" s="49">
        <v>10</v>
      </c>
      <c r="I661" s="49">
        <f t="shared" si="21"/>
        <v>2625</v>
      </c>
      <c r="J661" s="29">
        <f t="shared" si="20"/>
        <v>1687.5000000000005</v>
      </c>
      <c r="K661" s="13"/>
      <c r="L661" s="10"/>
    </row>
    <row r="662" spans="1:12">
      <c r="A662" s="13"/>
      <c r="B662" s="48"/>
      <c r="C662" s="13"/>
      <c r="D662" s="49">
        <v>30000</v>
      </c>
      <c r="E662" s="51">
        <v>7.4999999999999997E-2</v>
      </c>
      <c r="F662" s="42">
        <v>15</v>
      </c>
      <c r="G662" s="28">
        <v>40895</v>
      </c>
      <c r="H662" s="49">
        <v>7</v>
      </c>
      <c r="I662" s="49">
        <f t="shared" si="21"/>
        <v>7875</v>
      </c>
      <c r="J662" s="29">
        <f t="shared" si="20"/>
        <v>5249.9999999999991</v>
      </c>
      <c r="K662" s="13"/>
      <c r="L662" s="10"/>
    </row>
    <row r="663" spans="1:12">
      <c r="A663" s="13"/>
      <c r="B663" s="48"/>
      <c r="C663" s="13"/>
      <c r="D663" s="49">
        <v>30000</v>
      </c>
      <c r="E663" s="51">
        <v>7.4999999999999997E-2</v>
      </c>
      <c r="F663" s="42">
        <v>15</v>
      </c>
      <c r="G663" s="50">
        <v>40904</v>
      </c>
      <c r="H663" s="49">
        <v>8</v>
      </c>
      <c r="I663" s="49">
        <f t="shared" si="21"/>
        <v>9000</v>
      </c>
      <c r="J663" s="29">
        <f t="shared" si="20"/>
        <v>5999.9999999999991</v>
      </c>
      <c r="K663" s="13"/>
      <c r="L663" s="10"/>
    </row>
    <row r="664" spans="1:12">
      <c r="A664" s="13"/>
      <c r="B664" s="48"/>
      <c r="C664" s="13"/>
      <c r="D664" s="49">
        <v>10000</v>
      </c>
      <c r="E664" s="51">
        <v>7.0000000000000007E-2</v>
      </c>
      <c r="F664" s="42" t="s">
        <v>4036</v>
      </c>
      <c r="G664" s="50">
        <v>40910</v>
      </c>
      <c r="H664" s="49">
        <v>3</v>
      </c>
      <c r="I664" s="49">
        <f t="shared" si="21"/>
        <v>525.00000000000011</v>
      </c>
      <c r="J664" s="29">
        <f t="shared" si="20"/>
        <v>337.50000000000011</v>
      </c>
      <c r="K664" s="13"/>
      <c r="L664" s="10"/>
    </row>
    <row r="665" spans="1:12">
      <c r="A665" s="13"/>
      <c r="B665" s="48"/>
      <c r="C665" s="13"/>
      <c r="D665" s="49">
        <v>50000</v>
      </c>
      <c r="E665" s="51">
        <v>7.4999999999999997E-2</v>
      </c>
      <c r="F665" s="42">
        <v>15</v>
      </c>
      <c r="G665" s="50">
        <v>40916</v>
      </c>
      <c r="H665" s="49">
        <v>6</v>
      </c>
      <c r="I665" s="49">
        <f t="shared" si="21"/>
        <v>11250</v>
      </c>
      <c r="J665" s="29">
        <f t="shared" si="20"/>
        <v>7500</v>
      </c>
      <c r="K665" s="13"/>
      <c r="L665" s="10"/>
    </row>
    <row r="666" spans="1:12">
      <c r="A666" s="13"/>
      <c r="B666" s="48"/>
      <c r="C666" s="13"/>
      <c r="D666" s="49">
        <v>20000</v>
      </c>
      <c r="E666" s="51">
        <v>7.4999999999999997E-2</v>
      </c>
      <c r="F666" s="42">
        <v>15</v>
      </c>
      <c r="G666" s="50">
        <v>40923</v>
      </c>
      <c r="H666" s="49">
        <v>1</v>
      </c>
      <c r="I666" s="49">
        <f t="shared" si="21"/>
        <v>750</v>
      </c>
      <c r="J666" s="29">
        <f t="shared" si="20"/>
        <v>499.99999999999994</v>
      </c>
      <c r="K666" s="13"/>
      <c r="L666" s="10"/>
    </row>
    <row r="667" spans="1:12">
      <c r="A667" s="13"/>
      <c r="B667" s="48"/>
      <c r="C667" s="13"/>
      <c r="D667" s="49">
        <v>20000</v>
      </c>
      <c r="E667" s="51">
        <v>7.0000000000000007E-2</v>
      </c>
      <c r="F667" s="42" t="s">
        <v>4036</v>
      </c>
      <c r="G667" s="50">
        <v>40934</v>
      </c>
      <c r="H667" s="49">
        <v>10</v>
      </c>
      <c r="I667" s="49">
        <f t="shared" si="21"/>
        <v>3500.0000000000009</v>
      </c>
      <c r="J667" s="29">
        <f t="shared" si="20"/>
        <v>2250.0000000000005</v>
      </c>
      <c r="K667" s="13"/>
      <c r="L667" s="10"/>
    </row>
    <row r="668" spans="1:12">
      <c r="A668" s="13"/>
      <c r="B668" s="48"/>
      <c r="C668" s="13"/>
      <c r="D668" s="49">
        <v>10000</v>
      </c>
      <c r="E668" s="51">
        <v>7.0000000000000007E-2</v>
      </c>
      <c r="F668" s="42" t="s">
        <v>4036</v>
      </c>
      <c r="G668" s="50">
        <v>40973</v>
      </c>
      <c r="H668" s="49">
        <v>10</v>
      </c>
      <c r="I668" s="49">
        <f t="shared" si="21"/>
        <v>1750.0000000000005</v>
      </c>
      <c r="J668" s="29">
        <f t="shared" si="20"/>
        <v>1125.0000000000002</v>
      </c>
      <c r="K668" s="13"/>
      <c r="L668" s="10"/>
    </row>
    <row r="669" spans="1:12">
      <c r="A669" s="13"/>
      <c r="B669" s="48"/>
      <c r="C669" s="13"/>
      <c r="D669" s="49">
        <v>20000</v>
      </c>
      <c r="E669" s="51">
        <v>7.0000000000000007E-2</v>
      </c>
      <c r="F669" s="42" t="s">
        <v>4036</v>
      </c>
      <c r="G669" s="50">
        <v>40983</v>
      </c>
      <c r="H669" s="49">
        <v>10</v>
      </c>
      <c r="I669" s="49">
        <f t="shared" si="21"/>
        <v>3500.0000000000009</v>
      </c>
      <c r="J669" s="29">
        <f t="shared" si="20"/>
        <v>2250.0000000000005</v>
      </c>
      <c r="K669" s="13"/>
      <c r="L669" s="10"/>
    </row>
    <row r="670" spans="1:12">
      <c r="A670" s="13"/>
      <c r="B670" s="48"/>
      <c r="C670" s="13"/>
      <c r="D670" s="49">
        <v>10000</v>
      </c>
      <c r="E670" s="51">
        <v>7.4999999999999997E-2</v>
      </c>
      <c r="F670" s="42">
        <v>15</v>
      </c>
      <c r="G670" s="50">
        <v>41090</v>
      </c>
      <c r="H670" s="49">
        <v>1</v>
      </c>
      <c r="I670" s="49">
        <f t="shared" si="21"/>
        <v>375</v>
      </c>
      <c r="J670" s="29">
        <f t="shared" si="20"/>
        <v>249.99999999999997</v>
      </c>
      <c r="K670" s="13"/>
      <c r="L670" s="10"/>
    </row>
    <row r="671" spans="1:12">
      <c r="A671" s="13"/>
      <c r="B671" s="48"/>
      <c r="C671" s="13"/>
      <c r="D671" s="49">
        <v>5000</v>
      </c>
      <c r="E671" s="51">
        <v>7.4999999999999997E-2</v>
      </c>
      <c r="F671" s="42">
        <v>15</v>
      </c>
      <c r="G671" s="50">
        <v>41121</v>
      </c>
      <c r="H671" s="49">
        <v>4</v>
      </c>
      <c r="I671" s="49">
        <f t="shared" si="21"/>
        <v>750</v>
      </c>
      <c r="J671" s="29">
        <f t="shared" si="20"/>
        <v>499.99999999999994</v>
      </c>
      <c r="K671" s="13"/>
      <c r="L671" s="10"/>
    </row>
    <row r="672" spans="1:12">
      <c r="A672" s="13"/>
      <c r="B672" s="48"/>
      <c r="C672" s="13"/>
      <c r="D672" s="49">
        <v>15000</v>
      </c>
      <c r="E672" s="51">
        <v>7.0000000000000007E-2</v>
      </c>
      <c r="F672" s="42" t="s">
        <v>4036</v>
      </c>
      <c r="G672" s="50">
        <v>41172</v>
      </c>
      <c r="H672" s="49">
        <v>10</v>
      </c>
      <c r="I672" s="49">
        <f t="shared" si="21"/>
        <v>2625</v>
      </c>
      <c r="J672" s="29">
        <f t="shared" si="20"/>
        <v>1687.5000000000005</v>
      </c>
      <c r="K672" s="13"/>
      <c r="L672" s="10"/>
    </row>
    <row r="673" spans="1:12">
      <c r="A673" s="13"/>
      <c r="B673" s="48"/>
      <c r="C673" s="13"/>
      <c r="D673" s="49">
        <v>20000</v>
      </c>
      <c r="E673" s="51">
        <v>7.0000000000000007E-2</v>
      </c>
      <c r="F673" s="42" t="s">
        <v>4036</v>
      </c>
      <c r="G673" s="50">
        <v>41204</v>
      </c>
      <c r="H673" s="49">
        <v>10</v>
      </c>
      <c r="I673" s="49">
        <f t="shared" si="21"/>
        <v>3500.0000000000009</v>
      </c>
      <c r="J673" s="29">
        <f t="shared" si="20"/>
        <v>2250.0000000000005</v>
      </c>
      <c r="K673" s="13"/>
      <c r="L673" s="10"/>
    </row>
    <row r="674" spans="1:12">
      <c r="A674" s="13"/>
      <c r="B674" s="48"/>
      <c r="C674" s="13"/>
      <c r="D674" s="49">
        <v>15000</v>
      </c>
      <c r="E674" s="51">
        <v>7.4999999999999997E-2</v>
      </c>
      <c r="F674" s="42">
        <v>15</v>
      </c>
      <c r="G674" s="50">
        <v>41229</v>
      </c>
      <c r="H674" s="49">
        <v>4</v>
      </c>
      <c r="I674" s="49">
        <f t="shared" si="21"/>
        <v>2250</v>
      </c>
      <c r="J674" s="29">
        <f t="shared" si="20"/>
        <v>1499.9999999999998</v>
      </c>
      <c r="K674" s="13"/>
      <c r="L674" s="10"/>
    </row>
    <row r="675" spans="1:12">
      <c r="A675" s="13"/>
      <c r="B675" s="48"/>
      <c r="C675" s="13"/>
      <c r="D675" s="49">
        <v>20000</v>
      </c>
      <c r="E675" s="51">
        <v>7.0000000000000007E-2</v>
      </c>
      <c r="F675" s="42" t="s">
        <v>4036</v>
      </c>
      <c r="G675" s="50">
        <v>41246</v>
      </c>
      <c r="H675" s="49">
        <v>10</v>
      </c>
      <c r="I675" s="49">
        <f t="shared" si="21"/>
        <v>3500.0000000000009</v>
      </c>
      <c r="J675" s="29">
        <f t="shared" si="20"/>
        <v>2250.0000000000005</v>
      </c>
      <c r="K675" s="13"/>
      <c r="L675" s="10"/>
    </row>
    <row r="676" spans="1:12">
      <c r="A676" s="13"/>
      <c r="B676" s="48"/>
      <c r="C676" s="13"/>
      <c r="D676" s="49">
        <v>20000</v>
      </c>
      <c r="E676" s="51">
        <v>7.4999999999999997E-2</v>
      </c>
      <c r="F676" s="42">
        <v>15</v>
      </c>
      <c r="G676" s="50">
        <v>41240</v>
      </c>
      <c r="H676" s="49">
        <v>3</v>
      </c>
      <c r="I676" s="49">
        <f t="shared" si="21"/>
        <v>2250</v>
      </c>
      <c r="J676" s="29">
        <f t="shared" si="20"/>
        <v>1499.9999999999998</v>
      </c>
      <c r="K676" s="13"/>
      <c r="L676" s="10"/>
    </row>
    <row r="677" spans="1:12">
      <c r="A677" s="13">
        <v>114</v>
      </c>
      <c r="B677" s="48">
        <v>3349</v>
      </c>
      <c r="C677" s="13" t="s">
        <v>1822</v>
      </c>
      <c r="D677" s="49">
        <v>15000</v>
      </c>
      <c r="E677" s="51">
        <v>7.0000000000000007E-2</v>
      </c>
      <c r="F677" s="42" t="s">
        <v>4036</v>
      </c>
      <c r="G677" s="50">
        <v>40630</v>
      </c>
      <c r="H677" s="49">
        <v>10</v>
      </c>
      <c r="I677" s="49">
        <f t="shared" si="21"/>
        <v>2625</v>
      </c>
      <c r="J677" s="29">
        <f t="shared" si="20"/>
        <v>1687.5000000000005</v>
      </c>
      <c r="K677" s="13" t="s">
        <v>837</v>
      </c>
      <c r="L677" s="10"/>
    </row>
    <row r="678" spans="1:12">
      <c r="A678" s="13"/>
      <c r="B678" s="48"/>
      <c r="C678" s="13"/>
      <c r="D678" s="49">
        <v>10000</v>
      </c>
      <c r="E678" s="51">
        <v>7.0000000000000007E-2</v>
      </c>
      <c r="F678" s="42" t="s">
        <v>4036</v>
      </c>
      <c r="G678" s="50">
        <v>40635</v>
      </c>
      <c r="H678" s="49">
        <v>10</v>
      </c>
      <c r="I678" s="49">
        <f t="shared" si="21"/>
        <v>1750.0000000000005</v>
      </c>
      <c r="J678" s="29">
        <f t="shared" si="20"/>
        <v>1125.0000000000002</v>
      </c>
      <c r="K678" s="13"/>
      <c r="L678" s="10"/>
    </row>
    <row r="679" spans="1:12">
      <c r="A679" s="13"/>
      <c r="B679" s="48"/>
      <c r="C679" s="13"/>
      <c r="D679" s="49">
        <v>20000</v>
      </c>
      <c r="E679" s="51">
        <v>7.0000000000000007E-2</v>
      </c>
      <c r="F679" s="42" t="s">
        <v>4036</v>
      </c>
      <c r="G679" s="50">
        <v>40651</v>
      </c>
      <c r="H679" s="49">
        <v>10</v>
      </c>
      <c r="I679" s="49">
        <f t="shared" si="21"/>
        <v>3500.0000000000009</v>
      </c>
      <c r="J679" s="29">
        <f t="shared" si="20"/>
        <v>2250.0000000000005</v>
      </c>
      <c r="K679" s="13"/>
      <c r="L679" s="10"/>
    </row>
    <row r="680" spans="1:12">
      <c r="A680" s="13"/>
      <c r="B680" s="48"/>
      <c r="C680" s="13"/>
      <c r="D680" s="49">
        <v>20000</v>
      </c>
      <c r="E680" s="51">
        <v>7.0000000000000007E-2</v>
      </c>
      <c r="F680" s="42" t="s">
        <v>4036</v>
      </c>
      <c r="G680" s="50">
        <v>40663</v>
      </c>
      <c r="H680" s="49">
        <v>10</v>
      </c>
      <c r="I680" s="49">
        <f t="shared" si="21"/>
        <v>3500.0000000000009</v>
      </c>
      <c r="J680" s="29">
        <f t="shared" si="20"/>
        <v>2250.0000000000005</v>
      </c>
      <c r="K680" s="13"/>
      <c r="L680" s="10"/>
    </row>
    <row r="681" spans="1:12">
      <c r="A681" s="13"/>
      <c r="B681" s="48"/>
      <c r="C681" s="13"/>
      <c r="D681" s="49">
        <v>15000</v>
      </c>
      <c r="E681" s="51">
        <v>7.0000000000000007E-2</v>
      </c>
      <c r="F681" s="42" t="s">
        <v>4036</v>
      </c>
      <c r="G681" s="50">
        <v>40671</v>
      </c>
      <c r="H681" s="49">
        <v>10</v>
      </c>
      <c r="I681" s="49">
        <f t="shared" si="21"/>
        <v>2625</v>
      </c>
      <c r="J681" s="29">
        <f t="shared" si="20"/>
        <v>1687.5000000000005</v>
      </c>
      <c r="K681" s="13"/>
      <c r="L681" s="10"/>
    </row>
    <row r="682" spans="1:12">
      <c r="A682" s="13"/>
      <c r="B682" s="48"/>
      <c r="C682" s="13"/>
      <c r="D682" s="49">
        <v>70000</v>
      </c>
      <c r="E682" s="51">
        <v>7.4999999999999997E-2</v>
      </c>
      <c r="F682" s="42">
        <v>15</v>
      </c>
      <c r="G682" s="50">
        <v>40684</v>
      </c>
      <c r="H682" s="49">
        <v>6</v>
      </c>
      <c r="I682" s="49">
        <f t="shared" si="21"/>
        <v>15750</v>
      </c>
      <c r="J682" s="29">
        <f t="shared" si="20"/>
        <v>10499.999999999998</v>
      </c>
      <c r="K682" s="13"/>
      <c r="L682" s="10"/>
    </row>
    <row r="683" spans="1:12">
      <c r="A683" s="13"/>
      <c r="B683" s="48"/>
      <c r="C683" s="13"/>
      <c r="D683" s="49">
        <v>15000</v>
      </c>
      <c r="E683" s="51">
        <v>7.0000000000000007E-2</v>
      </c>
      <c r="F683" s="42" t="s">
        <v>4036</v>
      </c>
      <c r="G683" s="50">
        <v>40685</v>
      </c>
      <c r="H683" s="49">
        <v>10</v>
      </c>
      <c r="I683" s="49">
        <f t="shared" si="21"/>
        <v>2625</v>
      </c>
      <c r="J683" s="29">
        <f t="shared" si="20"/>
        <v>1687.5000000000005</v>
      </c>
      <c r="K683" s="13"/>
      <c r="L683" s="10"/>
    </row>
    <row r="684" spans="1:12">
      <c r="A684" s="13"/>
      <c r="B684" s="48"/>
      <c r="C684" s="13"/>
      <c r="D684" s="49">
        <v>30000</v>
      </c>
      <c r="E684" s="51">
        <v>7.0000000000000007E-2</v>
      </c>
      <c r="F684" s="42" t="s">
        <v>4036</v>
      </c>
      <c r="G684" s="50">
        <v>40698</v>
      </c>
      <c r="H684" s="49">
        <v>10</v>
      </c>
      <c r="I684" s="49">
        <f t="shared" si="21"/>
        <v>5250</v>
      </c>
      <c r="J684" s="29">
        <f t="shared" si="20"/>
        <v>3375.0000000000009</v>
      </c>
      <c r="K684" s="13"/>
      <c r="L684" s="10"/>
    </row>
    <row r="685" spans="1:12">
      <c r="A685" s="13"/>
      <c r="B685" s="48"/>
      <c r="C685" s="13"/>
      <c r="D685" s="49">
        <v>20000</v>
      </c>
      <c r="E685" s="51">
        <v>7.0000000000000007E-2</v>
      </c>
      <c r="F685" s="42" t="s">
        <v>4036</v>
      </c>
      <c r="G685" s="50">
        <v>40705</v>
      </c>
      <c r="H685" s="49">
        <v>10</v>
      </c>
      <c r="I685" s="49">
        <f t="shared" si="21"/>
        <v>3500.0000000000009</v>
      </c>
      <c r="J685" s="29">
        <f t="shared" si="20"/>
        <v>2250.0000000000005</v>
      </c>
      <c r="K685" s="13"/>
      <c r="L685" s="10"/>
    </row>
    <row r="686" spans="1:12">
      <c r="A686" s="13"/>
      <c r="B686" s="48"/>
      <c r="C686" s="13"/>
      <c r="D686" s="49">
        <v>15000</v>
      </c>
      <c r="E686" s="51">
        <v>7.0000000000000007E-2</v>
      </c>
      <c r="F686" s="42" t="s">
        <v>4036</v>
      </c>
      <c r="G686" s="50">
        <v>40720</v>
      </c>
      <c r="H686" s="49">
        <v>10</v>
      </c>
      <c r="I686" s="49">
        <f t="shared" si="21"/>
        <v>2625</v>
      </c>
      <c r="J686" s="29">
        <f t="shared" si="20"/>
        <v>1687.5000000000005</v>
      </c>
      <c r="K686" s="13"/>
      <c r="L686" s="10"/>
    </row>
    <row r="687" spans="1:12">
      <c r="A687" s="13"/>
      <c r="B687" s="48"/>
      <c r="C687" s="13"/>
      <c r="D687" s="49">
        <v>15000</v>
      </c>
      <c r="E687" s="51">
        <v>7.0000000000000007E-2</v>
      </c>
      <c r="F687" s="42" t="s">
        <v>4036</v>
      </c>
      <c r="G687" s="50">
        <v>40733</v>
      </c>
      <c r="H687" s="49">
        <v>10</v>
      </c>
      <c r="I687" s="49">
        <f t="shared" si="21"/>
        <v>2625</v>
      </c>
      <c r="J687" s="29">
        <f t="shared" si="20"/>
        <v>1687.5000000000005</v>
      </c>
      <c r="K687" s="13"/>
      <c r="L687" s="10"/>
    </row>
    <row r="688" spans="1:12">
      <c r="A688" s="13"/>
      <c r="B688" s="48"/>
      <c r="C688" s="13"/>
      <c r="D688" s="49">
        <v>30000</v>
      </c>
      <c r="E688" s="51">
        <v>7.0000000000000007E-2</v>
      </c>
      <c r="F688" s="42" t="s">
        <v>4036</v>
      </c>
      <c r="G688" s="50">
        <v>40740</v>
      </c>
      <c r="H688" s="49">
        <v>10</v>
      </c>
      <c r="I688" s="49">
        <f t="shared" si="21"/>
        <v>5250</v>
      </c>
      <c r="J688" s="29">
        <f t="shared" si="20"/>
        <v>3375.0000000000009</v>
      </c>
      <c r="K688" s="13"/>
      <c r="L688" s="10"/>
    </row>
    <row r="689" spans="1:12">
      <c r="A689" s="13"/>
      <c r="B689" s="48"/>
      <c r="C689" s="13"/>
      <c r="D689" s="49">
        <v>20000</v>
      </c>
      <c r="E689" s="51">
        <v>7.0000000000000007E-2</v>
      </c>
      <c r="F689" s="42" t="s">
        <v>4036</v>
      </c>
      <c r="G689" s="50">
        <v>40747</v>
      </c>
      <c r="H689" s="49">
        <v>10</v>
      </c>
      <c r="I689" s="49">
        <f t="shared" si="21"/>
        <v>3500.0000000000009</v>
      </c>
      <c r="J689" s="29">
        <f t="shared" si="20"/>
        <v>2250.0000000000005</v>
      </c>
      <c r="K689" s="13"/>
      <c r="L689" s="10"/>
    </row>
    <row r="690" spans="1:12">
      <c r="A690" s="13"/>
      <c r="B690" s="48"/>
      <c r="C690" s="13"/>
      <c r="D690" s="49">
        <v>90000</v>
      </c>
      <c r="E690" s="51">
        <v>7.4999999999999997E-2</v>
      </c>
      <c r="F690" s="42">
        <v>15</v>
      </c>
      <c r="G690" s="50">
        <v>40759</v>
      </c>
      <c r="H690" s="49">
        <v>2</v>
      </c>
      <c r="I690" s="49">
        <f t="shared" si="21"/>
        <v>6750</v>
      </c>
      <c r="J690" s="29">
        <f t="shared" si="20"/>
        <v>4500</v>
      </c>
      <c r="K690" s="13"/>
      <c r="L690" s="10"/>
    </row>
    <row r="691" spans="1:12">
      <c r="A691" s="13"/>
      <c r="B691" s="48"/>
      <c r="C691" s="13"/>
      <c r="D691" s="49">
        <v>15000</v>
      </c>
      <c r="E691" s="51">
        <v>7.0000000000000007E-2</v>
      </c>
      <c r="F691" s="42" t="s">
        <v>4036</v>
      </c>
      <c r="G691" s="50">
        <v>40768</v>
      </c>
      <c r="H691" s="49">
        <v>10</v>
      </c>
      <c r="I691" s="49">
        <f t="shared" si="21"/>
        <v>2625</v>
      </c>
      <c r="J691" s="29">
        <f t="shared" si="20"/>
        <v>1687.5000000000005</v>
      </c>
      <c r="K691" s="13"/>
      <c r="L691" s="10"/>
    </row>
    <row r="692" spans="1:12">
      <c r="A692" s="13"/>
      <c r="B692" s="48"/>
      <c r="C692" s="13"/>
      <c r="D692" s="49">
        <v>90000</v>
      </c>
      <c r="E692" s="51">
        <v>7.4999999999999997E-2</v>
      </c>
      <c r="F692" s="42">
        <v>15</v>
      </c>
      <c r="G692" s="50">
        <v>40774</v>
      </c>
      <c r="H692" s="49">
        <v>1</v>
      </c>
      <c r="I692" s="49">
        <f t="shared" si="21"/>
        <v>3375</v>
      </c>
      <c r="J692" s="29">
        <f t="shared" si="20"/>
        <v>2250</v>
      </c>
      <c r="K692" s="13"/>
      <c r="L692" s="10"/>
    </row>
    <row r="693" spans="1:12">
      <c r="A693" s="13"/>
      <c r="B693" s="48"/>
      <c r="C693" s="13"/>
      <c r="D693" s="49">
        <v>160000</v>
      </c>
      <c r="E693" s="51">
        <v>7.4999999999999997E-2</v>
      </c>
      <c r="F693" s="42">
        <v>15</v>
      </c>
      <c r="G693" s="50">
        <v>40816</v>
      </c>
      <c r="H693" s="49">
        <v>1</v>
      </c>
      <c r="I693" s="49">
        <f t="shared" si="21"/>
        <v>6000</v>
      </c>
      <c r="J693" s="29">
        <f t="shared" si="20"/>
        <v>3999.9999999999995</v>
      </c>
      <c r="K693" s="13"/>
      <c r="L693" s="10"/>
    </row>
    <row r="694" spans="1:12">
      <c r="A694" s="13"/>
      <c r="B694" s="48"/>
      <c r="C694" s="13"/>
      <c r="D694" s="49">
        <v>190000</v>
      </c>
      <c r="E694" s="51">
        <v>7.4999999999999997E-2</v>
      </c>
      <c r="F694" s="42">
        <v>15</v>
      </c>
      <c r="G694" s="50">
        <v>40831</v>
      </c>
      <c r="H694" s="49">
        <v>12</v>
      </c>
      <c r="I694" s="49">
        <f t="shared" si="21"/>
        <v>85500</v>
      </c>
      <c r="J694" s="29">
        <f t="shared" si="20"/>
        <v>57000</v>
      </c>
      <c r="K694" s="13"/>
      <c r="L694" s="10"/>
    </row>
    <row r="695" spans="1:12">
      <c r="A695" s="13">
        <v>115</v>
      </c>
      <c r="B695" s="48">
        <v>3351</v>
      </c>
      <c r="C695" s="13" t="s">
        <v>3620</v>
      </c>
      <c r="D695" s="49">
        <v>50000</v>
      </c>
      <c r="E695" s="51">
        <v>7.4999999999999997E-2</v>
      </c>
      <c r="F695" s="42">
        <v>15</v>
      </c>
      <c r="G695" s="50">
        <v>40812</v>
      </c>
      <c r="H695" s="49">
        <v>7</v>
      </c>
      <c r="I695" s="49">
        <f t="shared" si="21"/>
        <v>13125</v>
      </c>
      <c r="J695" s="29">
        <f t="shared" si="20"/>
        <v>8750</v>
      </c>
      <c r="K695" s="13" t="s">
        <v>838</v>
      </c>
      <c r="L695" s="10"/>
    </row>
    <row r="696" spans="1:12">
      <c r="A696" s="13"/>
      <c r="B696" s="48"/>
      <c r="C696" s="13"/>
      <c r="D696" s="49">
        <v>20000</v>
      </c>
      <c r="E696" s="51">
        <v>7.4999999999999997E-2</v>
      </c>
      <c r="F696" s="42">
        <v>15</v>
      </c>
      <c r="G696" s="50">
        <v>40917</v>
      </c>
      <c r="H696" s="49">
        <v>1</v>
      </c>
      <c r="I696" s="49">
        <f t="shared" si="21"/>
        <v>750</v>
      </c>
      <c r="J696" s="29">
        <f t="shared" si="20"/>
        <v>499.99999999999994</v>
      </c>
      <c r="K696" s="13"/>
      <c r="L696" s="10"/>
    </row>
    <row r="697" spans="1:12">
      <c r="A697" s="13"/>
      <c r="B697" s="48"/>
      <c r="C697" s="13"/>
      <c r="D697" s="49">
        <v>40000</v>
      </c>
      <c r="E697" s="51">
        <v>7.4999999999999997E-2</v>
      </c>
      <c r="F697" s="42">
        <v>15</v>
      </c>
      <c r="G697" s="50">
        <v>40932</v>
      </c>
      <c r="H697" s="49">
        <v>2</v>
      </c>
      <c r="I697" s="49">
        <f t="shared" si="21"/>
        <v>3000</v>
      </c>
      <c r="J697" s="29">
        <f t="shared" si="20"/>
        <v>1999.9999999999998</v>
      </c>
      <c r="K697" s="13"/>
      <c r="L697" s="10"/>
    </row>
    <row r="698" spans="1:12">
      <c r="A698" s="13"/>
      <c r="B698" s="48"/>
      <c r="C698" s="13"/>
      <c r="D698" s="49">
        <v>50000</v>
      </c>
      <c r="E698" s="51">
        <v>7.4999999999999997E-2</v>
      </c>
      <c r="F698" s="42">
        <v>15</v>
      </c>
      <c r="G698" s="50">
        <v>40961</v>
      </c>
      <c r="H698" s="49">
        <v>19</v>
      </c>
      <c r="I698" s="49">
        <f t="shared" si="21"/>
        <v>35625</v>
      </c>
      <c r="J698" s="29">
        <f t="shared" si="20"/>
        <v>23750</v>
      </c>
      <c r="K698" s="13"/>
      <c r="L698" s="10"/>
    </row>
    <row r="699" spans="1:12">
      <c r="A699" s="13"/>
      <c r="B699" s="48"/>
      <c r="C699" s="13"/>
      <c r="D699" s="49">
        <v>20000</v>
      </c>
      <c r="E699" s="51">
        <v>7.4999999999999997E-2</v>
      </c>
      <c r="F699" s="42">
        <v>15</v>
      </c>
      <c r="G699" s="50">
        <v>41263</v>
      </c>
      <c r="H699" s="49">
        <v>3</v>
      </c>
      <c r="I699" s="49">
        <f t="shared" si="21"/>
        <v>2250</v>
      </c>
      <c r="J699" s="29">
        <f t="shared" si="20"/>
        <v>1499.9999999999998</v>
      </c>
      <c r="K699" s="13"/>
      <c r="L699" s="10"/>
    </row>
    <row r="700" spans="1:12">
      <c r="A700" s="13">
        <v>116</v>
      </c>
      <c r="B700" s="48">
        <v>3359</v>
      </c>
      <c r="C700" s="13" t="s">
        <v>1100</v>
      </c>
      <c r="D700" s="49">
        <v>120000</v>
      </c>
      <c r="E700" s="51">
        <v>7.4999999999999997E-2</v>
      </c>
      <c r="F700" s="42">
        <v>15</v>
      </c>
      <c r="G700" s="50">
        <v>40804</v>
      </c>
      <c r="H700" s="49">
        <v>10</v>
      </c>
      <c r="I700" s="49">
        <f t="shared" si="21"/>
        <v>45000</v>
      </c>
      <c r="J700" s="29">
        <f t="shared" si="20"/>
        <v>29999.999999999996</v>
      </c>
      <c r="K700" s="13" t="s">
        <v>839</v>
      </c>
      <c r="L700" s="10"/>
    </row>
    <row r="701" spans="1:12">
      <c r="A701" s="13">
        <v>117</v>
      </c>
      <c r="B701" s="48">
        <v>3363</v>
      </c>
      <c r="C701" s="13" t="s">
        <v>1834</v>
      </c>
      <c r="D701" s="49">
        <v>40000</v>
      </c>
      <c r="E701" s="51">
        <v>7.4999999999999997E-2</v>
      </c>
      <c r="F701" s="42">
        <v>15</v>
      </c>
      <c r="G701" s="50">
        <v>40803</v>
      </c>
      <c r="H701" s="49">
        <v>10</v>
      </c>
      <c r="I701" s="49">
        <f t="shared" si="21"/>
        <v>15000</v>
      </c>
      <c r="J701" s="29">
        <f t="shared" si="20"/>
        <v>9999.9999999999982</v>
      </c>
      <c r="K701" s="13" t="s">
        <v>840</v>
      </c>
      <c r="L701" s="10"/>
    </row>
    <row r="702" spans="1:12">
      <c r="A702" s="13"/>
      <c r="B702" s="48"/>
      <c r="C702" s="13"/>
      <c r="D702" s="49">
        <v>40000</v>
      </c>
      <c r="E702" s="51">
        <v>7.4999999999999997E-2</v>
      </c>
      <c r="F702" s="42">
        <v>15</v>
      </c>
      <c r="G702" s="50">
        <v>41009</v>
      </c>
      <c r="H702" s="49">
        <v>2</v>
      </c>
      <c r="I702" s="49">
        <f t="shared" si="21"/>
        <v>3000</v>
      </c>
      <c r="J702" s="29">
        <f t="shared" si="20"/>
        <v>1999.9999999999998</v>
      </c>
      <c r="K702" s="13"/>
      <c r="L702" s="10"/>
    </row>
    <row r="703" spans="1:12">
      <c r="A703" s="13"/>
      <c r="B703" s="48"/>
      <c r="C703" s="13"/>
      <c r="D703" s="49">
        <v>10000</v>
      </c>
      <c r="E703" s="51">
        <v>7.4999999999999997E-2</v>
      </c>
      <c r="F703" s="42">
        <v>15</v>
      </c>
      <c r="G703" s="50">
        <v>41039</v>
      </c>
      <c r="H703" s="49">
        <v>3</v>
      </c>
      <c r="I703" s="49">
        <f t="shared" si="21"/>
        <v>1125</v>
      </c>
      <c r="J703" s="29">
        <f t="shared" si="20"/>
        <v>749.99999999999989</v>
      </c>
      <c r="K703" s="13"/>
      <c r="L703" s="10"/>
    </row>
    <row r="704" spans="1:12">
      <c r="A704" s="13"/>
      <c r="B704" s="48"/>
      <c r="C704" s="13"/>
      <c r="D704" s="49">
        <v>40000</v>
      </c>
      <c r="E704" s="51">
        <v>7.4999999999999997E-2</v>
      </c>
      <c r="F704" s="42">
        <v>15</v>
      </c>
      <c r="G704" s="50">
        <v>41085</v>
      </c>
      <c r="H704" s="49">
        <v>7</v>
      </c>
      <c r="I704" s="49">
        <f t="shared" si="21"/>
        <v>10500</v>
      </c>
      <c r="J704" s="29">
        <f t="shared" si="20"/>
        <v>6999.9999999999991</v>
      </c>
      <c r="K704" s="13"/>
      <c r="L704" s="10"/>
    </row>
    <row r="705" spans="1:12">
      <c r="A705" s="13"/>
      <c r="B705" s="48"/>
      <c r="C705" s="13"/>
      <c r="D705" s="49">
        <v>10000</v>
      </c>
      <c r="E705" s="51">
        <v>7.4999999999999997E-2</v>
      </c>
      <c r="F705" s="42">
        <v>15</v>
      </c>
      <c r="G705" s="50">
        <v>41190</v>
      </c>
      <c r="H705" s="49">
        <v>2</v>
      </c>
      <c r="I705" s="49">
        <f t="shared" si="21"/>
        <v>750</v>
      </c>
      <c r="J705" s="29">
        <f t="shared" si="20"/>
        <v>499.99999999999994</v>
      </c>
      <c r="K705" s="13"/>
      <c r="L705" s="10"/>
    </row>
    <row r="706" spans="1:12">
      <c r="A706" s="13"/>
      <c r="B706" s="48"/>
      <c r="C706" s="13"/>
      <c r="D706" s="49">
        <v>40000</v>
      </c>
      <c r="E706" s="51">
        <v>7.4999999999999997E-2</v>
      </c>
      <c r="F706" s="42">
        <v>15</v>
      </c>
      <c r="G706" s="50">
        <v>41211</v>
      </c>
      <c r="H706" s="49">
        <v>6</v>
      </c>
      <c r="I706" s="49">
        <f t="shared" si="21"/>
        <v>9000</v>
      </c>
      <c r="J706" s="29">
        <f t="shared" ref="J706:J769" si="22">IF(F706="分期",D706*(E706-0.025)*2.5*H706/10,D706*(E706-0.025)*F706/30*H706)</f>
        <v>5999.9999999999991</v>
      </c>
      <c r="K706" s="13"/>
      <c r="L706" s="10"/>
    </row>
    <row r="707" spans="1:12">
      <c r="A707" s="13">
        <v>118</v>
      </c>
      <c r="B707" s="48">
        <v>3369</v>
      </c>
      <c r="C707" s="13" t="s">
        <v>1135</v>
      </c>
      <c r="D707" s="49">
        <v>200000</v>
      </c>
      <c r="E707" s="51">
        <v>7.4999999999999997E-2</v>
      </c>
      <c r="F707" s="42">
        <v>15</v>
      </c>
      <c r="G707" s="50">
        <v>40807</v>
      </c>
      <c r="H707" s="49">
        <v>3</v>
      </c>
      <c r="I707" s="49">
        <f t="shared" si="21"/>
        <v>22500</v>
      </c>
      <c r="J707" s="29">
        <f t="shared" si="22"/>
        <v>15000</v>
      </c>
      <c r="K707" s="13" t="s">
        <v>841</v>
      </c>
      <c r="L707" s="10"/>
    </row>
    <row r="708" spans="1:12">
      <c r="A708" s="13">
        <v>119</v>
      </c>
      <c r="B708" s="48">
        <v>3371</v>
      </c>
      <c r="C708" s="13" t="s">
        <v>1134</v>
      </c>
      <c r="D708" s="49">
        <v>50000</v>
      </c>
      <c r="E708" s="51">
        <v>7.4999999999999997E-2</v>
      </c>
      <c r="F708" s="42">
        <v>15</v>
      </c>
      <c r="G708" s="50">
        <v>40812</v>
      </c>
      <c r="H708" s="49">
        <v>5</v>
      </c>
      <c r="I708" s="49">
        <f t="shared" ref="I708:I771" si="23">IF(F708="分期",D708*E708*2.5*H708/10,D708*E708*F708*H708/30)</f>
        <v>9375</v>
      </c>
      <c r="J708" s="29">
        <f t="shared" si="22"/>
        <v>6250</v>
      </c>
      <c r="K708" s="13" t="s">
        <v>842</v>
      </c>
      <c r="L708" s="10"/>
    </row>
    <row r="709" spans="1:12">
      <c r="A709" s="13"/>
      <c r="B709" s="48"/>
      <c r="C709" s="13"/>
      <c r="D709" s="49">
        <v>50000</v>
      </c>
      <c r="E709" s="51">
        <v>7.4999999999999997E-2</v>
      </c>
      <c r="F709" s="42">
        <v>15</v>
      </c>
      <c r="G709" s="50">
        <v>40932</v>
      </c>
      <c r="H709" s="49">
        <v>2</v>
      </c>
      <c r="I709" s="49">
        <f t="shared" si="23"/>
        <v>3750</v>
      </c>
      <c r="J709" s="29">
        <f t="shared" si="22"/>
        <v>2500</v>
      </c>
      <c r="K709" s="13"/>
      <c r="L709" s="10"/>
    </row>
    <row r="710" spans="1:12">
      <c r="A710" s="13"/>
      <c r="B710" s="48"/>
      <c r="C710" s="13"/>
      <c r="D710" s="49">
        <v>80000</v>
      </c>
      <c r="E710" s="51">
        <v>7.4999999999999997E-2</v>
      </c>
      <c r="F710" s="42">
        <v>15</v>
      </c>
      <c r="G710" s="50">
        <v>40963</v>
      </c>
      <c r="H710" s="49">
        <v>4</v>
      </c>
      <c r="I710" s="49">
        <f t="shared" si="23"/>
        <v>12000</v>
      </c>
      <c r="J710" s="29">
        <f t="shared" si="22"/>
        <v>7999.9999999999991</v>
      </c>
      <c r="K710" s="13"/>
      <c r="L710" s="10"/>
    </row>
    <row r="711" spans="1:12">
      <c r="A711" s="13">
        <v>120</v>
      </c>
      <c r="B711" s="48">
        <v>3377</v>
      </c>
      <c r="C711" s="13" t="s">
        <v>3839</v>
      </c>
      <c r="D711" s="49">
        <v>110000</v>
      </c>
      <c r="E711" s="51">
        <v>7.4999999999999997E-2</v>
      </c>
      <c r="F711" s="42">
        <v>15</v>
      </c>
      <c r="G711" s="50">
        <v>40806</v>
      </c>
      <c r="H711" s="49">
        <v>1</v>
      </c>
      <c r="I711" s="49">
        <f t="shared" si="23"/>
        <v>4125</v>
      </c>
      <c r="J711" s="29">
        <f t="shared" si="22"/>
        <v>2749.9999999999995</v>
      </c>
      <c r="K711" s="13" t="s">
        <v>843</v>
      </c>
      <c r="L711" s="10"/>
    </row>
    <row r="712" spans="1:12">
      <c r="A712" s="13"/>
      <c r="B712" s="48"/>
      <c r="C712" s="13"/>
      <c r="D712" s="49">
        <v>140000</v>
      </c>
      <c r="E712" s="51">
        <v>7.4999999999999997E-2</v>
      </c>
      <c r="F712" s="42">
        <v>15</v>
      </c>
      <c r="G712" s="50">
        <v>40821</v>
      </c>
      <c r="H712" s="49">
        <v>16</v>
      </c>
      <c r="I712" s="49">
        <f t="shared" si="23"/>
        <v>84000</v>
      </c>
      <c r="J712" s="29">
        <f t="shared" si="22"/>
        <v>55999.999999999993</v>
      </c>
      <c r="K712" s="13"/>
      <c r="L712" s="10"/>
    </row>
    <row r="713" spans="1:12">
      <c r="A713" s="13">
        <v>121</v>
      </c>
      <c r="B713" s="48">
        <v>3381</v>
      </c>
      <c r="C713" s="13" t="s">
        <v>1084</v>
      </c>
      <c r="D713" s="49">
        <v>100000</v>
      </c>
      <c r="E713" s="51">
        <v>7.4999999999999997E-2</v>
      </c>
      <c r="F713" s="42">
        <v>15</v>
      </c>
      <c r="G713" s="50">
        <v>40816</v>
      </c>
      <c r="H713" s="49">
        <v>9</v>
      </c>
      <c r="I713" s="49">
        <f t="shared" si="23"/>
        <v>33750</v>
      </c>
      <c r="J713" s="29">
        <f t="shared" si="22"/>
        <v>22500</v>
      </c>
      <c r="K713" s="13" t="s">
        <v>844</v>
      </c>
      <c r="L713" s="10"/>
    </row>
    <row r="714" spans="1:12" ht="32.4">
      <c r="A714" s="13">
        <v>122</v>
      </c>
      <c r="B714" s="48">
        <v>3385</v>
      </c>
      <c r="C714" s="13" t="s">
        <v>276</v>
      </c>
      <c r="D714" s="49">
        <v>15000</v>
      </c>
      <c r="E714" s="51">
        <v>7.0000000000000007E-2</v>
      </c>
      <c r="F714" s="42" t="s">
        <v>4036</v>
      </c>
      <c r="G714" s="50">
        <v>40671</v>
      </c>
      <c r="H714" s="49">
        <v>10</v>
      </c>
      <c r="I714" s="49">
        <f t="shared" si="23"/>
        <v>2625</v>
      </c>
      <c r="J714" s="29">
        <f t="shared" si="22"/>
        <v>1687.5000000000005</v>
      </c>
      <c r="K714" s="13" t="s">
        <v>845</v>
      </c>
      <c r="L714" s="10" t="s">
        <v>3740</v>
      </c>
    </row>
    <row r="715" spans="1:12">
      <c r="A715" s="13"/>
      <c r="B715" s="48"/>
      <c r="C715" s="13"/>
      <c r="D715" s="49">
        <v>10000</v>
      </c>
      <c r="E715" s="51">
        <v>7.0000000000000007E-2</v>
      </c>
      <c r="F715" s="42" t="s">
        <v>4036</v>
      </c>
      <c r="G715" s="50">
        <v>40744</v>
      </c>
      <c r="H715" s="49">
        <v>6</v>
      </c>
      <c r="I715" s="49">
        <f t="shared" si="23"/>
        <v>1050.0000000000002</v>
      </c>
      <c r="J715" s="29">
        <f t="shared" si="22"/>
        <v>675.00000000000023</v>
      </c>
      <c r="K715" s="13"/>
      <c r="L715" s="10"/>
    </row>
    <row r="716" spans="1:12">
      <c r="A716" s="13"/>
      <c r="B716" s="48"/>
      <c r="C716" s="13"/>
      <c r="D716" s="49">
        <v>5000</v>
      </c>
      <c r="E716" s="51">
        <v>7.0000000000000007E-2</v>
      </c>
      <c r="F716" s="42" t="s">
        <v>4036</v>
      </c>
      <c r="G716" s="50">
        <v>40754</v>
      </c>
      <c r="H716" s="49">
        <v>10</v>
      </c>
      <c r="I716" s="49">
        <f t="shared" si="23"/>
        <v>875.00000000000023</v>
      </c>
      <c r="J716" s="29">
        <f t="shared" si="22"/>
        <v>562.50000000000011</v>
      </c>
      <c r="K716" s="13"/>
      <c r="L716" s="10"/>
    </row>
    <row r="717" spans="1:12">
      <c r="A717" s="13"/>
      <c r="B717" s="48"/>
      <c r="C717" s="13"/>
      <c r="D717" s="49">
        <v>10000</v>
      </c>
      <c r="E717" s="51">
        <v>7.0000000000000007E-2</v>
      </c>
      <c r="F717" s="42" t="s">
        <v>4036</v>
      </c>
      <c r="G717" s="50">
        <v>40786</v>
      </c>
      <c r="H717" s="49">
        <v>7</v>
      </c>
      <c r="I717" s="49">
        <f t="shared" si="23"/>
        <v>1225.0000000000002</v>
      </c>
      <c r="J717" s="29">
        <f t="shared" si="22"/>
        <v>787.50000000000023</v>
      </c>
      <c r="K717" s="13"/>
      <c r="L717" s="10"/>
    </row>
    <row r="718" spans="1:12">
      <c r="A718" s="13"/>
      <c r="B718" s="48"/>
      <c r="C718" s="13"/>
      <c r="D718" s="49">
        <v>30000</v>
      </c>
      <c r="E718" s="51">
        <v>7.4999999999999997E-2</v>
      </c>
      <c r="F718" s="42">
        <v>15</v>
      </c>
      <c r="G718" s="50">
        <v>40809</v>
      </c>
      <c r="H718" s="49">
        <v>27</v>
      </c>
      <c r="I718" s="49">
        <f t="shared" si="23"/>
        <v>30375</v>
      </c>
      <c r="J718" s="29">
        <f t="shared" si="22"/>
        <v>20249.999999999996</v>
      </c>
      <c r="K718" s="13"/>
      <c r="L718" s="10"/>
    </row>
    <row r="719" spans="1:12">
      <c r="A719" s="13"/>
      <c r="B719" s="48"/>
      <c r="C719" s="13"/>
      <c r="D719" s="49">
        <v>5000</v>
      </c>
      <c r="E719" s="51">
        <v>7.0000000000000007E-2</v>
      </c>
      <c r="F719" s="42" t="s">
        <v>4036</v>
      </c>
      <c r="G719" s="50">
        <v>40821</v>
      </c>
      <c r="H719" s="49">
        <v>3</v>
      </c>
      <c r="I719" s="49">
        <f t="shared" si="23"/>
        <v>262.50000000000006</v>
      </c>
      <c r="J719" s="29">
        <f t="shared" si="22"/>
        <v>168.75000000000006</v>
      </c>
      <c r="K719" s="13"/>
      <c r="L719" s="10"/>
    </row>
    <row r="720" spans="1:12">
      <c r="A720" s="13"/>
      <c r="B720" s="48"/>
      <c r="C720" s="13"/>
      <c r="D720" s="49">
        <v>10000</v>
      </c>
      <c r="E720" s="51">
        <v>7.0000000000000007E-2</v>
      </c>
      <c r="F720" s="42" t="s">
        <v>4036</v>
      </c>
      <c r="G720" s="50">
        <v>40831</v>
      </c>
      <c r="H720" s="49">
        <v>2</v>
      </c>
      <c r="I720" s="49">
        <f t="shared" si="23"/>
        <v>350.00000000000006</v>
      </c>
      <c r="J720" s="29">
        <f t="shared" si="22"/>
        <v>225.00000000000006</v>
      </c>
      <c r="K720" s="13"/>
      <c r="L720" s="10"/>
    </row>
    <row r="721" spans="1:12">
      <c r="A721" s="13">
        <v>123</v>
      </c>
      <c r="B721" s="48">
        <v>3387</v>
      </c>
      <c r="C721" s="13" t="s">
        <v>3885</v>
      </c>
      <c r="D721" s="49">
        <v>60000</v>
      </c>
      <c r="E721" s="51">
        <v>7.4999999999999997E-2</v>
      </c>
      <c r="F721" s="42">
        <v>15</v>
      </c>
      <c r="G721" s="50">
        <v>40806</v>
      </c>
      <c r="H721" s="49">
        <v>4</v>
      </c>
      <c r="I721" s="49">
        <f t="shared" si="23"/>
        <v>9000</v>
      </c>
      <c r="J721" s="29">
        <f t="shared" si="22"/>
        <v>5999.9999999999991</v>
      </c>
      <c r="K721" s="13" t="s">
        <v>846</v>
      </c>
      <c r="L721" s="10"/>
    </row>
    <row r="722" spans="1:12">
      <c r="A722" s="13"/>
      <c r="B722" s="48"/>
      <c r="C722" s="13"/>
      <c r="D722" s="49">
        <v>50000</v>
      </c>
      <c r="E722" s="51">
        <v>7.4999999999999997E-2</v>
      </c>
      <c r="F722" s="42">
        <v>15</v>
      </c>
      <c r="G722" s="50">
        <v>40866</v>
      </c>
      <c r="H722" s="49">
        <v>3</v>
      </c>
      <c r="I722" s="49">
        <f t="shared" si="23"/>
        <v>5625</v>
      </c>
      <c r="J722" s="29">
        <f t="shared" si="22"/>
        <v>3750</v>
      </c>
      <c r="K722" s="13"/>
      <c r="L722" s="10"/>
    </row>
    <row r="723" spans="1:12">
      <c r="A723" s="13"/>
      <c r="B723" s="48"/>
      <c r="C723" s="13"/>
      <c r="D723" s="49">
        <v>40000</v>
      </c>
      <c r="E723" s="51">
        <v>7.4999999999999997E-2</v>
      </c>
      <c r="F723" s="42">
        <v>15</v>
      </c>
      <c r="G723" s="50">
        <v>40911</v>
      </c>
      <c r="H723" s="49">
        <v>3</v>
      </c>
      <c r="I723" s="49">
        <f t="shared" si="23"/>
        <v>4500</v>
      </c>
      <c r="J723" s="29">
        <f t="shared" si="22"/>
        <v>2999.9999999999995</v>
      </c>
      <c r="K723" s="13"/>
      <c r="L723" s="10"/>
    </row>
    <row r="724" spans="1:12">
      <c r="A724" s="13"/>
      <c r="B724" s="48"/>
      <c r="C724" s="13"/>
      <c r="D724" s="49">
        <v>30000</v>
      </c>
      <c r="E724" s="51">
        <v>7.4999999999999997E-2</v>
      </c>
      <c r="F724" s="42">
        <v>15</v>
      </c>
      <c r="G724" s="50">
        <v>40971</v>
      </c>
      <c r="H724" s="49">
        <v>2</v>
      </c>
      <c r="I724" s="49">
        <f t="shared" si="23"/>
        <v>2250</v>
      </c>
      <c r="J724" s="29">
        <f t="shared" si="22"/>
        <v>1499.9999999999998</v>
      </c>
      <c r="K724" s="13"/>
      <c r="L724" s="10"/>
    </row>
    <row r="725" spans="1:12">
      <c r="A725" s="13">
        <v>124</v>
      </c>
      <c r="B725" s="48">
        <v>3389</v>
      </c>
      <c r="C725" s="13" t="s">
        <v>1148</v>
      </c>
      <c r="D725" s="49">
        <v>10000</v>
      </c>
      <c r="E725" s="51">
        <v>7.0000000000000007E-2</v>
      </c>
      <c r="F725" s="42" t="s">
        <v>4036</v>
      </c>
      <c r="G725" s="50">
        <v>40875</v>
      </c>
      <c r="H725" s="49">
        <v>10</v>
      </c>
      <c r="I725" s="49">
        <f t="shared" si="23"/>
        <v>1750.0000000000005</v>
      </c>
      <c r="J725" s="29">
        <f t="shared" si="22"/>
        <v>1125.0000000000002</v>
      </c>
      <c r="K725" s="13" t="s">
        <v>847</v>
      </c>
      <c r="L725" s="10"/>
    </row>
    <row r="726" spans="1:12">
      <c r="A726" s="13"/>
      <c r="B726" s="48"/>
      <c r="C726" s="13"/>
      <c r="D726" s="49">
        <v>20000</v>
      </c>
      <c r="E726" s="51">
        <v>7.4999999999999997E-2</v>
      </c>
      <c r="F726" s="42">
        <v>15</v>
      </c>
      <c r="G726" s="50">
        <v>40882</v>
      </c>
      <c r="H726" s="49">
        <v>3</v>
      </c>
      <c r="I726" s="49">
        <f t="shared" si="23"/>
        <v>2250</v>
      </c>
      <c r="J726" s="29">
        <f t="shared" si="22"/>
        <v>1499.9999999999998</v>
      </c>
      <c r="K726" s="13"/>
      <c r="L726" s="10"/>
    </row>
    <row r="727" spans="1:12">
      <c r="A727" s="13"/>
      <c r="B727" s="48"/>
      <c r="C727" s="13"/>
      <c r="D727" s="49">
        <v>40000</v>
      </c>
      <c r="E727" s="51">
        <v>7.4999999999999997E-2</v>
      </c>
      <c r="F727" s="42">
        <v>15</v>
      </c>
      <c r="G727" s="50">
        <v>40927</v>
      </c>
      <c r="H727" s="49">
        <v>22</v>
      </c>
      <c r="I727" s="49">
        <f t="shared" si="23"/>
        <v>33000</v>
      </c>
      <c r="J727" s="29">
        <f t="shared" si="22"/>
        <v>21999.999999999996</v>
      </c>
      <c r="K727" s="13"/>
      <c r="L727" s="10"/>
    </row>
    <row r="728" spans="1:12">
      <c r="A728" s="13"/>
      <c r="B728" s="48"/>
      <c r="C728" s="13"/>
      <c r="D728" s="49">
        <v>10000</v>
      </c>
      <c r="E728" s="51">
        <v>7.0000000000000007E-2</v>
      </c>
      <c r="F728" s="42" t="s">
        <v>4036</v>
      </c>
      <c r="G728" s="50">
        <v>40945</v>
      </c>
      <c r="H728" s="49">
        <v>10</v>
      </c>
      <c r="I728" s="49">
        <f t="shared" si="23"/>
        <v>1750.0000000000005</v>
      </c>
      <c r="J728" s="29">
        <f t="shared" si="22"/>
        <v>1125.0000000000002</v>
      </c>
      <c r="K728" s="13"/>
      <c r="L728" s="10"/>
    </row>
    <row r="729" spans="1:12">
      <c r="A729" s="13"/>
      <c r="B729" s="48"/>
      <c r="C729" s="13"/>
      <c r="D729" s="49">
        <v>10000</v>
      </c>
      <c r="E729" s="51">
        <v>7.0000000000000007E-2</v>
      </c>
      <c r="F729" s="42" t="s">
        <v>4036</v>
      </c>
      <c r="G729" s="50">
        <v>41001</v>
      </c>
      <c r="H729" s="49">
        <v>10</v>
      </c>
      <c r="I729" s="49">
        <f t="shared" si="23"/>
        <v>1750.0000000000005</v>
      </c>
      <c r="J729" s="29">
        <f t="shared" si="22"/>
        <v>1125.0000000000002</v>
      </c>
      <c r="K729" s="13"/>
      <c r="L729" s="10"/>
    </row>
    <row r="730" spans="1:12">
      <c r="A730" s="13"/>
      <c r="B730" s="48"/>
      <c r="C730" s="13"/>
      <c r="D730" s="49">
        <v>10000</v>
      </c>
      <c r="E730" s="51">
        <v>7.0000000000000007E-2</v>
      </c>
      <c r="F730" s="42" t="s">
        <v>4036</v>
      </c>
      <c r="G730" s="50">
        <v>41057</v>
      </c>
      <c r="H730" s="49">
        <v>10</v>
      </c>
      <c r="I730" s="49">
        <f t="shared" si="23"/>
        <v>1750.0000000000005</v>
      </c>
      <c r="J730" s="29">
        <f t="shared" si="22"/>
        <v>1125.0000000000002</v>
      </c>
      <c r="K730" s="13"/>
      <c r="L730" s="10"/>
    </row>
    <row r="731" spans="1:12">
      <c r="A731" s="13"/>
      <c r="B731" s="48"/>
      <c r="C731" s="13"/>
      <c r="D731" s="49">
        <v>10000</v>
      </c>
      <c r="E731" s="51">
        <v>7.0000000000000007E-2</v>
      </c>
      <c r="F731" s="42" t="s">
        <v>4036</v>
      </c>
      <c r="G731" s="50">
        <v>41113</v>
      </c>
      <c r="H731" s="49">
        <v>10</v>
      </c>
      <c r="I731" s="49">
        <f t="shared" si="23"/>
        <v>1750.0000000000005</v>
      </c>
      <c r="J731" s="29">
        <f t="shared" si="22"/>
        <v>1125.0000000000002</v>
      </c>
      <c r="K731" s="13"/>
      <c r="L731" s="10"/>
    </row>
    <row r="732" spans="1:12">
      <c r="A732" s="13"/>
      <c r="B732" s="48"/>
      <c r="C732" s="13"/>
      <c r="D732" s="49">
        <v>10000</v>
      </c>
      <c r="E732" s="51">
        <v>7.0000000000000007E-2</v>
      </c>
      <c r="F732" s="42" t="s">
        <v>4036</v>
      </c>
      <c r="G732" s="50">
        <v>41169</v>
      </c>
      <c r="H732" s="49">
        <v>6</v>
      </c>
      <c r="I732" s="49">
        <f t="shared" si="23"/>
        <v>1050.0000000000002</v>
      </c>
      <c r="J732" s="29">
        <f t="shared" si="22"/>
        <v>675.00000000000023</v>
      </c>
      <c r="K732" s="13"/>
      <c r="L732" s="10"/>
    </row>
    <row r="733" spans="1:12">
      <c r="A733" s="13">
        <v>125</v>
      </c>
      <c r="B733" s="48">
        <v>3393</v>
      </c>
      <c r="C733" s="13" t="s">
        <v>1994</v>
      </c>
      <c r="D733" s="49">
        <v>100000</v>
      </c>
      <c r="E733" s="51">
        <v>7.4999999999999997E-2</v>
      </c>
      <c r="F733" s="42">
        <v>15</v>
      </c>
      <c r="G733" s="50">
        <v>40814</v>
      </c>
      <c r="H733" s="49">
        <v>17</v>
      </c>
      <c r="I733" s="49">
        <f t="shared" si="23"/>
        <v>63750</v>
      </c>
      <c r="J733" s="29">
        <f t="shared" si="22"/>
        <v>42500</v>
      </c>
      <c r="K733" s="13" t="s">
        <v>848</v>
      </c>
      <c r="L733" s="10"/>
    </row>
    <row r="734" spans="1:12">
      <c r="A734" s="13">
        <v>126</v>
      </c>
      <c r="B734" s="48">
        <v>3395</v>
      </c>
      <c r="C734" s="13" t="s">
        <v>1065</v>
      </c>
      <c r="D734" s="49">
        <v>15000</v>
      </c>
      <c r="E734" s="51">
        <v>7.0000000000000007E-2</v>
      </c>
      <c r="F734" s="42" t="s">
        <v>4036</v>
      </c>
      <c r="G734" s="50">
        <v>40894</v>
      </c>
      <c r="H734" s="49">
        <v>10</v>
      </c>
      <c r="I734" s="49">
        <f t="shared" si="23"/>
        <v>2625</v>
      </c>
      <c r="J734" s="29">
        <f t="shared" si="22"/>
        <v>1687.5000000000005</v>
      </c>
      <c r="K734" s="13" t="s">
        <v>849</v>
      </c>
      <c r="L734" s="10"/>
    </row>
    <row r="735" spans="1:12">
      <c r="A735" s="13"/>
      <c r="B735" s="48"/>
      <c r="C735" s="13"/>
      <c r="D735" s="49">
        <v>15000</v>
      </c>
      <c r="E735" s="51">
        <v>7.0000000000000007E-2</v>
      </c>
      <c r="F735" s="42" t="s">
        <v>4036</v>
      </c>
      <c r="G735" s="50">
        <v>40903</v>
      </c>
      <c r="H735" s="49">
        <v>10</v>
      </c>
      <c r="I735" s="49">
        <f t="shared" si="23"/>
        <v>2625</v>
      </c>
      <c r="J735" s="29">
        <f t="shared" si="22"/>
        <v>1687.5000000000005</v>
      </c>
      <c r="K735" s="13"/>
      <c r="L735" s="10"/>
    </row>
    <row r="736" spans="1:12">
      <c r="A736" s="13"/>
      <c r="B736" s="48"/>
      <c r="C736" s="13"/>
      <c r="D736" s="49">
        <v>15000</v>
      </c>
      <c r="E736" s="51">
        <v>7.4999999999999997E-2</v>
      </c>
      <c r="F736" s="42">
        <v>15</v>
      </c>
      <c r="G736" s="50">
        <v>40911</v>
      </c>
      <c r="H736" s="49">
        <v>5</v>
      </c>
      <c r="I736" s="49">
        <f t="shared" si="23"/>
        <v>2812.5</v>
      </c>
      <c r="J736" s="29">
        <f t="shared" si="22"/>
        <v>1874.9999999999998</v>
      </c>
      <c r="K736" s="13"/>
      <c r="L736" s="10"/>
    </row>
    <row r="737" spans="1:12">
      <c r="A737" s="13"/>
      <c r="B737" s="48"/>
      <c r="C737" s="13"/>
      <c r="D737" s="49">
        <v>15000</v>
      </c>
      <c r="E737" s="51">
        <v>7.4999999999999997E-2</v>
      </c>
      <c r="F737" s="42">
        <v>15</v>
      </c>
      <c r="G737" s="50">
        <v>41004</v>
      </c>
      <c r="H737" s="49">
        <v>2</v>
      </c>
      <c r="I737" s="49">
        <f t="shared" si="23"/>
        <v>1125</v>
      </c>
      <c r="J737" s="29">
        <f t="shared" si="22"/>
        <v>749.99999999999989</v>
      </c>
      <c r="K737" s="13"/>
      <c r="L737" s="10"/>
    </row>
    <row r="738" spans="1:12">
      <c r="A738" s="13"/>
      <c r="B738" s="48"/>
      <c r="C738" s="13"/>
      <c r="D738" s="49">
        <v>15000</v>
      </c>
      <c r="E738" s="51">
        <v>7.0000000000000007E-2</v>
      </c>
      <c r="F738" s="42" t="s">
        <v>4036</v>
      </c>
      <c r="G738" s="50">
        <v>41010</v>
      </c>
      <c r="H738" s="49">
        <v>10</v>
      </c>
      <c r="I738" s="49">
        <f t="shared" si="23"/>
        <v>2625</v>
      </c>
      <c r="J738" s="29">
        <f t="shared" si="22"/>
        <v>1687.5000000000005</v>
      </c>
      <c r="K738" s="13"/>
      <c r="L738" s="10"/>
    </row>
    <row r="739" spans="1:12">
      <c r="A739" s="13">
        <v>127</v>
      </c>
      <c r="B739" s="48">
        <v>3397</v>
      </c>
      <c r="C739" s="13" t="s">
        <v>1412</v>
      </c>
      <c r="D739" s="49">
        <v>10000</v>
      </c>
      <c r="E739" s="51">
        <v>7.0000000000000007E-2</v>
      </c>
      <c r="F739" s="42" t="s">
        <v>4036</v>
      </c>
      <c r="G739" s="50">
        <v>40738</v>
      </c>
      <c r="H739" s="49">
        <v>9</v>
      </c>
      <c r="I739" s="49">
        <f t="shared" si="23"/>
        <v>1575.0000000000002</v>
      </c>
      <c r="J739" s="29">
        <f t="shared" si="22"/>
        <v>1012.5000000000002</v>
      </c>
      <c r="K739" s="13" t="s">
        <v>850</v>
      </c>
      <c r="L739" s="10"/>
    </row>
    <row r="740" spans="1:12">
      <c r="A740" s="13">
        <v>128</v>
      </c>
      <c r="B740" s="48">
        <v>3399</v>
      </c>
      <c r="C740" s="13" t="s">
        <v>3625</v>
      </c>
      <c r="D740" s="49">
        <v>40000</v>
      </c>
      <c r="E740" s="51">
        <v>7.4999999999999997E-2</v>
      </c>
      <c r="F740" s="42">
        <v>15</v>
      </c>
      <c r="G740" s="50">
        <v>40811</v>
      </c>
      <c r="H740" s="49">
        <v>33</v>
      </c>
      <c r="I740" s="49">
        <f t="shared" si="23"/>
        <v>49500</v>
      </c>
      <c r="J740" s="29">
        <f t="shared" si="22"/>
        <v>32999.999999999993</v>
      </c>
      <c r="K740" s="13" t="s">
        <v>851</v>
      </c>
      <c r="L740" s="10"/>
    </row>
    <row r="741" spans="1:12">
      <c r="A741" s="13">
        <v>129</v>
      </c>
      <c r="B741" s="48">
        <v>3401</v>
      </c>
      <c r="C741" s="13" t="s">
        <v>4049</v>
      </c>
      <c r="D741" s="49">
        <v>50000</v>
      </c>
      <c r="E741" s="51">
        <v>7.4999999999999997E-2</v>
      </c>
      <c r="F741" s="42">
        <v>15</v>
      </c>
      <c r="G741" s="50">
        <v>40811</v>
      </c>
      <c r="H741" s="49">
        <v>11</v>
      </c>
      <c r="I741" s="49">
        <f t="shared" si="23"/>
        <v>20625</v>
      </c>
      <c r="J741" s="29">
        <f t="shared" si="22"/>
        <v>13750</v>
      </c>
      <c r="K741" s="13" t="s">
        <v>852</v>
      </c>
      <c r="L741" s="10"/>
    </row>
    <row r="742" spans="1:12">
      <c r="A742" s="13">
        <v>130</v>
      </c>
      <c r="B742" s="48">
        <v>3405</v>
      </c>
      <c r="C742" s="13" t="s">
        <v>3835</v>
      </c>
      <c r="D742" s="49">
        <v>30000</v>
      </c>
      <c r="E742" s="51">
        <v>7.4999999999999997E-2</v>
      </c>
      <c r="F742" s="42">
        <v>15</v>
      </c>
      <c r="G742" s="50">
        <v>40806</v>
      </c>
      <c r="H742" s="49">
        <v>6</v>
      </c>
      <c r="I742" s="49">
        <f t="shared" si="23"/>
        <v>6750</v>
      </c>
      <c r="J742" s="29">
        <f t="shared" si="22"/>
        <v>4499.9999999999991</v>
      </c>
      <c r="K742" s="13" t="s">
        <v>853</v>
      </c>
      <c r="L742" s="10"/>
    </row>
    <row r="743" spans="1:12">
      <c r="A743" s="13">
        <v>131</v>
      </c>
      <c r="B743" s="48">
        <v>3407</v>
      </c>
      <c r="C743" s="13" t="s">
        <v>1107</v>
      </c>
      <c r="D743" s="49">
        <v>20000</v>
      </c>
      <c r="E743" s="51">
        <v>7.0000000000000007E-2</v>
      </c>
      <c r="F743" s="42" t="s">
        <v>4036</v>
      </c>
      <c r="G743" s="50">
        <v>40756</v>
      </c>
      <c r="H743" s="49">
        <v>10</v>
      </c>
      <c r="I743" s="49">
        <f t="shared" si="23"/>
        <v>3500.0000000000009</v>
      </c>
      <c r="J743" s="29">
        <f t="shared" si="22"/>
        <v>2250.0000000000005</v>
      </c>
      <c r="K743" s="13" t="s">
        <v>1422</v>
      </c>
      <c r="L743" s="10"/>
    </row>
    <row r="744" spans="1:12">
      <c r="A744" s="13"/>
      <c r="B744" s="48"/>
      <c r="C744" s="13"/>
      <c r="D744" s="49">
        <v>10000</v>
      </c>
      <c r="E744" s="51">
        <v>7.0000000000000007E-2</v>
      </c>
      <c r="F744" s="42" t="s">
        <v>4036</v>
      </c>
      <c r="G744" s="50">
        <v>40981</v>
      </c>
      <c r="H744" s="49">
        <v>10</v>
      </c>
      <c r="I744" s="49">
        <f t="shared" si="23"/>
        <v>1750.0000000000005</v>
      </c>
      <c r="J744" s="29">
        <f t="shared" si="22"/>
        <v>1125.0000000000002</v>
      </c>
      <c r="K744" s="13"/>
      <c r="L744" s="10"/>
    </row>
    <row r="745" spans="1:12">
      <c r="A745" s="13"/>
      <c r="B745" s="48"/>
      <c r="C745" s="13"/>
      <c r="D745" s="49">
        <v>20000</v>
      </c>
      <c r="E745" s="51">
        <v>7.4999999999999997E-2</v>
      </c>
      <c r="F745" s="42">
        <v>15</v>
      </c>
      <c r="G745" s="50">
        <v>40989</v>
      </c>
      <c r="H745" s="49">
        <v>13</v>
      </c>
      <c r="I745" s="49">
        <f t="shared" si="23"/>
        <v>9750</v>
      </c>
      <c r="J745" s="29">
        <f t="shared" si="22"/>
        <v>6499.9999999999991</v>
      </c>
      <c r="K745" s="13"/>
      <c r="L745" s="10"/>
    </row>
    <row r="746" spans="1:12">
      <c r="A746" s="13"/>
      <c r="B746" s="48"/>
      <c r="C746" s="13"/>
      <c r="D746" s="49">
        <v>10000</v>
      </c>
      <c r="E746" s="51">
        <v>7.0000000000000007E-2</v>
      </c>
      <c r="F746" s="42" t="s">
        <v>4036</v>
      </c>
      <c r="G746" s="50">
        <v>41031</v>
      </c>
      <c r="H746" s="49">
        <v>10</v>
      </c>
      <c r="I746" s="49">
        <f t="shared" si="23"/>
        <v>1750.0000000000005</v>
      </c>
      <c r="J746" s="29">
        <f t="shared" si="22"/>
        <v>1125.0000000000002</v>
      </c>
      <c r="K746" s="13"/>
      <c r="L746" s="10"/>
    </row>
    <row r="747" spans="1:12">
      <c r="A747" s="13"/>
      <c r="B747" s="48"/>
      <c r="C747" s="13"/>
      <c r="D747" s="49">
        <v>10000</v>
      </c>
      <c r="E747" s="51">
        <v>7.0000000000000007E-2</v>
      </c>
      <c r="F747" s="42" t="s">
        <v>4036</v>
      </c>
      <c r="G747" s="50">
        <v>41085</v>
      </c>
      <c r="H747" s="49">
        <v>10</v>
      </c>
      <c r="I747" s="49">
        <f t="shared" si="23"/>
        <v>1750.0000000000005</v>
      </c>
      <c r="J747" s="29">
        <f t="shared" si="22"/>
        <v>1125.0000000000002</v>
      </c>
      <c r="K747" s="13"/>
      <c r="L747" s="10"/>
    </row>
    <row r="748" spans="1:12">
      <c r="A748" s="13"/>
      <c r="B748" s="48"/>
      <c r="C748" s="13"/>
      <c r="D748" s="49">
        <v>10000</v>
      </c>
      <c r="E748" s="51">
        <v>7.0000000000000007E-2</v>
      </c>
      <c r="F748" s="42" t="s">
        <v>4036</v>
      </c>
      <c r="G748" s="50">
        <v>41144</v>
      </c>
      <c r="H748" s="49">
        <v>9</v>
      </c>
      <c r="I748" s="49">
        <f t="shared" si="23"/>
        <v>1575.0000000000002</v>
      </c>
      <c r="J748" s="29">
        <f t="shared" si="22"/>
        <v>1012.5000000000002</v>
      </c>
      <c r="K748" s="13"/>
      <c r="L748" s="10"/>
    </row>
    <row r="749" spans="1:12">
      <c r="A749" s="13"/>
      <c r="B749" s="48"/>
      <c r="C749" s="13"/>
      <c r="D749" s="49">
        <v>30000</v>
      </c>
      <c r="E749" s="51">
        <v>7.4999999999999997E-2</v>
      </c>
      <c r="F749" s="42">
        <v>15</v>
      </c>
      <c r="G749" s="50">
        <v>41175</v>
      </c>
      <c r="H749" s="49">
        <v>3</v>
      </c>
      <c r="I749" s="49">
        <f t="shared" si="23"/>
        <v>3375</v>
      </c>
      <c r="J749" s="29">
        <f t="shared" si="22"/>
        <v>2249.9999999999995</v>
      </c>
      <c r="K749" s="13"/>
      <c r="L749" s="10"/>
    </row>
    <row r="750" spans="1:12">
      <c r="A750" s="13"/>
      <c r="B750" s="48"/>
      <c r="C750" s="13"/>
      <c r="D750" s="49">
        <v>40000</v>
      </c>
      <c r="E750" s="51">
        <v>7.4999999999999997E-2</v>
      </c>
      <c r="F750" s="42">
        <v>15</v>
      </c>
      <c r="G750" s="50">
        <v>41194</v>
      </c>
      <c r="H750" s="49">
        <v>2</v>
      </c>
      <c r="I750" s="49">
        <f t="shared" si="23"/>
        <v>3000</v>
      </c>
      <c r="J750" s="29">
        <f t="shared" si="22"/>
        <v>1999.9999999999998</v>
      </c>
      <c r="K750" s="13"/>
      <c r="L750" s="10"/>
    </row>
    <row r="751" spans="1:12">
      <c r="A751" s="13">
        <v>132</v>
      </c>
      <c r="B751" s="48">
        <v>3409</v>
      </c>
      <c r="C751" s="13" t="s">
        <v>3848</v>
      </c>
      <c r="D751" s="49">
        <v>180000</v>
      </c>
      <c r="E751" s="51">
        <v>7.4999999999999997E-2</v>
      </c>
      <c r="F751" s="42">
        <v>15</v>
      </c>
      <c r="G751" s="50">
        <v>40811</v>
      </c>
      <c r="H751" s="49">
        <v>10</v>
      </c>
      <c r="I751" s="49">
        <f t="shared" si="23"/>
        <v>67500</v>
      </c>
      <c r="J751" s="29">
        <f t="shared" si="22"/>
        <v>45000</v>
      </c>
      <c r="K751" s="13" t="s">
        <v>1423</v>
      </c>
      <c r="L751" s="10"/>
    </row>
    <row r="752" spans="1:12">
      <c r="A752" s="13"/>
      <c r="B752" s="48"/>
      <c r="C752" s="13"/>
      <c r="D752" s="49">
        <v>100000</v>
      </c>
      <c r="E752" s="51">
        <v>7.4999999999999997E-2</v>
      </c>
      <c r="F752" s="42">
        <v>15</v>
      </c>
      <c r="G752" s="50">
        <v>40822</v>
      </c>
      <c r="H752" s="49">
        <v>1</v>
      </c>
      <c r="I752" s="49">
        <f t="shared" si="23"/>
        <v>3750</v>
      </c>
      <c r="J752" s="29">
        <f t="shared" si="22"/>
        <v>2500</v>
      </c>
      <c r="K752" s="13"/>
      <c r="L752" s="10"/>
    </row>
    <row r="753" spans="1:12">
      <c r="A753" s="13"/>
      <c r="B753" s="48"/>
      <c r="C753" s="13"/>
      <c r="D753" s="49">
        <v>90000</v>
      </c>
      <c r="E753" s="51">
        <v>7.4999999999999997E-2</v>
      </c>
      <c r="F753" s="42">
        <v>15</v>
      </c>
      <c r="G753" s="50">
        <v>40837</v>
      </c>
      <c r="H753" s="49">
        <v>27</v>
      </c>
      <c r="I753" s="49">
        <f t="shared" si="23"/>
        <v>91125</v>
      </c>
      <c r="J753" s="29">
        <f t="shared" si="22"/>
        <v>60750</v>
      </c>
      <c r="K753" s="13"/>
      <c r="L753" s="10"/>
    </row>
    <row r="754" spans="1:12">
      <c r="A754" s="13"/>
      <c r="B754" s="48"/>
      <c r="C754" s="13"/>
      <c r="D754" s="49">
        <v>200000</v>
      </c>
      <c r="E754" s="51">
        <v>7.4999999999999997E-2</v>
      </c>
      <c r="F754" s="42">
        <v>15</v>
      </c>
      <c r="G754" s="50">
        <v>40961</v>
      </c>
      <c r="H754" s="49">
        <v>5</v>
      </c>
      <c r="I754" s="49">
        <f t="shared" si="23"/>
        <v>37500</v>
      </c>
      <c r="J754" s="29">
        <f t="shared" si="22"/>
        <v>25000</v>
      </c>
      <c r="K754" s="13"/>
      <c r="L754" s="10"/>
    </row>
    <row r="755" spans="1:12">
      <c r="A755" s="13"/>
      <c r="B755" s="48"/>
      <c r="C755" s="13"/>
      <c r="D755" s="49">
        <v>220000</v>
      </c>
      <c r="E755" s="51">
        <v>7.4999999999999997E-2</v>
      </c>
      <c r="F755" s="42">
        <v>15</v>
      </c>
      <c r="G755" s="50">
        <v>41036</v>
      </c>
      <c r="H755" s="49">
        <v>9</v>
      </c>
      <c r="I755" s="49">
        <f t="shared" si="23"/>
        <v>74250</v>
      </c>
      <c r="J755" s="29">
        <f t="shared" si="22"/>
        <v>49499.999999999993</v>
      </c>
      <c r="K755" s="13"/>
      <c r="L755" s="10"/>
    </row>
    <row r="756" spans="1:12">
      <c r="A756" s="13"/>
      <c r="B756" s="48"/>
      <c r="C756" s="13"/>
      <c r="D756" s="49">
        <v>220000</v>
      </c>
      <c r="E756" s="51">
        <v>7.4999999999999997E-2</v>
      </c>
      <c r="F756" s="42">
        <v>15</v>
      </c>
      <c r="G756" s="50">
        <v>41171</v>
      </c>
      <c r="H756" s="49">
        <v>9</v>
      </c>
      <c r="I756" s="49">
        <f t="shared" si="23"/>
        <v>74250</v>
      </c>
      <c r="J756" s="29">
        <f t="shared" si="22"/>
        <v>49499.999999999993</v>
      </c>
      <c r="K756" s="13"/>
      <c r="L756" s="10"/>
    </row>
    <row r="757" spans="1:12">
      <c r="A757" s="13"/>
      <c r="B757" s="48"/>
      <c r="C757" s="13"/>
      <c r="D757" s="49">
        <v>110000</v>
      </c>
      <c r="E757" s="51">
        <v>7.4999999999999997E-2</v>
      </c>
      <c r="F757" s="42">
        <v>15</v>
      </c>
      <c r="G757" s="50">
        <v>41242</v>
      </c>
      <c r="H757" s="49">
        <v>4</v>
      </c>
      <c r="I757" s="49">
        <f t="shared" si="23"/>
        <v>16500</v>
      </c>
      <c r="J757" s="29">
        <f t="shared" si="22"/>
        <v>10999.999999999998</v>
      </c>
      <c r="K757" s="13"/>
      <c r="L757" s="10"/>
    </row>
    <row r="758" spans="1:12">
      <c r="A758" s="13">
        <v>133</v>
      </c>
      <c r="B758" s="48">
        <v>3411</v>
      </c>
      <c r="C758" s="13" t="s">
        <v>1393</v>
      </c>
      <c r="D758" s="49">
        <v>10000</v>
      </c>
      <c r="E758" s="51">
        <v>7.0000000000000007E-2</v>
      </c>
      <c r="F758" s="42" t="s">
        <v>4036</v>
      </c>
      <c r="G758" s="50">
        <v>40758</v>
      </c>
      <c r="H758" s="49">
        <v>10</v>
      </c>
      <c r="I758" s="49">
        <f t="shared" si="23"/>
        <v>1750.0000000000005</v>
      </c>
      <c r="J758" s="29">
        <f t="shared" si="22"/>
        <v>1125.0000000000002</v>
      </c>
      <c r="K758" s="13" t="s">
        <v>1424</v>
      </c>
      <c r="L758" s="10"/>
    </row>
    <row r="759" spans="1:12">
      <c r="A759" s="13"/>
      <c r="B759" s="48"/>
      <c r="C759" s="13"/>
      <c r="D759" s="49">
        <v>30000</v>
      </c>
      <c r="E759" s="51">
        <v>7.4999999999999997E-2</v>
      </c>
      <c r="F759" s="42">
        <v>15</v>
      </c>
      <c r="G759" s="50">
        <v>40811</v>
      </c>
      <c r="H759" s="49">
        <v>12</v>
      </c>
      <c r="I759" s="49">
        <f t="shared" si="23"/>
        <v>13500</v>
      </c>
      <c r="J759" s="29">
        <f t="shared" si="22"/>
        <v>8999.9999999999982</v>
      </c>
      <c r="K759" s="13"/>
      <c r="L759" s="10"/>
    </row>
    <row r="760" spans="1:12">
      <c r="A760" s="13"/>
      <c r="B760" s="48"/>
      <c r="C760" s="13"/>
      <c r="D760" s="49">
        <v>10000</v>
      </c>
      <c r="E760" s="51">
        <v>7.0000000000000007E-2</v>
      </c>
      <c r="F760" s="42" t="s">
        <v>4036</v>
      </c>
      <c r="G760" s="50">
        <v>40828</v>
      </c>
      <c r="H760" s="49">
        <v>10</v>
      </c>
      <c r="I760" s="49">
        <f t="shared" si="23"/>
        <v>1750.0000000000005</v>
      </c>
      <c r="J760" s="29">
        <f t="shared" si="22"/>
        <v>1125.0000000000002</v>
      </c>
      <c r="K760" s="13"/>
      <c r="L760" s="10"/>
    </row>
    <row r="761" spans="1:12">
      <c r="A761" s="13"/>
      <c r="B761" s="48"/>
      <c r="C761" s="13"/>
      <c r="D761" s="49">
        <v>10000</v>
      </c>
      <c r="E761" s="51">
        <v>7.0000000000000007E-2</v>
      </c>
      <c r="F761" s="42" t="s">
        <v>4036</v>
      </c>
      <c r="G761" s="50">
        <v>40896</v>
      </c>
      <c r="H761" s="49">
        <v>10</v>
      </c>
      <c r="I761" s="49">
        <f t="shared" si="23"/>
        <v>1750.0000000000005</v>
      </c>
      <c r="J761" s="29">
        <f t="shared" si="22"/>
        <v>1125.0000000000002</v>
      </c>
      <c r="K761" s="13"/>
      <c r="L761" s="10"/>
    </row>
    <row r="762" spans="1:12">
      <c r="A762" s="13"/>
      <c r="B762" s="48"/>
      <c r="C762" s="13"/>
      <c r="D762" s="49">
        <v>10000</v>
      </c>
      <c r="E762" s="51">
        <v>7.0000000000000007E-2</v>
      </c>
      <c r="F762" s="42" t="s">
        <v>4036</v>
      </c>
      <c r="G762" s="50">
        <v>40926</v>
      </c>
      <c r="H762" s="49">
        <v>10</v>
      </c>
      <c r="I762" s="49">
        <f t="shared" si="23"/>
        <v>1750.0000000000005</v>
      </c>
      <c r="J762" s="29">
        <f t="shared" si="22"/>
        <v>1125.0000000000002</v>
      </c>
      <c r="K762" s="13"/>
      <c r="L762" s="10"/>
    </row>
    <row r="763" spans="1:12">
      <c r="A763" s="13"/>
      <c r="B763" s="48"/>
      <c r="C763" s="13"/>
      <c r="D763" s="49">
        <v>10000</v>
      </c>
      <c r="E763" s="51">
        <v>7.0000000000000007E-2</v>
      </c>
      <c r="F763" s="42" t="s">
        <v>4036</v>
      </c>
      <c r="G763" s="50">
        <v>40997</v>
      </c>
      <c r="H763" s="49">
        <v>10</v>
      </c>
      <c r="I763" s="49">
        <f t="shared" si="23"/>
        <v>1750.0000000000005</v>
      </c>
      <c r="J763" s="29">
        <f t="shared" si="22"/>
        <v>1125.0000000000002</v>
      </c>
      <c r="K763" s="13"/>
      <c r="L763" s="10"/>
    </row>
    <row r="764" spans="1:12">
      <c r="A764" s="13"/>
      <c r="B764" s="48"/>
      <c r="C764" s="13"/>
      <c r="D764" s="49">
        <v>20000</v>
      </c>
      <c r="E764" s="51">
        <v>7.4999999999999997E-2</v>
      </c>
      <c r="F764" s="42">
        <v>15</v>
      </c>
      <c r="G764" s="50">
        <v>41006</v>
      </c>
      <c r="H764" s="49">
        <v>5</v>
      </c>
      <c r="I764" s="49">
        <f t="shared" si="23"/>
        <v>3750</v>
      </c>
      <c r="J764" s="29">
        <f t="shared" si="22"/>
        <v>2499.9999999999995</v>
      </c>
      <c r="K764" s="13"/>
      <c r="L764" s="10"/>
    </row>
    <row r="765" spans="1:12">
      <c r="A765" s="13"/>
      <c r="B765" s="48"/>
      <c r="C765" s="13"/>
      <c r="D765" s="49">
        <v>10000</v>
      </c>
      <c r="E765" s="51">
        <v>7.0000000000000007E-2</v>
      </c>
      <c r="F765" s="42" t="s">
        <v>4036</v>
      </c>
      <c r="G765" s="50">
        <v>41072</v>
      </c>
      <c r="H765" s="49">
        <v>10</v>
      </c>
      <c r="I765" s="49">
        <f t="shared" si="23"/>
        <v>1750.0000000000005</v>
      </c>
      <c r="J765" s="29">
        <f t="shared" si="22"/>
        <v>1125.0000000000002</v>
      </c>
      <c r="K765" s="13"/>
      <c r="L765" s="10"/>
    </row>
    <row r="766" spans="1:12">
      <c r="A766" s="13"/>
      <c r="B766" s="48"/>
      <c r="C766" s="13"/>
      <c r="D766" s="49">
        <v>10000</v>
      </c>
      <c r="E766" s="51">
        <v>7.4999999999999997E-2</v>
      </c>
      <c r="F766" s="42">
        <v>15</v>
      </c>
      <c r="G766" s="50">
        <v>41081</v>
      </c>
      <c r="H766" s="49">
        <v>1</v>
      </c>
      <c r="I766" s="49">
        <f t="shared" si="23"/>
        <v>375</v>
      </c>
      <c r="J766" s="29">
        <f t="shared" si="22"/>
        <v>249.99999999999997</v>
      </c>
      <c r="K766" s="13"/>
      <c r="L766" s="10"/>
    </row>
    <row r="767" spans="1:12">
      <c r="A767" s="13">
        <v>134</v>
      </c>
      <c r="B767" s="48">
        <v>3413</v>
      </c>
      <c r="C767" s="13" t="s">
        <v>2003</v>
      </c>
      <c r="D767" s="49">
        <v>20000</v>
      </c>
      <c r="E767" s="51">
        <v>7.4999999999999997E-2</v>
      </c>
      <c r="F767" s="42">
        <v>15</v>
      </c>
      <c r="G767" s="50">
        <v>40815</v>
      </c>
      <c r="H767" s="49">
        <v>10</v>
      </c>
      <c r="I767" s="49">
        <f t="shared" si="23"/>
        <v>7500</v>
      </c>
      <c r="J767" s="29">
        <f t="shared" si="22"/>
        <v>4999.9999999999991</v>
      </c>
      <c r="K767" s="13" t="s">
        <v>1425</v>
      </c>
      <c r="L767" s="10"/>
    </row>
    <row r="768" spans="1:12">
      <c r="A768" s="13"/>
      <c r="B768" s="48"/>
      <c r="C768" s="13"/>
      <c r="D768" s="49">
        <v>20000</v>
      </c>
      <c r="E768" s="51">
        <v>7.4999999999999997E-2</v>
      </c>
      <c r="F768" s="42">
        <v>15</v>
      </c>
      <c r="G768" s="50">
        <v>40886</v>
      </c>
      <c r="H768" s="49">
        <v>1</v>
      </c>
      <c r="I768" s="49">
        <f t="shared" si="23"/>
        <v>750</v>
      </c>
      <c r="J768" s="29">
        <f t="shared" si="22"/>
        <v>499.99999999999994</v>
      </c>
      <c r="K768" s="13"/>
      <c r="L768" s="10"/>
    </row>
    <row r="769" spans="1:12">
      <c r="A769" s="13"/>
      <c r="B769" s="48"/>
      <c r="C769" s="13"/>
      <c r="D769" s="49">
        <v>100000</v>
      </c>
      <c r="E769" s="51">
        <v>7.4999999999999997E-2</v>
      </c>
      <c r="F769" s="42">
        <v>15</v>
      </c>
      <c r="G769" s="50">
        <v>40901</v>
      </c>
      <c r="H769" s="49">
        <v>11</v>
      </c>
      <c r="I769" s="49">
        <f t="shared" si="23"/>
        <v>41250</v>
      </c>
      <c r="J769" s="29">
        <f t="shared" si="22"/>
        <v>27500</v>
      </c>
      <c r="K769" s="13"/>
      <c r="L769" s="10"/>
    </row>
    <row r="770" spans="1:12">
      <c r="A770" s="13"/>
      <c r="B770" s="48"/>
      <c r="C770" s="13"/>
      <c r="D770" s="49">
        <v>35000</v>
      </c>
      <c r="E770" s="51">
        <v>7.4999999999999997E-2</v>
      </c>
      <c r="F770" s="42">
        <v>15</v>
      </c>
      <c r="G770" s="50">
        <v>40965</v>
      </c>
      <c r="H770" s="49">
        <v>1</v>
      </c>
      <c r="I770" s="49">
        <f t="shared" si="23"/>
        <v>1312.5</v>
      </c>
      <c r="J770" s="29">
        <f t="shared" ref="J770:J833" si="24">IF(F770="分期",D770*(E770-0.025)*2.5*H770/10,D770*(E770-0.025)*F770/30*H770)</f>
        <v>874.99999999999989</v>
      </c>
      <c r="K770" s="13"/>
      <c r="L770" s="10"/>
    </row>
    <row r="771" spans="1:12">
      <c r="A771" s="13"/>
      <c r="B771" s="48"/>
      <c r="C771" s="13"/>
      <c r="D771" s="49">
        <v>70000</v>
      </c>
      <c r="E771" s="51">
        <v>7.4999999999999997E-2</v>
      </c>
      <c r="F771" s="42">
        <v>15</v>
      </c>
      <c r="G771" s="50">
        <v>40980</v>
      </c>
      <c r="H771" s="49">
        <v>6</v>
      </c>
      <c r="I771" s="49">
        <f t="shared" si="23"/>
        <v>15750</v>
      </c>
      <c r="J771" s="29">
        <f t="shared" si="24"/>
        <v>10499.999999999998</v>
      </c>
      <c r="K771" s="13"/>
      <c r="L771" s="10"/>
    </row>
    <row r="772" spans="1:12">
      <c r="A772" s="13">
        <v>135</v>
      </c>
      <c r="B772" s="48">
        <v>3415</v>
      </c>
      <c r="C772" s="13" t="s">
        <v>1391</v>
      </c>
      <c r="D772" s="49">
        <v>20000</v>
      </c>
      <c r="E772" s="51">
        <v>7.0000000000000007E-2</v>
      </c>
      <c r="F772" s="42" t="s">
        <v>4036</v>
      </c>
      <c r="G772" s="50">
        <v>40780</v>
      </c>
      <c r="H772" s="49">
        <v>10</v>
      </c>
      <c r="I772" s="49">
        <f t="shared" ref="I772:I835" si="25">IF(F772="分期",D772*E772*2.5*H772/10,D772*E772*F772*H772/30)</f>
        <v>3500.0000000000009</v>
      </c>
      <c r="J772" s="29">
        <f t="shared" si="24"/>
        <v>2250.0000000000005</v>
      </c>
      <c r="K772" s="13" t="s">
        <v>1426</v>
      </c>
      <c r="L772" s="10"/>
    </row>
    <row r="773" spans="1:12">
      <c r="A773" s="13"/>
      <c r="B773" s="48"/>
      <c r="C773" s="13"/>
      <c r="D773" s="49">
        <v>30000</v>
      </c>
      <c r="E773" s="51">
        <v>7.4999999999999997E-2</v>
      </c>
      <c r="F773" s="42">
        <v>15</v>
      </c>
      <c r="G773" s="50">
        <v>40818</v>
      </c>
      <c r="H773" s="49">
        <v>9</v>
      </c>
      <c r="I773" s="49">
        <f t="shared" si="25"/>
        <v>10125</v>
      </c>
      <c r="J773" s="29">
        <f t="shared" si="24"/>
        <v>6749.9999999999991</v>
      </c>
      <c r="K773" s="13"/>
      <c r="L773" s="10"/>
    </row>
    <row r="774" spans="1:12">
      <c r="A774" s="13"/>
      <c r="B774" s="48"/>
      <c r="C774" s="13"/>
      <c r="D774" s="49">
        <v>40000</v>
      </c>
      <c r="E774" s="51">
        <v>7.4999999999999997E-2</v>
      </c>
      <c r="F774" s="42">
        <v>15</v>
      </c>
      <c r="G774" s="50">
        <v>40967</v>
      </c>
      <c r="H774" s="49">
        <v>8</v>
      </c>
      <c r="I774" s="49">
        <f t="shared" si="25"/>
        <v>12000</v>
      </c>
      <c r="J774" s="29">
        <f t="shared" si="24"/>
        <v>7999.9999999999991</v>
      </c>
      <c r="K774" s="13"/>
      <c r="L774" s="10"/>
    </row>
    <row r="775" spans="1:12">
      <c r="A775" s="13"/>
      <c r="B775" s="48"/>
      <c r="C775" s="13"/>
      <c r="D775" s="49">
        <v>45000</v>
      </c>
      <c r="E775" s="51">
        <v>7.4999999999999997E-2</v>
      </c>
      <c r="F775" s="42">
        <v>15</v>
      </c>
      <c r="G775" s="50">
        <v>41087</v>
      </c>
      <c r="H775" s="49">
        <v>1</v>
      </c>
      <c r="I775" s="49">
        <f t="shared" si="25"/>
        <v>1687.5</v>
      </c>
      <c r="J775" s="29">
        <f t="shared" si="24"/>
        <v>1125</v>
      </c>
      <c r="K775" s="13"/>
      <c r="L775" s="10"/>
    </row>
    <row r="776" spans="1:12">
      <c r="A776" s="13"/>
      <c r="B776" s="48"/>
      <c r="C776" s="13"/>
      <c r="D776" s="49">
        <v>50000</v>
      </c>
      <c r="E776" s="51">
        <v>7.4999999999999997E-2</v>
      </c>
      <c r="F776" s="42">
        <v>15</v>
      </c>
      <c r="G776" s="50">
        <v>41101</v>
      </c>
      <c r="H776" s="62">
        <v>14</v>
      </c>
      <c r="I776" s="49">
        <f t="shared" si="25"/>
        <v>26250</v>
      </c>
      <c r="J776" s="29">
        <f t="shared" si="24"/>
        <v>17500</v>
      </c>
      <c r="K776" s="13"/>
      <c r="L776" s="10" t="s">
        <v>1508</v>
      </c>
    </row>
    <row r="777" spans="1:12">
      <c r="A777" s="13">
        <v>136</v>
      </c>
      <c r="B777" s="48">
        <v>3417</v>
      </c>
      <c r="C777" s="13" t="s">
        <v>1808</v>
      </c>
      <c r="D777" s="49">
        <v>5000</v>
      </c>
      <c r="E777" s="51">
        <v>7.0000000000000007E-2</v>
      </c>
      <c r="F777" s="42" t="s">
        <v>4036</v>
      </c>
      <c r="G777" s="50">
        <v>40787</v>
      </c>
      <c r="H777" s="49">
        <v>10</v>
      </c>
      <c r="I777" s="49">
        <f t="shared" si="25"/>
        <v>875.00000000000023</v>
      </c>
      <c r="J777" s="29">
        <f t="shared" si="24"/>
        <v>562.50000000000011</v>
      </c>
      <c r="K777" s="13" t="s">
        <v>1427</v>
      </c>
      <c r="L777" s="10"/>
    </row>
    <row r="778" spans="1:12">
      <c r="A778" s="13"/>
      <c r="B778" s="48"/>
      <c r="C778" s="13"/>
      <c r="D778" s="49">
        <v>5000</v>
      </c>
      <c r="E778" s="51">
        <v>7.4999999999999997E-2</v>
      </c>
      <c r="F778" s="42">
        <v>15</v>
      </c>
      <c r="G778" s="50">
        <v>40810</v>
      </c>
      <c r="H778" s="49">
        <v>2</v>
      </c>
      <c r="I778" s="49">
        <f t="shared" si="25"/>
        <v>375</v>
      </c>
      <c r="J778" s="29">
        <f t="shared" si="24"/>
        <v>249.99999999999997</v>
      </c>
      <c r="K778" s="13"/>
      <c r="L778" s="10"/>
    </row>
    <row r="779" spans="1:12">
      <c r="A779" s="13">
        <v>137</v>
      </c>
      <c r="B779" s="48">
        <v>3419</v>
      </c>
      <c r="C779" s="13" t="s">
        <v>1099</v>
      </c>
      <c r="D779" s="49">
        <v>60000</v>
      </c>
      <c r="E779" s="51">
        <v>7.4999999999999997E-2</v>
      </c>
      <c r="F779" s="42">
        <v>15</v>
      </c>
      <c r="G779" s="50">
        <v>40814</v>
      </c>
      <c r="H779" s="49">
        <v>1</v>
      </c>
      <c r="I779" s="49">
        <f t="shared" si="25"/>
        <v>2250</v>
      </c>
      <c r="J779" s="29">
        <f t="shared" si="24"/>
        <v>1499.9999999999998</v>
      </c>
      <c r="K779" s="13" t="s">
        <v>1428</v>
      </c>
      <c r="L779" s="10"/>
    </row>
    <row r="780" spans="1:12">
      <c r="A780" s="13"/>
      <c r="B780" s="48"/>
      <c r="C780" s="13"/>
      <c r="D780" s="49">
        <v>90000</v>
      </c>
      <c r="E780" s="51">
        <v>7.4999999999999997E-2</v>
      </c>
      <c r="F780" s="42">
        <v>15</v>
      </c>
      <c r="G780" s="50">
        <v>40829</v>
      </c>
      <c r="H780" s="49">
        <v>12</v>
      </c>
      <c r="I780" s="49">
        <f t="shared" si="25"/>
        <v>40500</v>
      </c>
      <c r="J780" s="29">
        <f t="shared" si="24"/>
        <v>27000</v>
      </c>
      <c r="K780" s="13"/>
      <c r="L780" s="10"/>
    </row>
    <row r="781" spans="1:12">
      <c r="A781" s="13"/>
      <c r="B781" s="48"/>
      <c r="C781" s="13"/>
      <c r="D781" s="49">
        <v>20000</v>
      </c>
      <c r="E781" s="51">
        <v>7.0000000000000007E-2</v>
      </c>
      <c r="F781" s="42" t="s">
        <v>4036</v>
      </c>
      <c r="G781" s="50">
        <v>40842</v>
      </c>
      <c r="H781" s="49">
        <v>10</v>
      </c>
      <c r="I781" s="49">
        <f t="shared" si="25"/>
        <v>3500.0000000000009</v>
      </c>
      <c r="J781" s="29">
        <f t="shared" si="24"/>
        <v>2250.0000000000005</v>
      </c>
      <c r="K781" s="13"/>
      <c r="L781" s="10"/>
    </row>
    <row r="782" spans="1:12">
      <c r="A782" s="13"/>
      <c r="B782" s="48"/>
      <c r="C782" s="13"/>
      <c r="D782" s="49">
        <v>20000</v>
      </c>
      <c r="E782" s="51">
        <v>7.0000000000000007E-2</v>
      </c>
      <c r="F782" s="42" t="s">
        <v>4036</v>
      </c>
      <c r="G782" s="50">
        <v>40905</v>
      </c>
      <c r="H782" s="49">
        <v>10</v>
      </c>
      <c r="I782" s="49">
        <f t="shared" si="25"/>
        <v>3500.0000000000009</v>
      </c>
      <c r="J782" s="29">
        <f t="shared" si="24"/>
        <v>2250.0000000000005</v>
      </c>
      <c r="K782" s="13"/>
      <c r="L782" s="10"/>
    </row>
    <row r="783" spans="1:12">
      <c r="A783" s="13"/>
      <c r="B783" s="48"/>
      <c r="C783" s="13"/>
      <c r="D783" s="49">
        <v>20000</v>
      </c>
      <c r="E783" s="51">
        <v>7.0000000000000007E-2</v>
      </c>
      <c r="F783" s="42" t="s">
        <v>4036</v>
      </c>
      <c r="G783" s="50">
        <v>40959</v>
      </c>
      <c r="H783" s="49">
        <v>10</v>
      </c>
      <c r="I783" s="49">
        <f t="shared" si="25"/>
        <v>3500.0000000000009</v>
      </c>
      <c r="J783" s="29">
        <f t="shared" si="24"/>
        <v>2250.0000000000005</v>
      </c>
      <c r="K783" s="13"/>
      <c r="L783" s="10"/>
    </row>
    <row r="784" spans="1:12">
      <c r="A784" s="13"/>
      <c r="B784" s="48"/>
      <c r="C784" s="13"/>
      <c r="D784" s="49">
        <v>110000</v>
      </c>
      <c r="E784" s="51">
        <v>7.4999999999999997E-2</v>
      </c>
      <c r="F784" s="42">
        <v>15</v>
      </c>
      <c r="G784" s="50">
        <v>41005</v>
      </c>
      <c r="H784" s="49">
        <v>2</v>
      </c>
      <c r="I784" s="49">
        <f t="shared" si="25"/>
        <v>8250</v>
      </c>
      <c r="J784" s="29">
        <f t="shared" si="24"/>
        <v>5499.9999999999991</v>
      </c>
      <c r="K784" s="13"/>
      <c r="L784" s="10"/>
    </row>
    <row r="785" spans="1:12">
      <c r="A785" s="13"/>
      <c r="B785" s="48"/>
      <c r="C785" s="13"/>
      <c r="D785" s="49">
        <v>20000</v>
      </c>
      <c r="E785" s="51">
        <v>7.0000000000000007E-2</v>
      </c>
      <c r="F785" s="42" t="s">
        <v>4036</v>
      </c>
      <c r="G785" s="50">
        <v>41015</v>
      </c>
      <c r="H785" s="49">
        <v>10</v>
      </c>
      <c r="I785" s="49">
        <f t="shared" si="25"/>
        <v>3500.0000000000009</v>
      </c>
      <c r="J785" s="29">
        <f t="shared" si="24"/>
        <v>2250.0000000000005</v>
      </c>
      <c r="K785" s="13"/>
      <c r="L785" s="10"/>
    </row>
    <row r="786" spans="1:12">
      <c r="A786" s="13"/>
      <c r="B786" s="48"/>
      <c r="C786" s="13"/>
      <c r="D786" s="49">
        <v>10000</v>
      </c>
      <c r="E786" s="51">
        <v>7.0000000000000007E-2</v>
      </c>
      <c r="F786" s="42" t="s">
        <v>4036</v>
      </c>
      <c r="G786" s="50">
        <v>41200</v>
      </c>
      <c r="H786" s="49">
        <v>10</v>
      </c>
      <c r="I786" s="49">
        <f t="shared" si="25"/>
        <v>1750.0000000000005</v>
      </c>
      <c r="J786" s="29">
        <f t="shared" si="24"/>
        <v>1125.0000000000002</v>
      </c>
      <c r="K786" s="13"/>
      <c r="L786" s="10"/>
    </row>
    <row r="787" spans="1:12">
      <c r="A787" s="13"/>
      <c r="B787" s="48"/>
      <c r="C787" s="13"/>
      <c r="D787" s="49">
        <v>20000</v>
      </c>
      <c r="E787" s="51">
        <v>7.4999999999999997E-2</v>
      </c>
      <c r="F787" s="42">
        <v>15</v>
      </c>
      <c r="G787" s="50">
        <v>41208</v>
      </c>
      <c r="H787" s="49">
        <v>6</v>
      </c>
      <c r="I787" s="49">
        <f t="shared" si="25"/>
        <v>4500</v>
      </c>
      <c r="J787" s="29">
        <f t="shared" si="24"/>
        <v>2999.9999999999995</v>
      </c>
      <c r="K787" s="13"/>
      <c r="L787" s="10"/>
    </row>
    <row r="788" spans="1:12">
      <c r="A788" s="13"/>
      <c r="B788" s="48"/>
      <c r="C788" s="13"/>
      <c r="D788" s="49">
        <v>10000</v>
      </c>
      <c r="E788" s="51">
        <v>7.4999999999999997E-2</v>
      </c>
      <c r="F788" s="42">
        <v>15</v>
      </c>
      <c r="G788" s="50">
        <v>41248</v>
      </c>
      <c r="H788" s="49">
        <v>4</v>
      </c>
      <c r="I788" s="49">
        <f t="shared" si="25"/>
        <v>1500</v>
      </c>
      <c r="J788" s="29">
        <f t="shared" si="24"/>
        <v>999.99999999999989</v>
      </c>
      <c r="K788" s="13"/>
      <c r="L788" s="10"/>
    </row>
    <row r="789" spans="1:12">
      <c r="A789" s="13"/>
      <c r="B789" s="48"/>
      <c r="C789" s="13"/>
      <c r="D789" s="49">
        <v>10000</v>
      </c>
      <c r="E789" s="51">
        <v>7.0000000000000007E-2</v>
      </c>
      <c r="F789" s="42" t="s">
        <v>4036</v>
      </c>
      <c r="G789" s="50">
        <v>41256</v>
      </c>
      <c r="H789" s="49">
        <v>6</v>
      </c>
      <c r="I789" s="49">
        <f t="shared" si="25"/>
        <v>1050.0000000000002</v>
      </c>
      <c r="J789" s="29">
        <f t="shared" si="24"/>
        <v>675.00000000000023</v>
      </c>
      <c r="K789" s="13"/>
      <c r="L789" s="10"/>
    </row>
    <row r="790" spans="1:12">
      <c r="A790" s="13">
        <v>138</v>
      </c>
      <c r="B790" s="48">
        <v>3421</v>
      </c>
      <c r="C790" s="13" t="s">
        <v>1062</v>
      </c>
      <c r="D790" s="49">
        <v>120000</v>
      </c>
      <c r="E790" s="51">
        <v>0.05</v>
      </c>
      <c r="F790" s="42">
        <v>15</v>
      </c>
      <c r="G790" s="50">
        <v>40819</v>
      </c>
      <c r="H790" s="49">
        <v>33</v>
      </c>
      <c r="I790" s="49">
        <f t="shared" si="25"/>
        <v>99000</v>
      </c>
      <c r="J790" s="29">
        <f t="shared" si="24"/>
        <v>49500</v>
      </c>
      <c r="K790" s="13" t="s">
        <v>1429</v>
      </c>
      <c r="L790" s="10"/>
    </row>
    <row r="791" spans="1:12">
      <c r="A791" s="13">
        <v>139</v>
      </c>
      <c r="B791" s="48">
        <v>3423</v>
      </c>
      <c r="C791" s="13" t="s">
        <v>3844</v>
      </c>
      <c r="D791" s="49">
        <v>10000</v>
      </c>
      <c r="E791" s="51">
        <v>7.0000000000000007E-2</v>
      </c>
      <c r="F791" s="42" t="s">
        <v>4036</v>
      </c>
      <c r="G791" s="50">
        <v>40805</v>
      </c>
      <c r="H791" s="49">
        <v>10</v>
      </c>
      <c r="I791" s="49">
        <f t="shared" si="25"/>
        <v>1750.0000000000005</v>
      </c>
      <c r="J791" s="29">
        <f t="shared" si="24"/>
        <v>1125.0000000000002</v>
      </c>
      <c r="K791" s="13" t="s">
        <v>1430</v>
      </c>
      <c r="L791" s="10"/>
    </row>
    <row r="792" spans="1:12">
      <c r="A792" s="13"/>
      <c r="B792" s="48"/>
      <c r="C792" s="13"/>
      <c r="D792" s="49">
        <v>10000</v>
      </c>
      <c r="E792" s="51">
        <v>7.4999999999999997E-2</v>
      </c>
      <c r="F792" s="42">
        <v>15</v>
      </c>
      <c r="G792" s="50">
        <v>40812</v>
      </c>
      <c r="H792" s="49">
        <v>17</v>
      </c>
      <c r="I792" s="49">
        <f t="shared" si="25"/>
        <v>6375</v>
      </c>
      <c r="J792" s="29">
        <f t="shared" si="24"/>
        <v>4249.9999999999991</v>
      </c>
      <c r="K792" s="13"/>
      <c r="L792" s="10"/>
    </row>
    <row r="793" spans="1:12">
      <c r="A793" s="13"/>
      <c r="B793" s="48"/>
      <c r="C793" s="13"/>
      <c r="D793" s="49">
        <v>10000</v>
      </c>
      <c r="E793" s="51">
        <v>7.0000000000000007E-2</v>
      </c>
      <c r="F793" s="42" t="s">
        <v>4036</v>
      </c>
      <c r="G793" s="50">
        <v>40854</v>
      </c>
      <c r="H793" s="49">
        <v>10</v>
      </c>
      <c r="I793" s="49">
        <f t="shared" si="25"/>
        <v>1750.0000000000005</v>
      </c>
      <c r="J793" s="29">
        <f t="shared" si="24"/>
        <v>1125.0000000000002</v>
      </c>
      <c r="K793" s="13"/>
      <c r="L793" s="10"/>
    </row>
    <row r="794" spans="1:12">
      <c r="A794" s="13"/>
      <c r="B794" s="48"/>
      <c r="C794" s="13"/>
      <c r="D794" s="49">
        <v>10000</v>
      </c>
      <c r="E794" s="51">
        <v>7.0000000000000007E-2</v>
      </c>
      <c r="F794" s="42" t="s">
        <v>4036</v>
      </c>
      <c r="G794" s="50">
        <v>40898</v>
      </c>
      <c r="H794" s="49">
        <v>10</v>
      </c>
      <c r="I794" s="49">
        <f t="shared" si="25"/>
        <v>1750.0000000000005</v>
      </c>
      <c r="J794" s="29">
        <f t="shared" si="24"/>
        <v>1125.0000000000002</v>
      </c>
      <c r="K794" s="13"/>
      <c r="L794" s="10"/>
    </row>
    <row r="795" spans="1:12">
      <c r="A795" s="13"/>
      <c r="B795" s="48"/>
      <c r="C795" s="13"/>
      <c r="D795" s="49">
        <v>10000</v>
      </c>
      <c r="E795" s="51">
        <v>7.0000000000000007E-2</v>
      </c>
      <c r="F795" s="42" t="s">
        <v>4036</v>
      </c>
      <c r="G795" s="50">
        <v>40967</v>
      </c>
      <c r="H795" s="49">
        <v>10</v>
      </c>
      <c r="I795" s="49">
        <f t="shared" si="25"/>
        <v>1750.0000000000005</v>
      </c>
      <c r="J795" s="29">
        <f t="shared" si="24"/>
        <v>1125.0000000000002</v>
      </c>
      <c r="K795" s="13"/>
      <c r="L795" s="10"/>
    </row>
    <row r="796" spans="1:12">
      <c r="A796" s="13"/>
      <c r="B796" s="48"/>
      <c r="C796" s="13"/>
      <c r="D796" s="49">
        <v>10000</v>
      </c>
      <c r="E796" s="51">
        <v>7.0000000000000007E-2</v>
      </c>
      <c r="F796" s="42" t="s">
        <v>4036</v>
      </c>
      <c r="G796" s="50">
        <v>41010</v>
      </c>
      <c r="H796" s="49">
        <v>10</v>
      </c>
      <c r="I796" s="49">
        <f t="shared" si="25"/>
        <v>1750.0000000000005</v>
      </c>
      <c r="J796" s="29">
        <f t="shared" si="24"/>
        <v>1125.0000000000002</v>
      </c>
      <c r="K796" s="13"/>
      <c r="L796" s="10"/>
    </row>
    <row r="797" spans="1:12">
      <c r="A797" s="13"/>
      <c r="B797" s="48"/>
      <c r="C797" s="13"/>
      <c r="D797" s="49">
        <v>10000</v>
      </c>
      <c r="E797" s="51">
        <v>7.0000000000000007E-2</v>
      </c>
      <c r="F797" s="42" t="s">
        <v>4036</v>
      </c>
      <c r="G797" s="50">
        <v>41054</v>
      </c>
      <c r="H797" s="49">
        <v>10</v>
      </c>
      <c r="I797" s="49">
        <f t="shared" si="25"/>
        <v>1750.0000000000005</v>
      </c>
      <c r="J797" s="29">
        <f t="shared" si="24"/>
        <v>1125.0000000000002</v>
      </c>
      <c r="K797" s="13"/>
      <c r="L797" s="10"/>
    </row>
    <row r="798" spans="1:12">
      <c r="A798" s="13"/>
      <c r="B798" s="48"/>
      <c r="C798" s="13"/>
      <c r="D798" s="49">
        <v>30000</v>
      </c>
      <c r="E798" s="51">
        <v>7.4999999999999997E-2</v>
      </c>
      <c r="F798" s="42">
        <v>15</v>
      </c>
      <c r="G798" s="50">
        <v>41067</v>
      </c>
      <c r="H798" s="49">
        <v>16</v>
      </c>
      <c r="I798" s="49">
        <f t="shared" si="25"/>
        <v>18000</v>
      </c>
      <c r="J798" s="29">
        <f t="shared" si="24"/>
        <v>11999.999999999998</v>
      </c>
      <c r="K798" s="13"/>
      <c r="L798" s="10"/>
    </row>
    <row r="799" spans="1:12">
      <c r="A799" s="13"/>
      <c r="B799" s="48"/>
      <c r="C799" s="13"/>
      <c r="D799" s="49">
        <v>10000</v>
      </c>
      <c r="E799" s="51">
        <v>7.0000000000000007E-2</v>
      </c>
      <c r="F799" s="42" t="s">
        <v>4036</v>
      </c>
      <c r="G799" s="50">
        <v>41103</v>
      </c>
      <c r="H799" s="49">
        <v>10</v>
      </c>
      <c r="I799" s="49">
        <f t="shared" si="25"/>
        <v>1750.0000000000005</v>
      </c>
      <c r="J799" s="29">
        <f t="shared" si="24"/>
        <v>1125.0000000000002</v>
      </c>
      <c r="K799" s="13"/>
      <c r="L799" s="10"/>
    </row>
    <row r="800" spans="1:12">
      <c r="A800" s="13"/>
      <c r="B800" s="48"/>
      <c r="C800" s="13"/>
      <c r="D800" s="49">
        <v>10000</v>
      </c>
      <c r="E800" s="51">
        <v>7.0000000000000007E-2</v>
      </c>
      <c r="F800" s="42" t="s">
        <v>4036</v>
      </c>
      <c r="G800" s="50">
        <v>41150</v>
      </c>
      <c r="H800" s="49">
        <v>10</v>
      </c>
      <c r="I800" s="49">
        <f t="shared" si="25"/>
        <v>1750.0000000000005</v>
      </c>
      <c r="J800" s="29">
        <f t="shared" si="24"/>
        <v>1125.0000000000002</v>
      </c>
      <c r="K800" s="13"/>
      <c r="L800" s="10"/>
    </row>
    <row r="801" spans="1:12">
      <c r="A801" s="13"/>
      <c r="B801" s="48"/>
      <c r="C801" s="13"/>
      <c r="D801" s="49">
        <v>10000</v>
      </c>
      <c r="E801" s="51">
        <v>7.0000000000000007E-2</v>
      </c>
      <c r="F801" s="42" t="s">
        <v>4036</v>
      </c>
      <c r="G801" s="50">
        <v>41190</v>
      </c>
      <c r="H801" s="49">
        <v>10</v>
      </c>
      <c r="I801" s="49">
        <f t="shared" si="25"/>
        <v>1750.0000000000005</v>
      </c>
      <c r="J801" s="29">
        <f t="shared" si="24"/>
        <v>1125.0000000000002</v>
      </c>
      <c r="K801" s="13"/>
      <c r="L801" s="10"/>
    </row>
    <row r="802" spans="1:12">
      <c r="A802" s="13"/>
      <c r="B802" s="48"/>
      <c r="C802" s="13"/>
      <c r="D802" s="49">
        <v>10000</v>
      </c>
      <c r="E802" s="51">
        <v>7.0000000000000007E-2</v>
      </c>
      <c r="F802" s="42" t="s">
        <v>4036</v>
      </c>
      <c r="G802" s="50">
        <v>41239</v>
      </c>
      <c r="H802" s="49">
        <v>10</v>
      </c>
      <c r="I802" s="49">
        <f t="shared" si="25"/>
        <v>1750.0000000000005</v>
      </c>
      <c r="J802" s="29">
        <f t="shared" si="24"/>
        <v>1125.0000000000002</v>
      </c>
      <c r="K802" s="13"/>
      <c r="L802" s="10"/>
    </row>
    <row r="803" spans="1:12">
      <c r="A803" s="13"/>
      <c r="B803" s="48"/>
      <c r="C803" s="13"/>
      <c r="D803" s="49">
        <v>10000</v>
      </c>
      <c r="E803" s="51">
        <v>7.0000000000000007E-2</v>
      </c>
      <c r="F803" s="42" t="s">
        <v>4036</v>
      </c>
      <c r="G803" s="50">
        <v>41285</v>
      </c>
      <c r="H803" s="49">
        <v>2</v>
      </c>
      <c r="I803" s="49">
        <f t="shared" si="25"/>
        <v>350.00000000000006</v>
      </c>
      <c r="J803" s="29">
        <f t="shared" si="24"/>
        <v>225.00000000000006</v>
      </c>
      <c r="K803" s="13"/>
      <c r="L803" s="10"/>
    </row>
    <row r="804" spans="1:12">
      <c r="A804" s="13">
        <v>140</v>
      </c>
      <c r="B804" s="48">
        <v>3425</v>
      </c>
      <c r="C804" s="13" t="s">
        <v>3490</v>
      </c>
      <c r="D804" s="49">
        <v>20000</v>
      </c>
      <c r="E804" s="51">
        <v>7.4999999999999997E-2</v>
      </c>
      <c r="F804" s="42">
        <v>15</v>
      </c>
      <c r="G804" s="50">
        <v>40789</v>
      </c>
      <c r="H804" s="49">
        <v>4</v>
      </c>
      <c r="I804" s="49">
        <f t="shared" si="25"/>
        <v>3000</v>
      </c>
      <c r="J804" s="29">
        <f t="shared" si="24"/>
        <v>1999.9999999999998</v>
      </c>
      <c r="K804" s="13" t="s">
        <v>1431</v>
      </c>
      <c r="L804" s="10"/>
    </row>
    <row r="805" spans="1:12">
      <c r="A805" s="13">
        <v>141</v>
      </c>
      <c r="B805" s="48">
        <v>3427</v>
      </c>
      <c r="C805" s="13" t="s">
        <v>1461</v>
      </c>
      <c r="D805" s="49">
        <v>120000</v>
      </c>
      <c r="E805" s="51">
        <v>7.4999999999999997E-2</v>
      </c>
      <c r="F805" s="42">
        <v>15</v>
      </c>
      <c r="G805" s="50">
        <v>40826</v>
      </c>
      <c r="H805" s="49">
        <v>10</v>
      </c>
      <c r="I805" s="49">
        <f t="shared" si="25"/>
        <v>45000</v>
      </c>
      <c r="J805" s="29">
        <f t="shared" si="24"/>
        <v>29999.999999999996</v>
      </c>
      <c r="K805" s="13" t="s">
        <v>1432</v>
      </c>
      <c r="L805" s="10"/>
    </row>
    <row r="806" spans="1:12">
      <c r="A806" s="13">
        <v>142</v>
      </c>
      <c r="B806" s="48">
        <v>3429</v>
      </c>
      <c r="C806" s="13" t="s">
        <v>1835</v>
      </c>
      <c r="D806" s="49">
        <v>20000</v>
      </c>
      <c r="E806" s="51">
        <v>7.0000000000000007E-2</v>
      </c>
      <c r="F806" s="42" t="s">
        <v>4036</v>
      </c>
      <c r="G806" s="50">
        <v>40833</v>
      </c>
      <c r="H806" s="49">
        <v>10</v>
      </c>
      <c r="I806" s="49">
        <f t="shared" si="25"/>
        <v>3500.0000000000009</v>
      </c>
      <c r="J806" s="29">
        <f t="shared" si="24"/>
        <v>2250.0000000000005</v>
      </c>
      <c r="K806" s="13" t="s">
        <v>1433</v>
      </c>
      <c r="L806" s="10"/>
    </row>
    <row r="807" spans="1:12">
      <c r="A807" s="13"/>
      <c r="B807" s="48"/>
      <c r="C807" s="13"/>
      <c r="D807" s="49">
        <v>20000</v>
      </c>
      <c r="E807" s="51">
        <v>7.0000000000000007E-2</v>
      </c>
      <c r="F807" s="42" t="s">
        <v>4036</v>
      </c>
      <c r="G807" s="50">
        <v>40882</v>
      </c>
      <c r="H807" s="49">
        <v>10</v>
      </c>
      <c r="I807" s="49">
        <f t="shared" si="25"/>
        <v>3500.0000000000009</v>
      </c>
      <c r="J807" s="29">
        <f t="shared" si="24"/>
        <v>2250.0000000000005</v>
      </c>
      <c r="K807" s="13"/>
      <c r="L807" s="10"/>
    </row>
    <row r="808" spans="1:12">
      <c r="A808" s="13">
        <v>143</v>
      </c>
      <c r="B808" s="48">
        <v>3431</v>
      </c>
      <c r="C808" s="13" t="s">
        <v>3834</v>
      </c>
      <c r="D808" s="49">
        <v>20000</v>
      </c>
      <c r="E808" s="51">
        <v>7.0000000000000007E-2</v>
      </c>
      <c r="F808" s="42" t="s">
        <v>4036</v>
      </c>
      <c r="G808" s="50">
        <v>41207</v>
      </c>
      <c r="H808" s="49">
        <v>10</v>
      </c>
      <c r="I808" s="49">
        <f t="shared" si="25"/>
        <v>3500.0000000000009</v>
      </c>
      <c r="J808" s="29">
        <f t="shared" si="24"/>
        <v>2250.0000000000005</v>
      </c>
      <c r="K808" s="13" t="s">
        <v>1434</v>
      </c>
      <c r="L808" s="10"/>
    </row>
    <row r="809" spans="1:12">
      <c r="A809" s="13">
        <v>144</v>
      </c>
      <c r="B809" s="48">
        <v>3433</v>
      </c>
      <c r="C809" s="13" t="s">
        <v>1157</v>
      </c>
      <c r="D809" s="49">
        <v>150000</v>
      </c>
      <c r="E809" s="51">
        <v>0.05</v>
      </c>
      <c r="F809" s="42">
        <v>15</v>
      </c>
      <c r="G809" s="50">
        <v>40857</v>
      </c>
      <c r="H809" s="49">
        <v>28</v>
      </c>
      <c r="I809" s="49">
        <f t="shared" si="25"/>
        <v>105000</v>
      </c>
      <c r="J809" s="29">
        <f t="shared" si="24"/>
        <v>52500</v>
      </c>
      <c r="K809" s="13" t="s">
        <v>1435</v>
      </c>
      <c r="L809" s="10"/>
    </row>
    <row r="810" spans="1:12">
      <c r="A810" s="13"/>
      <c r="B810" s="48"/>
      <c r="C810" s="13"/>
      <c r="D810" s="49">
        <v>120000</v>
      </c>
      <c r="E810" s="51">
        <v>0.05</v>
      </c>
      <c r="F810" s="42">
        <v>15</v>
      </c>
      <c r="G810" s="50">
        <v>41032</v>
      </c>
      <c r="H810" s="49">
        <v>19</v>
      </c>
      <c r="I810" s="49">
        <f t="shared" si="25"/>
        <v>57000</v>
      </c>
      <c r="J810" s="29">
        <f t="shared" si="24"/>
        <v>28500</v>
      </c>
      <c r="K810" s="13"/>
      <c r="L810" s="10"/>
    </row>
    <row r="811" spans="1:12">
      <c r="A811" s="13">
        <v>145</v>
      </c>
      <c r="B811" s="48">
        <v>3435</v>
      </c>
      <c r="C811" s="13" t="s">
        <v>1403</v>
      </c>
      <c r="D811" s="49">
        <v>20000</v>
      </c>
      <c r="E811" s="51">
        <v>7.4999999999999997E-2</v>
      </c>
      <c r="F811" s="42">
        <v>30</v>
      </c>
      <c r="G811" s="50">
        <v>40870</v>
      </c>
      <c r="H811" s="49">
        <v>18</v>
      </c>
      <c r="I811" s="49">
        <f t="shared" si="25"/>
        <v>27000</v>
      </c>
      <c r="J811" s="29">
        <f t="shared" si="24"/>
        <v>17999.999999999996</v>
      </c>
      <c r="K811" s="13" t="s">
        <v>1436</v>
      </c>
      <c r="L811" s="10"/>
    </row>
    <row r="812" spans="1:12">
      <c r="A812" s="13">
        <v>146</v>
      </c>
      <c r="B812" s="48">
        <v>3437</v>
      </c>
      <c r="C812" s="13" t="s">
        <v>1049</v>
      </c>
      <c r="D812" s="49">
        <v>10000</v>
      </c>
      <c r="E812" s="51">
        <v>7.0000000000000007E-2</v>
      </c>
      <c r="F812" s="42" t="s">
        <v>4036</v>
      </c>
      <c r="G812" s="50">
        <v>40882</v>
      </c>
      <c r="H812" s="49">
        <v>10</v>
      </c>
      <c r="I812" s="49">
        <f t="shared" si="25"/>
        <v>1750.0000000000005</v>
      </c>
      <c r="J812" s="29">
        <f t="shared" si="24"/>
        <v>1125.0000000000002</v>
      </c>
      <c r="K812" s="13" t="s">
        <v>1437</v>
      </c>
      <c r="L812" s="10"/>
    </row>
    <row r="813" spans="1:12">
      <c r="A813" s="13"/>
      <c r="B813" s="48"/>
      <c r="C813" s="13"/>
      <c r="D813" s="49">
        <v>30000</v>
      </c>
      <c r="E813" s="51">
        <v>7.4999999999999997E-2</v>
      </c>
      <c r="F813" s="42">
        <v>15</v>
      </c>
      <c r="G813" s="50">
        <v>40890</v>
      </c>
      <c r="H813" s="49">
        <v>14</v>
      </c>
      <c r="I813" s="49">
        <f t="shared" si="25"/>
        <v>15750</v>
      </c>
      <c r="J813" s="29">
        <f t="shared" si="24"/>
        <v>10499.999999999998</v>
      </c>
      <c r="K813" s="13"/>
      <c r="L813" s="10"/>
    </row>
    <row r="814" spans="1:12">
      <c r="A814" s="13"/>
      <c r="B814" s="48"/>
      <c r="C814" s="13"/>
      <c r="D814" s="49">
        <v>10000</v>
      </c>
      <c r="E814" s="51">
        <v>7.0000000000000007E-2</v>
      </c>
      <c r="F814" s="42" t="s">
        <v>4036</v>
      </c>
      <c r="G814" s="50">
        <v>40931</v>
      </c>
      <c r="H814" s="49">
        <v>10</v>
      </c>
      <c r="I814" s="49">
        <f t="shared" si="25"/>
        <v>1750.0000000000005</v>
      </c>
      <c r="J814" s="29">
        <f t="shared" si="24"/>
        <v>1125.0000000000002</v>
      </c>
      <c r="K814" s="13"/>
      <c r="L814" s="10"/>
    </row>
    <row r="815" spans="1:12">
      <c r="A815" s="13"/>
      <c r="B815" s="48"/>
      <c r="C815" s="13"/>
      <c r="D815" s="49">
        <v>10000</v>
      </c>
      <c r="E815" s="51">
        <v>7.0000000000000007E-2</v>
      </c>
      <c r="F815" s="42" t="s">
        <v>4036</v>
      </c>
      <c r="G815" s="50">
        <v>41001</v>
      </c>
      <c r="H815" s="49">
        <v>10</v>
      </c>
      <c r="I815" s="49">
        <f t="shared" si="25"/>
        <v>1750.0000000000005</v>
      </c>
      <c r="J815" s="29">
        <f t="shared" si="24"/>
        <v>1125.0000000000002</v>
      </c>
      <c r="K815" s="13"/>
      <c r="L815" s="10"/>
    </row>
    <row r="816" spans="1:12">
      <c r="A816" s="13"/>
      <c r="B816" s="48"/>
      <c r="C816" s="13"/>
      <c r="D816" s="49">
        <v>10000</v>
      </c>
      <c r="E816" s="51">
        <v>7.0000000000000007E-2</v>
      </c>
      <c r="F816" s="42" t="s">
        <v>4036</v>
      </c>
      <c r="G816" s="50">
        <v>41061</v>
      </c>
      <c r="H816" s="49">
        <v>10</v>
      </c>
      <c r="I816" s="49">
        <f t="shared" si="25"/>
        <v>1750.0000000000005</v>
      </c>
      <c r="J816" s="29">
        <f t="shared" si="24"/>
        <v>1125.0000000000002</v>
      </c>
      <c r="K816" s="13"/>
      <c r="L816" s="10"/>
    </row>
    <row r="817" spans="1:12">
      <c r="A817" s="13"/>
      <c r="B817" s="48"/>
      <c r="C817" s="13"/>
      <c r="D817" s="49">
        <v>20000</v>
      </c>
      <c r="E817" s="51">
        <v>7.4999999999999997E-2</v>
      </c>
      <c r="F817" s="42">
        <v>15</v>
      </c>
      <c r="G817" s="50">
        <v>41100</v>
      </c>
      <c r="H817" s="49">
        <v>1</v>
      </c>
      <c r="I817" s="49">
        <f t="shared" si="25"/>
        <v>750</v>
      </c>
      <c r="J817" s="29">
        <f t="shared" si="24"/>
        <v>499.99999999999994</v>
      </c>
      <c r="K817" s="13"/>
      <c r="L817" s="10"/>
    </row>
    <row r="818" spans="1:12">
      <c r="A818" s="13"/>
      <c r="B818" s="48"/>
      <c r="C818" s="13"/>
      <c r="D818" s="49">
        <v>10000</v>
      </c>
      <c r="E818" s="51">
        <v>7.0000000000000007E-2</v>
      </c>
      <c r="F818" s="42" t="s">
        <v>4036</v>
      </c>
      <c r="G818" s="50">
        <v>41113</v>
      </c>
      <c r="H818" s="49">
        <v>10</v>
      </c>
      <c r="I818" s="49">
        <f t="shared" si="25"/>
        <v>1750.0000000000005</v>
      </c>
      <c r="J818" s="29">
        <f t="shared" si="24"/>
        <v>1125.0000000000002</v>
      </c>
      <c r="K818" s="13"/>
      <c r="L818" s="10"/>
    </row>
    <row r="819" spans="1:12">
      <c r="A819" s="13"/>
      <c r="B819" s="48"/>
      <c r="C819" s="13"/>
      <c r="D819" s="49">
        <v>10000</v>
      </c>
      <c r="E819" s="51">
        <v>7.4999999999999997E-2</v>
      </c>
      <c r="F819" s="42">
        <v>15</v>
      </c>
      <c r="G819" s="50">
        <v>41115</v>
      </c>
      <c r="H819" s="49">
        <v>1</v>
      </c>
      <c r="I819" s="49">
        <f t="shared" si="25"/>
        <v>375</v>
      </c>
      <c r="J819" s="29">
        <f t="shared" si="24"/>
        <v>249.99999999999997</v>
      </c>
      <c r="K819" s="13"/>
      <c r="L819" s="10"/>
    </row>
    <row r="820" spans="1:12">
      <c r="A820" s="13"/>
      <c r="B820" s="48"/>
      <c r="C820" s="13"/>
      <c r="D820" s="49">
        <v>10000</v>
      </c>
      <c r="E820" s="51">
        <v>7.0000000000000007E-2</v>
      </c>
      <c r="F820" s="42" t="s">
        <v>4036</v>
      </c>
      <c r="G820" s="50">
        <v>41183</v>
      </c>
      <c r="H820" s="49">
        <v>10</v>
      </c>
      <c r="I820" s="49">
        <f t="shared" si="25"/>
        <v>1750.0000000000005</v>
      </c>
      <c r="J820" s="29">
        <f t="shared" si="24"/>
        <v>1125.0000000000002</v>
      </c>
      <c r="K820" s="13"/>
      <c r="L820" s="10"/>
    </row>
    <row r="821" spans="1:12">
      <c r="A821" s="13"/>
      <c r="B821" s="48"/>
      <c r="C821" s="13"/>
      <c r="D821" s="49">
        <v>20000</v>
      </c>
      <c r="E821" s="51">
        <v>7.4999999999999997E-2</v>
      </c>
      <c r="F821" s="42">
        <v>15</v>
      </c>
      <c r="G821" s="50">
        <v>41195</v>
      </c>
      <c r="H821" s="49">
        <v>7</v>
      </c>
      <c r="I821" s="49">
        <f t="shared" si="25"/>
        <v>5250</v>
      </c>
      <c r="J821" s="29">
        <f t="shared" si="24"/>
        <v>3499.9999999999995</v>
      </c>
      <c r="K821" s="13"/>
      <c r="L821" s="10"/>
    </row>
    <row r="822" spans="1:12">
      <c r="A822" s="13"/>
      <c r="B822" s="48"/>
      <c r="C822" s="13"/>
      <c r="D822" s="49">
        <v>10000</v>
      </c>
      <c r="E822" s="51">
        <v>7.0000000000000007E-2</v>
      </c>
      <c r="F822" s="42" t="s">
        <v>4036</v>
      </c>
      <c r="G822" s="50">
        <v>41240</v>
      </c>
      <c r="H822" s="49">
        <v>9</v>
      </c>
      <c r="I822" s="49">
        <f t="shared" si="25"/>
        <v>1575.0000000000002</v>
      </c>
      <c r="J822" s="29">
        <f t="shared" si="24"/>
        <v>1012.5000000000002</v>
      </c>
      <c r="K822" s="13"/>
      <c r="L822" s="10"/>
    </row>
    <row r="823" spans="1:12">
      <c r="A823" s="13">
        <v>147</v>
      </c>
      <c r="B823" s="48">
        <v>3439</v>
      </c>
      <c r="C823" s="13" t="s">
        <v>4044</v>
      </c>
      <c r="D823" s="49">
        <v>10000</v>
      </c>
      <c r="E823" s="51">
        <v>7.0000000000000007E-2</v>
      </c>
      <c r="F823" s="42" t="s">
        <v>4036</v>
      </c>
      <c r="G823" s="50">
        <v>40883</v>
      </c>
      <c r="H823" s="49">
        <v>10</v>
      </c>
      <c r="I823" s="49">
        <f t="shared" si="25"/>
        <v>1750.0000000000005</v>
      </c>
      <c r="J823" s="29">
        <f t="shared" si="24"/>
        <v>1125.0000000000002</v>
      </c>
      <c r="K823" s="13" t="s">
        <v>1438</v>
      </c>
      <c r="L823" s="10"/>
    </row>
    <row r="824" spans="1:12">
      <c r="A824" s="13"/>
      <c r="B824" s="48"/>
      <c r="C824" s="13"/>
      <c r="D824" s="49">
        <v>10000</v>
      </c>
      <c r="E824" s="51">
        <v>7.0000000000000007E-2</v>
      </c>
      <c r="F824" s="42" t="s">
        <v>4036</v>
      </c>
      <c r="G824" s="50">
        <v>40952</v>
      </c>
      <c r="H824" s="49">
        <v>10</v>
      </c>
      <c r="I824" s="49">
        <f t="shared" si="25"/>
        <v>1750.0000000000005</v>
      </c>
      <c r="J824" s="29">
        <f t="shared" si="24"/>
        <v>1125.0000000000002</v>
      </c>
      <c r="K824" s="13"/>
      <c r="L824" s="10"/>
    </row>
    <row r="825" spans="1:12">
      <c r="A825" s="13">
        <v>148</v>
      </c>
      <c r="B825" s="48">
        <v>3441</v>
      </c>
      <c r="C825" s="13" t="s">
        <v>1462</v>
      </c>
      <c r="D825" s="49">
        <v>15000</v>
      </c>
      <c r="E825" s="51">
        <v>7.0000000000000007E-2</v>
      </c>
      <c r="F825" s="42" t="s">
        <v>4036</v>
      </c>
      <c r="G825" s="50">
        <v>40889</v>
      </c>
      <c r="H825" s="49">
        <v>10</v>
      </c>
      <c r="I825" s="49">
        <f t="shared" si="25"/>
        <v>2625</v>
      </c>
      <c r="J825" s="29">
        <f t="shared" si="24"/>
        <v>1687.5000000000005</v>
      </c>
      <c r="K825" s="13" t="s">
        <v>1439</v>
      </c>
      <c r="L825" s="10"/>
    </row>
    <row r="826" spans="1:12">
      <c r="A826" s="13"/>
      <c r="B826" s="48"/>
      <c r="C826" s="13"/>
      <c r="D826" s="49">
        <v>15000</v>
      </c>
      <c r="E826" s="51">
        <v>7.4999999999999997E-2</v>
      </c>
      <c r="F826" s="42">
        <v>15</v>
      </c>
      <c r="G826" s="50">
        <v>40897</v>
      </c>
      <c r="H826" s="49">
        <v>8</v>
      </c>
      <c r="I826" s="49">
        <f t="shared" si="25"/>
        <v>4500</v>
      </c>
      <c r="J826" s="29">
        <f t="shared" si="24"/>
        <v>2999.9999999999995</v>
      </c>
      <c r="K826" s="13"/>
      <c r="L826" s="10"/>
    </row>
    <row r="827" spans="1:12">
      <c r="A827" s="13"/>
      <c r="B827" s="48"/>
      <c r="C827" s="13"/>
      <c r="D827" s="49">
        <v>15000</v>
      </c>
      <c r="E827" s="51">
        <v>7.0000000000000007E-2</v>
      </c>
      <c r="F827" s="42" t="s">
        <v>4036</v>
      </c>
      <c r="G827" s="50">
        <v>40945</v>
      </c>
      <c r="H827" s="49">
        <v>10</v>
      </c>
      <c r="I827" s="49">
        <f t="shared" si="25"/>
        <v>2625</v>
      </c>
      <c r="J827" s="29">
        <f t="shared" si="24"/>
        <v>1687.5000000000005</v>
      </c>
      <c r="K827" s="13"/>
      <c r="L827" s="10"/>
    </row>
    <row r="828" spans="1:12">
      <c r="A828" s="13"/>
      <c r="B828" s="48"/>
      <c r="C828" s="13"/>
      <c r="D828" s="49">
        <v>10000</v>
      </c>
      <c r="E828" s="51">
        <v>7.0000000000000007E-2</v>
      </c>
      <c r="F828" s="42" t="s">
        <v>4036</v>
      </c>
      <c r="G828" s="50">
        <v>41011</v>
      </c>
      <c r="H828" s="49">
        <v>10</v>
      </c>
      <c r="I828" s="49">
        <f t="shared" si="25"/>
        <v>1750.0000000000005</v>
      </c>
      <c r="J828" s="29">
        <f t="shared" si="24"/>
        <v>1125.0000000000002</v>
      </c>
      <c r="K828" s="13"/>
      <c r="L828" s="10"/>
    </row>
    <row r="829" spans="1:12">
      <c r="A829" s="13"/>
      <c r="B829" s="48"/>
      <c r="C829" s="13"/>
      <c r="D829" s="49">
        <v>20000</v>
      </c>
      <c r="E829" s="51">
        <v>7.4999999999999997E-2</v>
      </c>
      <c r="F829" s="42">
        <v>15</v>
      </c>
      <c r="G829" s="50">
        <v>41017</v>
      </c>
      <c r="H829" s="49">
        <v>18</v>
      </c>
      <c r="I829" s="49">
        <f t="shared" si="25"/>
        <v>13500</v>
      </c>
      <c r="J829" s="29">
        <f t="shared" si="24"/>
        <v>8999.9999999999982</v>
      </c>
      <c r="K829" s="13"/>
      <c r="L829" s="10"/>
    </row>
    <row r="830" spans="1:12">
      <c r="A830" s="13"/>
      <c r="B830" s="48"/>
      <c r="C830" s="13"/>
      <c r="D830" s="49">
        <v>10000</v>
      </c>
      <c r="E830" s="51">
        <v>7.0000000000000007E-2</v>
      </c>
      <c r="F830" s="42" t="s">
        <v>4036</v>
      </c>
      <c r="G830" s="50">
        <v>41072</v>
      </c>
      <c r="H830" s="49">
        <v>10</v>
      </c>
      <c r="I830" s="49">
        <f t="shared" si="25"/>
        <v>1750.0000000000005</v>
      </c>
      <c r="J830" s="29">
        <f t="shared" si="24"/>
        <v>1125.0000000000002</v>
      </c>
      <c r="K830" s="13"/>
      <c r="L830" s="10"/>
    </row>
    <row r="831" spans="1:12">
      <c r="A831" s="13"/>
      <c r="B831" s="48"/>
      <c r="C831" s="13"/>
      <c r="D831" s="49">
        <v>10000</v>
      </c>
      <c r="E831" s="51">
        <v>7.0000000000000007E-2</v>
      </c>
      <c r="F831" s="42" t="s">
        <v>4036</v>
      </c>
      <c r="G831" s="50">
        <v>41134</v>
      </c>
      <c r="H831" s="49">
        <v>10</v>
      </c>
      <c r="I831" s="49">
        <f t="shared" si="25"/>
        <v>1750.0000000000005</v>
      </c>
      <c r="J831" s="29">
        <f t="shared" si="24"/>
        <v>1125.0000000000002</v>
      </c>
      <c r="K831" s="13"/>
      <c r="L831" s="10"/>
    </row>
    <row r="832" spans="1:12">
      <c r="A832" s="13"/>
      <c r="B832" s="48"/>
      <c r="C832" s="13"/>
      <c r="D832" s="49">
        <v>10000</v>
      </c>
      <c r="E832" s="51">
        <v>7.0000000000000007E-2</v>
      </c>
      <c r="F832" s="42" t="s">
        <v>4036</v>
      </c>
      <c r="G832" s="50">
        <v>41281</v>
      </c>
      <c r="H832" s="49">
        <v>3</v>
      </c>
      <c r="I832" s="49">
        <f t="shared" si="25"/>
        <v>525.00000000000011</v>
      </c>
      <c r="J832" s="29">
        <f t="shared" si="24"/>
        <v>337.50000000000011</v>
      </c>
      <c r="K832" s="13"/>
      <c r="L832" s="10"/>
    </row>
    <row r="833" spans="1:12">
      <c r="A833" s="13">
        <v>149</v>
      </c>
      <c r="B833" s="48">
        <v>3443</v>
      </c>
      <c r="C833" s="13" t="s">
        <v>2002</v>
      </c>
      <c r="D833" s="49">
        <v>10000</v>
      </c>
      <c r="E833" s="51">
        <v>7.0000000000000007E-2</v>
      </c>
      <c r="F833" s="42" t="s">
        <v>4036</v>
      </c>
      <c r="G833" s="50">
        <v>40891</v>
      </c>
      <c r="H833" s="49">
        <v>10</v>
      </c>
      <c r="I833" s="49">
        <f t="shared" si="25"/>
        <v>1750.0000000000005</v>
      </c>
      <c r="J833" s="29">
        <f t="shared" si="24"/>
        <v>1125.0000000000002</v>
      </c>
      <c r="K833" s="13" t="s">
        <v>1440</v>
      </c>
      <c r="L833" s="10"/>
    </row>
    <row r="834" spans="1:12">
      <c r="A834" s="13"/>
      <c r="B834" s="48"/>
      <c r="C834" s="13"/>
      <c r="D834" s="49">
        <v>10000</v>
      </c>
      <c r="E834" s="51">
        <v>7.4999999999999997E-2</v>
      </c>
      <c r="F834" s="42">
        <v>15</v>
      </c>
      <c r="G834" s="50">
        <v>40899</v>
      </c>
      <c r="H834" s="49">
        <v>10</v>
      </c>
      <c r="I834" s="49">
        <f t="shared" si="25"/>
        <v>3750</v>
      </c>
      <c r="J834" s="29">
        <f t="shared" ref="J834:J897" si="26">IF(F834="分期",D834*(E834-0.025)*2.5*H834/10,D834*(E834-0.025)*F834/30*H834)</f>
        <v>2499.9999999999995</v>
      </c>
      <c r="K834" s="13"/>
      <c r="L834" s="10"/>
    </row>
    <row r="835" spans="1:12">
      <c r="A835" s="13"/>
      <c r="B835" s="48"/>
      <c r="C835" s="13"/>
      <c r="D835" s="49">
        <v>10000</v>
      </c>
      <c r="E835" s="51">
        <v>7.0000000000000007E-2</v>
      </c>
      <c r="F835" s="42" t="s">
        <v>4036</v>
      </c>
      <c r="G835" s="50">
        <v>40917</v>
      </c>
      <c r="H835" s="49">
        <v>10</v>
      </c>
      <c r="I835" s="49">
        <f t="shared" si="25"/>
        <v>1750.0000000000005</v>
      </c>
      <c r="J835" s="29">
        <f t="shared" si="26"/>
        <v>1125.0000000000002</v>
      </c>
      <c r="K835" s="13"/>
      <c r="L835" s="10"/>
    </row>
    <row r="836" spans="1:12">
      <c r="A836" s="13"/>
      <c r="B836" s="48"/>
      <c r="C836" s="13"/>
      <c r="D836" s="49">
        <v>10000</v>
      </c>
      <c r="E836" s="51">
        <v>7.0000000000000007E-2</v>
      </c>
      <c r="F836" s="42" t="s">
        <v>4036</v>
      </c>
      <c r="G836" s="50">
        <v>40952</v>
      </c>
      <c r="H836" s="49">
        <v>10</v>
      </c>
      <c r="I836" s="49">
        <f t="shared" ref="I836:I899" si="27">IF(F836="分期",D836*E836*2.5*H836/10,D836*E836*F836*H836/30)</f>
        <v>1750.0000000000005</v>
      </c>
      <c r="J836" s="29">
        <f t="shared" si="26"/>
        <v>1125.0000000000002</v>
      </c>
      <c r="K836" s="13"/>
      <c r="L836" s="10"/>
    </row>
    <row r="837" spans="1:12">
      <c r="A837" s="13"/>
      <c r="B837" s="48"/>
      <c r="C837" s="13"/>
      <c r="D837" s="49">
        <v>10000</v>
      </c>
      <c r="E837" s="51">
        <v>7.0000000000000007E-2</v>
      </c>
      <c r="F837" s="42" t="s">
        <v>4036</v>
      </c>
      <c r="G837" s="50">
        <v>40960</v>
      </c>
      <c r="H837" s="49">
        <v>10</v>
      </c>
      <c r="I837" s="49">
        <f t="shared" si="27"/>
        <v>1750.0000000000005</v>
      </c>
      <c r="J837" s="29">
        <f t="shared" si="26"/>
        <v>1125.0000000000002</v>
      </c>
      <c r="K837" s="13"/>
      <c r="L837" s="10"/>
    </row>
    <row r="838" spans="1:12">
      <c r="A838" s="13"/>
      <c r="B838" s="48"/>
      <c r="C838" s="13"/>
      <c r="D838" s="49">
        <v>10000</v>
      </c>
      <c r="E838" s="51">
        <v>7.0000000000000007E-2</v>
      </c>
      <c r="F838" s="42" t="s">
        <v>4036</v>
      </c>
      <c r="G838" s="50">
        <v>40996</v>
      </c>
      <c r="H838" s="49">
        <v>10</v>
      </c>
      <c r="I838" s="49">
        <f t="shared" si="27"/>
        <v>1750.0000000000005</v>
      </c>
      <c r="J838" s="29">
        <f t="shared" si="26"/>
        <v>1125.0000000000002</v>
      </c>
      <c r="K838" s="13"/>
      <c r="L838" s="10"/>
    </row>
    <row r="839" spans="1:12">
      <c r="A839" s="13"/>
      <c r="B839" s="48"/>
      <c r="C839" s="13"/>
      <c r="D839" s="49">
        <v>10000</v>
      </c>
      <c r="E839" s="51">
        <v>7.0000000000000007E-2</v>
      </c>
      <c r="F839" s="42" t="s">
        <v>4036</v>
      </c>
      <c r="G839" s="50">
        <v>41008</v>
      </c>
      <c r="H839" s="49">
        <v>10</v>
      </c>
      <c r="I839" s="49">
        <f t="shared" si="27"/>
        <v>1750.0000000000005</v>
      </c>
      <c r="J839" s="29">
        <f t="shared" si="26"/>
        <v>1125.0000000000002</v>
      </c>
      <c r="K839" s="13"/>
      <c r="L839" s="10"/>
    </row>
    <row r="840" spans="1:12">
      <c r="A840" s="13"/>
      <c r="B840" s="48"/>
      <c r="C840" s="13"/>
      <c r="D840" s="49">
        <v>10000</v>
      </c>
      <c r="E840" s="51">
        <v>7.0000000000000007E-2</v>
      </c>
      <c r="F840" s="42" t="s">
        <v>4036</v>
      </c>
      <c r="G840" s="50">
        <v>41037</v>
      </c>
      <c r="H840" s="49">
        <v>10</v>
      </c>
      <c r="I840" s="49">
        <f t="shared" si="27"/>
        <v>1750.0000000000005</v>
      </c>
      <c r="J840" s="29">
        <f t="shared" si="26"/>
        <v>1125.0000000000002</v>
      </c>
      <c r="K840" s="13"/>
      <c r="L840" s="10"/>
    </row>
    <row r="841" spans="1:12">
      <c r="A841" s="13"/>
      <c r="B841" s="48"/>
      <c r="C841" s="13"/>
      <c r="D841" s="49">
        <v>20000</v>
      </c>
      <c r="E841" s="51">
        <v>7.4999999999999997E-2</v>
      </c>
      <c r="F841" s="42">
        <v>15</v>
      </c>
      <c r="G841" s="50">
        <v>41049</v>
      </c>
      <c r="H841" s="49">
        <v>4</v>
      </c>
      <c r="I841" s="49">
        <f t="shared" si="27"/>
        <v>3000</v>
      </c>
      <c r="J841" s="29">
        <f t="shared" si="26"/>
        <v>1999.9999999999998</v>
      </c>
      <c r="K841" s="13"/>
      <c r="L841" s="10"/>
    </row>
    <row r="842" spans="1:12">
      <c r="A842" s="13"/>
      <c r="B842" s="48"/>
      <c r="C842" s="13"/>
      <c r="D842" s="49">
        <v>10000</v>
      </c>
      <c r="E842" s="51">
        <v>7.0000000000000007E-2</v>
      </c>
      <c r="F842" s="42" t="s">
        <v>4036</v>
      </c>
      <c r="G842" s="50">
        <v>41057</v>
      </c>
      <c r="H842" s="49">
        <v>10</v>
      </c>
      <c r="I842" s="49">
        <f t="shared" si="27"/>
        <v>1750.0000000000005</v>
      </c>
      <c r="J842" s="29">
        <f t="shared" si="26"/>
        <v>1125.0000000000002</v>
      </c>
      <c r="K842" s="13"/>
      <c r="L842" s="10"/>
    </row>
    <row r="843" spans="1:12">
      <c r="A843" s="13"/>
      <c r="B843" s="48"/>
      <c r="C843" s="13"/>
      <c r="D843" s="49">
        <v>10000</v>
      </c>
      <c r="E843" s="51">
        <v>7.0000000000000007E-2</v>
      </c>
      <c r="F843" s="42" t="s">
        <v>4036</v>
      </c>
      <c r="G843" s="50">
        <v>41085</v>
      </c>
      <c r="H843" s="49">
        <v>10</v>
      </c>
      <c r="I843" s="49">
        <f t="shared" si="27"/>
        <v>1750.0000000000005</v>
      </c>
      <c r="J843" s="29">
        <f t="shared" si="26"/>
        <v>1125.0000000000002</v>
      </c>
      <c r="K843" s="13"/>
      <c r="L843" s="10"/>
    </row>
    <row r="844" spans="1:12">
      <c r="A844" s="13"/>
      <c r="B844" s="48"/>
      <c r="C844" s="13"/>
      <c r="D844" s="49">
        <v>30000</v>
      </c>
      <c r="E844" s="51">
        <v>7.4999999999999997E-2</v>
      </c>
      <c r="F844" s="42">
        <v>15</v>
      </c>
      <c r="G844" s="50">
        <v>41106</v>
      </c>
      <c r="H844" s="49">
        <v>13</v>
      </c>
      <c r="I844" s="49">
        <f t="shared" si="27"/>
        <v>14625</v>
      </c>
      <c r="J844" s="29">
        <f t="shared" si="26"/>
        <v>9749.9999999999982</v>
      </c>
      <c r="K844" s="13"/>
      <c r="L844" s="10"/>
    </row>
    <row r="845" spans="1:12">
      <c r="A845" s="13"/>
      <c r="B845" s="48"/>
      <c r="C845" s="13"/>
      <c r="D845" s="49">
        <v>10000</v>
      </c>
      <c r="E845" s="51">
        <v>7.0000000000000007E-2</v>
      </c>
      <c r="F845" s="42" t="s">
        <v>4036</v>
      </c>
      <c r="G845" s="50">
        <v>41108</v>
      </c>
      <c r="H845" s="49">
        <v>10</v>
      </c>
      <c r="I845" s="49">
        <f t="shared" si="27"/>
        <v>1750.0000000000005</v>
      </c>
      <c r="J845" s="29">
        <f t="shared" si="26"/>
        <v>1125.0000000000002</v>
      </c>
      <c r="K845" s="13"/>
      <c r="L845" s="10"/>
    </row>
    <row r="846" spans="1:12">
      <c r="A846" s="13"/>
      <c r="B846" s="48"/>
      <c r="C846" s="13"/>
      <c r="D846" s="49">
        <v>10000</v>
      </c>
      <c r="E846" s="51">
        <v>7.0000000000000007E-2</v>
      </c>
      <c r="F846" s="42" t="s">
        <v>4036</v>
      </c>
      <c r="G846" s="50">
        <v>41130</v>
      </c>
      <c r="H846" s="49">
        <v>10</v>
      </c>
      <c r="I846" s="49">
        <f t="shared" si="27"/>
        <v>1750.0000000000005</v>
      </c>
      <c r="J846" s="29">
        <f t="shared" si="26"/>
        <v>1125.0000000000002</v>
      </c>
      <c r="K846" s="13"/>
      <c r="L846" s="10"/>
    </row>
    <row r="847" spans="1:12">
      <c r="A847" s="13"/>
      <c r="B847" s="48"/>
      <c r="C847" s="13"/>
      <c r="D847" s="49">
        <v>10000</v>
      </c>
      <c r="E847" s="51">
        <v>7.0000000000000007E-2</v>
      </c>
      <c r="F847" s="42" t="s">
        <v>4036</v>
      </c>
      <c r="G847" s="50">
        <v>41157</v>
      </c>
      <c r="H847" s="49">
        <v>10</v>
      </c>
      <c r="I847" s="49">
        <f t="shared" si="27"/>
        <v>1750.0000000000005</v>
      </c>
      <c r="J847" s="29">
        <f t="shared" si="26"/>
        <v>1125.0000000000002</v>
      </c>
      <c r="K847" s="13"/>
      <c r="L847" s="10"/>
    </row>
    <row r="848" spans="1:12">
      <c r="A848" s="13"/>
      <c r="B848" s="48"/>
      <c r="C848" s="13"/>
      <c r="D848" s="49">
        <v>10000</v>
      </c>
      <c r="E848" s="51">
        <v>7.0000000000000007E-2</v>
      </c>
      <c r="F848" s="42" t="s">
        <v>4036</v>
      </c>
      <c r="G848" s="50">
        <v>41212</v>
      </c>
      <c r="H848" s="49">
        <v>10</v>
      </c>
      <c r="I848" s="49">
        <f t="shared" si="27"/>
        <v>1750.0000000000005</v>
      </c>
      <c r="J848" s="29">
        <f t="shared" si="26"/>
        <v>1125.0000000000002</v>
      </c>
      <c r="K848" s="13"/>
      <c r="L848" s="10"/>
    </row>
    <row r="849" spans="1:12">
      <c r="A849" s="13">
        <v>150</v>
      </c>
      <c r="B849" s="48">
        <v>3445</v>
      </c>
      <c r="C849" s="13" t="s">
        <v>1147</v>
      </c>
      <c r="D849" s="49">
        <v>40000</v>
      </c>
      <c r="E849" s="51">
        <v>7.4999999999999997E-2</v>
      </c>
      <c r="F849" s="42">
        <v>15</v>
      </c>
      <c r="G849" s="50">
        <v>40917</v>
      </c>
      <c r="H849" s="49">
        <v>3</v>
      </c>
      <c r="I849" s="49">
        <f t="shared" si="27"/>
        <v>4500</v>
      </c>
      <c r="J849" s="29">
        <f t="shared" si="26"/>
        <v>2999.9999999999995</v>
      </c>
      <c r="K849" s="13" t="s">
        <v>1441</v>
      </c>
      <c r="L849" s="10"/>
    </row>
    <row r="850" spans="1:12">
      <c r="A850" s="13"/>
      <c r="B850" s="48"/>
      <c r="C850" s="13"/>
      <c r="D850" s="49">
        <v>30000</v>
      </c>
      <c r="E850" s="51">
        <v>7.4999999999999997E-2</v>
      </c>
      <c r="F850" s="42">
        <v>15</v>
      </c>
      <c r="G850" s="50">
        <v>40992</v>
      </c>
      <c r="H850" s="49">
        <v>15</v>
      </c>
      <c r="I850" s="49">
        <f t="shared" si="27"/>
        <v>16875</v>
      </c>
      <c r="J850" s="29">
        <f t="shared" si="26"/>
        <v>11249.999999999998</v>
      </c>
      <c r="K850" s="13"/>
      <c r="L850" s="10"/>
    </row>
    <row r="851" spans="1:12">
      <c r="A851" s="13"/>
      <c r="B851" s="48"/>
      <c r="C851" s="13"/>
      <c r="D851" s="49">
        <v>10000</v>
      </c>
      <c r="E851" s="51">
        <v>7.0000000000000007E-2</v>
      </c>
      <c r="F851" s="42" t="s">
        <v>4036</v>
      </c>
      <c r="G851" s="50">
        <v>41026</v>
      </c>
      <c r="H851" s="49">
        <v>10</v>
      </c>
      <c r="I851" s="49">
        <f t="shared" si="27"/>
        <v>1750.0000000000005</v>
      </c>
      <c r="J851" s="29">
        <f t="shared" si="26"/>
        <v>1125.0000000000002</v>
      </c>
      <c r="K851" s="13"/>
      <c r="L851" s="10"/>
    </row>
    <row r="852" spans="1:12">
      <c r="A852" s="13"/>
      <c r="B852" s="48"/>
      <c r="C852" s="13"/>
      <c r="D852" s="49">
        <v>10000</v>
      </c>
      <c r="E852" s="51">
        <v>7.0000000000000007E-2</v>
      </c>
      <c r="F852" s="42" t="s">
        <v>4036</v>
      </c>
      <c r="G852" s="50">
        <v>41095</v>
      </c>
      <c r="H852" s="49">
        <v>10</v>
      </c>
      <c r="I852" s="49">
        <f t="shared" si="27"/>
        <v>1750.0000000000005</v>
      </c>
      <c r="J852" s="29">
        <f t="shared" si="26"/>
        <v>1125.0000000000002</v>
      </c>
      <c r="K852" s="13"/>
      <c r="L852" s="10"/>
    </row>
    <row r="853" spans="1:12">
      <c r="A853" s="13"/>
      <c r="B853" s="48"/>
      <c r="C853" s="13"/>
      <c r="D853" s="49">
        <v>10000</v>
      </c>
      <c r="E853" s="51">
        <v>7.0000000000000007E-2</v>
      </c>
      <c r="F853" s="42" t="s">
        <v>4036</v>
      </c>
      <c r="G853" s="50">
        <v>41152</v>
      </c>
      <c r="H853" s="49">
        <v>10</v>
      </c>
      <c r="I853" s="49">
        <f t="shared" si="27"/>
        <v>1750.0000000000005</v>
      </c>
      <c r="J853" s="29">
        <f t="shared" si="26"/>
        <v>1125.0000000000002</v>
      </c>
      <c r="K853" s="13"/>
      <c r="L853" s="10"/>
    </row>
    <row r="854" spans="1:12">
      <c r="A854" s="13"/>
      <c r="B854" s="48"/>
      <c r="C854" s="13"/>
      <c r="D854" s="49">
        <v>50000</v>
      </c>
      <c r="E854" s="51">
        <v>7.4999999999999997E-2</v>
      </c>
      <c r="F854" s="42">
        <v>15</v>
      </c>
      <c r="G854" s="50">
        <v>41188</v>
      </c>
      <c r="H854" s="49">
        <v>8</v>
      </c>
      <c r="I854" s="49">
        <f t="shared" si="27"/>
        <v>15000</v>
      </c>
      <c r="J854" s="29">
        <f t="shared" si="26"/>
        <v>10000</v>
      </c>
      <c r="K854" s="13"/>
      <c r="L854" s="10"/>
    </row>
    <row r="855" spans="1:12">
      <c r="A855" s="13"/>
      <c r="B855" s="48"/>
      <c r="C855" s="13"/>
      <c r="D855" s="49">
        <v>10000</v>
      </c>
      <c r="E855" s="51">
        <v>7.0000000000000007E-2</v>
      </c>
      <c r="F855" s="42" t="s">
        <v>4036</v>
      </c>
      <c r="G855" s="50">
        <v>41211</v>
      </c>
      <c r="H855" s="49">
        <v>10</v>
      </c>
      <c r="I855" s="49">
        <f t="shared" si="27"/>
        <v>1750.0000000000005</v>
      </c>
      <c r="J855" s="29">
        <f t="shared" si="26"/>
        <v>1125.0000000000002</v>
      </c>
      <c r="K855" s="13"/>
      <c r="L855" s="10"/>
    </row>
    <row r="856" spans="1:12">
      <c r="A856" s="13"/>
      <c r="B856" s="48"/>
      <c r="C856" s="13"/>
      <c r="D856" s="49">
        <v>10000</v>
      </c>
      <c r="E856" s="51">
        <v>7.0000000000000007E-2</v>
      </c>
      <c r="F856" s="42" t="s">
        <v>4036</v>
      </c>
      <c r="G856" s="50">
        <v>41253</v>
      </c>
      <c r="H856" s="49">
        <v>10</v>
      </c>
      <c r="I856" s="49">
        <f t="shared" si="27"/>
        <v>1750.0000000000005</v>
      </c>
      <c r="J856" s="29">
        <f t="shared" si="26"/>
        <v>1125.0000000000002</v>
      </c>
      <c r="K856" s="13"/>
      <c r="L856" s="10"/>
    </row>
    <row r="857" spans="1:12">
      <c r="A857" s="13"/>
      <c r="B857" s="48"/>
      <c r="C857" s="13"/>
      <c r="D857" s="49">
        <v>10000</v>
      </c>
      <c r="E857" s="51">
        <v>7.0000000000000007E-2</v>
      </c>
      <c r="F857" s="42" t="s">
        <v>4036</v>
      </c>
      <c r="G857" s="50">
        <v>41288</v>
      </c>
      <c r="H857" s="62">
        <v>2</v>
      </c>
      <c r="I857" s="49">
        <f t="shared" si="27"/>
        <v>350.00000000000006</v>
      </c>
      <c r="J857" s="29">
        <f t="shared" si="26"/>
        <v>225.00000000000006</v>
      </c>
      <c r="K857" s="13"/>
      <c r="L857" s="10" t="s">
        <v>1508</v>
      </c>
    </row>
    <row r="858" spans="1:12">
      <c r="A858" s="13">
        <v>151</v>
      </c>
      <c r="B858" s="48">
        <v>3447</v>
      </c>
      <c r="C858" s="13" t="s">
        <v>1173</v>
      </c>
      <c r="D858" s="49">
        <v>10000</v>
      </c>
      <c r="E858" s="51">
        <v>7.0000000000000007E-2</v>
      </c>
      <c r="F858" s="42" t="s">
        <v>4036</v>
      </c>
      <c r="G858" s="50">
        <v>40917</v>
      </c>
      <c r="H858" s="49">
        <v>10</v>
      </c>
      <c r="I858" s="49">
        <f t="shared" si="27"/>
        <v>1750.0000000000005</v>
      </c>
      <c r="J858" s="29">
        <f t="shared" si="26"/>
        <v>1125.0000000000002</v>
      </c>
      <c r="K858" s="13" t="s">
        <v>1442</v>
      </c>
      <c r="L858" s="10"/>
    </row>
    <row r="859" spans="1:12">
      <c r="A859" s="13"/>
      <c r="B859" s="48"/>
      <c r="C859" s="13"/>
      <c r="D859" s="49">
        <v>20000</v>
      </c>
      <c r="E859" s="51">
        <v>7.4999999999999997E-2</v>
      </c>
      <c r="F859" s="42">
        <v>15</v>
      </c>
      <c r="G859" s="50">
        <v>40925</v>
      </c>
      <c r="H859" s="49">
        <v>14</v>
      </c>
      <c r="I859" s="49">
        <f t="shared" si="27"/>
        <v>10500</v>
      </c>
      <c r="J859" s="29">
        <f t="shared" si="26"/>
        <v>6999.9999999999991</v>
      </c>
      <c r="K859" s="13"/>
      <c r="L859" s="10"/>
    </row>
    <row r="860" spans="1:12">
      <c r="A860" s="13"/>
      <c r="B860" s="48"/>
      <c r="C860" s="13"/>
      <c r="D860" s="49">
        <v>10000</v>
      </c>
      <c r="E860" s="51">
        <v>7.0000000000000007E-2</v>
      </c>
      <c r="F860" s="42" t="s">
        <v>4036</v>
      </c>
      <c r="G860" s="50">
        <v>40973</v>
      </c>
      <c r="H860" s="49">
        <v>10</v>
      </c>
      <c r="I860" s="49">
        <f t="shared" si="27"/>
        <v>1750.0000000000005</v>
      </c>
      <c r="J860" s="29">
        <f t="shared" si="26"/>
        <v>1125.0000000000002</v>
      </c>
      <c r="K860" s="13"/>
      <c r="L860" s="10"/>
    </row>
    <row r="861" spans="1:12">
      <c r="A861" s="13"/>
      <c r="B861" s="48"/>
      <c r="C861" s="13"/>
      <c r="D861" s="49">
        <v>80000</v>
      </c>
      <c r="E861" s="51">
        <v>7.4999999999999997E-2</v>
      </c>
      <c r="F861" s="42">
        <v>15</v>
      </c>
      <c r="G861" s="50">
        <v>40980</v>
      </c>
      <c r="H861" s="49">
        <v>14</v>
      </c>
      <c r="I861" s="49">
        <f t="shared" si="27"/>
        <v>42000</v>
      </c>
      <c r="J861" s="29">
        <f t="shared" si="26"/>
        <v>27999.999999999996</v>
      </c>
      <c r="K861" s="13"/>
      <c r="L861" s="10"/>
    </row>
    <row r="862" spans="1:12">
      <c r="A862" s="13"/>
      <c r="B862" s="48"/>
      <c r="C862" s="13"/>
      <c r="D862" s="49">
        <v>10000</v>
      </c>
      <c r="E862" s="51">
        <v>7.0000000000000007E-2</v>
      </c>
      <c r="F862" s="42" t="s">
        <v>4036</v>
      </c>
      <c r="G862" s="50">
        <v>41022</v>
      </c>
      <c r="H862" s="49">
        <v>10</v>
      </c>
      <c r="I862" s="49">
        <f t="shared" si="27"/>
        <v>1750.0000000000005</v>
      </c>
      <c r="J862" s="29">
        <f t="shared" si="26"/>
        <v>1125.0000000000002</v>
      </c>
      <c r="K862" s="13"/>
      <c r="L862" s="10"/>
    </row>
    <row r="863" spans="1:12">
      <c r="A863" s="13"/>
      <c r="B863" s="48"/>
      <c r="C863" s="13"/>
      <c r="D863" s="49">
        <v>10000</v>
      </c>
      <c r="E863" s="51">
        <v>7.0000000000000007E-2</v>
      </c>
      <c r="F863" s="42" t="s">
        <v>4036</v>
      </c>
      <c r="G863" s="50">
        <v>41066</v>
      </c>
      <c r="H863" s="49">
        <v>10</v>
      </c>
      <c r="I863" s="49">
        <f t="shared" si="27"/>
        <v>1750.0000000000005</v>
      </c>
      <c r="J863" s="29">
        <f t="shared" si="26"/>
        <v>1125.0000000000002</v>
      </c>
      <c r="K863" s="13"/>
      <c r="L863" s="10"/>
    </row>
    <row r="864" spans="1:12">
      <c r="A864" s="13"/>
      <c r="B864" s="48"/>
      <c r="C864" s="13"/>
      <c r="D864" s="49">
        <v>10000</v>
      </c>
      <c r="E864" s="51">
        <v>7.0000000000000007E-2</v>
      </c>
      <c r="F864" s="42" t="s">
        <v>4036</v>
      </c>
      <c r="G864" s="50">
        <v>41127</v>
      </c>
      <c r="H864" s="49">
        <v>10</v>
      </c>
      <c r="I864" s="49">
        <f t="shared" si="27"/>
        <v>1750.0000000000005</v>
      </c>
      <c r="J864" s="29">
        <f t="shared" si="26"/>
        <v>1125.0000000000002</v>
      </c>
      <c r="K864" s="13"/>
      <c r="L864" s="10"/>
    </row>
    <row r="865" spans="1:12">
      <c r="A865" s="13"/>
      <c r="B865" s="48"/>
      <c r="C865" s="13"/>
      <c r="D865" s="49">
        <v>10000</v>
      </c>
      <c r="E865" s="51">
        <v>7.4999999999999997E-2</v>
      </c>
      <c r="F865" s="42">
        <v>15</v>
      </c>
      <c r="G865" s="50">
        <v>41135</v>
      </c>
      <c r="H865" s="49">
        <v>3</v>
      </c>
      <c r="I865" s="49">
        <f t="shared" si="27"/>
        <v>1125</v>
      </c>
      <c r="J865" s="29">
        <f t="shared" si="26"/>
        <v>749.99999999999989</v>
      </c>
      <c r="K865" s="13"/>
      <c r="L865" s="10"/>
    </row>
    <row r="866" spans="1:12">
      <c r="A866" s="13"/>
      <c r="B866" s="48"/>
      <c r="C866" s="13"/>
      <c r="D866" s="49">
        <v>20000</v>
      </c>
      <c r="E866" s="51">
        <v>7.4999999999999997E-2</v>
      </c>
      <c r="F866" s="42">
        <v>15</v>
      </c>
      <c r="G866" s="50">
        <v>41173</v>
      </c>
      <c r="H866" s="49">
        <v>10</v>
      </c>
      <c r="I866" s="49">
        <f t="shared" si="27"/>
        <v>7500</v>
      </c>
      <c r="J866" s="29">
        <f t="shared" si="26"/>
        <v>4999.9999999999991</v>
      </c>
      <c r="K866" s="13"/>
      <c r="L866" s="10"/>
    </row>
    <row r="867" spans="1:12">
      <c r="A867" s="13"/>
      <c r="B867" s="48"/>
      <c r="C867" s="13"/>
      <c r="D867" s="49">
        <v>10000</v>
      </c>
      <c r="E867" s="51">
        <v>7.0000000000000007E-2</v>
      </c>
      <c r="F867" s="42" t="s">
        <v>4036</v>
      </c>
      <c r="G867" s="50">
        <v>41190</v>
      </c>
      <c r="H867" s="49">
        <v>10</v>
      </c>
      <c r="I867" s="49">
        <f t="shared" si="27"/>
        <v>1750.0000000000005</v>
      </c>
      <c r="J867" s="29">
        <f t="shared" si="26"/>
        <v>1125.0000000000002</v>
      </c>
      <c r="K867" s="13"/>
      <c r="L867" s="10"/>
    </row>
    <row r="868" spans="1:12">
      <c r="A868" s="13"/>
      <c r="B868" s="48"/>
      <c r="C868" s="13"/>
      <c r="D868" s="49">
        <v>10000</v>
      </c>
      <c r="E868" s="51">
        <v>7.0000000000000007E-2</v>
      </c>
      <c r="F868" s="42" t="s">
        <v>4036</v>
      </c>
      <c r="G868" s="50">
        <v>41246</v>
      </c>
      <c r="H868" s="49">
        <v>8</v>
      </c>
      <c r="I868" s="49">
        <f t="shared" si="27"/>
        <v>1400.0000000000002</v>
      </c>
      <c r="J868" s="29">
        <f t="shared" si="26"/>
        <v>900.00000000000023</v>
      </c>
      <c r="K868" s="13"/>
      <c r="L868" s="10"/>
    </row>
    <row r="869" spans="1:12">
      <c r="A869" s="13">
        <v>152</v>
      </c>
      <c r="B869" s="48">
        <v>3449</v>
      </c>
      <c r="C869" s="13" t="s">
        <v>1118</v>
      </c>
      <c r="D869" s="49">
        <v>5000</v>
      </c>
      <c r="E869" s="51">
        <v>7.0000000000000007E-2</v>
      </c>
      <c r="F869" s="42" t="s">
        <v>4036</v>
      </c>
      <c r="G869" s="50">
        <v>40924</v>
      </c>
      <c r="H869" s="49">
        <v>10</v>
      </c>
      <c r="I869" s="49">
        <f t="shared" si="27"/>
        <v>875.00000000000023</v>
      </c>
      <c r="J869" s="29">
        <f t="shared" si="26"/>
        <v>562.50000000000011</v>
      </c>
      <c r="K869" s="13" t="s">
        <v>1443</v>
      </c>
      <c r="L869" s="10"/>
    </row>
    <row r="870" spans="1:12">
      <c r="A870" s="13"/>
      <c r="B870" s="48"/>
      <c r="C870" s="13"/>
      <c r="D870" s="49">
        <v>10000</v>
      </c>
      <c r="E870" s="51">
        <v>7.4999999999999997E-2</v>
      </c>
      <c r="F870" s="42">
        <v>15</v>
      </c>
      <c r="G870" s="50">
        <v>40932</v>
      </c>
      <c r="H870" s="49">
        <v>6</v>
      </c>
      <c r="I870" s="49">
        <f t="shared" si="27"/>
        <v>2250</v>
      </c>
      <c r="J870" s="29">
        <f t="shared" si="26"/>
        <v>1499.9999999999998</v>
      </c>
      <c r="K870" s="13"/>
      <c r="L870" s="10"/>
    </row>
    <row r="871" spans="1:12">
      <c r="A871" s="13"/>
      <c r="B871" s="48"/>
      <c r="C871" s="13"/>
      <c r="D871" s="49">
        <v>5000</v>
      </c>
      <c r="E871" s="51">
        <v>7.0000000000000007E-2</v>
      </c>
      <c r="F871" s="42" t="s">
        <v>4036</v>
      </c>
      <c r="G871" s="50">
        <v>41015</v>
      </c>
      <c r="H871" s="49">
        <v>10</v>
      </c>
      <c r="I871" s="49">
        <f t="shared" si="27"/>
        <v>875.00000000000023</v>
      </c>
      <c r="J871" s="29">
        <f t="shared" si="26"/>
        <v>562.50000000000011</v>
      </c>
      <c r="K871" s="13"/>
      <c r="L871" s="10"/>
    </row>
    <row r="872" spans="1:12">
      <c r="A872" s="13"/>
      <c r="B872" s="48"/>
      <c r="C872" s="13"/>
      <c r="D872" s="49">
        <v>5000</v>
      </c>
      <c r="E872" s="51">
        <v>7.4999999999999997E-2</v>
      </c>
      <c r="F872" s="42">
        <v>15</v>
      </c>
      <c r="G872" s="50">
        <v>41022</v>
      </c>
      <c r="H872" s="49">
        <v>13</v>
      </c>
      <c r="I872" s="49">
        <f t="shared" si="27"/>
        <v>2437.5</v>
      </c>
      <c r="J872" s="29">
        <f t="shared" si="26"/>
        <v>1624.9999999999998</v>
      </c>
      <c r="K872" s="13"/>
      <c r="L872" s="10"/>
    </row>
    <row r="873" spans="1:12">
      <c r="A873" s="13"/>
      <c r="B873" s="48"/>
      <c r="C873" s="13"/>
      <c r="D873" s="49">
        <v>5000</v>
      </c>
      <c r="E873" s="51">
        <v>7.0000000000000007E-2</v>
      </c>
      <c r="F873" s="42" t="s">
        <v>4036</v>
      </c>
      <c r="G873" s="50">
        <v>41207</v>
      </c>
      <c r="H873" s="49">
        <v>10</v>
      </c>
      <c r="I873" s="49">
        <f t="shared" si="27"/>
        <v>875.00000000000023</v>
      </c>
      <c r="J873" s="29">
        <f t="shared" si="26"/>
        <v>562.50000000000011</v>
      </c>
      <c r="K873" s="13"/>
      <c r="L873" s="10"/>
    </row>
    <row r="874" spans="1:12" ht="32.4">
      <c r="A874" s="13">
        <v>153</v>
      </c>
      <c r="B874" s="48">
        <v>3451</v>
      </c>
      <c r="C874" s="13" t="s">
        <v>3742</v>
      </c>
      <c r="D874" s="49">
        <v>50000</v>
      </c>
      <c r="E874" s="51">
        <v>6.5000000000000002E-2</v>
      </c>
      <c r="F874" s="42">
        <v>15</v>
      </c>
      <c r="G874" s="50">
        <v>40941</v>
      </c>
      <c r="H874" s="49">
        <v>5</v>
      </c>
      <c r="I874" s="49">
        <f t="shared" si="27"/>
        <v>8125</v>
      </c>
      <c r="J874" s="29">
        <f t="shared" si="26"/>
        <v>5000</v>
      </c>
      <c r="K874" s="13" t="s">
        <v>1444</v>
      </c>
      <c r="L874" s="10" t="s">
        <v>3741</v>
      </c>
    </row>
    <row r="875" spans="1:12">
      <c r="A875" s="13"/>
      <c r="B875" s="48"/>
      <c r="C875" s="13"/>
      <c r="D875" s="49">
        <v>50000</v>
      </c>
      <c r="E875" s="51">
        <v>6.5000000000000002E-2</v>
      </c>
      <c r="F875" s="42">
        <v>15</v>
      </c>
      <c r="G875" s="50">
        <v>40941</v>
      </c>
      <c r="H875" s="49">
        <v>9</v>
      </c>
      <c r="I875" s="49">
        <f t="shared" si="27"/>
        <v>14625</v>
      </c>
      <c r="J875" s="29">
        <f t="shared" si="26"/>
        <v>9000</v>
      </c>
      <c r="K875" s="13"/>
      <c r="L875" s="10"/>
    </row>
    <row r="876" spans="1:12">
      <c r="A876" s="13"/>
      <c r="B876" s="48"/>
      <c r="C876" s="13"/>
      <c r="D876" s="49">
        <v>50000</v>
      </c>
      <c r="E876" s="51">
        <v>7.0000000000000007E-2</v>
      </c>
      <c r="F876" s="42" t="s">
        <v>4036</v>
      </c>
      <c r="G876" s="50">
        <v>40960</v>
      </c>
      <c r="H876" s="49">
        <v>10</v>
      </c>
      <c r="I876" s="49">
        <f t="shared" si="27"/>
        <v>8750.0000000000018</v>
      </c>
      <c r="J876" s="29">
        <f t="shared" si="26"/>
        <v>5625.0000000000009</v>
      </c>
      <c r="K876" s="13"/>
      <c r="L876" s="10"/>
    </row>
    <row r="877" spans="1:12">
      <c r="A877" s="13"/>
      <c r="B877" s="48"/>
      <c r="C877" s="13"/>
      <c r="D877" s="49">
        <v>50000</v>
      </c>
      <c r="E877" s="51">
        <v>7.0000000000000007E-2</v>
      </c>
      <c r="F877" s="42" t="s">
        <v>4036</v>
      </c>
      <c r="G877" s="50">
        <v>40980</v>
      </c>
      <c r="H877" s="49">
        <v>10</v>
      </c>
      <c r="I877" s="49">
        <f t="shared" si="27"/>
        <v>8750.0000000000018</v>
      </c>
      <c r="J877" s="29">
        <f t="shared" si="26"/>
        <v>5625.0000000000009</v>
      </c>
      <c r="K877" s="13"/>
      <c r="L877" s="10"/>
    </row>
    <row r="878" spans="1:12">
      <c r="A878" s="13"/>
      <c r="B878" s="48"/>
      <c r="C878" s="13"/>
      <c r="D878" s="49">
        <v>100000</v>
      </c>
      <c r="E878" s="51">
        <v>6.5000000000000002E-2</v>
      </c>
      <c r="F878" s="42">
        <v>15</v>
      </c>
      <c r="G878" s="50">
        <v>40993</v>
      </c>
      <c r="H878" s="49">
        <v>2</v>
      </c>
      <c r="I878" s="49">
        <f t="shared" si="27"/>
        <v>6500</v>
      </c>
      <c r="J878" s="29">
        <f t="shared" si="26"/>
        <v>4000</v>
      </c>
      <c r="K878" s="13"/>
      <c r="L878" s="10"/>
    </row>
    <row r="879" spans="1:12">
      <c r="A879" s="13"/>
      <c r="B879" s="48"/>
      <c r="C879" s="13"/>
      <c r="D879" s="49">
        <v>100000</v>
      </c>
      <c r="E879" s="51">
        <v>6.5000000000000002E-2</v>
      </c>
      <c r="F879" s="42">
        <v>15</v>
      </c>
      <c r="G879" s="50">
        <v>41001</v>
      </c>
      <c r="H879" s="49">
        <v>11</v>
      </c>
      <c r="I879" s="49">
        <f t="shared" si="27"/>
        <v>35750</v>
      </c>
      <c r="J879" s="29">
        <f t="shared" si="26"/>
        <v>22000</v>
      </c>
      <c r="K879" s="13"/>
      <c r="L879" s="10"/>
    </row>
    <row r="880" spans="1:12">
      <c r="A880" s="13"/>
      <c r="B880" s="48"/>
      <c r="C880" s="13"/>
      <c r="D880" s="49">
        <v>50000</v>
      </c>
      <c r="E880" s="51">
        <v>6.5000000000000002E-2</v>
      </c>
      <c r="F880" s="42">
        <v>15</v>
      </c>
      <c r="G880" s="50">
        <v>41004</v>
      </c>
      <c r="H880" s="49">
        <v>10</v>
      </c>
      <c r="I880" s="49">
        <f t="shared" si="27"/>
        <v>16250</v>
      </c>
      <c r="J880" s="29">
        <f t="shared" si="26"/>
        <v>10000</v>
      </c>
      <c r="K880" s="13"/>
      <c r="L880" s="10"/>
    </row>
    <row r="881" spans="1:12">
      <c r="A881" s="13"/>
      <c r="B881" s="48"/>
      <c r="C881" s="13"/>
      <c r="D881" s="49">
        <v>100000</v>
      </c>
      <c r="E881" s="51">
        <v>6.5000000000000002E-2</v>
      </c>
      <c r="F881" s="42">
        <v>15</v>
      </c>
      <c r="G881" s="50">
        <v>41016</v>
      </c>
      <c r="H881" s="49">
        <v>8</v>
      </c>
      <c r="I881" s="49">
        <f t="shared" si="27"/>
        <v>26000</v>
      </c>
      <c r="J881" s="29">
        <f t="shared" si="26"/>
        <v>16000</v>
      </c>
      <c r="K881" s="13"/>
      <c r="L881" s="10"/>
    </row>
    <row r="882" spans="1:12">
      <c r="A882" s="13"/>
      <c r="B882" s="48"/>
      <c r="C882" s="13"/>
      <c r="D882" s="49">
        <v>50000</v>
      </c>
      <c r="E882" s="51">
        <v>7.0000000000000007E-2</v>
      </c>
      <c r="F882" s="42" t="s">
        <v>4036</v>
      </c>
      <c r="G882" s="50">
        <v>41029</v>
      </c>
      <c r="H882" s="49">
        <v>10</v>
      </c>
      <c r="I882" s="49">
        <f t="shared" si="27"/>
        <v>8750.0000000000018</v>
      </c>
      <c r="J882" s="29">
        <f t="shared" si="26"/>
        <v>5625.0000000000009</v>
      </c>
      <c r="K882" s="13"/>
      <c r="L882" s="10"/>
    </row>
    <row r="883" spans="1:12">
      <c r="A883" s="13"/>
      <c r="B883" s="48"/>
      <c r="C883" s="13"/>
      <c r="D883" s="49">
        <v>50000</v>
      </c>
      <c r="E883" s="51">
        <v>7.0000000000000007E-2</v>
      </c>
      <c r="F883" s="42" t="s">
        <v>4036</v>
      </c>
      <c r="G883" s="50">
        <v>41043</v>
      </c>
      <c r="H883" s="49">
        <v>10</v>
      </c>
      <c r="I883" s="49">
        <f t="shared" si="27"/>
        <v>8750.0000000000018</v>
      </c>
      <c r="J883" s="29">
        <f t="shared" si="26"/>
        <v>5625.0000000000009</v>
      </c>
      <c r="K883" s="13"/>
      <c r="L883" s="10"/>
    </row>
    <row r="884" spans="1:12">
      <c r="A884" s="13"/>
      <c r="B884" s="48"/>
      <c r="C884" s="13"/>
      <c r="D884" s="49">
        <v>30000</v>
      </c>
      <c r="E884" s="51">
        <v>6.5000000000000002E-2</v>
      </c>
      <c r="F884" s="42">
        <v>15</v>
      </c>
      <c r="G884" s="50">
        <v>41063</v>
      </c>
      <c r="H884" s="49">
        <v>3</v>
      </c>
      <c r="I884" s="49">
        <f t="shared" si="27"/>
        <v>2925</v>
      </c>
      <c r="J884" s="29">
        <f t="shared" si="26"/>
        <v>1800</v>
      </c>
      <c r="K884" s="13"/>
      <c r="L884" s="10"/>
    </row>
    <row r="885" spans="1:12">
      <c r="A885" s="13"/>
      <c r="B885" s="48"/>
      <c r="C885" s="13"/>
      <c r="D885" s="49">
        <v>80000</v>
      </c>
      <c r="E885" s="51">
        <v>6.5000000000000002E-2</v>
      </c>
      <c r="F885" s="42">
        <v>15</v>
      </c>
      <c r="G885" s="50">
        <v>41073</v>
      </c>
      <c r="H885" s="49">
        <v>4</v>
      </c>
      <c r="I885" s="49">
        <f t="shared" si="27"/>
        <v>10400</v>
      </c>
      <c r="J885" s="29">
        <f t="shared" si="26"/>
        <v>6400</v>
      </c>
      <c r="K885" s="13"/>
      <c r="L885" s="10"/>
    </row>
    <row r="886" spans="1:12">
      <c r="A886" s="13"/>
      <c r="B886" s="48"/>
      <c r="C886" s="13"/>
      <c r="D886" s="49">
        <v>50000</v>
      </c>
      <c r="E886" s="51">
        <v>7.0000000000000007E-2</v>
      </c>
      <c r="F886" s="42" t="s">
        <v>4036</v>
      </c>
      <c r="G886" s="50">
        <v>41080</v>
      </c>
      <c r="H886" s="49">
        <v>10</v>
      </c>
      <c r="I886" s="49">
        <f t="shared" si="27"/>
        <v>8750.0000000000018</v>
      </c>
      <c r="J886" s="29">
        <f t="shared" si="26"/>
        <v>5625.0000000000009</v>
      </c>
      <c r="K886" s="13"/>
      <c r="L886" s="10"/>
    </row>
    <row r="887" spans="1:12">
      <c r="A887" s="13"/>
      <c r="B887" s="48"/>
      <c r="C887" s="13"/>
      <c r="D887" s="49">
        <v>80000</v>
      </c>
      <c r="E887" s="51">
        <v>6.5000000000000002E-2</v>
      </c>
      <c r="F887" s="42">
        <v>15</v>
      </c>
      <c r="G887" s="50">
        <v>41106</v>
      </c>
      <c r="H887" s="49">
        <v>4</v>
      </c>
      <c r="I887" s="49">
        <f t="shared" si="27"/>
        <v>10400</v>
      </c>
      <c r="J887" s="29">
        <f t="shared" si="26"/>
        <v>6400</v>
      </c>
      <c r="K887" s="13"/>
      <c r="L887" s="10"/>
    </row>
    <row r="888" spans="1:12">
      <c r="A888" s="13"/>
      <c r="B888" s="48"/>
      <c r="C888" s="13"/>
      <c r="D888" s="49">
        <v>80000</v>
      </c>
      <c r="E888" s="51">
        <v>6.5000000000000002E-2</v>
      </c>
      <c r="F888" s="42">
        <v>15</v>
      </c>
      <c r="G888" s="50">
        <v>41133</v>
      </c>
      <c r="H888" s="49">
        <v>2</v>
      </c>
      <c r="I888" s="49">
        <f t="shared" si="27"/>
        <v>5200</v>
      </c>
      <c r="J888" s="29">
        <f t="shared" si="26"/>
        <v>3200</v>
      </c>
      <c r="K888" s="13"/>
      <c r="L888" s="10"/>
    </row>
    <row r="889" spans="1:12">
      <c r="A889" s="13"/>
      <c r="B889" s="48"/>
      <c r="C889" s="13"/>
      <c r="D889" s="49">
        <v>100000</v>
      </c>
      <c r="E889" s="51">
        <v>6.5000000000000002E-2</v>
      </c>
      <c r="F889" s="42">
        <v>15</v>
      </c>
      <c r="G889" s="50">
        <v>41136</v>
      </c>
      <c r="H889" s="49">
        <v>2</v>
      </c>
      <c r="I889" s="49">
        <f t="shared" si="27"/>
        <v>6500</v>
      </c>
      <c r="J889" s="29">
        <f t="shared" si="26"/>
        <v>4000</v>
      </c>
      <c r="K889" s="13"/>
      <c r="L889" s="10"/>
    </row>
    <row r="890" spans="1:12">
      <c r="A890" s="13">
        <v>154</v>
      </c>
      <c r="B890" s="48">
        <v>3453</v>
      </c>
      <c r="C890" s="13" t="s">
        <v>1051</v>
      </c>
      <c r="D890" s="49">
        <v>10000</v>
      </c>
      <c r="E890" s="51">
        <v>7.0000000000000007E-2</v>
      </c>
      <c r="F890" s="42" t="s">
        <v>4036</v>
      </c>
      <c r="G890" s="50">
        <v>40959</v>
      </c>
      <c r="H890" s="49">
        <v>10</v>
      </c>
      <c r="I890" s="49">
        <f t="shared" si="27"/>
        <v>1750.0000000000005</v>
      </c>
      <c r="J890" s="29">
        <f t="shared" si="26"/>
        <v>1125.0000000000002</v>
      </c>
      <c r="K890" s="13" t="s">
        <v>1445</v>
      </c>
      <c r="L890" s="10"/>
    </row>
    <row r="891" spans="1:12">
      <c r="A891" s="13"/>
      <c r="B891" s="48"/>
      <c r="C891" s="13"/>
      <c r="D891" s="49">
        <v>20000</v>
      </c>
      <c r="E891" s="51">
        <v>7.4999999999999997E-2</v>
      </c>
      <c r="F891" s="42">
        <v>15</v>
      </c>
      <c r="G891" s="50">
        <v>40968</v>
      </c>
      <c r="H891" s="49">
        <v>4</v>
      </c>
      <c r="I891" s="49">
        <f t="shared" si="27"/>
        <v>3000</v>
      </c>
      <c r="J891" s="29">
        <f t="shared" si="26"/>
        <v>1999.9999999999998</v>
      </c>
      <c r="K891" s="13"/>
      <c r="L891" s="10"/>
    </row>
    <row r="892" spans="1:12">
      <c r="A892" s="13"/>
      <c r="B892" s="48"/>
      <c r="C892" s="13"/>
      <c r="D892" s="49">
        <v>10000</v>
      </c>
      <c r="E892" s="51">
        <v>7.0000000000000007E-2</v>
      </c>
      <c r="F892" s="42" t="s">
        <v>4036</v>
      </c>
      <c r="G892" s="50">
        <v>41019</v>
      </c>
      <c r="H892" s="49">
        <v>10</v>
      </c>
      <c r="I892" s="49">
        <f t="shared" si="27"/>
        <v>1750.0000000000005</v>
      </c>
      <c r="J892" s="29">
        <f t="shared" si="26"/>
        <v>1125.0000000000002</v>
      </c>
      <c r="K892" s="13"/>
      <c r="L892" s="10"/>
    </row>
    <row r="893" spans="1:12">
      <c r="A893" s="13"/>
      <c r="B893" s="48"/>
      <c r="C893" s="13"/>
      <c r="D893" s="49">
        <v>10000</v>
      </c>
      <c r="E893" s="51">
        <v>7.4999999999999997E-2</v>
      </c>
      <c r="F893" s="42">
        <v>15</v>
      </c>
      <c r="G893" s="50">
        <v>41028</v>
      </c>
      <c r="H893" s="49">
        <v>1</v>
      </c>
      <c r="I893" s="49">
        <f t="shared" si="27"/>
        <v>375</v>
      </c>
      <c r="J893" s="29">
        <f t="shared" si="26"/>
        <v>249.99999999999997</v>
      </c>
      <c r="K893" s="13"/>
      <c r="L893" s="10"/>
    </row>
    <row r="894" spans="1:12">
      <c r="A894" s="13"/>
      <c r="B894" s="48"/>
      <c r="C894" s="13"/>
      <c r="D894" s="49">
        <v>20000</v>
      </c>
      <c r="E894" s="51">
        <v>7.4999999999999997E-2</v>
      </c>
      <c r="F894" s="42">
        <v>15</v>
      </c>
      <c r="G894" s="50">
        <v>41043</v>
      </c>
      <c r="H894" s="49">
        <v>18</v>
      </c>
      <c r="I894" s="49">
        <f t="shared" si="27"/>
        <v>13500</v>
      </c>
      <c r="J894" s="29">
        <f t="shared" si="26"/>
        <v>8999.9999999999982</v>
      </c>
      <c r="K894" s="13"/>
      <c r="L894" s="10"/>
    </row>
    <row r="895" spans="1:12">
      <c r="A895" s="13"/>
      <c r="B895" s="48"/>
      <c r="C895" s="13"/>
      <c r="D895" s="49">
        <v>10000</v>
      </c>
      <c r="E895" s="51">
        <v>7.0000000000000007E-2</v>
      </c>
      <c r="F895" s="42" t="s">
        <v>4036</v>
      </c>
      <c r="G895" s="50">
        <v>41058</v>
      </c>
      <c r="H895" s="49">
        <v>10</v>
      </c>
      <c r="I895" s="49">
        <f t="shared" si="27"/>
        <v>1750.0000000000005</v>
      </c>
      <c r="J895" s="29">
        <f t="shared" si="26"/>
        <v>1125.0000000000002</v>
      </c>
      <c r="K895" s="13"/>
      <c r="L895" s="10"/>
    </row>
    <row r="896" spans="1:12">
      <c r="A896" s="13"/>
      <c r="B896" s="48"/>
      <c r="C896" s="13"/>
      <c r="D896" s="49">
        <v>10000</v>
      </c>
      <c r="E896" s="51">
        <v>7.0000000000000007E-2</v>
      </c>
      <c r="F896" s="42" t="s">
        <v>4036</v>
      </c>
      <c r="G896" s="50">
        <v>41081</v>
      </c>
      <c r="H896" s="49">
        <v>10</v>
      </c>
      <c r="I896" s="49">
        <f t="shared" si="27"/>
        <v>1750.0000000000005</v>
      </c>
      <c r="J896" s="29">
        <f t="shared" si="26"/>
        <v>1125.0000000000002</v>
      </c>
      <c r="K896" s="13"/>
      <c r="L896" s="10"/>
    </row>
    <row r="897" spans="1:12">
      <c r="A897" s="13"/>
      <c r="B897" s="48"/>
      <c r="C897" s="13"/>
      <c r="D897" s="49">
        <v>10000</v>
      </c>
      <c r="E897" s="51">
        <v>7.0000000000000007E-2</v>
      </c>
      <c r="F897" s="42" t="s">
        <v>4036</v>
      </c>
      <c r="G897" s="50">
        <v>41116</v>
      </c>
      <c r="H897" s="49">
        <v>10</v>
      </c>
      <c r="I897" s="49">
        <f t="shared" si="27"/>
        <v>1750.0000000000005</v>
      </c>
      <c r="J897" s="29">
        <f t="shared" si="26"/>
        <v>1125.0000000000002</v>
      </c>
      <c r="K897" s="13"/>
      <c r="L897" s="10"/>
    </row>
    <row r="898" spans="1:12">
      <c r="A898" s="13"/>
      <c r="B898" s="48"/>
      <c r="C898" s="13"/>
      <c r="D898" s="49">
        <v>10000</v>
      </c>
      <c r="E898" s="51">
        <v>7.0000000000000007E-2</v>
      </c>
      <c r="F898" s="42" t="s">
        <v>4036</v>
      </c>
      <c r="G898" s="50">
        <v>41141</v>
      </c>
      <c r="H898" s="49">
        <v>10</v>
      </c>
      <c r="I898" s="49">
        <f t="shared" si="27"/>
        <v>1750.0000000000005</v>
      </c>
      <c r="J898" s="29">
        <f t="shared" ref="J898:J959" si="28">IF(F898="分期",D898*(E898-0.025)*2.5*H898/10,D898*(E898-0.025)*F898/30*H898)</f>
        <v>1125.0000000000002</v>
      </c>
      <c r="K898" s="13"/>
      <c r="L898" s="10"/>
    </row>
    <row r="899" spans="1:12">
      <c r="A899" s="13"/>
      <c r="B899" s="48"/>
      <c r="C899" s="13"/>
      <c r="D899" s="49">
        <v>10000</v>
      </c>
      <c r="E899" s="51">
        <v>7.0000000000000007E-2</v>
      </c>
      <c r="F899" s="42" t="s">
        <v>4036</v>
      </c>
      <c r="G899" s="50">
        <v>41177</v>
      </c>
      <c r="H899" s="49">
        <v>10</v>
      </c>
      <c r="I899" s="49">
        <f t="shared" si="27"/>
        <v>1750.0000000000005</v>
      </c>
      <c r="J899" s="29">
        <f t="shared" si="28"/>
        <v>1125.0000000000002</v>
      </c>
      <c r="K899" s="13"/>
      <c r="L899" s="10"/>
    </row>
    <row r="900" spans="1:12">
      <c r="A900" s="13"/>
      <c r="B900" s="48"/>
      <c r="C900" s="13"/>
      <c r="D900" s="49">
        <v>10000</v>
      </c>
      <c r="E900" s="51">
        <v>7.0000000000000007E-2</v>
      </c>
      <c r="F900" s="42" t="s">
        <v>4036</v>
      </c>
      <c r="G900" s="50">
        <v>41197</v>
      </c>
      <c r="H900" s="49">
        <v>10</v>
      </c>
      <c r="I900" s="49">
        <f t="shared" ref="I900:I963" si="29">IF(F900="分期",D900*E900*2.5*H900/10,D900*E900*F900*H900/30)</f>
        <v>1750.0000000000005</v>
      </c>
      <c r="J900" s="29">
        <f t="shared" si="28"/>
        <v>1125.0000000000002</v>
      </c>
      <c r="K900" s="13"/>
      <c r="L900" s="10"/>
    </row>
    <row r="901" spans="1:12">
      <c r="A901" s="13"/>
      <c r="B901" s="48"/>
      <c r="C901" s="13"/>
      <c r="D901" s="49">
        <v>10000</v>
      </c>
      <c r="E901" s="51">
        <v>7.0000000000000007E-2</v>
      </c>
      <c r="F901" s="42" t="s">
        <v>4036</v>
      </c>
      <c r="G901" s="50">
        <v>41234</v>
      </c>
      <c r="H901" s="49">
        <v>10</v>
      </c>
      <c r="I901" s="49">
        <f t="shared" si="29"/>
        <v>1750.0000000000005</v>
      </c>
      <c r="J901" s="29">
        <f t="shared" si="28"/>
        <v>1125.0000000000002</v>
      </c>
      <c r="K901" s="13"/>
      <c r="L901" s="10"/>
    </row>
    <row r="902" spans="1:12">
      <c r="A902" s="13"/>
      <c r="B902" s="48"/>
      <c r="C902" s="13"/>
      <c r="D902" s="49">
        <v>10000</v>
      </c>
      <c r="E902" s="51">
        <v>7.0000000000000007E-2</v>
      </c>
      <c r="F902" s="42" t="s">
        <v>4036</v>
      </c>
      <c r="G902" s="50">
        <v>41254</v>
      </c>
      <c r="H902" s="49">
        <v>10</v>
      </c>
      <c r="I902" s="49">
        <f t="shared" si="29"/>
        <v>1750.0000000000005</v>
      </c>
      <c r="J902" s="29">
        <f t="shared" si="28"/>
        <v>1125.0000000000002</v>
      </c>
      <c r="K902" s="13"/>
      <c r="L902" s="10"/>
    </row>
    <row r="903" spans="1:12">
      <c r="A903" s="13">
        <v>155</v>
      </c>
      <c r="B903" s="48">
        <v>3455</v>
      </c>
      <c r="C903" s="13" t="s">
        <v>1139</v>
      </c>
      <c r="D903" s="49">
        <v>60000</v>
      </c>
      <c r="E903" s="51">
        <v>7.4999999999999997E-2</v>
      </c>
      <c r="F903" s="42">
        <v>15</v>
      </c>
      <c r="G903" s="50">
        <v>40985</v>
      </c>
      <c r="H903" s="49">
        <v>20</v>
      </c>
      <c r="I903" s="49">
        <f t="shared" si="29"/>
        <v>45000</v>
      </c>
      <c r="J903" s="29">
        <f t="shared" si="28"/>
        <v>29999.999999999996</v>
      </c>
      <c r="K903" s="13" t="s">
        <v>1446</v>
      </c>
      <c r="L903" s="10"/>
    </row>
    <row r="904" spans="1:12">
      <c r="A904" s="13"/>
      <c r="B904" s="48"/>
      <c r="C904" s="13"/>
      <c r="D904" s="49">
        <v>30000</v>
      </c>
      <c r="E904" s="51">
        <v>7.4999999999999997E-2</v>
      </c>
      <c r="F904" s="42">
        <v>15</v>
      </c>
      <c r="G904" s="50">
        <v>41285</v>
      </c>
      <c r="H904" s="49">
        <v>2</v>
      </c>
      <c r="I904" s="49">
        <f t="shared" si="29"/>
        <v>2250</v>
      </c>
      <c r="J904" s="29">
        <f t="shared" si="28"/>
        <v>1499.9999999999998</v>
      </c>
      <c r="K904" s="13"/>
      <c r="L904" s="10"/>
    </row>
    <row r="905" spans="1:12">
      <c r="A905" s="13">
        <v>156</v>
      </c>
      <c r="B905" s="48">
        <v>3457</v>
      </c>
      <c r="C905" s="13" t="s">
        <v>1399</v>
      </c>
      <c r="D905" s="49">
        <v>12000</v>
      </c>
      <c r="E905" s="51">
        <v>7.4999999999999997E-2</v>
      </c>
      <c r="F905" s="42">
        <v>15</v>
      </c>
      <c r="G905" s="50">
        <v>40994</v>
      </c>
      <c r="H905" s="49">
        <v>1</v>
      </c>
      <c r="I905" s="49">
        <f t="shared" si="29"/>
        <v>450</v>
      </c>
      <c r="J905" s="29">
        <f t="shared" si="28"/>
        <v>300</v>
      </c>
      <c r="K905" s="13" t="s">
        <v>1447</v>
      </c>
      <c r="L905" s="10"/>
    </row>
    <row r="906" spans="1:12">
      <c r="A906" s="13">
        <v>157</v>
      </c>
      <c r="B906" s="48">
        <v>3459</v>
      </c>
      <c r="C906" s="13" t="s">
        <v>1823</v>
      </c>
      <c r="D906" s="49">
        <v>70000</v>
      </c>
      <c r="E906" s="51">
        <v>7.4999999999999997E-2</v>
      </c>
      <c r="F906" s="42">
        <v>15</v>
      </c>
      <c r="G906" s="50">
        <v>41002</v>
      </c>
      <c r="H906" s="49">
        <v>20</v>
      </c>
      <c r="I906" s="49">
        <f t="shared" si="29"/>
        <v>52500</v>
      </c>
      <c r="J906" s="29">
        <f t="shared" si="28"/>
        <v>34999.999999999993</v>
      </c>
      <c r="K906" s="13" t="s">
        <v>1448</v>
      </c>
      <c r="L906" s="10"/>
    </row>
    <row r="907" spans="1:12">
      <c r="A907" s="13"/>
      <c r="B907" s="48"/>
      <c r="C907" s="13"/>
      <c r="D907" s="49">
        <v>150000</v>
      </c>
      <c r="E907" s="51">
        <v>7.4999999999999997E-2</v>
      </c>
      <c r="F907" s="42">
        <v>15</v>
      </c>
      <c r="G907" s="50">
        <v>41027</v>
      </c>
      <c r="H907" s="49">
        <v>20</v>
      </c>
      <c r="I907" s="49">
        <f t="shared" si="29"/>
        <v>112500</v>
      </c>
      <c r="J907" s="29">
        <f t="shared" si="28"/>
        <v>74999.999999999985</v>
      </c>
      <c r="K907" s="13"/>
      <c r="L907" s="10"/>
    </row>
    <row r="908" spans="1:12">
      <c r="A908" s="13">
        <v>158</v>
      </c>
      <c r="B908" s="48">
        <v>3461</v>
      </c>
      <c r="C908" s="13" t="s">
        <v>2001</v>
      </c>
      <c r="D908" s="49">
        <v>30000</v>
      </c>
      <c r="E908" s="51">
        <v>7.0000000000000007E-2</v>
      </c>
      <c r="F908" s="42" t="s">
        <v>4036</v>
      </c>
      <c r="G908" s="50">
        <v>40998</v>
      </c>
      <c r="H908" s="49">
        <v>10</v>
      </c>
      <c r="I908" s="49">
        <f t="shared" si="29"/>
        <v>5250</v>
      </c>
      <c r="J908" s="29">
        <f t="shared" si="28"/>
        <v>3375.0000000000009</v>
      </c>
      <c r="K908" s="13" t="s">
        <v>1449</v>
      </c>
      <c r="L908" s="10"/>
    </row>
    <row r="909" spans="1:12">
      <c r="A909" s="13">
        <v>159</v>
      </c>
      <c r="B909" s="48">
        <v>3463</v>
      </c>
      <c r="C909" s="13" t="s">
        <v>1171</v>
      </c>
      <c r="D909" s="49">
        <v>120000</v>
      </c>
      <c r="E909" s="51">
        <v>0.05</v>
      </c>
      <c r="F909" s="42">
        <v>15</v>
      </c>
      <c r="G909" s="50">
        <v>41018</v>
      </c>
      <c r="H909" s="49">
        <v>19</v>
      </c>
      <c r="I909" s="49">
        <f t="shared" si="29"/>
        <v>57000</v>
      </c>
      <c r="J909" s="29">
        <f t="shared" si="28"/>
        <v>28500</v>
      </c>
      <c r="K909" s="13" t="s">
        <v>1450</v>
      </c>
      <c r="L909" s="10"/>
    </row>
    <row r="910" spans="1:12">
      <c r="A910" s="13">
        <v>160</v>
      </c>
      <c r="B910" s="48">
        <v>3465</v>
      </c>
      <c r="C910" s="13" t="s">
        <v>1082</v>
      </c>
      <c r="D910" s="49">
        <v>30000</v>
      </c>
      <c r="E910" s="51">
        <v>7.4999999999999997E-2</v>
      </c>
      <c r="F910" s="42">
        <v>15</v>
      </c>
      <c r="G910" s="50">
        <v>41029</v>
      </c>
      <c r="H910" s="49">
        <v>1</v>
      </c>
      <c r="I910" s="49">
        <f t="shared" si="29"/>
        <v>1125</v>
      </c>
      <c r="J910" s="29">
        <f t="shared" si="28"/>
        <v>749.99999999999989</v>
      </c>
      <c r="K910" s="13" t="s">
        <v>1451</v>
      </c>
      <c r="L910" s="10"/>
    </row>
    <row r="911" spans="1:12">
      <c r="A911" s="13"/>
      <c r="B911" s="48"/>
      <c r="C911" s="13"/>
      <c r="D911" s="49">
        <v>40000</v>
      </c>
      <c r="E911" s="51">
        <v>7.4999999999999997E-2</v>
      </c>
      <c r="F911" s="42">
        <v>15</v>
      </c>
      <c r="G911" s="50">
        <v>41038</v>
      </c>
      <c r="H911" s="49">
        <v>7</v>
      </c>
      <c r="I911" s="49">
        <f t="shared" si="29"/>
        <v>10500</v>
      </c>
      <c r="J911" s="29">
        <f t="shared" si="28"/>
        <v>6999.9999999999991</v>
      </c>
      <c r="K911" s="13"/>
      <c r="L911" s="10"/>
    </row>
    <row r="912" spans="1:12">
      <c r="A912" s="13"/>
      <c r="B912" s="48"/>
      <c r="C912" s="13"/>
      <c r="D912" s="49">
        <v>50000</v>
      </c>
      <c r="E912" s="51">
        <v>7.4999999999999997E-2</v>
      </c>
      <c r="F912" s="42">
        <v>15</v>
      </c>
      <c r="G912" s="50">
        <v>41225</v>
      </c>
      <c r="H912" s="49">
        <v>5</v>
      </c>
      <c r="I912" s="49">
        <f t="shared" si="29"/>
        <v>9375</v>
      </c>
      <c r="J912" s="29">
        <f t="shared" si="28"/>
        <v>6250</v>
      </c>
      <c r="K912" s="13"/>
      <c r="L912" s="10"/>
    </row>
    <row r="913" spans="1:12">
      <c r="A913" s="13">
        <v>161</v>
      </c>
      <c r="B913" s="48">
        <v>3467</v>
      </c>
      <c r="C913" s="13" t="s">
        <v>1095</v>
      </c>
      <c r="D913" s="49">
        <v>300000</v>
      </c>
      <c r="E913" s="51">
        <v>7.4999999999999997E-2</v>
      </c>
      <c r="F913" s="42">
        <v>15</v>
      </c>
      <c r="G913" s="50">
        <v>41030</v>
      </c>
      <c r="H913" s="49">
        <v>11</v>
      </c>
      <c r="I913" s="49">
        <f t="shared" si="29"/>
        <v>123750</v>
      </c>
      <c r="J913" s="29">
        <f t="shared" si="28"/>
        <v>82499.999999999985</v>
      </c>
      <c r="K913" s="13" t="s">
        <v>1452</v>
      </c>
      <c r="L913" s="10"/>
    </row>
    <row r="914" spans="1:12">
      <c r="A914" s="13"/>
      <c r="B914" s="48"/>
      <c r="C914" s="13"/>
      <c r="D914" s="49">
        <v>250000</v>
      </c>
      <c r="E914" s="51">
        <v>7.4999999999999997E-2</v>
      </c>
      <c r="F914" s="42">
        <v>15</v>
      </c>
      <c r="G914" s="50">
        <v>41195</v>
      </c>
      <c r="H914" s="49">
        <v>7</v>
      </c>
      <c r="I914" s="49">
        <f t="shared" si="29"/>
        <v>65625</v>
      </c>
      <c r="J914" s="29">
        <f t="shared" si="28"/>
        <v>43749.999999999993</v>
      </c>
      <c r="K914" s="13"/>
      <c r="L914" s="10"/>
    </row>
    <row r="915" spans="1:12">
      <c r="A915" s="13">
        <v>162</v>
      </c>
      <c r="B915" s="48">
        <v>3469</v>
      </c>
      <c r="C915" s="13" t="s">
        <v>1166</v>
      </c>
      <c r="D915" s="49">
        <v>150000</v>
      </c>
      <c r="E915" s="51">
        <v>7.4999999999999997E-2</v>
      </c>
      <c r="F915" s="42">
        <v>15</v>
      </c>
      <c r="G915" s="50">
        <v>41036</v>
      </c>
      <c r="H915" s="49">
        <v>18</v>
      </c>
      <c r="I915" s="49">
        <f t="shared" si="29"/>
        <v>101250</v>
      </c>
      <c r="J915" s="29">
        <f t="shared" si="28"/>
        <v>67499.999999999985</v>
      </c>
      <c r="K915" s="13" t="s">
        <v>1453</v>
      </c>
      <c r="L915" s="10"/>
    </row>
    <row r="916" spans="1:12">
      <c r="A916" s="13">
        <v>163</v>
      </c>
      <c r="B916" s="48">
        <v>3471</v>
      </c>
      <c r="C916" s="13" t="s">
        <v>3572</v>
      </c>
      <c r="D916" s="49">
        <v>100000</v>
      </c>
      <c r="E916" s="51">
        <v>7.4999999999999997E-2</v>
      </c>
      <c r="F916" s="42">
        <v>15</v>
      </c>
      <c r="G916" s="50">
        <v>41065</v>
      </c>
      <c r="H916" s="49">
        <v>17</v>
      </c>
      <c r="I916" s="49">
        <f t="shared" si="29"/>
        <v>63750</v>
      </c>
      <c r="J916" s="29">
        <f t="shared" si="28"/>
        <v>42500</v>
      </c>
      <c r="K916" s="13" t="s">
        <v>1454</v>
      </c>
      <c r="L916" s="10"/>
    </row>
    <row r="917" spans="1:12">
      <c r="A917" s="13">
        <v>164</v>
      </c>
      <c r="B917" s="48">
        <v>3473</v>
      </c>
      <c r="C917" s="13" t="s">
        <v>1053</v>
      </c>
      <c r="D917" s="49">
        <v>100000</v>
      </c>
      <c r="E917" s="51">
        <v>7.4999999999999997E-2</v>
      </c>
      <c r="F917" s="42">
        <v>15</v>
      </c>
      <c r="G917" s="50">
        <v>41074</v>
      </c>
      <c r="H917" s="49">
        <v>3</v>
      </c>
      <c r="I917" s="49">
        <f t="shared" si="29"/>
        <v>11250</v>
      </c>
      <c r="J917" s="29">
        <f t="shared" si="28"/>
        <v>7500</v>
      </c>
      <c r="K917" s="13" t="s">
        <v>1455</v>
      </c>
      <c r="L917" s="10"/>
    </row>
    <row r="918" spans="1:12">
      <c r="A918" s="13"/>
      <c r="B918" s="48"/>
      <c r="C918" s="13"/>
      <c r="D918" s="49">
        <v>90000</v>
      </c>
      <c r="E918" s="51">
        <v>7.4999999999999997E-2</v>
      </c>
      <c r="F918" s="42">
        <v>15</v>
      </c>
      <c r="G918" s="50">
        <v>41119</v>
      </c>
      <c r="H918" s="49">
        <v>1</v>
      </c>
      <c r="I918" s="49">
        <f t="shared" si="29"/>
        <v>3375</v>
      </c>
      <c r="J918" s="29">
        <f t="shared" si="28"/>
        <v>2250</v>
      </c>
      <c r="K918" s="13"/>
      <c r="L918" s="10"/>
    </row>
    <row r="919" spans="1:12">
      <c r="A919" s="13"/>
      <c r="B919" s="48"/>
      <c r="C919" s="13"/>
      <c r="D919" s="49">
        <v>85000</v>
      </c>
      <c r="E919" s="51">
        <v>7.4999999999999997E-2</v>
      </c>
      <c r="F919" s="42">
        <v>15</v>
      </c>
      <c r="G919" s="50">
        <v>41134</v>
      </c>
      <c r="H919" s="49">
        <v>12</v>
      </c>
      <c r="I919" s="49">
        <f t="shared" si="29"/>
        <v>38250</v>
      </c>
      <c r="J919" s="29">
        <f t="shared" si="28"/>
        <v>25500</v>
      </c>
      <c r="K919" s="13"/>
      <c r="L919" s="10"/>
    </row>
    <row r="920" spans="1:12">
      <c r="A920" s="13">
        <v>165</v>
      </c>
      <c r="B920" s="48">
        <v>3475</v>
      </c>
      <c r="C920" s="13" t="s">
        <v>1144</v>
      </c>
      <c r="D920" s="49">
        <v>10000</v>
      </c>
      <c r="E920" s="51">
        <v>7.4999999999999997E-2</v>
      </c>
      <c r="F920" s="42">
        <v>15</v>
      </c>
      <c r="G920" s="50">
        <v>41088</v>
      </c>
      <c r="H920" s="49">
        <v>10</v>
      </c>
      <c r="I920" s="49">
        <f t="shared" si="29"/>
        <v>3750</v>
      </c>
      <c r="J920" s="29">
        <f t="shared" si="28"/>
        <v>2499.9999999999995</v>
      </c>
      <c r="K920" s="13" t="s">
        <v>1456</v>
      </c>
      <c r="L920" s="10"/>
    </row>
    <row r="921" spans="1:12">
      <c r="A921" s="13"/>
      <c r="B921" s="48"/>
      <c r="C921" s="13"/>
      <c r="D921" s="49">
        <v>40000</v>
      </c>
      <c r="E921" s="51">
        <v>7.4999999999999997E-2</v>
      </c>
      <c r="F921" s="42">
        <v>15</v>
      </c>
      <c r="G921" s="50">
        <v>41096</v>
      </c>
      <c r="H921" s="49">
        <v>7</v>
      </c>
      <c r="I921" s="49">
        <f t="shared" si="29"/>
        <v>10500</v>
      </c>
      <c r="J921" s="29">
        <f t="shared" si="28"/>
        <v>6999.9999999999991</v>
      </c>
      <c r="K921" s="13"/>
      <c r="L921" s="10"/>
    </row>
    <row r="922" spans="1:12" ht="32.4">
      <c r="A922" s="13">
        <v>166</v>
      </c>
      <c r="B922" s="48">
        <v>3477</v>
      </c>
      <c r="C922" s="13" t="s">
        <v>3744</v>
      </c>
      <c r="D922" s="49">
        <v>20000</v>
      </c>
      <c r="E922" s="51">
        <v>7.4999999999999997E-2</v>
      </c>
      <c r="F922" s="42">
        <v>15</v>
      </c>
      <c r="G922" s="50">
        <v>41099</v>
      </c>
      <c r="H922" s="49">
        <v>3</v>
      </c>
      <c r="I922" s="49">
        <f t="shared" si="29"/>
        <v>2250</v>
      </c>
      <c r="J922" s="29">
        <f t="shared" si="28"/>
        <v>1499.9999999999998</v>
      </c>
      <c r="K922" s="13" t="s">
        <v>1457</v>
      </c>
      <c r="L922" s="10" t="s">
        <v>3743</v>
      </c>
    </row>
    <row r="923" spans="1:12">
      <c r="A923" s="13"/>
      <c r="B923" s="48"/>
      <c r="C923" s="13"/>
      <c r="D923" s="49">
        <v>10000</v>
      </c>
      <c r="E923" s="51">
        <v>7.0000000000000007E-2</v>
      </c>
      <c r="F923" s="42" t="s">
        <v>4036</v>
      </c>
      <c r="G923" s="50">
        <v>41138</v>
      </c>
      <c r="H923" s="49">
        <v>10</v>
      </c>
      <c r="I923" s="49">
        <f t="shared" si="29"/>
        <v>1750.0000000000005</v>
      </c>
      <c r="J923" s="29">
        <f t="shared" si="28"/>
        <v>1125.0000000000002</v>
      </c>
      <c r="K923" s="13"/>
      <c r="L923" s="10"/>
    </row>
    <row r="924" spans="1:12">
      <c r="A924" s="13"/>
      <c r="B924" s="48"/>
      <c r="C924" s="13"/>
      <c r="D924" s="49">
        <v>30000</v>
      </c>
      <c r="E924" s="51">
        <v>7.4999999999999997E-2</v>
      </c>
      <c r="F924" s="42">
        <v>15</v>
      </c>
      <c r="G924" s="50">
        <v>41144</v>
      </c>
      <c r="H924" s="62">
        <v>11</v>
      </c>
      <c r="I924" s="49">
        <f t="shared" si="29"/>
        <v>12375</v>
      </c>
      <c r="J924" s="29">
        <f t="shared" si="28"/>
        <v>8249.9999999999982</v>
      </c>
      <c r="K924" s="13"/>
      <c r="L924" s="10" t="s">
        <v>1508</v>
      </c>
    </row>
    <row r="925" spans="1:12">
      <c r="A925" s="13"/>
      <c r="B925" s="48"/>
      <c r="C925" s="13"/>
      <c r="D925" s="49">
        <v>10000</v>
      </c>
      <c r="E925" s="51">
        <v>7.0000000000000007E-2</v>
      </c>
      <c r="F925" s="42" t="s">
        <v>4036</v>
      </c>
      <c r="G925" s="50">
        <v>41187</v>
      </c>
      <c r="H925" s="49">
        <v>10</v>
      </c>
      <c r="I925" s="49">
        <f t="shared" si="29"/>
        <v>1750.0000000000005</v>
      </c>
      <c r="J925" s="29">
        <f t="shared" si="28"/>
        <v>1125.0000000000002</v>
      </c>
      <c r="K925" s="13"/>
      <c r="L925" s="10"/>
    </row>
    <row r="926" spans="1:12">
      <c r="A926" s="13"/>
      <c r="B926" s="48"/>
      <c r="C926" s="13"/>
      <c r="D926" s="49">
        <v>10000</v>
      </c>
      <c r="E926" s="51">
        <v>7.0000000000000007E-2</v>
      </c>
      <c r="F926" s="42" t="s">
        <v>4036</v>
      </c>
      <c r="G926" s="50">
        <v>41227</v>
      </c>
      <c r="H926" s="49">
        <v>10</v>
      </c>
      <c r="I926" s="49">
        <f t="shared" si="29"/>
        <v>1750.0000000000005</v>
      </c>
      <c r="J926" s="29">
        <f t="shared" si="28"/>
        <v>1125.0000000000002</v>
      </c>
      <c r="K926" s="13"/>
      <c r="L926" s="10"/>
    </row>
    <row r="927" spans="1:12">
      <c r="A927" s="13"/>
      <c r="B927" s="48"/>
      <c r="C927" s="13"/>
      <c r="D927" s="49">
        <v>10000</v>
      </c>
      <c r="E927" s="51">
        <v>7.0000000000000007E-2</v>
      </c>
      <c r="F927" s="42" t="s">
        <v>4036</v>
      </c>
      <c r="G927" s="50">
        <v>41269</v>
      </c>
      <c r="H927" s="62">
        <v>5</v>
      </c>
      <c r="I927" s="49">
        <f t="shared" si="29"/>
        <v>875.00000000000023</v>
      </c>
      <c r="J927" s="29">
        <f t="shared" si="28"/>
        <v>562.50000000000011</v>
      </c>
      <c r="K927" s="13"/>
      <c r="L927" s="10" t="s">
        <v>1508</v>
      </c>
    </row>
    <row r="928" spans="1:12">
      <c r="A928" s="13">
        <v>167</v>
      </c>
      <c r="B928" s="48">
        <v>3479</v>
      </c>
      <c r="C928" s="13" t="s">
        <v>3626</v>
      </c>
      <c r="D928" s="49">
        <v>10000</v>
      </c>
      <c r="E928" s="51">
        <v>7.0000000000000007E-2</v>
      </c>
      <c r="F928" s="42" t="s">
        <v>4036</v>
      </c>
      <c r="G928" s="50">
        <v>41101</v>
      </c>
      <c r="H928" s="49">
        <v>10</v>
      </c>
      <c r="I928" s="49">
        <f t="shared" si="29"/>
        <v>1750.0000000000005</v>
      </c>
      <c r="J928" s="29">
        <f t="shared" si="28"/>
        <v>1125.0000000000002</v>
      </c>
      <c r="K928" s="13" t="s">
        <v>1458</v>
      </c>
      <c r="L928" s="10"/>
    </row>
    <row r="929" spans="1:12">
      <c r="A929" s="13">
        <v>168</v>
      </c>
      <c r="B929" s="48">
        <v>3481</v>
      </c>
      <c r="C929" s="13" t="s">
        <v>1083</v>
      </c>
      <c r="D929" s="49">
        <v>20000</v>
      </c>
      <c r="E929" s="51">
        <v>7.4999999999999997E-2</v>
      </c>
      <c r="F929" s="42">
        <v>15</v>
      </c>
      <c r="G929" s="50">
        <v>41123</v>
      </c>
      <c r="H929" s="49">
        <v>12</v>
      </c>
      <c r="I929" s="49">
        <f t="shared" si="29"/>
        <v>9000</v>
      </c>
      <c r="J929" s="29">
        <f t="shared" si="28"/>
        <v>5999.9999999999991</v>
      </c>
      <c r="K929" s="13" t="s">
        <v>1459</v>
      </c>
      <c r="L929" s="10"/>
    </row>
    <row r="930" spans="1:12">
      <c r="A930" s="13">
        <v>169</v>
      </c>
      <c r="B930" s="48">
        <v>3483</v>
      </c>
      <c r="C930" s="13" t="s">
        <v>1165</v>
      </c>
      <c r="D930" s="49">
        <v>15000</v>
      </c>
      <c r="E930" s="51">
        <v>7.0000000000000007E-2</v>
      </c>
      <c r="F930" s="42" t="s">
        <v>4036</v>
      </c>
      <c r="G930" s="50">
        <v>41130</v>
      </c>
      <c r="H930" s="49">
        <v>10</v>
      </c>
      <c r="I930" s="49">
        <f t="shared" si="29"/>
        <v>2625</v>
      </c>
      <c r="J930" s="29">
        <f t="shared" si="28"/>
        <v>1687.5000000000005</v>
      </c>
      <c r="K930" s="13" t="s">
        <v>2013</v>
      </c>
      <c r="L930" s="10"/>
    </row>
    <row r="931" spans="1:12">
      <c r="A931" s="13"/>
      <c r="B931" s="48"/>
      <c r="C931" s="13"/>
      <c r="D931" s="49">
        <v>15000</v>
      </c>
      <c r="E931" s="51">
        <v>7.4999999999999997E-2</v>
      </c>
      <c r="F931" s="42">
        <v>15</v>
      </c>
      <c r="G931" s="50">
        <v>41138</v>
      </c>
      <c r="H931" s="49">
        <v>10</v>
      </c>
      <c r="I931" s="49">
        <f t="shared" si="29"/>
        <v>5625</v>
      </c>
      <c r="J931" s="29">
        <f t="shared" si="28"/>
        <v>3749.9999999999995</v>
      </c>
      <c r="K931" s="13"/>
      <c r="L931" s="10"/>
    </row>
    <row r="932" spans="1:12">
      <c r="A932" s="13"/>
      <c r="B932" s="48"/>
      <c r="C932" s="13"/>
      <c r="D932" s="49">
        <v>15000</v>
      </c>
      <c r="E932" s="51">
        <v>7.0000000000000007E-2</v>
      </c>
      <c r="F932" s="42" t="s">
        <v>4036</v>
      </c>
      <c r="G932" s="50">
        <v>41157</v>
      </c>
      <c r="H932" s="49">
        <v>10</v>
      </c>
      <c r="I932" s="49">
        <f t="shared" si="29"/>
        <v>2625</v>
      </c>
      <c r="J932" s="29">
        <f t="shared" si="28"/>
        <v>1687.5000000000005</v>
      </c>
      <c r="K932" s="13"/>
      <c r="L932" s="10"/>
    </row>
    <row r="933" spans="1:12">
      <c r="A933" s="13"/>
      <c r="B933" s="48"/>
      <c r="C933" s="13"/>
      <c r="D933" s="49">
        <v>15000</v>
      </c>
      <c r="E933" s="51">
        <v>7.0000000000000007E-2</v>
      </c>
      <c r="F933" s="42" t="s">
        <v>4036</v>
      </c>
      <c r="G933" s="50">
        <v>41204</v>
      </c>
      <c r="H933" s="49">
        <v>10</v>
      </c>
      <c r="I933" s="49">
        <f t="shared" si="29"/>
        <v>2625</v>
      </c>
      <c r="J933" s="29">
        <f t="shared" si="28"/>
        <v>1687.5000000000005</v>
      </c>
      <c r="K933" s="13"/>
      <c r="L933" s="10"/>
    </row>
    <row r="934" spans="1:12">
      <c r="A934" s="13"/>
      <c r="B934" s="48"/>
      <c r="C934" s="13"/>
      <c r="D934" s="49">
        <v>15000</v>
      </c>
      <c r="E934" s="51">
        <v>7.0000000000000007E-2</v>
      </c>
      <c r="F934" s="42" t="s">
        <v>4036</v>
      </c>
      <c r="G934" s="50">
        <v>41283</v>
      </c>
      <c r="H934" s="49">
        <v>2</v>
      </c>
      <c r="I934" s="49">
        <f t="shared" si="29"/>
        <v>525</v>
      </c>
      <c r="J934" s="29">
        <f t="shared" si="28"/>
        <v>337.50000000000006</v>
      </c>
      <c r="K934" s="13"/>
      <c r="L934" s="10"/>
    </row>
    <row r="935" spans="1:12">
      <c r="A935" s="13">
        <v>170</v>
      </c>
      <c r="B935" s="48">
        <v>3485</v>
      </c>
      <c r="C935" s="13" t="s">
        <v>4032</v>
      </c>
      <c r="D935" s="49">
        <v>150000</v>
      </c>
      <c r="E935" s="51">
        <v>7.4999999999999997E-2</v>
      </c>
      <c r="F935" s="42">
        <v>15</v>
      </c>
      <c r="G935" s="50">
        <v>41145</v>
      </c>
      <c r="H935" s="49">
        <v>2</v>
      </c>
      <c r="I935" s="49">
        <f t="shared" si="29"/>
        <v>11250</v>
      </c>
      <c r="J935" s="29">
        <f t="shared" si="28"/>
        <v>7499.9999999999991</v>
      </c>
      <c r="K935" s="13" t="s">
        <v>2014</v>
      </c>
      <c r="L935" s="10"/>
    </row>
    <row r="936" spans="1:12">
      <c r="A936" s="13">
        <v>171</v>
      </c>
      <c r="B936" s="48">
        <v>3487</v>
      </c>
      <c r="C936" s="13" t="s">
        <v>954</v>
      </c>
      <c r="D936" s="49">
        <v>30000</v>
      </c>
      <c r="E936" s="51">
        <v>7.0000000000000007E-2</v>
      </c>
      <c r="F936" s="42" t="s">
        <v>4036</v>
      </c>
      <c r="G936" s="50">
        <v>41143</v>
      </c>
      <c r="H936" s="49">
        <v>10</v>
      </c>
      <c r="I936" s="49">
        <f t="shared" si="29"/>
        <v>5250</v>
      </c>
      <c r="J936" s="29">
        <f t="shared" si="28"/>
        <v>3375.0000000000009</v>
      </c>
      <c r="K936" s="13" t="s">
        <v>2015</v>
      </c>
      <c r="L936" s="10"/>
    </row>
    <row r="937" spans="1:12">
      <c r="A937" s="13"/>
      <c r="B937" s="48"/>
      <c r="C937" s="13"/>
      <c r="D937" s="49">
        <v>30000</v>
      </c>
      <c r="E937" s="51">
        <v>7.4999999999999997E-2</v>
      </c>
      <c r="F937" s="42">
        <v>15</v>
      </c>
      <c r="G937" s="50">
        <v>41151</v>
      </c>
      <c r="H937" s="49">
        <v>9</v>
      </c>
      <c r="I937" s="49">
        <f t="shared" si="29"/>
        <v>10125</v>
      </c>
      <c r="J937" s="29">
        <f t="shared" si="28"/>
        <v>6749.9999999999991</v>
      </c>
      <c r="K937" s="13"/>
      <c r="L937" s="10"/>
    </row>
    <row r="938" spans="1:12">
      <c r="A938" s="13"/>
      <c r="B938" s="48"/>
      <c r="C938" s="13"/>
      <c r="D938" s="49">
        <v>30000</v>
      </c>
      <c r="E938" s="51">
        <v>7.0000000000000007E-2</v>
      </c>
      <c r="F938" s="42" t="s">
        <v>4036</v>
      </c>
      <c r="G938" s="50">
        <v>41208</v>
      </c>
      <c r="H938" s="49">
        <v>10</v>
      </c>
      <c r="I938" s="49">
        <f t="shared" si="29"/>
        <v>5250</v>
      </c>
      <c r="J938" s="29">
        <f t="shared" si="28"/>
        <v>3375.0000000000009</v>
      </c>
      <c r="K938" s="13"/>
      <c r="L938" s="10"/>
    </row>
    <row r="939" spans="1:12">
      <c r="A939" s="13"/>
      <c r="B939" s="48"/>
      <c r="C939" s="13"/>
      <c r="D939" s="49">
        <v>10000</v>
      </c>
      <c r="E939" s="51">
        <v>7.0000000000000007E-2</v>
      </c>
      <c r="F939" s="42" t="s">
        <v>4036</v>
      </c>
      <c r="G939" s="50">
        <v>41278</v>
      </c>
      <c r="H939" s="49">
        <v>1</v>
      </c>
      <c r="I939" s="49">
        <f t="shared" si="29"/>
        <v>175.00000000000003</v>
      </c>
      <c r="J939" s="29">
        <f t="shared" si="28"/>
        <v>112.50000000000003</v>
      </c>
      <c r="K939" s="13"/>
      <c r="L939" s="10"/>
    </row>
    <row r="940" spans="1:12">
      <c r="A940" s="13">
        <v>172</v>
      </c>
      <c r="B940" s="48">
        <v>3489</v>
      </c>
      <c r="C940" s="13" t="s">
        <v>1066</v>
      </c>
      <c r="D940" s="49">
        <v>65000</v>
      </c>
      <c r="E940" s="51">
        <v>7.4999999999999997E-2</v>
      </c>
      <c r="F940" s="42">
        <v>30</v>
      </c>
      <c r="G940" s="50">
        <v>41171</v>
      </c>
      <c r="H940" s="49">
        <v>5</v>
      </c>
      <c r="I940" s="49">
        <f t="shared" si="29"/>
        <v>24375</v>
      </c>
      <c r="J940" s="29">
        <f t="shared" si="28"/>
        <v>16249.999999999998</v>
      </c>
      <c r="K940" s="13" t="s">
        <v>2016</v>
      </c>
      <c r="L940" s="10"/>
    </row>
    <row r="941" spans="1:12">
      <c r="A941" s="13">
        <v>173</v>
      </c>
      <c r="B941" s="48">
        <v>3491</v>
      </c>
      <c r="C941" s="13" t="s">
        <v>1417</v>
      </c>
      <c r="D941" s="49">
        <v>20000</v>
      </c>
      <c r="E941" s="51">
        <v>7.0000000000000007E-2</v>
      </c>
      <c r="F941" s="42" t="s">
        <v>4036</v>
      </c>
      <c r="G941" s="50">
        <v>41155</v>
      </c>
      <c r="H941" s="49">
        <v>10</v>
      </c>
      <c r="I941" s="49">
        <f t="shared" si="29"/>
        <v>3500.0000000000009</v>
      </c>
      <c r="J941" s="29">
        <f t="shared" si="28"/>
        <v>2250.0000000000005</v>
      </c>
      <c r="K941" s="13" t="s">
        <v>2017</v>
      </c>
      <c r="L941" s="10"/>
    </row>
    <row r="942" spans="1:12" ht="32.4">
      <c r="A942" s="13">
        <v>174</v>
      </c>
      <c r="B942" s="48">
        <v>3493</v>
      </c>
      <c r="C942" s="13" t="s">
        <v>3746</v>
      </c>
      <c r="D942" s="49">
        <v>30000</v>
      </c>
      <c r="E942" s="51">
        <v>7.4999999999999997E-2</v>
      </c>
      <c r="F942" s="42">
        <v>15</v>
      </c>
      <c r="G942" s="50">
        <v>41171</v>
      </c>
      <c r="H942" s="49">
        <v>9</v>
      </c>
      <c r="I942" s="49">
        <f t="shared" si="29"/>
        <v>10125</v>
      </c>
      <c r="J942" s="29">
        <f t="shared" si="28"/>
        <v>6749.9999999999991</v>
      </c>
      <c r="K942" s="13" t="s">
        <v>2018</v>
      </c>
      <c r="L942" s="10" t="s">
        <v>3745</v>
      </c>
    </row>
    <row r="943" spans="1:12">
      <c r="A943" s="13">
        <v>175</v>
      </c>
      <c r="B943" s="48">
        <v>3495</v>
      </c>
      <c r="C943" s="13" t="s">
        <v>3487</v>
      </c>
      <c r="D943" s="49">
        <v>20000</v>
      </c>
      <c r="E943" s="51">
        <v>7.0000000000000007E-2</v>
      </c>
      <c r="F943" s="42" t="s">
        <v>4036</v>
      </c>
      <c r="G943" s="50">
        <v>41165</v>
      </c>
      <c r="H943" s="49">
        <v>10</v>
      </c>
      <c r="I943" s="49">
        <f t="shared" si="29"/>
        <v>3500.0000000000009</v>
      </c>
      <c r="J943" s="29">
        <f t="shared" si="28"/>
        <v>2250.0000000000005</v>
      </c>
      <c r="K943" s="13" t="s">
        <v>2019</v>
      </c>
      <c r="L943" s="10"/>
    </row>
    <row r="944" spans="1:12">
      <c r="A944" s="13"/>
      <c r="B944" s="48"/>
      <c r="C944" s="13"/>
      <c r="D944" s="49">
        <v>10000</v>
      </c>
      <c r="E944" s="51">
        <v>7.4999999999999997E-2</v>
      </c>
      <c r="F944" s="42">
        <v>15</v>
      </c>
      <c r="G944" s="50">
        <v>41173</v>
      </c>
      <c r="H944" s="49">
        <v>6</v>
      </c>
      <c r="I944" s="49">
        <f t="shared" si="29"/>
        <v>2250</v>
      </c>
      <c r="J944" s="29">
        <f t="shared" si="28"/>
        <v>1499.9999999999998</v>
      </c>
      <c r="K944" s="13"/>
      <c r="L944" s="10"/>
    </row>
    <row r="945" spans="1:12">
      <c r="A945" s="13"/>
      <c r="B945" s="48"/>
      <c r="C945" s="13"/>
      <c r="D945" s="49">
        <v>10000</v>
      </c>
      <c r="E945" s="51">
        <v>7.0000000000000007E-2</v>
      </c>
      <c r="F945" s="42" t="s">
        <v>4036</v>
      </c>
      <c r="G945" s="50">
        <v>41229</v>
      </c>
      <c r="H945" s="49">
        <v>4</v>
      </c>
      <c r="I945" s="49">
        <f t="shared" si="29"/>
        <v>700.00000000000011</v>
      </c>
      <c r="J945" s="29">
        <f t="shared" si="28"/>
        <v>450.00000000000011</v>
      </c>
      <c r="K945" s="13"/>
      <c r="L945" s="10"/>
    </row>
    <row r="946" spans="1:12" ht="32.4">
      <c r="A946" s="13">
        <v>176</v>
      </c>
      <c r="B946" s="48">
        <v>3497</v>
      </c>
      <c r="C946" s="13" t="s">
        <v>3748</v>
      </c>
      <c r="D946" s="49">
        <v>20000</v>
      </c>
      <c r="E946" s="51">
        <v>7.4999999999999997E-2</v>
      </c>
      <c r="F946" s="42">
        <v>15</v>
      </c>
      <c r="G946" s="50">
        <v>41195</v>
      </c>
      <c r="H946" s="49">
        <v>5</v>
      </c>
      <c r="I946" s="49">
        <f t="shared" si="29"/>
        <v>3750</v>
      </c>
      <c r="J946" s="29">
        <f t="shared" si="28"/>
        <v>2499.9999999999995</v>
      </c>
      <c r="K946" s="13" t="s">
        <v>2020</v>
      </c>
      <c r="L946" s="10" t="s">
        <v>3747</v>
      </c>
    </row>
    <row r="947" spans="1:12">
      <c r="A947" s="13"/>
      <c r="B947" s="48"/>
      <c r="C947" s="13"/>
      <c r="D947" s="49">
        <v>30000</v>
      </c>
      <c r="E947" s="51">
        <v>7.4999999999999997E-2</v>
      </c>
      <c r="F947" s="42">
        <v>15</v>
      </c>
      <c r="G947" s="50">
        <v>41268</v>
      </c>
      <c r="H947" s="49">
        <v>2</v>
      </c>
      <c r="I947" s="49">
        <f t="shared" si="29"/>
        <v>2250</v>
      </c>
      <c r="J947" s="29">
        <f t="shared" si="28"/>
        <v>1499.9999999999998</v>
      </c>
      <c r="K947" s="13"/>
      <c r="L947" s="10"/>
    </row>
    <row r="948" spans="1:12">
      <c r="A948" s="13">
        <v>177</v>
      </c>
      <c r="B948" s="48">
        <v>3501</v>
      </c>
      <c r="C948" s="13" t="s">
        <v>3629</v>
      </c>
      <c r="D948" s="49">
        <v>100000</v>
      </c>
      <c r="E948" s="51">
        <v>7.4999999999999997E-2</v>
      </c>
      <c r="F948" s="42">
        <v>15</v>
      </c>
      <c r="G948" s="50">
        <v>40916</v>
      </c>
      <c r="H948" s="49">
        <v>2</v>
      </c>
      <c r="I948" s="49">
        <f t="shared" si="29"/>
        <v>7500</v>
      </c>
      <c r="J948" s="29">
        <f t="shared" si="28"/>
        <v>5000</v>
      </c>
      <c r="K948" s="13" t="s">
        <v>2021</v>
      </c>
      <c r="L948" s="10"/>
    </row>
    <row r="949" spans="1:12">
      <c r="A949" s="13"/>
      <c r="B949" s="48"/>
      <c r="C949" s="13"/>
      <c r="D949" s="49">
        <v>40000</v>
      </c>
      <c r="E949" s="51">
        <v>7.4999999999999997E-2</v>
      </c>
      <c r="F949" s="42">
        <v>15</v>
      </c>
      <c r="G949" s="50">
        <v>41222</v>
      </c>
      <c r="H949" s="49">
        <v>2</v>
      </c>
      <c r="I949" s="49">
        <f t="shared" si="29"/>
        <v>3000</v>
      </c>
      <c r="J949" s="29">
        <f t="shared" si="28"/>
        <v>1999.9999999999998</v>
      </c>
      <c r="K949" s="13"/>
      <c r="L949" s="10"/>
    </row>
    <row r="950" spans="1:12">
      <c r="A950" s="13"/>
      <c r="B950" s="48"/>
      <c r="C950" s="13"/>
      <c r="D950" s="49">
        <v>60000</v>
      </c>
      <c r="E950" s="51">
        <v>7.4999999999999997E-2</v>
      </c>
      <c r="F950" s="42">
        <v>15</v>
      </c>
      <c r="G950" s="50">
        <v>41253</v>
      </c>
      <c r="H950" s="49">
        <v>1</v>
      </c>
      <c r="I950" s="49">
        <f t="shared" si="29"/>
        <v>2250</v>
      </c>
      <c r="J950" s="29">
        <f t="shared" si="28"/>
        <v>1499.9999999999998</v>
      </c>
      <c r="K950" s="13"/>
      <c r="L950" s="10"/>
    </row>
    <row r="951" spans="1:12">
      <c r="A951" s="13"/>
      <c r="B951" s="48"/>
      <c r="C951" s="13"/>
      <c r="D951" s="49">
        <v>80000</v>
      </c>
      <c r="E951" s="51">
        <v>7.4999999999999997E-2</v>
      </c>
      <c r="F951" s="42">
        <v>15</v>
      </c>
      <c r="G951" s="50">
        <v>41267</v>
      </c>
      <c r="H951" s="49">
        <v>1</v>
      </c>
      <c r="I951" s="49">
        <f t="shared" si="29"/>
        <v>3000</v>
      </c>
      <c r="J951" s="29">
        <f t="shared" si="28"/>
        <v>1999.9999999999998</v>
      </c>
      <c r="K951" s="13"/>
      <c r="L951" s="10"/>
    </row>
    <row r="952" spans="1:12" ht="32.4">
      <c r="A952" s="13">
        <v>178</v>
      </c>
      <c r="B952" s="48">
        <v>3503</v>
      </c>
      <c r="C952" s="13" t="s">
        <v>753</v>
      </c>
      <c r="D952" s="49">
        <v>120000</v>
      </c>
      <c r="E952" s="51">
        <v>7.4999999999999997E-2</v>
      </c>
      <c r="F952" s="42">
        <v>15</v>
      </c>
      <c r="G952" s="50">
        <v>41230</v>
      </c>
      <c r="H952" s="49">
        <v>4</v>
      </c>
      <c r="I952" s="49">
        <f t="shared" si="29"/>
        <v>18000</v>
      </c>
      <c r="J952" s="29">
        <f t="shared" si="28"/>
        <v>11999.999999999998</v>
      </c>
      <c r="K952" s="13" t="s">
        <v>2022</v>
      </c>
      <c r="L952" s="10" t="s">
        <v>3749</v>
      </c>
    </row>
    <row r="953" spans="1:12">
      <c r="A953" s="13"/>
      <c r="B953" s="48"/>
      <c r="C953" s="13"/>
      <c r="D953" s="49">
        <v>130000</v>
      </c>
      <c r="E953" s="51">
        <v>7.4999999999999997E-2</v>
      </c>
      <c r="F953" s="42">
        <v>15</v>
      </c>
      <c r="G953" s="50">
        <v>41290</v>
      </c>
      <c r="H953" s="49">
        <v>1</v>
      </c>
      <c r="I953" s="49">
        <f t="shared" si="29"/>
        <v>4875</v>
      </c>
      <c r="J953" s="29">
        <f t="shared" si="28"/>
        <v>3249.9999999999995</v>
      </c>
      <c r="K953" s="13"/>
      <c r="L953" s="10"/>
    </row>
    <row r="954" spans="1:12">
      <c r="A954" s="13">
        <v>179</v>
      </c>
      <c r="B954" s="48">
        <v>3505</v>
      </c>
      <c r="C954" s="13" t="s">
        <v>754</v>
      </c>
      <c r="D954" s="49">
        <v>15000</v>
      </c>
      <c r="E954" s="51">
        <v>7.0000000000000007E-2</v>
      </c>
      <c r="F954" s="42" t="s">
        <v>4036</v>
      </c>
      <c r="G954" s="50">
        <v>41232</v>
      </c>
      <c r="H954" s="49">
        <v>5</v>
      </c>
      <c r="I954" s="49">
        <f t="shared" si="29"/>
        <v>1312.5</v>
      </c>
      <c r="J954" s="29">
        <f t="shared" si="28"/>
        <v>843.75000000000023</v>
      </c>
      <c r="K954" s="13" t="s">
        <v>2023</v>
      </c>
      <c r="L954" s="10"/>
    </row>
    <row r="955" spans="1:12">
      <c r="A955" s="13"/>
      <c r="B955" s="48"/>
      <c r="C955" s="13"/>
      <c r="D955" s="49">
        <v>15000</v>
      </c>
      <c r="E955" s="51">
        <v>7.4999999999999997E-2</v>
      </c>
      <c r="F955" s="42">
        <v>15</v>
      </c>
      <c r="G955" s="50">
        <v>41240</v>
      </c>
      <c r="H955" s="49">
        <v>3</v>
      </c>
      <c r="I955" s="49">
        <f t="shared" si="29"/>
        <v>1687.5</v>
      </c>
      <c r="J955" s="29">
        <f t="shared" si="28"/>
        <v>1124.9999999999998</v>
      </c>
      <c r="K955" s="13"/>
      <c r="L955" s="10"/>
    </row>
    <row r="956" spans="1:12">
      <c r="A956" s="13">
        <v>180</v>
      </c>
      <c r="B956" s="48">
        <v>3507</v>
      </c>
      <c r="C956" s="13" t="s">
        <v>1167</v>
      </c>
      <c r="D956" s="49">
        <v>20000</v>
      </c>
      <c r="E956" s="51">
        <v>7.0000000000000007E-2</v>
      </c>
      <c r="F956" s="42" t="s">
        <v>4036</v>
      </c>
      <c r="G956" s="50">
        <v>41257</v>
      </c>
      <c r="H956" s="49">
        <v>6</v>
      </c>
      <c r="I956" s="49">
        <f t="shared" si="29"/>
        <v>2100.0000000000005</v>
      </c>
      <c r="J956" s="29">
        <f t="shared" si="28"/>
        <v>1350.0000000000005</v>
      </c>
      <c r="K956" s="13" t="s">
        <v>2024</v>
      </c>
      <c r="L956" s="10"/>
    </row>
    <row r="957" spans="1:12">
      <c r="A957" s="13"/>
      <c r="B957" s="48"/>
      <c r="C957" s="13"/>
      <c r="D957" s="49">
        <v>30000</v>
      </c>
      <c r="E957" s="51">
        <v>7.4999999999999997E-2</v>
      </c>
      <c r="F957" s="42">
        <v>15</v>
      </c>
      <c r="G957" s="50">
        <v>41265</v>
      </c>
      <c r="H957" s="49">
        <v>3</v>
      </c>
      <c r="I957" s="49">
        <f t="shared" si="29"/>
        <v>3375</v>
      </c>
      <c r="J957" s="29">
        <f t="shared" si="28"/>
        <v>2249.9999999999995</v>
      </c>
      <c r="K957" s="13"/>
      <c r="L957" s="10"/>
    </row>
    <row r="958" spans="1:12">
      <c r="A958" s="13">
        <v>181</v>
      </c>
      <c r="B958" s="48">
        <v>3509</v>
      </c>
      <c r="C958" s="13" t="s">
        <v>1395</v>
      </c>
      <c r="D958" s="49">
        <v>20000</v>
      </c>
      <c r="E958" s="51">
        <v>7.4999999999999997E-2</v>
      </c>
      <c r="F958" s="42">
        <v>15</v>
      </c>
      <c r="G958" s="50">
        <v>41267</v>
      </c>
      <c r="H958" s="49">
        <v>2</v>
      </c>
      <c r="I958" s="49">
        <f t="shared" si="29"/>
        <v>1500</v>
      </c>
      <c r="J958" s="29">
        <f t="shared" si="28"/>
        <v>999.99999999999989</v>
      </c>
      <c r="K958" s="13" t="s">
        <v>2025</v>
      </c>
      <c r="L958" s="10"/>
    </row>
    <row r="959" spans="1:12">
      <c r="A959" s="13">
        <v>182</v>
      </c>
      <c r="B959" s="48">
        <v>3511</v>
      </c>
      <c r="C959" s="13" t="s">
        <v>1050</v>
      </c>
      <c r="D959" s="49">
        <v>20000</v>
      </c>
      <c r="E959" s="51">
        <v>7.0000000000000007E-2</v>
      </c>
      <c r="F959" s="42" t="s">
        <v>4036</v>
      </c>
      <c r="G959" s="50">
        <v>41290</v>
      </c>
      <c r="H959" s="49">
        <v>1</v>
      </c>
      <c r="I959" s="49">
        <f t="shared" si="29"/>
        <v>350.00000000000006</v>
      </c>
      <c r="J959" s="29">
        <f t="shared" si="28"/>
        <v>225.00000000000006</v>
      </c>
      <c r="K959" s="13" t="s">
        <v>2026</v>
      </c>
      <c r="L959" s="10"/>
    </row>
    <row r="960" spans="1:12">
      <c r="A960" s="13">
        <v>183</v>
      </c>
      <c r="B960" s="48">
        <v>72</v>
      </c>
      <c r="C960" s="13" t="s">
        <v>4033</v>
      </c>
      <c r="D960" s="49">
        <v>100000</v>
      </c>
      <c r="E960" s="51">
        <v>0.05</v>
      </c>
      <c r="F960" s="42">
        <v>30</v>
      </c>
      <c r="G960" s="50">
        <v>41125</v>
      </c>
      <c r="H960" s="49">
        <v>1</v>
      </c>
      <c r="I960" s="49">
        <f t="shared" si="29"/>
        <v>5000</v>
      </c>
      <c r="J960" s="29">
        <f t="shared" ref="J960:J994" si="30">IF(F960="分期",D960*(E960-0.025)*2.5*H960/10,D960*(E960-0.025)*F960*H960/30)</f>
        <v>2500</v>
      </c>
      <c r="K960" s="13" t="s">
        <v>2788</v>
      </c>
      <c r="L960" s="10"/>
    </row>
    <row r="961" spans="1:12">
      <c r="A961" s="13"/>
      <c r="B961" s="48"/>
      <c r="C961" s="13"/>
      <c r="D961" s="49">
        <v>100000</v>
      </c>
      <c r="E961" s="51">
        <v>0.05</v>
      </c>
      <c r="F961" s="42">
        <v>30</v>
      </c>
      <c r="G961" s="50">
        <v>41156</v>
      </c>
      <c r="H961" s="49">
        <v>1</v>
      </c>
      <c r="I961" s="49">
        <f t="shared" si="29"/>
        <v>5000</v>
      </c>
      <c r="J961" s="29">
        <f t="shared" si="30"/>
        <v>2500</v>
      </c>
      <c r="K961" s="13"/>
      <c r="L961" s="10"/>
    </row>
    <row r="962" spans="1:12">
      <c r="A962" s="13"/>
      <c r="B962" s="48"/>
      <c r="C962" s="13"/>
      <c r="D962" s="49">
        <v>100000</v>
      </c>
      <c r="E962" s="51">
        <v>0.05</v>
      </c>
      <c r="F962" s="42">
        <v>15</v>
      </c>
      <c r="G962" s="50">
        <v>41198</v>
      </c>
      <c r="H962" s="49">
        <v>1</v>
      </c>
      <c r="I962" s="49">
        <f t="shared" si="29"/>
        <v>2500</v>
      </c>
      <c r="J962" s="29">
        <f t="shared" si="30"/>
        <v>1250</v>
      </c>
      <c r="K962" s="13"/>
      <c r="L962" s="10"/>
    </row>
    <row r="963" spans="1:12">
      <c r="A963" s="13"/>
      <c r="B963" s="48"/>
      <c r="C963" s="13"/>
      <c r="D963" s="49">
        <v>50000</v>
      </c>
      <c r="E963" s="51">
        <v>0.05</v>
      </c>
      <c r="F963" s="42">
        <v>15</v>
      </c>
      <c r="G963" s="50">
        <v>41220</v>
      </c>
      <c r="H963" s="49">
        <v>1</v>
      </c>
      <c r="I963" s="49">
        <f t="shared" si="29"/>
        <v>1250</v>
      </c>
      <c r="J963" s="29">
        <f t="shared" si="30"/>
        <v>625</v>
      </c>
      <c r="K963" s="13"/>
      <c r="L963" s="10"/>
    </row>
    <row r="964" spans="1:12">
      <c r="A964" s="13"/>
      <c r="B964" s="48"/>
      <c r="C964" s="13"/>
      <c r="D964" s="49">
        <v>80000</v>
      </c>
      <c r="E964" s="51">
        <v>0.05</v>
      </c>
      <c r="F964" s="42">
        <v>15</v>
      </c>
      <c r="G964" s="50">
        <v>41227</v>
      </c>
      <c r="H964" s="49">
        <v>1</v>
      </c>
      <c r="I964" s="49">
        <f t="shared" ref="I964:I1027" si="31">IF(F964="分期",D964*E964*2.5*H964/10,D964*E964*F964*H964/30)</f>
        <v>2000</v>
      </c>
      <c r="J964" s="29">
        <f t="shared" si="30"/>
        <v>1000</v>
      </c>
      <c r="K964" s="13"/>
      <c r="L964" s="10"/>
    </row>
    <row r="965" spans="1:12">
      <c r="A965" s="13"/>
      <c r="B965" s="48"/>
      <c r="C965" s="13"/>
      <c r="D965" s="49">
        <v>80000</v>
      </c>
      <c r="E965" s="51">
        <v>0.05</v>
      </c>
      <c r="F965" s="42">
        <v>30</v>
      </c>
      <c r="G965" s="50">
        <v>41257</v>
      </c>
      <c r="H965" s="49">
        <v>1</v>
      </c>
      <c r="I965" s="49">
        <f t="shared" si="31"/>
        <v>4000</v>
      </c>
      <c r="J965" s="29">
        <f t="shared" si="30"/>
        <v>2000</v>
      </c>
      <c r="K965" s="13"/>
      <c r="L965" s="10"/>
    </row>
    <row r="966" spans="1:12">
      <c r="A966" s="13"/>
      <c r="B966" s="48"/>
      <c r="C966" s="13"/>
      <c r="D966" s="49">
        <v>80000</v>
      </c>
      <c r="E966" s="51">
        <v>0.05</v>
      </c>
      <c r="F966" s="42">
        <v>30</v>
      </c>
      <c r="G966" s="50">
        <v>41287</v>
      </c>
      <c r="H966" s="49">
        <v>1</v>
      </c>
      <c r="I966" s="49">
        <f t="shared" si="31"/>
        <v>4000</v>
      </c>
      <c r="J966" s="29">
        <f t="shared" si="30"/>
        <v>2000</v>
      </c>
      <c r="K966" s="13"/>
      <c r="L966" s="10"/>
    </row>
    <row r="967" spans="1:12">
      <c r="A967" s="13">
        <v>184</v>
      </c>
      <c r="B967" s="48">
        <v>148</v>
      </c>
      <c r="C967" s="13" t="s">
        <v>2586</v>
      </c>
      <c r="D967" s="49">
        <v>100000</v>
      </c>
      <c r="E967" s="51">
        <v>7.0000000000000007E-2</v>
      </c>
      <c r="F967" s="42">
        <v>15</v>
      </c>
      <c r="G967" s="50">
        <v>40799</v>
      </c>
      <c r="H967" s="49">
        <v>10</v>
      </c>
      <c r="I967" s="49">
        <f t="shared" si="31"/>
        <v>35000.000000000007</v>
      </c>
      <c r="J967" s="29">
        <f t="shared" si="30"/>
        <v>22500.000000000004</v>
      </c>
      <c r="K967" s="13" t="s">
        <v>2789</v>
      </c>
      <c r="L967" s="10"/>
    </row>
    <row r="968" spans="1:12">
      <c r="A968" s="13"/>
      <c r="B968" s="48"/>
      <c r="C968" s="13"/>
      <c r="D968" s="49">
        <v>80000</v>
      </c>
      <c r="E968" s="51">
        <v>7.0000000000000007E-2</v>
      </c>
      <c r="F968" s="42">
        <v>15</v>
      </c>
      <c r="G968" s="50">
        <v>40949</v>
      </c>
      <c r="H968" s="49">
        <v>1</v>
      </c>
      <c r="I968" s="49">
        <f t="shared" si="31"/>
        <v>2800.0000000000005</v>
      </c>
      <c r="J968" s="29">
        <f t="shared" si="30"/>
        <v>1800.0000000000002</v>
      </c>
      <c r="K968" s="13"/>
      <c r="L968" s="10"/>
    </row>
    <row r="969" spans="1:12">
      <c r="A969" s="13"/>
      <c r="B969" s="48"/>
      <c r="C969" s="13"/>
      <c r="D969" s="49">
        <v>120000</v>
      </c>
      <c r="E969" s="51">
        <v>7.0000000000000007E-2</v>
      </c>
      <c r="F969" s="42">
        <v>15</v>
      </c>
      <c r="G969" s="50">
        <v>40964</v>
      </c>
      <c r="H969" s="49">
        <v>1</v>
      </c>
      <c r="I969" s="49">
        <f t="shared" si="31"/>
        <v>4200</v>
      </c>
      <c r="J969" s="29">
        <f t="shared" si="30"/>
        <v>2700.0000000000005</v>
      </c>
      <c r="K969" s="13"/>
      <c r="L969" s="10"/>
    </row>
    <row r="970" spans="1:12">
      <c r="A970" s="13"/>
      <c r="B970" s="48"/>
      <c r="C970" s="13"/>
      <c r="D970" s="49">
        <v>30000</v>
      </c>
      <c r="E970" s="51">
        <v>7.0000000000000007E-2</v>
      </c>
      <c r="F970" s="42">
        <v>15</v>
      </c>
      <c r="G970" s="50">
        <v>40976</v>
      </c>
      <c r="H970" s="49">
        <v>1</v>
      </c>
      <c r="I970" s="49">
        <f t="shared" si="31"/>
        <v>1050</v>
      </c>
      <c r="J970" s="29">
        <f t="shared" si="30"/>
        <v>675.00000000000011</v>
      </c>
      <c r="K970" s="13"/>
      <c r="L970" s="10"/>
    </row>
    <row r="971" spans="1:12">
      <c r="A971" s="13"/>
      <c r="B971" s="48"/>
      <c r="C971" s="13"/>
      <c r="D971" s="49">
        <v>100000</v>
      </c>
      <c r="E971" s="51">
        <v>7.0000000000000007E-2</v>
      </c>
      <c r="F971" s="42">
        <v>15</v>
      </c>
      <c r="G971" s="50">
        <v>40994</v>
      </c>
      <c r="H971" s="49">
        <v>1</v>
      </c>
      <c r="I971" s="49">
        <f t="shared" si="31"/>
        <v>3500.0000000000005</v>
      </c>
      <c r="J971" s="29">
        <f t="shared" si="30"/>
        <v>2250.0000000000005</v>
      </c>
      <c r="K971" s="13"/>
      <c r="L971" s="10"/>
    </row>
    <row r="972" spans="1:12">
      <c r="A972" s="13"/>
      <c r="B972" s="48"/>
      <c r="C972" s="13"/>
      <c r="D972" s="49">
        <v>30000</v>
      </c>
      <c r="E972" s="51">
        <v>7.0000000000000007E-2</v>
      </c>
      <c r="F972" s="42" t="s">
        <v>4036</v>
      </c>
      <c r="G972" s="50">
        <v>41008</v>
      </c>
      <c r="H972" s="49">
        <v>10</v>
      </c>
      <c r="I972" s="49">
        <f t="shared" si="31"/>
        <v>5250</v>
      </c>
      <c r="J972" s="29">
        <f t="shared" si="30"/>
        <v>3375.0000000000009</v>
      </c>
      <c r="K972" s="13"/>
      <c r="L972" s="10"/>
    </row>
    <row r="973" spans="1:12">
      <c r="A973" s="13"/>
      <c r="B973" s="48"/>
      <c r="C973" s="13"/>
      <c r="D973" s="49">
        <v>130000</v>
      </c>
      <c r="E973" s="51">
        <v>7.0000000000000007E-2</v>
      </c>
      <c r="F973" s="42">
        <v>15</v>
      </c>
      <c r="G973" s="50">
        <v>41009</v>
      </c>
      <c r="H973" s="49">
        <v>2</v>
      </c>
      <c r="I973" s="49">
        <f t="shared" si="31"/>
        <v>9100</v>
      </c>
      <c r="J973" s="29">
        <f t="shared" si="30"/>
        <v>5850.0000000000009</v>
      </c>
      <c r="K973" s="13"/>
      <c r="L973" s="10"/>
    </row>
    <row r="974" spans="1:12">
      <c r="A974" s="13"/>
      <c r="B974" s="48"/>
      <c r="C974" s="13"/>
      <c r="D974" s="49">
        <v>180000</v>
      </c>
      <c r="E974" s="51">
        <v>7.0000000000000007E-2</v>
      </c>
      <c r="F974" s="42">
        <v>15</v>
      </c>
      <c r="G974" s="50">
        <v>41038</v>
      </c>
      <c r="H974" s="49">
        <v>5</v>
      </c>
      <c r="I974" s="49">
        <f t="shared" si="31"/>
        <v>31500.000000000004</v>
      </c>
      <c r="J974" s="29">
        <f t="shared" si="30"/>
        <v>20250.000000000004</v>
      </c>
      <c r="K974" s="13"/>
      <c r="L974" s="10"/>
    </row>
    <row r="975" spans="1:12">
      <c r="A975" s="13"/>
      <c r="B975" s="48"/>
      <c r="C975" s="13"/>
      <c r="D975" s="49">
        <v>30000</v>
      </c>
      <c r="E975" s="51">
        <v>7.0000000000000007E-2</v>
      </c>
      <c r="F975" s="42" t="s">
        <v>4036</v>
      </c>
      <c r="G975" s="50">
        <v>41059</v>
      </c>
      <c r="H975" s="49">
        <v>10</v>
      </c>
      <c r="I975" s="49">
        <f t="shared" si="31"/>
        <v>5250</v>
      </c>
      <c r="J975" s="29">
        <f t="shared" si="30"/>
        <v>3375.0000000000009</v>
      </c>
      <c r="K975" s="13"/>
      <c r="L975" s="10"/>
    </row>
    <row r="976" spans="1:12">
      <c r="A976" s="13"/>
      <c r="B976" s="48"/>
      <c r="C976" s="13"/>
      <c r="D976" s="49">
        <v>210000</v>
      </c>
      <c r="E976" s="51">
        <v>7.0000000000000007E-2</v>
      </c>
      <c r="F976" s="42">
        <v>15</v>
      </c>
      <c r="G976" s="50">
        <v>41113</v>
      </c>
      <c r="H976" s="49">
        <v>2</v>
      </c>
      <c r="I976" s="49">
        <f t="shared" si="31"/>
        <v>14700.000000000002</v>
      </c>
      <c r="J976" s="29">
        <f t="shared" si="30"/>
        <v>9450.0000000000018</v>
      </c>
      <c r="K976" s="13"/>
      <c r="L976" s="10"/>
    </row>
    <row r="977" spans="1:12">
      <c r="A977" s="13"/>
      <c r="B977" s="48"/>
      <c r="C977" s="13"/>
      <c r="D977" s="49">
        <v>160000</v>
      </c>
      <c r="E977" s="51">
        <v>7.0000000000000007E-2</v>
      </c>
      <c r="F977" s="42">
        <v>15</v>
      </c>
      <c r="G977" s="50">
        <v>41158</v>
      </c>
      <c r="H977" s="49">
        <v>5</v>
      </c>
      <c r="I977" s="49">
        <f t="shared" si="31"/>
        <v>28000.000000000004</v>
      </c>
      <c r="J977" s="29">
        <f t="shared" si="30"/>
        <v>18000.000000000004</v>
      </c>
      <c r="K977" s="13"/>
      <c r="L977" s="10"/>
    </row>
    <row r="978" spans="1:12">
      <c r="A978" s="13"/>
      <c r="B978" s="48"/>
      <c r="C978" s="13"/>
      <c r="D978" s="49">
        <v>30000</v>
      </c>
      <c r="E978" s="51">
        <v>7.0000000000000007E-2</v>
      </c>
      <c r="F978" s="42">
        <v>15</v>
      </c>
      <c r="G978" s="50">
        <v>41194</v>
      </c>
      <c r="H978" s="49">
        <v>1</v>
      </c>
      <c r="I978" s="49">
        <f t="shared" si="31"/>
        <v>1050</v>
      </c>
      <c r="J978" s="29">
        <f t="shared" si="30"/>
        <v>675.00000000000011</v>
      </c>
      <c r="K978" s="13"/>
      <c r="L978" s="10"/>
    </row>
    <row r="979" spans="1:12">
      <c r="A979" s="13"/>
      <c r="B979" s="48"/>
      <c r="C979" s="13"/>
      <c r="D979" s="49">
        <v>50000</v>
      </c>
      <c r="E979" s="51">
        <v>7.0000000000000007E-2</v>
      </c>
      <c r="F979" s="42">
        <v>15</v>
      </c>
      <c r="G979" s="50">
        <v>41196</v>
      </c>
      <c r="H979" s="49">
        <v>4</v>
      </c>
      <c r="I979" s="49">
        <f t="shared" si="31"/>
        <v>7000.0000000000009</v>
      </c>
      <c r="J979" s="29">
        <f t="shared" si="30"/>
        <v>4500.0000000000009</v>
      </c>
      <c r="K979" s="13"/>
      <c r="L979" s="10"/>
    </row>
    <row r="980" spans="1:12">
      <c r="A980" s="13"/>
      <c r="B980" s="48"/>
      <c r="C980" s="13"/>
      <c r="D980" s="49">
        <v>30000</v>
      </c>
      <c r="E980" s="51">
        <v>7.0000000000000007E-2</v>
      </c>
      <c r="F980" s="42" t="s">
        <v>4036</v>
      </c>
      <c r="G980" s="50">
        <v>41208</v>
      </c>
      <c r="H980" s="49">
        <v>9</v>
      </c>
      <c r="I980" s="49">
        <f t="shared" si="31"/>
        <v>4725</v>
      </c>
      <c r="J980" s="29">
        <f t="shared" si="30"/>
        <v>3037.5000000000005</v>
      </c>
      <c r="K980" s="13"/>
      <c r="L980" s="10"/>
    </row>
    <row r="981" spans="1:12">
      <c r="A981" s="13"/>
      <c r="B981" s="48"/>
      <c r="C981" s="13"/>
      <c r="D981" s="49">
        <v>100000</v>
      </c>
      <c r="E981" s="51">
        <v>7.0000000000000007E-2</v>
      </c>
      <c r="F981" s="42">
        <v>15</v>
      </c>
      <c r="G981" s="50">
        <v>41233</v>
      </c>
      <c r="H981" s="49">
        <v>3</v>
      </c>
      <c r="I981" s="49">
        <f t="shared" si="31"/>
        <v>10500.000000000002</v>
      </c>
      <c r="J981" s="29">
        <f t="shared" si="30"/>
        <v>6750.0000000000018</v>
      </c>
      <c r="K981" s="13"/>
      <c r="L981" s="10"/>
    </row>
    <row r="982" spans="1:12">
      <c r="A982" s="13"/>
      <c r="B982" s="48"/>
      <c r="C982" s="13"/>
      <c r="D982" s="49">
        <v>30000</v>
      </c>
      <c r="E982" s="51">
        <v>7.0000000000000007E-2</v>
      </c>
      <c r="F982" s="42">
        <v>15</v>
      </c>
      <c r="G982" s="50">
        <v>41246</v>
      </c>
      <c r="H982" s="49">
        <v>3</v>
      </c>
      <c r="I982" s="49">
        <f t="shared" si="31"/>
        <v>3150</v>
      </c>
      <c r="J982" s="29">
        <f t="shared" si="30"/>
        <v>2025.0000000000005</v>
      </c>
      <c r="K982" s="13"/>
      <c r="L982" s="10"/>
    </row>
    <row r="983" spans="1:12">
      <c r="A983" s="13"/>
      <c r="B983" s="48"/>
      <c r="C983" s="13"/>
      <c r="D983" s="49">
        <v>30000</v>
      </c>
      <c r="E983" s="51">
        <v>7.0000000000000007E-2</v>
      </c>
      <c r="F983" s="42" t="s">
        <v>4036</v>
      </c>
      <c r="G983" s="50">
        <v>41271</v>
      </c>
      <c r="H983" s="49">
        <v>4</v>
      </c>
      <c r="I983" s="49">
        <f t="shared" si="31"/>
        <v>2100</v>
      </c>
      <c r="J983" s="29">
        <f t="shared" si="30"/>
        <v>1350.0000000000002</v>
      </c>
      <c r="K983" s="13"/>
      <c r="L983" s="10"/>
    </row>
    <row r="984" spans="1:12">
      <c r="A984" s="13"/>
      <c r="B984" s="48"/>
      <c r="C984" s="13"/>
      <c r="D984" s="49">
        <v>120000</v>
      </c>
      <c r="E984" s="51">
        <v>7.0000000000000007E-2</v>
      </c>
      <c r="F984" s="42">
        <v>15</v>
      </c>
      <c r="G984" s="50">
        <v>41278</v>
      </c>
      <c r="H984" s="49">
        <v>1</v>
      </c>
      <c r="I984" s="49">
        <f t="shared" si="31"/>
        <v>4200</v>
      </c>
      <c r="J984" s="29">
        <f t="shared" si="30"/>
        <v>2700.0000000000005</v>
      </c>
      <c r="K984" s="13"/>
      <c r="L984" s="10"/>
    </row>
    <row r="985" spans="1:12">
      <c r="A985" s="13"/>
      <c r="B985" s="48"/>
      <c r="C985" s="13"/>
      <c r="D985" s="49">
        <v>150000</v>
      </c>
      <c r="E985" s="51">
        <v>7.0000000000000007E-2</v>
      </c>
      <c r="F985" s="42">
        <v>15</v>
      </c>
      <c r="G985" s="50">
        <v>41293</v>
      </c>
      <c r="H985" s="49">
        <v>1</v>
      </c>
      <c r="I985" s="49">
        <f t="shared" si="31"/>
        <v>5250.0000000000009</v>
      </c>
      <c r="J985" s="29">
        <f t="shared" si="30"/>
        <v>3375.0000000000005</v>
      </c>
      <c r="K985" s="13"/>
      <c r="L985" s="10"/>
    </row>
    <row r="986" spans="1:12">
      <c r="A986" s="13">
        <v>185</v>
      </c>
      <c r="B986" s="48">
        <v>198</v>
      </c>
      <c r="C986" s="13" t="s">
        <v>1116</v>
      </c>
      <c r="D986" s="49">
        <v>30000</v>
      </c>
      <c r="E986" s="51">
        <v>7.4999999999999997E-2</v>
      </c>
      <c r="F986" s="42">
        <v>15</v>
      </c>
      <c r="G986" s="50">
        <v>40798</v>
      </c>
      <c r="H986" s="49">
        <v>1</v>
      </c>
      <c r="I986" s="49">
        <f t="shared" si="31"/>
        <v>1125</v>
      </c>
      <c r="J986" s="29">
        <f t="shared" si="30"/>
        <v>749.99999999999989</v>
      </c>
      <c r="K986" s="13" t="s">
        <v>2790</v>
      </c>
      <c r="L986" s="10"/>
    </row>
    <row r="987" spans="1:12">
      <c r="A987" s="13"/>
      <c r="B987" s="48"/>
      <c r="C987" s="13"/>
      <c r="D987" s="49">
        <v>25000</v>
      </c>
      <c r="E987" s="51">
        <v>7.4999999999999997E-2</v>
      </c>
      <c r="F987" s="42">
        <v>15</v>
      </c>
      <c r="G987" s="50">
        <v>40813</v>
      </c>
      <c r="H987" s="49">
        <v>1</v>
      </c>
      <c r="I987" s="49">
        <f t="shared" si="31"/>
        <v>937.5</v>
      </c>
      <c r="J987" s="29">
        <f t="shared" si="30"/>
        <v>625</v>
      </c>
      <c r="K987" s="13"/>
      <c r="L987" s="10"/>
    </row>
    <row r="988" spans="1:12">
      <c r="A988" s="13"/>
      <c r="B988" s="48"/>
      <c r="C988" s="13"/>
      <c r="D988" s="49">
        <v>30000</v>
      </c>
      <c r="E988" s="51">
        <v>7.4999999999999997E-2</v>
      </c>
      <c r="F988" s="42">
        <v>15</v>
      </c>
      <c r="G988" s="50">
        <v>40828</v>
      </c>
      <c r="H988" s="49">
        <v>3</v>
      </c>
      <c r="I988" s="49">
        <f t="shared" si="31"/>
        <v>3375</v>
      </c>
      <c r="J988" s="29">
        <f t="shared" si="30"/>
        <v>2249.9999999999995</v>
      </c>
      <c r="K988" s="13"/>
      <c r="L988" s="10"/>
    </row>
    <row r="989" spans="1:12">
      <c r="A989" s="13"/>
      <c r="B989" s="48"/>
      <c r="C989" s="13"/>
      <c r="D989" s="49">
        <v>35000</v>
      </c>
      <c r="E989" s="51">
        <v>7.4999999999999997E-2</v>
      </c>
      <c r="F989" s="42">
        <v>15</v>
      </c>
      <c r="G989" s="50">
        <v>40873</v>
      </c>
      <c r="H989" s="49">
        <v>2</v>
      </c>
      <c r="I989" s="49">
        <f t="shared" si="31"/>
        <v>2625</v>
      </c>
      <c r="J989" s="29">
        <f t="shared" si="30"/>
        <v>1749.9999999999998</v>
      </c>
      <c r="K989" s="13"/>
      <c r="L989" s="10"/>
    </row>
    <row r="990" spans="1:12">
      <c r="A990" s="13"/>
      <c r="B990" s="48"/>
      <c r="C990" s="13"/>
      <c r="D990" s="49">
        <v>30000</v>
      </c>
      <c r="E990" s="51">
        <v>7.4999999999999997E-2</v>
      </c>
      <c r="F990" s="42">
        <v>15</v>
      </c>
      <c r="G990" s="50">
        <v>40903</v>
      </c>
      <c r="H990" s="49">
        <v>4</v>
      </c>
      <c r="I990" s="49">
        <f t="shared" si="31"/>
        <v>4500</v>
      </c>
      <c r="J990" s="29">
        <f t="shared" si="30"/>
        <v>2999.9999999999995</v>
      </c>
      <c r="K990" s="13"/>
      <c r="L990" s="10"/>
    </row>
    <row r="991" spans="1:12">
      <c r="A991" s="13"/>
      <c r="B991" s="48"/>
      <c r="C991" s="13"/>
      <c r="D991" s="49">
        <v>20000</v>
      </c>
      <c r="E991" s="51">
        <v>7.4999999999999997E-2</v>
      </c>
      <c r="F991" s="42">
        <v>15</v>
      </c>
      <c r="G991" s="50">
        <v>40963</v>
      </c>
      <c r="H991" s="49">
        <v>2</v>
      </c>
      <c r="I991" s="49">
        <f t="shared" si="31"/>
        <v>1500</v>
      </c>
      <c r="J991" s="29">
        <f t="shared" si="30"/>
        <v>999.99999999999989</v>
      </c>
      <c r="K991" s="13"/>
      <c r="L991" s="10"/>
    </row>
    <row r="992" spans="1:12">
      <c r="A992" s="13"/>
      <c r="B992" s="48"/>
      <c r="C992" s="13"/>
      <c r="D992" s="49">
        <v>30000</v>
      </c>
      <c r="E992" s="51">
        <v>7.4999999999999997E-2</v>
      </c>
      <c r="F992" s="42">
        <v>15</v>
      </c>
      <c r="G992" s="50">
        <v>40993</v>
      </c>
      <c r="H992" s="49">
        <v>4</v>
      </c>
      <c r="I992" s="49">
        <f t="shared" si="31"/>
        <v>4500</v>
      </c>
      <c r="J992" s="29">
        <f t="shared" si="30"/>
        <v>2999.9999999999995</v>
      </c>
      <c r="K992" s="13"/>
      <c r="L992" s="10"/>
    </row>
    <row r="993" spans="1:12">
      <c r="A993" s="13"/>
      <c r="B993" s="48"/>
      <c r="C993" s="13"/>
      <c r="D993" s="49">
        <v>20000</v>
      </c>
      <c r="E993" s="51">
        <v>7.4999999999999997E-2</v>
      </c>
      <c r="F993" s="42">
        <v>15</v>
      </c>
      <c r="G993" s="50">
        <v>41053</v>
      </c>
      <c r="H993" s="49">
        <v>3</v>
      </c>
      <c r="I993" s="49">
        <f t="shared" si="31"/>
        <v>2250</v>
      </c>
      <c r="J993" s="29">
        <f t="shared" si="30"/>
        <v>1499.9999999999998</v>
      </c>
      <c r="K993" s="13"/>
      <c r="L993" s="10"/>
    </row>
    <row r="994" spans="1:12">
      <c r="A994" s="13"/>
      <c r="B994" s="48"/>
      <c r="C994" s="13"/>
      <c r="D994" s="49">
        <v>25000</v>
      </c>
      <c r="E994" s="51">
        <v>7.4999999999999997E-2</v>
      </c>
      <c r="F994" s="42">
        <v>15</v>
      </c>
      <c r="G994" s="50">
        <v>41097</v>
      </c>
      <c r="H994" s="49">
        <v>14</v>
      </c>
      <c r="I994" s="49">
        <f t="shared" si="31"/>
        <v>13125</v>
      </c>
      <c r="J994" s="29">
        <f t="shared" si="30"/>
        <v>8750</v>
      </c>
      <c r="K994" s="13"/>
      <c r="L994" s="10"/>
    </row>
    <row r="995" spans="1:12">
      <c r="A995" s="13">
        <v>186</v>
      </c>
      <c r="B995" s="48">
        <v>986</v>
      </c>
      <c r="C995" s="13" t="s">
        <v>3488</v>
      </c>
      <c r="D995" s="49">
        <v>80000</v>
      </c>
      <c r="E995" s="51">
        <v>7.4999999999999997E-2</v>
      </c>
      <c r="F995" s="42">
        <v>15</v>
      </c>
      <c r="G995" s="50">
        <v>40824</v>
      </c>
      <c r="H995" s="49">
        <v>25</v>
      </c>
      <c r="I995" s="49">
        <f t="shared" si="31"/>
        <v>75000</v>
      </c>
      <c r="J995" s="29">
        <f t="shared" ref="J995:J1058" si="32">IF(F995="分期",D995*(E995-0.025)*2.5*H995/10,D995*(E995-0.025)*F995/30*H995)</f>
        <v>49999.999999999993</v>
      </c>
      <c r="K995" s="13" t="s">
        <v>2791</v>
      </c>
      <c r="L995" s="10"/>
    </row>
    <row r="996" spans="1:12">
      <c r="A996" s="13"/>
      <c r="B996" s="48"/>
      <c r="C996" s="13"/>
      <c r="D996" s="49">
        <v>50000</v>
      </c>
      <c r="E996" s="51">
        <v>7.0000000000000007E-2</v>
      </c>
      <c r="F996" s="42" t="s">
        <v>4036</v>
      </c>
      <c r="G996" s="50">
        <v>41141</v>
      </c>
      <c r="H996" s="49">
        <v>10</v>
      </c>
      <c r="I996" s="49">
        <f t="shared" si="31"/>
        <v>8750.0000000000018</v>
      </c>
      <c r="J996" s="29">
        <f t="shared" si="32"/>
        <v>5625.0000000000009</v>
      </c>
      <c r="K996" s="13"/>
      <c r="L996" s="10"/>
    </row>
    <row r="997" spans="1:12">
      <c r="A997" s="13"/>
      <c r="B997" s="48"/>
      <c r="C997" s="13"/>
      <c r="D997" s="49">
        <v>150000</v>
      </c>
      <c r="E997" s="51">
        <v>7.4999999999999997E-2</v>
      </c>
      <c r="F997" s="42">
        <v>15</v>
      </c>
      <c r="G997" s="50">
        <v>41189</v>
      </c>
      <c r="H997" s="49">
        <v>6</v>
      </c>
      <c r="I997" s="49">
        <f t="shared" si="31"/>
        <v>33750</v>
      </c>
      <c r="J997" s="29">
        <f t="shared" si="32"/>
        <v>22499.999999999996</v>
      </c>
      <c r="K997" s="13"/>
      <c r="L997" s="10"/>
    </row>
    <row r="998" spans="1:12">
      <c r="A998" s="13"/>
      <c r="B998" s="48"/>
      <c r="C998" s="13"/>
      <c r="D998" s="49">
        <v>100000</v>
      </c>
      <c r="E998" s="51">
        <v>7.4999999999999997E-2</v>
      </c>
      <c r="F998" s="42">
        <v>15</v>
      </c>
      <c r="G998" s="50">
        <v>41248</v>
      </c>
      <c r="H998" s="49">
        <v>4</v>
      </c>
      <c r="I998" s="49">
        <f t="shared" si="31"/>
        <v>15000</v>
      </c>
      <c r="J998" s="29">
        <f t="shared" si="32"/>
        <v>10000</v>
      </c>
      <c r="K998" s="13"/>
      <c r="L998" s="10"/>
    </row>
    <row r="999" spans="1:12">
      <c r="A999" s="13"/>
      <c r="B999" s="48"/>
      <c r="C999" s="13"/>
      <c r="D999" s="49">
        <v>100000</v>
      </c>
      <c r="E999" s="51">
        <v>7.4999999999999997E-2</v>
      </c>
      <c r="F999" s="42">
        <v>15</v>
      </c>
      <c r="G999" s="50">
        <v>41289</v>
      </c>
      <c r="H999" s="49">
        <v>1</v>
      </c>
      <c r="I999" s="49">
        <f t="shared" si="31"/>
        <v>3750</v>
      </c>
      <c r="J999" s="29">
        <f t="shared" si="32"/>
        <v>2500</v>
      </c>
      <c r="K999" s="13"/>
      <c r="L999" s="10"/>
    </row>
    <row r="1000" spans="1:12">
      <c r="A1000" s="13">
        <v>187</v>
      </c>
      <c r="B1000" s="48">
        <v>1360</v>
      </c>
      <c r="C1000" s="13" t="s">
        <v>1413</v>
      </c>
      <c r="D1000" s="49">
        <v>50000</v>
      </c>
      <c r="E1000" s="51">
        <v>7.4999999999999997E-2</v>
      </c>
      <c r="F1000" s="42">
        <v>15</v>
      </c>
      <c r="G1000" s="50">
        <v>40798</v>
      </c>
      <c r="H1000" s="49">
        <v>23</v>
      </c>
      <c r="I1000" s="49">
        <f t="shared" si="31"/>
        <v>43125</v>
      </c>
      <c r="J1000" s="29">
        <f t="shared" si="32"/>
        <v>28750</v>
      </c>
      <c r="K1000" s="13" t="s">
        <v>2792</v>
      </c>
      <c r="L1000" s="10"/>
    </row>
    <row r="1001" spans="1:12">
      <c r="A1001" s="13">
        <v>188</v>
      </c>
      <c r="B1001" s="48">
        <v>1426</v>
      </c>
      <c r="C1001" s="13" t="s">
        <v>1076</v>
      </c>
      <c r="D1001" s="49">
        <v>20000</v>
      </c>
      <c r="E1001" s="51">
        <v>7.4999999999999997E-2</v>
      </c>
      <c r="F1001" s="42">
        <v>30</v>
      </c>
      <c r="G1001" s="50">
        <v>40761</v>
      </c>
      <c r="H1001" s="49">
        <v>1</v>
      </c>
      <c r="I1001" s="49">
        <f t="shared" si="31"/>
        <v>1500</v>
      </c>
      <c r="J1001" s="29">
        <f t="shared" si="32"/>
        <v>999.99999999999989</v>
      </c>
      <c r="K1001" s="13" t="s">
        <v>2793</v>
      </c>
      <c r="L1001" s="10"/>
    </row>
    <row r="1002" spans="1:12">
      <c r="A1002" s="13"/>
      <c r="B1002" s="48"/>
      <c r="C1002" s="13"/>
      <c r="D1002" s="49">
        <v>100000</v>
      </c>
      <c r="E1002" s="51">
        <v>7.4999999999999997E-2</v>
      </c>
      <c r="F1002" s="42">
        <v>15</v>
      </c>
      <c r="G1002" s="50">
        <v>40762</v>
      </c>
      <c r="H1002" s="49">
        <v>1</v>
      </c>
      <c r="I1002" s="49">
        <f t="shared" si="31"/>
        <v>3750</v>
      </c>
      <c r="J1002" s="29">
        <f t="shared" si="32"/>
        <v>2500</v>
      </c>
      <c r="K1002" s="13"/>
      <c r="L1002" s="10"/>
    </row>
    <row r="1003" spans="1:12">
      <c r="A1003" s="13"/>
      <c r="B1003" s="48"/>
      <c r="C1003" s="13"/>
      <c r="D1003" s="49">
        <v>70000</v>
      </c>
      <c r="E1003" s="51">
        <v>7.4999999999999997E-2</v>
      </c>
      <c r="F1003" s="42">
        <v>15</v>
      </c>
      <c r="G1003" s="50">
        <v>40777</v>
      </c>
      <c r="H1003" s="49">
        <v>1</v>
      </c>
      <c r="I1003" s="49">
        <f t="shared" si="31"/>
        <v>2625</v>
      </c>
      <c r="J1003" s="29">
        <f t="shared" si="32"/>
        <v>1749.9999999999998</v>
      </c>
      <c r="K1003" s="13"/>
      <c r="L1003" s="10"/>
    </row>
    <row r="1004" spans="1:12">
      <c r="A1004" s="13"/>
      <c r="B1004" s="48"/>
      <c r="C1004" s="13"/>
      <c r="D1004" s="49">
        <v>40000</v>
      </c>
      <c r="E1004" s="51">
        <v>7.4999999999999997E-2</v>
      </c>
      <c r="F1004" s="42">
        <v>15</v>
      </c>
      <c r="G1004" s="50">
        <v>40792</v>
      </c>
      <c r="H1004" s="49">
        <v>1</v>
      </c>
      <c r="I1004" s="49">
        <f t="shared" si="31"/>
        <v>1500</v>
      </c>
      <c r="J1004" s="29">
        <f t="shared" si="32"/>
        <v>999.99999999999989</v>
      </c>
      <c r="K1004" s="13"/>
      <c r="L1004" s="10"/>
    </row>
    <row r="1005" spans="1:12">
      <c r="A1005" s="13">
        <v>189</v>
      </c>
      <c r="B1005" s="48">
        <v>1606</v>
      </c>
      <c r="C1005" s="13" t="s">
        <v>3484</v>
      </c>
      <c r="D1005" s="49">
        <v>10000</v>
      </c>
      <c r="E1005" s="51">
        <v>7.0000000000000007E-2</v>
      </c>
      <c r="F1005" s="42" t="s">
        <v>4036</v>
      </c>
      <c r="G1005" s="50">
        <v>40787</v>
      </c>
      <c r="H1005" s="49">
        <v>10</v>
      </c>
      <c r="I1005" s="49">
        <f t="shared" si="31"/>
        <v>1750.0000000000005</v>
      </c>
      <c r="J1005" s="29">
        <f t="shared" si="32"/>
        <v>1125.0000000000002</v>
      </c>
      <c r="K1005" s="13" t="s">
        <v>2794</v>
      </c>
      <c r="L1005" s="10"/>
    </row>
    <row r="1006" spans="1:12">
      <c r="A1006" s="13"/>
      <c r="B1006" s="48"/>
      <c r="C1006" s="13"/>
      <c r="D1006" s="49">
        <v>10000</v>
      </c>
      <c r="E1006" s="51">
        <v>7.4999999999999997E-2</v>
      </c>
      <c r="F1006" s="42">
        <v>15</v>
      </c>
      <c r="G1006" s="50">
        <v>40791</v>
      </c>
      <c r="H1006" s="49">
        <v>15</v>
      </c>
      <c r="I1006" s="49">
        <f t="shared" si="31"/>
        <v>5625</v>
      </c>
      <c r="J1006" s="29">
        <f t="shared" si="32"/>
        <v>3749.9999999999995</v>
      </c>
      <c r="K1006" s="13"/>
      <c r="L1006" s="10"/>
    </row>
    <row r="1007" spans="1:12">
      <c r="A1007" s="13"/>
      <c r="B1007" s="48"/>
      <c r="C1007" s="13"/>
      <c r="D1007" s="49">
        <v>10000</v>
      </c>
      <c r="E1007" s="51">
        <v>7.0000000000000007E-2</v>
      </c>
      <c r="F1007" s="42" t="s">
        <v>4036</v>
      </c>
      <c r="G1007" s="50">
        <v>40793</v>
      </c>
      <c r="H1007" s="49">
        <v>10</v>
      </c>
      <c r="I1007" s="49">
        <f t="shared" si="31"/>
        <v>1750.0000000000005</v>
      </c>
      <c r="J1007" s="29">
        <f t="shared" si="32"/>
        <v>1125.0000000000002</v>
      </c>
      <c r="K1007" s="13"/>
      <c r="L1007" s="10"/>
    </row>
    <row r="1008" spans="1:12">
      <c r="A1008" s="13"/>
      <c r="B1008" s="48"/>
      <c r="C1008" s="13"/>
      <c r="D1008" s="49">
        <v>10000</v>
      </c>
      <c r="E1008" s="51">
        <v>7.0000000000000007E-2</v>
      </c>
      <c r="F1008" s="42" t="s">
        <v>4036</v>
      </c>
      <c r="G1008" s="50">
        <v>40836</v>
      </c>
      <c r="H1008" s="49">
        <v>10</v>
      </c>
      <c r="I1008" s="49">
        <f t="shared" si="31"/>
        <v>1750.0000000000005</v>
      </c>
      <c r="J1008" s="29">
        <f t="shared" si="32"/>
        <v>1125.0000000000002</v>
      </c>
      <c r="K1008" s="13"/>
      <c r="L1008" s="10"/>
    </row>
    <row r="1009" spans="1:12">
      <c r="A1009" s="13"/>
      <c r="B1009" s="48"/>
      <c r="C1009" s="13"/>
      <c r="D1009" s="49">
        <v>10000</v>
      </c>
      <c r="E1009" s="51">
        <v>7.0000000000000007E-2</v>
      </c>
      <c r="F1009" s="42" t="s">
        <v>4036</v>
      </c>
      <c r="G1009" s="50">
        <v>40848</v>
      </c>
      <c r="H1009" s="49">
        <v>10</v>
      </c>
      <c r="I1009" s="49">
        <f t="shared" si="31"/>
        <v>1750.0000000000005</v>
      </c>
      <c r="J1009" s="29">
        <f t="shared" si="32"/>
        <v>1125.0000000000002</v>
      </c>
      <c r="K1009" s="13"/>
      <c r="L1009" s="10"/>
    </row>
    <row r="1010" spans="1:12">
      <c r="A1010" s="13"/>
      <c r="B1010" s="48"/>
      <c r="C1010" s="13"/>
      <c r="D1010" s="49">
        <v>10000</v>
      </c>
      <c r="E1010" s="51">
        <v>7.0000000000000007E-2</v>
      </c>
      <c r="F1010" s="42" t="s">
        <v>4036</v>
      </c>
      <c r="G1010" s="50">
        <v>40898</v>
      </c>
      <c r="H1010" s="49">
        <v>10</v>
      </c>
      <c r="I1010" s="49">
        <f t="shared" si="31"/>
        <v>1750.0000000000005</v>
      </c>
      <c r="J1010" s="29">
        <f t="shared" si="32"/>
        <v>1125.0000000000002</v>
      </c>
      <c r="K1010" s="13"/>
      <c r="L1010" s="10"/>
    </row>
    <row r="1011" spans="1:12">
      <c r="A1011" s="13"/>
      <c r="B1011" s="48"/>
      <c r="C1011" s="13"/>
      <c r="D1011" s="49">
        <v>10000</v>
      </c>
      <c r="E1011" s="51">
        <v>7.0000000000000007E-2</v>
      </c>
      <c r="F1011" s="42" t="s">
        <v>4036</v>
      </c>
      <c r="G1011" s="50">
        <v>40904</v>
      </c>
      <c r="H1011" s="49">
        <v>10</v>
      </c>
      <c r="I1011" s="49">
        <f t="shared" si="31"/>
        <v>1750.0000000000005</v>
      </c>
      <c r="J1011" s="29">
        <f t="shared" si="32"/>
        <v>1125.0000000000002</v>
      </c>
      <c r="K1011" s="13"/>
      <c r="L1011" s="10"/>
    </row>
    <row r="1012" spans="1:12">
      <c r="A1012" s="13"/>
      <c r="B1012" s="48"/>
      <c r="C1012" s="13"/>
      <c r="D1012" s="49">
        <v>10000</v>
      </c>
      <c r="E1012" s="51">
        <v>7.0000000000000007E-2</v>
      </c>
      <c r="F1012" s="42" t="s">
        <v>4036</v>
      </c>
      <c r="G1012" s="50">
        <v>40966</v>
      </c>
      <c r="H1012" s="49">
        <v>10</v>
      </c>
      <c r="I1012" s="49">
        <f t="shared" si="31"/>
        <v>1750.0000000000005</v>
      </c>
      <c r="J1012" s="29">
        <f t="shared" si="32"/>
        <v>1125.0000000000002</v>
      </c>
      <c r="K1012" s="13"/>
      <c r="L1012" s="10"/>
    </row>
    <row r="1013" spans="1:12">
      <c r="A1013" s="13"/>
      <c r="B1013" s="48"/>
      <c r="C1013" s="13"/>
      <c r="D1013" s="49">
        <v>10000</v>
      </c>
      <c r="E1013" s="51">
        <v>7.0000000000000007E-2</v>
      </c>
      <c r="F1013" s="42" t="s">
        <v>4036</v>
      </c>
      <c r="G1013" s="50">
        <v>40967</v>
      </c>
      <c r="H1013" s="49">
        <v>10</v>
      </c>
      <c r="I1013" s="49">
        <f t="shared" si="31"/>
        <v>1750.0000000000005</v>
      </c>
      <c r="J1013" s="29">
        <f t="shared" si="32"/>
        <v>1125.0000000000002</v>
      </c>
      <c r="K1013" s="13"/>
      <c r="L1013" s="10"/>
    </row>
    <row r="1014" spans="1:12">
      <c r="A1014" s="13"/>
      <c r="B1014" s="48"/>
      <c r="C1014" s="13"/>
      <c r="D1014" s="49">
        <v>10000</v>
      </c>
      <c r="E1014" s="51">
        <v>7.0000000000000007E-2</v>
      </c>
      <c r="F1014" s="42" t="s">
        <v>4036</v>
      </c>
      <c r="G1014" s="50">
        <v>41016</v>
      </c>
      <c r="H1014" s="49">
        <v>10</v>
      </c>
      <c r="I1014" s="49">
        <f t="shared" si="31"/>
        <v>1750.0000000000005</v>
      </c>
      <c r="J1014" s="29">
        <f t="shared" si="32"/>
        <v>1125.0000000000002</v>
      </c>
      <c r="K1014" s="13"/>
      <c r="L1014" s="10"/>
    </row>
    <row r="1015" spans="1:12">
      <c r="A1015" s="13"/>
      <c r="B1015" s="48"/>
      <c r="C1015" s="13"/>
      <c r="D1015" s="49">
        <v>40000</v>
      </c>
      <c r="E1015" s="51">
        <v>7.4999999999999997E-2</v>
      </c>
      <c r="F1015" s="42">
        <v>15</v>
      </c>
      <c r="G1015" s="50">
        <v>41016</v>
      </c>
      <c r="H1015" s="49">
        <v>8</v>
      </c>
      <c r="I1015" s="49">
        <f t="shared" si="31"/>
        <v>12000</v>
      </c>
      <c r="J1015" s="29">
        <f t="shared" si="32"/>
        <v>7999.9999999999991</v>
      </c>
      <c r="K1015" s="13"/>
      <c r="L1015" s="10"/>
    </row>
    <row r="1016" spans="1:12">
      <c r="A1016" s="13"/>
      <c r="B1016" s="48"/>
      <c r="C1016" s="13"/>
      <c r="D1016" s="49">
        <v>10000</v>
      </c>
      <c r="E1016" s="51">
        <v>7.0000000000000007E-2</v>
      </c>
      <c r="F1016" s="42" t="s">
        <v>4036</v>
      </c>
      <c r="G1016" s="50">
        <v>41023</v>
      </c>
      <c r="H1016" s="49">
        <v>10</v>
      </c>
      <c r="I1016" s="49">
        <f t="shared" si="31"/>
        <v>1750.0000000000005</v>
      </c>
      <c r="J1016" s="29">
        <f t="shared" si="32"/>
        <v>1125.0000000000002</v>
      </c>
      <c r="K1016" s="13"/>
      <c r="L1016" s="10"/>
    </row>
    <row r="1017" spans="1:12">
      <c r="A1017" s="13"/>
      <c r="B1017" s="48"/>
      <c r="C1017" s="13"/>
      <c r="D1017" s="49">
        <v>10000</v>
      </c>
      <c r="E1017" s="51">
        <v>7.0000000000000007E-2</v>
      </c>
      <c r="F1017" s="42" t="s">
        <v>4036</v>
      </c>
      <c r="G1017" s="50">
        <v>41064</v>
      </c>
      <c r="H1017" s="49">
        <v>10</v>
      </c>
      <c r="I1017" s="49">
        <f t="shared" si="31"/>
        <v>1750.0000000000005</v>
      </c>
      <c r="J1017" s="29">
        <f t="shared" si="32"/>
        <v>1125.0000000000002</v>
      </c>
      <c r="K1017" s="13"/>
      <c r="L1017" s="10"/>
    </row>
    <row r="1018" spans="1:12">
      <c r="A1018" s="13"/>
      <c r="B1018" s="48"/>
      <c r="C1018" s="13"/>
      <c r="D1018" s="49">
        <v>10000</v>
      </c>
      <c r="E1018" s="51">
        <v>7.0000000000000007E-2</v>
      </c>
      <c r="F1018" s="42" t="s">
        <v>4036</v>
      </c>
      <c r="G1018" s="50">
        <v>41068</v>
      </c>
      <c r="H1018" s="49">
        <v>10</v>
      </c>
      <c r="I1018" s="49">
        <f t="shared" si="31"/>
        <v>1750.0000000000005</v>
      </c>
      <c r="J1018" s="29">
        <f t="shared" si="32"/>
        <v>1125.0000000000002</v>
      </c>
      <c r="K1018" s="13"/>
      <c r="L1018" s="10"/>
    </row>
    <row r="1019" spans="1:12">
      <c r="A1019" s="13"/>
      <c r="B1019" s="48"/>
      <c r="C1019" s="13"/>
      <c r="D1019" s="49">
        <v>10000</v>
      </c>
      <c r="E1019" s="51">
        <v>7.0000000000000007E-2</v>
      </c>
      <c r="F1019" s="42" t="s">
        <v>4036</v>
      </c>
      <c r="G1019" s="50">
        <v>41107</v>
      </c>
      <c r="H1019" s="49">
        <v>10</v>
      </c>
      <c r="I1019" s="49">
        <f t="shared" si="31"/>
        <v>1750.0000000000005</v>
      </c>
      <c r="J1019" s="29">
        <f t="shared" si="32"/>
        <v>1125.0000000000002</v>
      </c>
      <c r="K1019" s="13"/>
      <c r="L1019" s="10"/>
    </row>
    <row r="1020" spans="1:12">
      <c r="A1020" s="13"/>
      <c r="B1020" s="48"/>
      <c r="C1020" s="13"/>
      <c r="D1020" s="49">
        <v>10000</v>
      </c>
      <c r="E1020" s="51">
        <v>7.0000000000000007E-2</v>
      </c>
      <c r="F1020" s="42" t="s">
        <v>4036</v>
      </c>
      <c r="G1020" s="50">
        <v>41113</v>
      </c>
      <c r="H1020" s="49">
        <v>10</v>
      </c>
      <c r="I1020" s="49">
        <f t="shared" si="31"/>
        <v>1750.0000000000005</v>
      </c>
      <c r="J1020" s="29">
        <f t="shared" si="32"/>
        <v>1125.0000000000002</v>
      </c>
      <c r="K1020" s="13"/>
      <c r="L1020" s="10"/>
    </row>
    <row r="1021" spans="1:12">
      <c r="A1021" s="13"/>
      <c r="B1021" s="48"/>
      <c r="C1021" s="13"/>
      <c r="D1021" s="49">
        <v>50000</v>
      </c>
      <c r="E1021" s="51">
        <v>7.4999999999999997E-2</v>
      </c>
      <c r="F1021" s="42">
        <v>15</v>
      </c>
      <c r="G1021" s="50">
        <v>41136</v>
      </c>
      <c r="H1021" s="49">
        <v>5</v>
      </c>
      <c r="I1021" s="49">
        <f t="shared" si="31"/>
        <v>9375</v>
      </c>
      <c r="J1021" s="29">
        <f t="shared" si="32"/>
        <v>6250</v>
      </c>
      <c r="K1021" s="13"/>
      <c r="L1021" s="10"/>
    </row>
    <row r="1022" spans="1:12">
      <c r="A1022" s="13"/>
      <c r="B1022" s="48"/>
      <c r="C1022" s="13"/>
      <c r="D1022" s="49">
        <v>10000</v>
      </c>
      <c r="E1022" s="51">
        <v>7.0000000000000007E-2</v>
      </c>
      <c r="F1022" s="42" t="s">
        <v>4036</v>
      </c>
      <c r="G1022" s="50">
        <v>41155</v>
      </c>
      <c r="H1022" s="49">
        <v>10</v>
      </c>
      <c r="I1022" s="49">
        <f t="shared" si="31"/>
        <v>1750.0000000000005</v>
      </c>
      <c r="J1022" s="29">
        <f t="shared" si="32"/>
        <v>1125.0000000000002</v>
      </c>
      <c r="K1022" s="13"/>
      <c r="L1022" s="10"/>
    </row>
    <row r="1023" spans="1:12">
      <c r="A1023" s="13"/>
      <c r="B1023" s="48"/>
      <c r="C1023" s="13"/>
      <c r="D1023" s="49">
        <v>10000</v>
      </c>
      <c r="E1023" s="51">
        <v>7.0000000000000007E-2</v>
      </c>
      <c r="F1023" s="42" t="s">
        <v>4036</v>
      </c>
      <c r="G1023" s="50">
        <v>41197</v>
      </c>
      <c r="H1023" s="49">
        <v>10</v>
      </c>
      <c r="I1023" s="49">
        <f t="shared" si="31"/>
        <v>1750.0000000000005</v>
      </c>
      <c r="J1023" s="29">
        <f t="shared" si="32"/>
        <v>1125.0000000000002</v>
      </c>
      <c r="K1023" s="13"/>
      <c r="L1023" s="10"/>
    </row>
    <row r="1024" spans="1:12">
      <c r="A1024" s="13"/>
      <c r="B1024" s="48"/>
      <c r="C1024" s="13"/>
      <c r="D1024" s="49">
        <v>50000</v>
      </c>
      <c r="E1024" s="51">
        <v>7.4999999999999997E-2</v>
      </c>
      <c r="F1024" s="42">
        <v>15</v>
      </c>
      <c r="G1024" s="50">
        <v>41211</v>
      </c>
      <c r="H1024" s="49">
        <v>6</v>
      </c>
      <c r="I1024" s="49">
        <f t="shared" si="31"/>
        <v>11250</v>
      </c>
      <c r="J1024" s="29">
        <f t="shared" si="32"/>
        <v>7500</v>
      </c>
      <c r="K1024" s="13"/>
      <c r="L1024" s="10"/>
    </row>
    <row r="1025" spans="1:12">
      <c r="A1025" s="13"/>
      <c r="B1025" s="48"/>
      <c r="C1025" s="13"/>
      <c r="D1025" s="49">
        <v>10000</v>
      </c>
      <c r="E1025" s="51">
        <v>7.0000000000000007E-2</v>
      </c>
      <c r="F1025" s="42" t="s">
        <v>4036</v>
      </c>
      <c r="G1025" s="50">
        <v>41239</v>
      </c>
      <c r="H1025" s="49">
        <v>10</v>
      </c>
      <c r="I1025" s="49">
        <f t="shared" si="31"/>
        <v>1750.0000000000005</v>
      </c>
      <c r="J1025" s="29">
        <f t="shared" si="32"/>
        <v>1125.0000000000002</v>
      </c>
      <c r="K1025" s="13"/>
      <c r="L1025" s="10"/>
    </row>
    <row r="1026" spans="1:12">
      <c r="A1026" s="13"/>
      <c r="B1026" s="48"/>
      <c r="C1026" s="13"/>
      <c r="D1026" s="49">
        <v>10000</v>
      </c>
      <c r="E1026" s="51">
        <v>7.0000000000000007E-2</v>
      </c>
      <c r="F1026" s="42" t="s">
        <v>4036</v>
      </c>
      <c r="G1026" s="50">
        <v>41282</v>
      </c>
      <c r="H1026" s="49">
        <v>2</v>
      </c>
      <c r="I1026" s="49">
        <f t="shared" si="31"/>
        <v>350.00000000000006</v>
      </c>
      <c r="J1026" s="29">
        <f t="shared" si="32"/>
        <v>225.00000000000006</v>
      </c>
      <c r="K1026" s="13"/>
      <c r="L1026" s="10"/>
    </row>
    <row r="1027" spans="1:12">
      <c r="A1027" s="13">
        <v>190</v>
      </c>
      <c r="B1027" s="48">
        <v>1824</v>
      </c>
      <c r="C1027" s="13" t="s">
        <v>1071</v>
      </c>
      <c r="D1027" s="49">
        <v>65000</v>
      </c>
      <c r="E1027" s="51">
        <v>7.4999999999999997E-2</v>
      </c>
      <c r="F1027" s="42">
        <v>15</v>
      </c>
      <c r="G1027" s="50">
        <v>40800</v>
      </c>
      <c r="H1027" s="49">
        <v>17</v>
      </c>
      <c r="I1027" s="49">
        <f t="shared" si="31"/>
        <v>41437.5</v>
      </c>
      <c r="J1027" s="29">
        <f t="shared" si="32"/>
        <v>27624.999999999996</v>
      </c>
      <c r="K1027" s="13" t="s">
        <v>2795</v>
      </c>
      <c r="L1027" s="10"/>
    </row>
    <row r="1028" spans="1:12">
      <c r="A1028" s="13"/>
      <c r="B1028" s="48"/>
      <c r="C1028" s="13"/>
      <c r="D1028" s="49">
        <v>55000</v>
      </c>
      <c r="E1028" s="51">
        <v>7.4999999999999997E-2</v>
      </c>
      <c r="F1028" s="42">
        <v>15</v>
      </c>
      <c r="G1028" s="50">
        <v>41055</v>
      </c>
      <c r="H1028" s="49">
        <v>2</v>
      </c>
      <c r="I1028" s="49">
        <f t="shared" ref="I1028:I1091" si="33">IF(F1028="分期",D1028*E1028*2.5*H1028/10,D1028*E1028*F1028*H1028/30)</f>
        <v>4125</v>
      </c>
      <c r="J1028" s="29">
        <f t="shared" si="32"/>
        <v>2749.9999999999995</v>
      </c>
      <c r="K1028" s="13"/>
      <c r="L1028" s="10"/>
    </row>
    <row r="1029" spans="1:12">
      <c r="A1029" s="13"/>
      <c r="B1029" s="48"/>
      <c r="C1029" s="13"/>
      <c r="D1029" s="49">
        <v>65000</v>
      </c>
      <c r="E1029" s="51">
        <v>7.4999999999999997E-2</v>
      </c>
      <c r="F1029" s="42">
        <v>15</v>
      </c>
      <c r="G1029" s="50">
        <v>41085</v>
      </c>
      <c r="H1029" s="49">
        <v>15</v>
      </c>
      <c r="I1029" s="49">
        <f t="shared" si="33"/>
        <v>36562.5</v>
      </c>
      <c r="J1029" s="29">
        <f t="shared" si="32"/>
        <v>24374.999999999996</v>
      </c>
      <c r="K1029" s="13"/>
      <c r="L1029" s="10"/>
    </row>
    <row r="1030" spans="1:12">
      <c r="A1030" s="13"/>
      <c r="B1030" s="48"/>
      <c r="C1030" s="13"/>
      <c r="D1030" s="49">
        <v>10000</v>
      </c>
      <c r="E1030" s="51">
        <v>7.0000000000000007E-2</v>
      </c>
      <c r="F1030" s="42" t="s">
        <v>4036</v>
      </c>
      <c r="G1030" s="50">
        <v>41287</v>
      </c>
      <c r="H1030" s="49">
        <v>2</v>
      </c>
      <c r="I1030" s="49">
        <f t="shared" si="33"/>
        <v>350.00000000000006</v>
      </c>
      <c r="J1030" s="29">
        <f t="shared" si="32"/>
        <v>225.00000000000006</v>
      </c>
      <c r="K1030" s="13"/>
      <c r="L1030" s="10"/>
    </row>
    <row r="1031" spans="1:12">
      <c r="A1031" s="13">
        <v>191</v>
      </c>
      <c r="B1031" s="48">
        <v>1844</v>
      </c>
      <c r="C1031" s="13" t="s">
        <v>1112</v>
      </c>
      <c r="D1031" s="49">
        <v>10000</v>
      </c>
      <c r="E1031" s="51">
        <v>7.0000000000000007E-2</v>
      </c>
      <c r="F1031" s="42" t="s">
        <v>4036</v>
      </c>
      <c r="G1031" s="50">
        <v>40742</v>
      </c>
      <c r="H1031" s="49">
        <v>10</v>
      </c>
      <c r="I1031" s="49">
        <f t="shared" si="33"/>
        <v>1750.0000000000005</v>
      </c>
      <c r="J1031" s="29">
        <f t="shared" si="32"/>
        <v>1125.0000000000002</v>
      </c>
      <c r="K1031" s="13" t="s">
        <v>2796</v>
      </c>
      <c r="L1031" s="10"/>
    </row>
    <row r="1032" spans="1:12">
      <c r="A1032" s="13"/>
      <c r="B1032" s="48"/>
      <c r="C1032" s="13"/>
      <c r="D1032" s="49">
        <v>65000</v>
      </c>
      <c r="E1032" s="51">
        <v>7.4999999999999997E-2</v>
      </c>
      <c r="F1032" s="42">
        <v>15</v>
      </c>
      <c r="G1032" s="50">
        <v>40789</v>
      </c>
      <c r="H1032" s="49">
        <v>23</v>
      </c>
      <c r="I1032" s="49">
        <f t="shared" si="33"/>
        <v>56062.5</v>
      </c>
      <c r="J1032" s="29">
        <f t="shared" si="32"/>
        <v>37374.999999999993</v>
      </c>
      <c r="K1032" s="13"/>
      <c r="L1032" s="10"/>
    </row>
    <row r="1033" spans="1:12">
      <c r="A1033" s="13"/>
      <c r="B1033" s="48"/>
      <c r="C1033" s="13"/>
      <c r="D1033" s="49">
        <v>10000</v>
      </c>
      <c r="E1033" s="51">
        <v>7.0000000000000007E-2</v>
      </c>
      <c r="F1033" s="42" t="s">
        <v>4036</v>
      </c>
      <c r="G1033" s="50">
        <v>40812</v>
      </c>
      <c r="H1033" s="49">
        <v>10</v>
      </c>
      <c r="I1033" s="49">
        <f t="shared" si="33"/>
        <v>1750.0000000000005</v>
      </c>
      <c r="J1033" s="29">
        <f t="shared" si="32"/>
        <v>1125.0000000000002</v>
      </c>
      <c r="K1033" s="13"/>
      <c r="L1033" s="10"/>
    </row>
    <row r="1034" spans="1:12">
      <c r="A1034" s="13"/>
      <c r="B1034" s="48"/>
      <c r="C1034" s="13"/>
      <c r="D1034" s="49">
        <v>10000</v>
      </c>
      <c r="E1034" s="51">
        <v>7.0000000000000007E-2</v>
      </c>
      <c r="F1034" s="42" t="s">
        <v>4036</v>
      </c>
      <c r="G1034" s="50">
        <v>40870</v>
      </c>
      <c r="H1034" s="49">
        <v>10</v>
      </c>
      <c r="I1034" s="49">
        <f t="shared" si="33"/>
        <v>1750.0000000000005</v>
      </c>
      <c r="J1034" s="29">
        <f t="shared" si="32"/>
        <v>1125.0000000000002</v>
      </c>
      <c r="K1034" s="13"/>
      <c r="L1034" s="10"/>
    </row>
    <row r="1035" spans="1:12">
      <c r="A1035" s="13"/>
      <c r="B1035" s="48"/>
      <c r="C1035" s="13"/>
      <c r="D1035" s="49">
        <v>10000</v>
      </c>
      <c r="E1035" s="51">
        <v>7.0000000000000007E-2</v>
      </c>
      <c r="F1035" s="42" t="s">
        <v>4036</v>
      </c>
      <c r="G1035" s="50">
        <v>40940</v>
      </c>
      <c r="H1035" s="49">
        <v>10</v>
      </c>
      <c r="I1035" s="49">
        <f t="shared" si="33"/>
        <v>1750.0000000000005</v>
      </c>
      <c r="J1035" s="29">
        <f t="shared" si="32"/>
        <v>1125.0000000000002</v>
      </c>
      <c r="K1035" s="13"/>
      <c r="L1035" s="10"/>
    </row>
    <row r="1036" spans="1:12">
      <c r="A1036" s="13">
        <v>192</v>
      </c>
      <c r="B1036" s="48">
        <v>2128</v>
      </c>
      <c r="C1036" s="13" t="s">
        <v>1117</v>
      </c>
      <c r="D1036" s="49">
        <v>90000</v>
      </c>
      <c r="E1036" s="51">
        <v>7.4999999999999997E-2</v>
      </c>
      <c r="F1036" s="42">
        <v>15</v>
      </c>
      <c r="G1036" s="50">
        <v>40826</v>
      </c>
      <c r="H1036" s="49">
        <v>22</v>
      </c>
      <c r="I1036" s="49">
        <f t="shared" si="33"/>
        <v>74250</v>
      </c>
      <c r="J1036" s="29">
        <f t="shared" si="32"/>
        <v>49500</v>
      </c>
      <c r="K1036" s="13" t="s">
        <v>2797</v>
      </c>
      <c r="L1036" s="10"/>
    </row>
    <row r="1037" spans="1:12">
      <c r="A1037" s="13">
        <v>193</v>
      </c>
      <c r="B1037" s="48">
        <v>2336</v>
      </c>
      <c r="C1037" s="13" t="s">
        <v>1394</v>
      </c>
      <c r="D1037" s="49">
        <v>250000</v>
      </c>
      <c r="E1037" s="51">
        <v>7.4999999999999997E-2</v>
      </c>
      <c r="F1037" s="42">
        <v>15</v>
      </c>
      <c r="G1037" s="50">
        <v>40790</v>
      </c>
      <c r="H1037" s="49">
        <v>3</v>
      </c>
      <c r="I1037" s="49">
        <f t="shared" si="33"/>
        <v>28125</v>
      </c>
      <c r="J1037" s="29">
        <f t="shared" si="32"/>
        <v>18749.999999999996</v>
      </c>
      <c r="K1037" s="13" t="s">
        <v>2798</v>
      </c>
      <c r="L1037" s="10"/>
    </row>
    <row r="1038" spans="1:12">
      <c r="A1038" s="13"/>
      <c r="B1038" s="48"/>
      <c r="C1038" s="13"/>
      <c r="D1038" s="49">
        <v>240000</v>
      </c>
      <c r="E1038" s="51">
        <v>7.4999999999999997E-2</v>
      </c>
      <c r="F1038" s="42">
        <v>15</v>
      </c>
      <c r="G1038" s="50">
        <v>40835</v>
      </c>
      <c r="H1038" s="49">
        <v>3</v>
      </c>
      <c r="I1038" s="49">
        <f t="shared" si="33"/>
        <v>27000</v>
      </c>
      <c r="J1038" s="29">
        <f t="shared" si="32"/>
        <v>17999.999999999996</v>
      </c>
      <c r="K1038" s="13"/>
      <c r="L1038" s="10"/>
    </row>
    <row r="1039" spans="1:12">
      <c r="A1039" s="13"/>
      <c r="B1039" s="48"/>
      <c r="C1039" s="13"/>
      <c r="D1039" s="49">
        <v>230000</v>
      </c>
      <c r="E1039" s="51">
        <v>7.4999999999999997E-2</v>
      </c>
      <c r="F1039" s="42">
        <v>15</v>
      </c>
      <c r="G1039" s="50">
        <v>40880</v>
      </c>
      <c r="H1039" s="49">
        <v>12</v>
      </c>
      <c r="I1039" s="49">
        <f t="shared" si="33"/>
        <v>103500</v>
      </c>
      <c r="J1039" s="29">
        <f t="shared" si="32"/>
        <v>68999.999999999985</v>
      </c>
      <c r="K1039" s="13"/>
      <c r="L1039" s="10"/>
    </row>
    <row r="1040" spans="1:12">
      <c r="A1040" s="13"/>
      <c r="B1040" s="48"/>
      <c r="C1040" s="13"/>
      <c r="D1040" s="49">
        <v>10000</v>
      </c>
      <c r="E1040" s="51">
        <v>7.0000000000000007E-2</v>
      </c>
      <c r="F1040" s="42" t="s">
        <v>4036</v>
      </c>
      <c r="G1040" s="50">
        <v>41116</v>
      </c>
      <c r="H1040" s="49">
        <v>10</v>
      </c>
      <c r="I1040" s="49">
        <f t="shared" si="33"/>
        <v>1750.0000000000005</v>
      </c>
      <c r="J1040" s="29">
        <f t="shared" si="32"/>
        <v>1125.0000000000002</v>
      </c>
      <c r="K1040" s="13"/>
      <c r="L1040" s="10"/>
    </row>
    <row r="1041" spans="1:12">
      <c r="A1041" s="13"/>
      <c r="B1041" s="48"/>
      <c r="C1041" s="13"/>
      <c r="D1041" s="49">
        <v>10000</v>
      </c>
      <c r="E1041" s="51">
        <v>7.4999999999999997E-2</v>
      </c>
      <c r="F1041" s="42">
        <v>15</v>
      </c>
      <c r="G1041" s="50">
        <v>41143</v>
      </c>
      <c r="H1041" s="49">
        <v>3</v>
      </c>
      <c r="I1041" s="49">
        <f t="shared" si="33"/>
        <v>1125</v>
      </c>
      <c r="J1041" s="29">
        <f t="shared" si="32"/>
        <v>749.99999999999989</v>
      </c>
      <c r="K1041" s="13"/>
      <c r="L1041" s="10"/>
    </row>
    <row r="1042" spans="1:12">
      <c r="A1042" s="13"/>
      <c r="B1042" s="48"/>
      <c r="C1042" s="13"/>
      <c r="D1042" s="49">
        <v>10000</v>
      </c>
      <c r="E1042" s="51">
        <v>7.0000000000000007E-2</v>
      </c>
      <c r="F1042" s="42" t="s">
        <v>4036</v>
      </c>
      <c r="G1042" s="50">
        <v>41156</v>
      </c>
      <c r="H1042" s="49">
        <v>10</v>
      </c>
      <c r="I1042" s="49">
        <f t="shared" si="33"/>
        <v>1750.0000000000005</v>
      </c>
      <c r="J1042" s="29">
        <f t="shared" si="32"/>
        <v>1125.0000000000002</v>
      </c>
      <c r="K1042" s="13"/>
      <c r="L1042" s="10"/>
    </row>
    <row r="1043" spans="1:12">
      <c r="A1043" s="13"/>
      <c r="B1043" s="48"/>
      <c r="C1043" s="13"/>
      <c r="D1043" s="49">
        <v>35000</v>
      </c>
      <c r="E1043" s="51">
        <v>7.4999999999999997E-2</v>
      </c>
      <c r="F1043" s="42">
        <v>15</v>
      </c>
      <c r="G1043" s="50">
        <v>41173</v>
      </c>
      <c r="H1043" s="49">
        <v>2</v>
      </c>
      <c r="I1043" s="49">
        <f t="shared" si="33"/>
        <v>2625</v>
      </c>
      <c r="J1043" s="29">
        <f t="shared" si="32"/>
        <v>1749.9999999999998</v>
      </c>
      <c r="K1043" s="13"/>
      <c r="L1043" s="10"/>
    </row>
    <row r="1044" spans="1:12">
      <c r="A1044" s="13"/>
      <c r="B1044" s="48"/>
      <c r="C1044" s="13"/>
      <c r="D1044" s="49">
        <v>55000</v>
      </c>
      <c r="E1044" s="51">
        <v>7.4999999999999997E-2</v>
      </c>
      <c r="F1044" s="42">
        <v>15</v>
      </c>
      <c r="G1044" s="50">
        <v>41203</v>
      </c>
      <c r="H1044" s="49">
        <v>3</v>
      </c>
      <c r="I1044" s="49">
        <f t="shared" si="33"/>
        <v>6187.5</v>
      </c>
      <c r="J1044" s="29">
        <f t="shared" si="32"/>
        <v>4124.9999999999991</v>
      </c>
      <c r="K1044" s="13"/>
      <c r="L1044" s="10"/>
    </row>
    <row r="1045" spans="1:12">
      <c r="A1045" s="13"/>
      <c r="B1045" s="48"/>
      <c r="C1045" s="13"/>
      <c r="D1045" s="49">
        <v>10000</v>
      </c>
      <c r="E1045" s="51">
        <v>7.0000000000000007E-2</v>
      </c>
      <c r="F1045" s="42" t="s">
        <v>4036</v>
      </c>
      <c r="G1045" s="50">
        <v>41204</v>
      </c>
      <c r="H1045" s="49">
        <v>10</v>
      </c>
      <c r="I1045" s="49">
        <f t="shared" si="33"/>
        <v>1750.0000000000005</v>
      </c>
      <c r="J1045" s="29">
        <f t="shared" si="32"/>
        <v>1125.0000000000002</v>
      </c>
      <c r="K1045" s="13"/>
      <c r="L1045" s="10"/>
    </row>
    <row r="1046" spans="1:12">
      <c r="A1046" s="13"/>
      <c r="B1046" s="48"/>
      <c r="C1046" s="13"/>
      <c r="D1046" s="49">
        <v>10000</v>
      </c>
      <c r="E1046" s="51">
        <v>7.0000000000000007E-2</v>
      </c>
      <c r="F1046" s="42" t="s">
        <v>4036</v>
      </c>
      <c r="G1046" s="50">
        <v>41246</v>
      </c>
      <c r="H1046" s="49">
        <v>10</v>
      </c>
      <c r="I1046" s="49">
        <f t="shared" si="33"/>
        <v>1750.0000000000005</v>
      </c>
      <c r="J1046" s="29">
        <f t="shared" si="32"/>
        <v>1125.0000000000002</v>
      </c>
      <c r="K1046" s="13"/>
      <c r="L1046" s="10"/>
    </row>
    <row r="1047" spans="1:12">
      <c r="A1047" s="13"/>
      <c r="B1047" s="48"/>
      <c r="C1047" s="13"/>
      <c r="D1047" s="49">
        <v>70000</v>
      </c>
      <c r="E1047" s="51">
        <v>7.4999999999999997E-2</v>
      </c>
      <c r="F1047" s="42">
        <v>15</v>
      </c>
      <c r="G1047" s="50">
        <v>41246</v>
      </c>
      <c r="H1047" s="49">
        <v>4</v>
      </c>
      <c r="I1047" s="49">
        <f t="shared" si="33"/>
        <v>10500</v>
      </c>
      <c r="J1047" s="29">
        <f t="shared" si="32"/>
        <v>6999.9999999999991</v>
      </c>
      <c r="K1047" s="13"/>
      <c r="L1047" s="10"/>
    </row>
    <row r="1048" spans="1:12">
      <c r="A1048" s="13"/>
      <c r="B1048" s="48"/>
      <c r="C1048" s="13"/>
      <c r="D1048" s="49">
        <v>10000</v>
      </c>
      <c r="E1048" s="51">
        <v>7.0000000000000007E-2</v>
      </c>
      <c r="F1048" s="42" t="s">
        <v>4036</v>
      </c>
      <c r="G1048" s="50">
        <v>41288</v>
      </c>
      <c r="H1048" s="49">
        <v>2</v>
      </c>
      <c r="I1048" s="49">
        <f t="shared" si="33"/>
        <v>350.00000000000006</v>
      </c>
      <c r="J1048" s="29">
        <f t="shared" si="32"/>
        <v>225.00000000000006</v>
      </c>
      <c r="K1048" s="13"/>
      <c r="L1048" s="10"/>
    </row>
    <row r="1049" spans="1:12">
      <c r="A1049" s="13">
        <v>194</v>
      </c>
      <c r="B1049" s="48">
        <v>2358</v>
      </c>
      <c r="C1049" s="13" t="s">
        <v>1089</v>
      </c>
      <c r="D1049" s="49">
        <v>130000</v>
      </c>
      <c r="E1049" s="51">
        <v>7.4999999999999997E-2</v>
      </c>
      <c r="F1049" s="42">
        <v>15</v>
      </c>
      <c r="G1049" s="50">
        <v>40793</v>
      </c>
      <c r="H1049" s="49">
        <v>34</v>
      </c>
      <c r="I1049" s="49">
        <f t="shared" si="33"/>
        <v>165750</v>
      </c>
      <c r="J1049" s="29">
        <f t="shared" si="32"/>
        <v>110499.99999999999</v>
      </c>
      <c r="K1049" s="13" t="s">
        <v>2799</v>
      </c>
      <c r="L1049" s="10"/>
    </row>
    <row r="1050" spans="1:12">
      <c r="A1050" s="13"/>
      <c r="B1050" s="48"/>
      <c r="C1050" s="13"/>
      <c r="D1050" s="49">
        <v>5000</v>
      </c>
      <c r="E1050" s="51">
        <v>7.0000000000000007E-2</v>
      </c>
      <c r="F1050" s="42" t="s">
        <v>4036</v>
      </c>
      <c r="G1050" s="50">
        <v>41120</v>
      </c>
      <c r="H1050" s="49">
        <v>10</v>
      </c>
      <c r="I1050" s="49">
        <f t="shared" si="33"/>
        <v>875.00000000000023</v>
      </c>
      <c r="J1050" s="29">
        <f t="shared" si="32"/>
        <v>562.50000000000011</v>
      </c>
      <c r="K1050" s="13"/>
      <c r="L1050" s="10"/>
    </row>
    <row r="1051" spans="1:12">
      <c r="A1051" s="13"/>
      <c r="B1051" s="48"/>
      <c r="C1051" s="13"/>
      <c r="D1051" s="49">
        <v>5000</v>
      </c>
      <c r="E1051" s="51">
        <v>7.0000000000000007E-2</v>
      </c>
      <c r="F1051" s="42" t="s">
        <v>4036</v>
      </c>
      <c r="G1051" s="50">
        <v>41218</v>
      </c>
      <c r="H1051" s="49">
        <v>10</v>
      </c>
      <c r="I1051" s="49">
        <f t="shared" si="33"/>
        <v>875.00000000000023</v>
      </c>
      <c r="J1051" s="29">
        <f t="shared" si="32"/>
        <v>562.50000000000011</v>
      </c>
      <c r="K1051" s="13"/>
      <c r="L1051" s="10"/>
    </row>
    <row r="1052" spans="1:12">
      <c r="A1052" s="13"/>
      <c r="B1052" s="48"/>
      <c r="C1052" s="13"/>
      <c r="D1052" s="49">
        <v>5000</v>
      </c>
      <c r="E1052" s="51">
        <v>7.0000000000000007E-2</v>
      </c>
      <c r="F1052" s="42" t="s">
        <v>4036</v>
      </c>
      <c r="G1052" s="50">
        <v>41276</v>
      </c>
      <c r="H1052" s="49">
        <v>3</v>
      </c>
      <c r="I1052" s="49">
        <f t="shared" si="33"/>
        <v>262.50000000000006</v>
      </c>
      <c r="J1052" s="29">
        <f t="shared" si="32"/>
        <v>168.75000000000006</v>
      </c>
      <c r="K1052" s="13"/>
      <c r="L1052" s="10"/>
    </row>
    <row r="1053" spans="1:12">
      <c r="A1053" s="13">
        <v>195</v>
      </c>
      <c r="B1053" s="48">
        <v>2362</v>
      </c>
      <c r="C1053" s="13" t="s">
        <v>1108</v>
      </c>
      <c r="D1053" s="49">
        <v>90000</v>
      </c>
      <c r="E1053" s="51">
        <v>7.4999999999999997E-2</v>
      </c>
      <c r="F1053" s="42">
        <v>15</v>
      </c>
      <c r="G1053" s="50">
        <v>40592</v>
      </c>
      <c r="H1053" s="49">
        <v>13</v>
      </c>
      <c r="I1053" s="49">
        <f t="shared" si="33"/>
        <v>43875</v>
      </c>
      <c r="J1053" s="29">
        <f t="shared" si="32"/>
        <v>29250</v>
      </c>
      <c r="K1053" s="13" t="s">
        <v>2800</v>
      </c>
      <c r="L1053" s="10"/>
    </row>
    <row r="1054" spans="1:12">
      <c r="A1054" s="13"/>
      <c r="B1054" s="48"/>
      <c r="C1054" s="13"/>
      <c r="D1054" s="49">
        <v>80000</v>
      </c>
      <c r="E1054" s="51">
        <v>7.4999999999999997E-2</v>
      </c>
      <c r="F1054" s="42">
        <v>15</v>
      </c>
      <c r="G1054" s="50">
        <v>40767</v>
      </c>
      <c r="H1054" s="49">
        <v>9</v>
      </c>
      <c r="I1054" s="49">
        <f t="shared" si="33"/>
        <v>27000</v>
      </c>
      <c r="J1054" s="29">
        <f t="shared" si="32"/>
        <v>17999.999999999996</v>
      </c>
      <c r="K1054" s="13"/>
      <c r="L1054" s="10"/>
    </row>
    <row r="1055" spans="1:12">
      <c r="A1055" s="13">
        <v>196</v>
      </c>
      <c r="B1055" s="48">
        <v>2386</v>
      </c>
      <c r="C1055" s="13" t="s">
        <v>1098</v>
      </c>
      <c r="D1055" s="49">
        <v>10000</v>
      </c>
      <c r="E1055" s="51">
        <v>7.4999999999999997E-2</v>
      </c>
      <c r="F1055" s="42">
        <v>30</v>
      </c>
      <c r="G1055" s="50">
        <v>40790</v>
      </c>
      <c r="H1055" s="49">
        <v>18</v>
      </c>
      <c r="I1055" s="49">
        <f t="shared" si="33"/>
        <v>13500</v>
      </c>
      <c r="J1055" s="29">
        <f t="shared" si="32"/>
        <v>8999.9999999999982</v>
      </c>
      <c r="K1055" s="13" t="s">
        <v>2801</v>
      </c>
      <c r="L1055" s="10"/>
    </row>
    <row r="1056" spans="1:12">
      <c r="A1056" s="13">
        <v>197</v>
      </c>
      <c r="B1056" s="48">
        <v>2492</v>
      </c>
      <c r="C1056" s="13" t="s">
        <v>1821</v>
      </c>
      <c r="D1056" s="49">
        <v>100000</v>
      </c>
      <c r="E1056" s="51">
        <v>7.4999999999999997E-2</v>
      </c>
      <c r="F1056" s="42">
        <v>15</v>
      </c>
      <c r="G1056" s="50">
        <v>40767</v>
      </c>
      <c r="H1056" s="49">
        <v>29</v>
      </c>
      <c r="I1056" s="49">
        <f t="shared" si="33"/>
        <v>108750</v>
      </c>
      <c r="J1056" s="29">
        <f t="shared" si="32"/>
        <v>72500</v>
      </c>
      <c r="K1056" s="13" t="s">
        <v>2802</v>
      </c>
      <c r="L1056" s="10"/>
    </row>
    <row r="1057" spans="1:12">
      <c r="A1057" s="13">
        <v>198</v>
      </c>
      <c r="B1057" s="48">
        <v>2554</v>
      </c>
      <c r="C1057" s="13" t="s">
        <v>1807</v>
      </c>
      <c r="D1057" s="49">
        <v>20000</v>
      </c>
      <c r="E1057" s="51">
        <v>7.4999999999999997E-2</v>
      </c>
      <c r="F1057" s="42">
        <v>15</v>
      </c>
      <c r="G1057" s="50">
        <v>40968</v>
      </c>
      <c r="H1057" s="49">
        <v>3</v>
      </c>
      <c r="I1057" s="49">
        <f t="shared" si="33"/>
        <v>2250</v>
      </c>
      <c r="J1057" s="29">
        <f t="shared" si="32"/>
        <v>1499.9999999999998</v>
      </c>
      <c r="K1057" s="13" t="s">
        <v>2803</v>
      </c>
      <c r="L1057" s="10"/>
    </row>
    <row r="1058" spans="1:12">
      <c r="A1058" s="13"/>
      <c r="B1058" s="48"/>
      <c r="C1058" s="13"/>
      <c r="D1058" s="49">
        <v>40000</v>
      </c>
      <c r="E1058" s="51">
        <v>7.4999999999999997E-2</v>
      </c>
      <c r="F1058" s="42">
        <v>15</v>
      </c>
      <c r="G1058" s="50">
        <v>41073</v>
      </c>
      <c r="H1058" s="49">
        <v>1</v>
      </c>
      <c r="I1058" s="49">
        <f t="shared" si="33"/>
        <v>1500</v>
      </c>
      <c r="J1058" s="29">
        <f t="shared" si="32"/>
        <v>999.99999999999989</v>
      </c>
      <c r="K1058" s="13"/>
      <c r="L1058" s="10"/>
    </row>
    <row r="1059" spans="1:12">
      <c r="A1059" s="13"/>
      <c r="B1059" s="48"/>
      <c r="C1059" s="13"/>
      <c r="D1059" s="49">
        <v>10000</v>
      </c>
      <c r="E1059" s="51">
        <v>7.4999999999999997E-2</v>
      </c>
      <c r="F1059" s="42">
        <v>15</v>
      </c>
      <c r="G1059" s="50">
        <v>41088</v>
      </c>
      <c r="H1059" s="49">
        <v>2</v>
      </c>
      <c r="I1059" s="49">
        <f t="shared" si="33"/>
        <v>750</v>
      </c>
      <c r="J1059" s="29">
        <f t="shared" ref="J1059:J1122" si="34">IF(F1059="分期",D1059*(E1059-0.025)*2.5*H1059/10,D1059*(E1059-0.025)*F1059/30*H1059)</f>
        <v>499.99999999999994</v>
      </c>
      <c r="K1059" s="13"/>
      <c r="L1059" s="10"/>
    </row>
    <row r="1060" spans="1:12">
      <c r="A1060" s="13"/>
      <c r="B1060" s="48"/>
      <c r="C1060" s="13"/>
      <c r="D1060" s="49">
        <v>20000</v>
      </c>
      <c r="E1060" s="51">
        <v>7.4999999999999997E-2</v>
      </c>
      <c r="F1060" s="42">
        <v>15</v>
      </c>
      <c r="G1060" s="50">
        <v>41096</v>
      </c>
      <c r="H1060" s="49">
        <v>1</v>
      </c>
      <c r="I1060" s="49">
        <f t="shared" si="33"/>
        <v>750</v>
      </c>
      <c r="J1060" s="29">
        <f t="shared" si="34"/>
        <v>499.99999999999994</v>
      </c>
      <c r="K1060" s="13"/>
      <c r="L1060" s="10"/>
    </row>
    <row r="1061" spans="1:12">
      <c r="A1061" s="13"/>
      <c r="B1061" s="48"/>
      <c r="C1061" s="13"/>
      <c r="D1061" s="49">
        <v>70000</v>
      </c>
      <c r="E1061" s="51">
        <v>7.4999999999999997E-2</v>
      </c>
      <c r="F1061" s="42">
        <v>15</v>
      </c>
      <c r="G1061" s="50">
        <v>41111</v>
      </c>
      <c r="H1061" s="49">
        <v>1</v>
      </c>
      <c r="I1061" s="49">
        <f t="shared" si="33"/>
        <v>2625</v>
      </c>
      <c r="J1061" s="29">
        <f t="shared" si="34"/>
        <v>1749.9999999999998</v>
      </c>
      <c r="K1061" s="13"/>
      <c r="L1061" s="10"/>
    </row>
    <row r="1062" spans="1:12">
      <c r="A1062" s="13"/>
      <c r="B1062" s="48"/>
      <c r="C1062" s="13"/>
      <c r="D1062" s="49">
        <v>50000</v>
      </c>
      <c r="E1062" s="51">
        <v>7.4999999999999997E-2</v>
      </c>
      <c r="F1062" s="42">
        <v>15</v>
      </c>
      <c r="G1062" s="50">
        <v>41127</v>
      </c>
      <c r="H1062" s="49">
        <v>2</v>
      </c>
      <c r="I1062" s="49">
        <f t="shared" si="33"/>
        <v>3750</v>
      </c>
      <c r="J1062" s="29">
        <f t="shared" si="34"/>
        <v>2500</v>
      </c>
      <c r="K1062" s="13"/>
      <c r="L1062" s="10"/>
    </row>
    <row r="1063" spans="1:12">
      <c r="A1063" s="13"/>
      <c r="B1063" s="48"/>
      <c r="C1063" s="13"/>
      <c r="D1063" s="49">
        <v>50000</v>
      </c>
      <c r="E1063" s="51">
        <v>7.4999999999999997E-2</v>
      </c>
      <c r="F1063" s="42">
        <v>15</v>
      </c>
      <c r="G1063" s="50">
        <v>41150</v>
      </c>
      <c r="H1063" s="49">
        <v>1</v>
      </c>
      <c r="I1063" s="49">
        <f t="shared" si="33"/>
        <v>1875</v>
      </c>
      <c r="J1063" s="29">
        <f t="shared" si="34"/>
        <v>1250</v>
      </c>
      <c r="K1063" s="13"/>
      <c r="L1063" s="10"/>
    </row>
    <row r="1064" spans="1:12">
      <c r="A1064" s="13"/>
      <c r="B1064" s="48"/>
      <c r="C1064" s="13"/>
      <c r="D1064" s="49">
        <v>80000</v>
      </c>
      <c r="E1064" s="51">
        <v>7.4999999999999997E-2</v>
      </c>
      <c r="F1064" s="42">
        <v>15</v>
      </c>
      <c r="G1064" s="50">
        <v>41165</v>
      </c>
      <c r="H1064" s="49">
        <v>1</v>
      </c>
      <c r="I1064" s="49">
        <f t="shared" si="33"/>
        <v>3000</v>
      </c>
      <c r="J1064" s="29">
        <f t="shared" si="34"/>
        <v>1999.9999999999998</v>
      </c>
      <c r="K1064" s="13"/>
      <c r="L1064" s="10"/>
    </row>
    <row r="1065" spans="1:12">
      <c r="A1065" s="13"/>
      <c r="B1065" s="48"/>
      <c r="C1065" s="13"/>
      <c r="D1065" s="49">
        <v>60000</v>
      </c>
      <c r="E1065" s="51">
        <v>7.4999999999999997E-2</v>
      </c>
      <c r="F1065" s="42">
        <v>15</v>
      </c>
      <c r="G1065" s="50">
        <v>41180</v>
      </c>
      <c r="H1065" s="49">
        <v>1</v>
      </c>
      <c r="I1065" s="49">
        <f t="shared" si="33"/>
        <v>2250</v>
      </c>
      <c r="J1065" s="29">
        <f t="shared" si="34"/>
        <v>1499.9999999999998</v>
      </c>
      <c r="K1065" s="13"/>
      <c r="L1065" s="10"/>
    </row>
    <row r="1066" spans="1:12">
      <c r="A1066" s="13"/>
      <c r="B1066" s="48"/>
      <c r="C1066" s="13"/>
      <c r="D1066" s="49">
        <v>50000</v>
      </c>
      <c r="E1066" s="51">
        <v>7.4999999999999997E-2</v>
      </c>
      <c r="F1066" s="42">
        <v>15</v>
      </c>
      <c r="G1066" s="50">
        <v>41195</v>
      </c>
      <c r="H1066" s="49">
        <v>1</v>
      </c>
      <c r="I1066" s="49">
        <f t="shared" si="33"/>
        <v>1875</v>
      </c>
      <c r="J1066" s="29">
        <f t="shared" si="34"/>
        <v>1250</v>
      </c>
      <c r="K1066" s="13"/>
      <c r="L1066" s="10"/>
    </row>
    <row r="1067" spans="1:12">
      <c r="A1067" s="13"/>
      <c r="B1067" s="48"/>
      <c r="C1067" s="13"/>
      <c r="D1067" s="49">
        <v>10000</v>
      </c>
      <c r="E1067" s="51">
        <v>7.4999999999999997E-2</v>
      </c>
      <c r="F1067" s="42">
        <v>15</v>
      </c>
      <c r="G1067" s="50">
        <v>41210</v>
      </c>
      <c r="H1067" s="49">
        <v>1</v>
      </c>
      <c r="I1067" s="49">
        <f t="shared" si="33"/>
        <v>375</v>
      </c>
      <c r="J1067" s="29">
        <f t="shared" si="34"/>
        <v>249.99999999999997</v>
      </c>
      <c r="K1067" s="13"/>
      <c r="L1067" s="10"/>
    </row>
    <row r="1068" spans="1:12">
      <c r="A1068" s="13">
        <v>199</v>
      </c>
      <c r="B1068" s="48">
        <v>2728</v>
      </c>
      <c r="C1068" s="13" t="s">
        <v>3840</v>
      </c>
      <c r="D1068" s="49">
        <v>50000</v>
      </c>
      <c r="E1068" s="51">
        <v>7.4999999999999997E-2</v>
      </c>
      <c r="F1068" s="42">
        <v>15</v>
      </c>
      <c r="G1068" s="50">
        <v>40795</v>
      </c>
      <c r="H1068" s="49">
        <v>16</v>
      </c>
      <c r="I1068" s="49">
        <f t="shared" si="33"/>
        <v>30000</v>
      </c>
      <c r="J1068" s="29">
        <f t="shared" si="34"/>
        <v>20000</v>
      </c>
      <c r="K1068" s="13" t="s">
        <v>2804</v>
      </c>
      <c r="L1068" s="10"/>
    </row>
    <row r="1069" spans="1:12">
      <c r="A1069" s="13">
        <v>200</v>
      </c>
      <c r="B1069" s="48">
        <v>2774</v>
      </c>
      <c r="C1069" s="13" t="s">
        <v>1833</v>
      </c>
      <c r="D1069" s="49">
        <v>50000</v>
      </c>
      <c r="E1069" s="51">
        <v>7.4999999999999997E-2</v>
      </c>
      <c r="F1069" s="42">
        <v>15</v>
      </c>
      <c r="G1069" s="50">
        <v>40798</v>
      </c>
      <c r="H1069" s="49">
        <v>34</v>
      </c>
      <c r="I1069" s="49">
        <f t="shared" si="33"/>
        <v>63750</v>
      </c>
      <c r="J1069" s="29">
        <f t="shared" si="34"/>
        <v>42500</v>
      </c>
      <c r="K1069" s="13" t="s">
        <v>2805</v>
      </c>
      <c r="L1069" s="10"/>
    </row>
    <row r="1070" spans="1:12">
      <c r="A1070" s="13"/>
      <c r="B1070" s="48"/>
      <c r="C1070" s="13"/>
      <c r="D1070" s="49">
        <v>10000</v>
      </c>
      <c r="E1070" s="51">
        <v>7.0000000000000007E-2</v>
      </c>
      <c r="F1070" s="42" t="s">
        <v>4036</v>
      </c>
      <c r="G1070" s="50">
        <v>41193</v>
      </c>
      <c r="H1070" s="49">
        <v>10</v>
      </c>
      <c r="I1070" s="49">
        <f t="shared" si="33"/>
        <v>1750.0000000000005</v>
      </c>
      <c r="J1070" s="29">
        <f t="shared" si="34"/>
        <v>1125.0000000000002</v>
      </c>
      <c r="K1070" s="13"/>
      <c r="L1070" s="10"/>
    </row>
    <row r="1071" spans="1:12">
      <c r="A1071" s="13"/>
      <c r="B1071" s="48"/>
      <c r="C1071" s="13"/>
      <c r="D1071" s="49">
        <v>10000</v>
      </c>
      <c r="E1071" s="51">
        <v>7.0000000000000007E-2</v>
      </c>
      <c r="F1071" s="42" t="s">
        <v>4036</v>
      </c>
      <c r="G1071" s="50">
        <v>41260</v>
      </c>
      <c r="H1071" s="49">
        <v>6</v>
      </c>
      <c r="I1071" s="49">
        <f t="shared" si="33"/>
        <v>1050.0000000000002</v>
      </c>
      <c r="J1071" s="29">
        <f t="shared" si="34"/>
        <v>675.00000000000023</v>
      </c>
      <c r="K1071" s="13"/>
      <c r="L1071" s="10"/>
    </row>
    <row r="1072" spans="1:12">
      <c r="A1072" s="13">
        <v>201</v>
      </c>
      <c r="B1072" s="48">
        <v>2776</v>
      </c>
      <c r="C1072" s="13" t="s">
        <v>1806</v>
      </c>
      <c r="D1072" s="49">
        <v>10000</v>
      </c>
      <c r="E1072" s="51">
        <v>7.0000000000000007E-2</v>
      </c>
      <c r="F1072" s="42" t="s">
        <v>4036</v>
      </c>
      <c r="G1072" s="50">
        <v>40755</v>
      </c>
      <c r="H1072" s="49">
        <v>10</v>
      </c>
      <c r="I1072" s="49">
        <f t="shared" si="33"/>
        <v>1750.0000000000005</v>
      </c>
      <c r="J1072" s="29">
        <f t="shared" si="34"/>
        <v>1125.0000000000002</v>
      </c>
      <c r="K1072" s="13" t="s">
        <v>2806</v>
      </c>
      <c r="L1072" s="10"/>
    </row>
    <row r="1073" spans="1:12">
      <c r="A1073" s="13"/>
      <c r="B1073" s="48"/>
      <c r="C1073" s="13"/>
      <c r="D1073" s="49">
        <v>40000</v>
      </c>
      <c r="E1073" s="51">
        <v>7.4999999999999997E-2</v>
      </c>
      <c r="F1073" s="42">
        <v>15</v>
      </c>
      <c r="G1073" s="50">
        <v>40795</v>
      </c>
      <c r="H1073" s="49">
        <v>6</v>
      </c>
      <c r="I1073" s="49">
        <f t="shared" si="33"/>
        <v>9000</v>
      </c>
      <c r="J1073" s="29">
        <f t="shared" si="34"/>
        <v>5999.9999999999991</v>
      </c>
      <c r="K1073" s="13"/>
      <c r="L1073" s="10"/>
    </row>
    <row r="1074" spans="1:12">
      <c r="A1074" s="13"/>
      <c r="B1074" s="48"/>
      <c r="C1074" s="13"/>
      <c r="D1074" s="49">
        <v>10000</v>
      </c>
      <c r="E1074" s="51">
        <v>7.0000000000000007E-2</v>
      </c>
      <c r="F1074" s="42" t="s">
        <v>4036</v>
      </c>
      <c r="G1074" s="50">
        <v>40812</v>
      </c>
      <c r="H1074" s="49">
        <v>10</v>
      </c>
      <c r="I1074" s="49">
        <f t="shared" si="33"/>
        <v>1750.0000000000005</v>
      </c>
      <c r="J1074" s="29">
        <f t="shared" si="34"/>
        <v>1125.0000000000002</v>
      </c>
      <c r="K1074" s="13"/>
      <c r="L1074" s="10"/>
    </row>
    <row r="1075" spans="1:12">
      <c r="A1075" s="13"/>
      <c r="B1075" s="48"/>
      <c r="C1075" s="13"/>
      <c r="D1075" s="49">
        <v>10000</v>
      </c>
      <c r="E1075" s="51">
        <v>7.0000000000000007E-2</v>
      </c>
      <c r="F1075" s="42" t="s">
        <v>4036</v>
      </c>
      <c r="G1075" s="50">
        <v>40822</v>
      </c>
      <c r="H1075" s="49">
        <v>10</v>
      </c>
      <c r="I1075" s="49">
        <f t="shared" si="33"/>
        <v>1750.0000000000005</v>
      </c>
      <c r="J1075" s="29">
        <f t="shared" si="34"/>
        <v>1125.0000000000002</v>
      </c>
      <c r="K1075" s="13"/>
      <c r="L1075" s="10"/>
    </row>
    <row r="1076" spans="1:12">
      <c r="A1076" s="13"/>
      <c r="B1076" s="48"/>
      <c r="C1076" s="13"/>
      <c r="D1076" s="49">
        <v>10000</v>
      </c>
      <c r="E1076" s="51">
        <v>7.0000000000000007E-2</v>
      </c>
      <c r="F1076" s="42" t="s">
        <v>4036</v>
      </c>
      <c r="G1076" s="50">
        <v>40836</v>
      </c>
      <c r="H1076" s="49">
        <v>10</v>
      </c>
      <c r="I1076" s="49">
        <f t="shared" si="33"/>
        <v>1750.0000000000005</v>
      </c>
      <c r="J1076" s="29">
        <f t="shared" si="34"/>
        <v>1125.0000000000002</v>
      </c>
      <c r="K1076" s="13"/>
      <c r="L1076" s="10"/>
    </row>
    <row r="1077" spans="1:12">
      <c r="A1077" s="13"/>
      <c r="B1077" s="48"/>
      <c r="C1077" s="13"/>
      <c r="D1077" s="49">
        <v>60000</v>
      </c>
      <c r="E1077" s="51">
        <v>7.4999999999999997E-2</v>
      </c>
      <c r="F1077" s="42">
        <v>15</v>
      </c>
      <c r="G1077" s="50">
        <v>40870</v>
      </c>
      <c r="H1077" s="49">
        <v>28</v>
      </c>
      <c r="I1077" s="49">
        <f t="shared" si="33"/>
        <v>63000</v>
      </c>
      <c r="J1077" s="29">
        <f t="shared" si="34"/>
        <v>41999.999999999993</v>
      </c>
      <c r="K1077" s="13"/>
      <c r="L1077" s="10"/>
    </row>
    <row r="1078" spans="1:12">
      <c r="A1078" s="13"/>
      <c r="B1078" s="48"/>
      <c r="C1078" s="13"/>
      <c r="D1078" s="49">
        <v>10000</v>
      </c>
      <c r="E1078" s="51">
        <v>7.0000000000000007E-2</v>
      </c>
      <c r="F1078" s="42" t="s">
        <v>4036</v>
      </c>
      <c r="G1078" s="50">
        <v>40892</v>
      </c>
      <c r="H1078" s="49">
        <v>10</v>
      </c>
      <c r="I1078" s="49">
        <f t="shared" si="33"/>
        <v>1750.0000000000005</v>
      </c>
      <c r="J1078" s="29">
        <f t="shared" si="34"/>
        <v>1125.0000000000002</v>
      </c>
      <c r="K1078" s="13"/>
      <c r="L1078" s="10"/>
    </row>
    <row r="1079" spans="1:12">
      <c r="A1079" s="13"/>
      <c r="B1079" s="48"/>
      <c r="C1079" s="13"/>
      <c r="D1079" s="49">
        <v>10000</v>
      </c>
      <c r="E1079" s="51">
        <v>7.0000000000000007E-2</v>
      </c>
      <c r="F1079" s="42" t="s">
        <v>4036</v>
      </c>
      <c r="G1079" s="50">
        <v>40902</v>
      </c>
      <c r="H1079" s="49">
        <v>10</v>
      </c>
      <c r="I1079" s="49">
        <f t="shared" si="33"/>
        <v>1750.0000000000005</v>
      </c>
      <c r="J1079" s="29">
        <f t="shared" si="34"/>
        <v>1125.0000000000002</v>
      </c>
      <c r="K1079" s="13"/>
      <c r="L1079" s="10"/>
    </row>
    <row r="1080" spans="1:12">
      <c r="A1080" s="13"/>
      <c r="B1080" s="48"/>
      <c r="C1080" s="13"/>
      <c r="D1080" s="49">
        <v>10000</v>
      </c>
      <c r="E1080" s="51">
        <v>7.0000000000000007E-2</v>
      </c>
      <c r="F1080" s="42" t="s">
        <v>4036</v>
      </c>
      <c r="G1080" s="50">
        <v>40952</v>
      </c>
      <c r="H1080" s="49">
        <v>10</v>
      </c>
      <c r="I1080" s="49">
        <f t="shared" si="33"/>
        <v>1750.0000000000005</v>
      </c>
      <c r="J1080" s="29">
        <f t="shared" si="34"/>
        <v>1125.0000000000002</v>
      </c>
      <c r="K1080" s="13"/>
      <c r="L1080" s="10"/>
    </row>
    <row r="1081" spans="1:12">
      <c r="A1081" s="13"/>
      <c r="B1081" s="48"/>
      <c r="C1081" s="13"/>
      <c r="D1081" s="49">
        <v>10000</v>
      </c>
      <c r="E1081" s="51">
        <v>7.0000000000000007E-2</v>
      </c>
      <c r="F1081" s="42" t="s">
        <v>4036</v>
      </c>
      <c r="G1081" s="50">
        <v>40963</v>
      </c>
      <c r="H1081" s="49">
        <v>10</v>
      </c>
      <c r="I1081" s="49">
        <f t="shared" si="33"/>
        <v>1750.0000000000005</v>
      </c>
      <c r="J1081" s="29">
        <f t="shared" si="34"/>
        <v>1125.0000000000002</v>
      </c>
      <c r="K1081" s="13"/>
      <c r="L1081" s="10"/>
    </row>
    <row r="1082" spans="1:12">
      <c r="A1082" s="13"/>
      <c r="B1082" s="48"/>
      <c r="C1082" s="13"/>
      <c r="D1082" s="49">
        <v>10000</v>
      </c>
      <c r="E1082" s="51">
        <v>7.0000000000000007E-2</v>
      </c>
      <c r="F1082" s="42" t="s">
        <v>4036</v>
      </c>
      <c r="G1082" s="50">
        <v>40972</v>
      </c>
      <c r="H1082" s="49">
        <v>10</v>
      </c>
      <c r="I1082" s="49">
        <f t="shared" si="33"/>
        <v>1750.0000000000005</v>
      </c>
      <c r="J1082" s="29">
        <f t="shared" si="34"/>
        <v>1125.0000000000002</v>
      </c>
      <c r="K1082" s="13"/>
      <c r="L1082" s="10"/>
    </row>
    <row r="1083" spans="1:12">
      <c r="A1083" s="13"/>
      <c r="B1083" s="48"/>
      <c r="C1083" s="13"/>
      <c r="D1083" s="49">
        <v>10000</v>
      </c>
      <c r="E1083" s="51">
        <v>7.0000000000000007E-2</v>
      </c>
      <c r="F1083" s="42" t="s">
        <v>4036</v>
      </c>
      <c r="G1083" s="50">
        <v>41009</v>
      </c>
      <c r="H1083" s="49">
        <v>10</v>
      </c>
      <c r="I1083" s="49">
        <f t="shared" si="33"/>
        <v>1750.0000000000005</v>
      </c>
      <c r="J1083" s="29">
        <f t="shared" si="34"/>
        <v>1125.0000000000002</v>
      </c>
      <c r="K1083" s="13"/>
      <c r="L1083" s="10"/>
    </row>
    <row r="1084" spans="1:12">
      <c r="A1084" s="13"/>
      <c r="B1084" s="48"/>
      <c r="C1084" s="13"/>
      <c r="D1084" s="49">
        <v>10000</v>
      </c>
      <c r="E1084" s="51">
        <v>7.0000000000000007E-2</v>
      </c>
      <c r="F1084" s="42" t="s">
        <v>4036</v>
      </c>
      <c r="G1084" s="50">
        <v>41016</v>
      </c>
      <c r="H1084" s="49">
        <v>10</v>
      </c>
      <c r="I1084" s="49">
        <f t="shared" si="33"/>
        <v>1750.0000000000005</v>
      </c>
      <c r="J1084" s="29">
        <f t="shared" si="34"/>
        <v>1125.0000000000002</v>
      </c>
      <c r="K1084" s="13"/>
      <c r="L1084" s="10"/>
    </row>
    <row r="1085" spans="1:12">
      <c r="A1085" s="13"/>
      <c r="B1085" s="48"/>
      <c r="C1085" s="13"/>
      <c r="D1085" s="49">
        <v>10000</v>
      </c>
      <c r="E1085" s="51">
        <v>7.0000000000000007E-2</v>
      </c>
      <c r="F1085" s="42" t="s">
        <v>4036</v>
      </c>
      <c r="G1085" s="50">
        <v>41019</v>
      </c>
      <c r="H1085" s="49">
        <v>10</v>
      </c>
      <c r="I1085" s="49">
        <f t="shared" si="33"/>
        <v>1750.0000000000005</v>
      </c>
      <c r="J1085" s="29">
        <f t="shared" si="34"/>
        <v>1125.0000000000002</v>
      </c>
      <c r="K1085" s="13"/>
      <c r="L1085" s="10"/>
    </row>
    <row r="1086" spans="1:12">
      <c r="A1086" s="13"/>
      <c r="B1086" s="48"/>
      <c r="C1086" s="13"/>
      <c r="D1086" s="49">
        <v>10000</v>
      </c>
      <c r="E1086" s="51">
        <v>7.0000000000000007E-2</v>
      </c>
      <c r="F1086" s="42" t="s">
        <v>4036</v>
      </c>
      <c r="G1086" s="50">
        <v>41060</v>
      </c>
      <c r="H1086" s="49">
        <v>10</v>
      </c>
      <c r="I1086" s="49">
        <f t="shared" si="33"/>
        <v>1750.0000000000005</v>
      </c>
      <c r="J1086" s="29">
        <f t="shared" si="34"/>
        <v>1125.0000000000002</v>
      </c>
      <c r="K1086" s="13"/>
      <c r="L1086" s="10"/>
    </row>
    <row r="1087" spans="1:12">
      <c r="A1087" s="13"/>
      <c r="B1087" s="48"/>
      <c r="C1087" s="13"/>
      <c r="D1087" s="49">
        <v>10000</v>
      </c>
      <c r="E1087" s="51">
        <v>7.0000000000000007E-2</v>
      </c>
      <c r="F1087" s="42" t="s">
        <v>4036</v>
      </c>
      <c r="G1087" s="50">
        <v>41064</v>
      </c>
      <c r="H1087" s="49">
        <v>10</v>
      </c>
      <c r="I1087" s="49">
        <f t="shared" si="33"/>
        <v>1750.0000000000005</v>
      </c>
      <c r="J1087" s="29">
        <f t="shared" si="34"/>
        <v>1125.0000000000002</v>
      </c>
      <c r="K1087" s="13"/>
      <c r="L1087" s="10"/>
    </row>
    <row r="1088" spans="1:12">
      <c r="A1088" s="13"/>
      <c r="B1088" s="48"/>
      <c r="C1088" s="13"/>
      <c r="D1088" s="49">
        <v>10000</v>
      </c>
      <c r="E1088" s="51">
        <v>7.0000000000000007E-2</v>
      </c>
      <c r="F1088" s="42" t="s">
        <v>4036</v>
      </c>
      <c r="G1088" s="50">
        <v>41085</v>
      </c>
      <c r="H1088" s="49">
        <v>10</v>
      </c>
      <c r="I1088" s="49">
        <f t="shared" si="33"/>
        <v>1750.0000000000005</v>
      </c>
      <c r="J1088" s="29">
        <f t="shared" si="34"/>
        <v>1125.0000000000002</v>
      </c>
      <c r="K1088" s="13"/>
      <c r="L1088" s="10"/>
    </row>
    <row r="1089" spans="1:12">
      <c r="A1089" s="13"/>
      <c r="B1089" s="48"/>
      <c r="C1089" s="13"/>
      <c r="D1089" s="49">
        <v>10000</v>
      </c>
      <c r="E1089" s="51">
        <v>7.0000000000000007E-2</v>
      </c>
      <c r="F1089" s="42" t="s">
        <v>4036</v>
      </c>
      <c r="G1089" s="50">
        <v>41114</v>
      </c>
      <c r="H1089" s="49">
        <v>10</v>
      </c>
      <c r="I1089" s="49">
        <f t="shared" si="33"/>
        <v>1750.0000000000005</v>
      </c>
      <c r="J1089" s="29">
        <f t="shared" si="34"/>
        <v>1125.0000000000002</v>
      </c>
      <c r="K1089" s="13"/>
      <c r="L1089" s="10"/>
    </row>
    <row r="1090" spans="1:12">
      <c r="A1090" s="13"/>
      <c r="B1090" s="48"/>
      <c r="C1090" s="13"/>
      <c r="D1090" s="49">
        <v>10000</v>
      </c>
      <c r="E1090" s="51">
        <v>7.0000000000000007E-2</v>
      </c>
      <c r="F1090" s="42" t="s">
        <v>4036</v>
      </c>
      <c r="G1090" s="50">
        <v>41114</v>
      </c>
      <c r="H1090" s="49">
        <v>10</v>
      </c>
      <c r="I1090" s="49">
        <f t="shared" si="33"/>
        <v>1750.0000000000005</v>
      </c>
      <c r="J1090" s="29">
        <f t="shared" si="34"/>
        <v>1125.0000000000002</v>
      </c>
      <c r="K1090" s="13"/>
      <c r="L1090" s="10"/>
    </row>
    <row r="1091" spans="1:12">
      <c r="A1091" s="13"/>
      <c r="B1091" s="48"/>
      <c r="C1091" s="13"/>
      <c r="D1091" s="49">
        <v>10000</v>
      </c>
      <c r="E1091" s="51">
        <v>7.0000000000000007E-2</v>
      </c>
      <c r="F1091" s="42" t="s">
        <v>4036</v>
      </c>
      <c r="G1091" s="50">
        <v>41172</v>
      </c>
      <c r="H1091" s="49">
        <v>10</v>
      </c>
      <c r="I1091" s="49">
        <f t="shared" si="33"/>
        <v>1750.0000000000005</v>
      </c>
      <c r="J1091" s="29">
        <f t="shared" si="34"/>
        <v>1125.0000000000002</v>
      </c>
      <c r="K1091" s="13"/>
      <c r="L1091" s="10"/>
    </row>
    <row r="1092" spans="1:12">
      <c r="A1092" s="13">
        <v>202</v>
      </c>
      <c r="B1092" s="48">
        <v>2784</v>
      </c>
      <c r="C1092" s="13" t="s">
        <v>1972</v>
      </c>
      <c r="D1092" s="49">
        <v>20000</v>
      </c>
      <c r="E1092" s="51">
        <v>7.0000000000000007E-2</v>
      </c>
      <c r="F1092" s="42" t="s">
        <v>4036</v>
      </c>
      <c r="G1092" s="50">
        <v>40861</v>
      </c>
      <c r="H1092" s="49">
        <v>10</v>
      </c>
      <c r="I1092" s="49">
        <f t="shared" ref="I1092:I1155" si="35">IF(F1092="分期",D1092*E1092*2.5*H1092/10,D1092*E1092*F1092*H1092/30)</f>
        <v>3500.0000000000009</v>
      </c>
      <c r="J1092" s="29">
        <f t="shared" si="34"/>
        <v>2250.0000000000005</v>
      </c>
      <c r="K1092" s="13" t="s">
        <v>2807</v>
      </c>
      <c r="L1092" s="10"/>
    </row>
    <row r="1093" spans="1:12">
      <c r="A1093" s="13"/>
      <c r="B1093" s="48"/>
      <c r="C1093" s="13"/>
      <c r="D1093" s="49">
        <v>20000</v>
      </c>
      <c r="E1093" s="51">
        <v>7.0000000000000007E-2</v>
      </c>
      <c r="F1093" s="42" t="s">
        <v>4036</v>
      </c>
      <c r="G1093" s="50">
        <v>40997</v>
      </c>
      <c r="H1093" s="49">
        <v>10</v>
      </c>
      <c r="I1093" s="49">
        <f t="shared" si="35"/>
        <v>3500.0000000000009</v>
      </c>
      <c r="J1093" s="29">
        <f t="shared" si="34"/>
        <v>2250.0000000000005</v>
      </c>
      <c r="K1093" s="13"/>
      <c r="L1093" s="10"/>
    </row>
    <row r="1094" spans="1:12">
      <c r="A1094" s="13"/>
      <c r="B1094" s="48"/>
      <c r="C1094" s="13"/>
      <c r="D1094" s="49">
        <v>10000</v>
      </c>
      <c r="E1094" s="51">
        <v>7.4999999999999997E-2</v>
      </c>
      <c r="F1094" s="42">
        <v>15</v>
      </c>
      <c r="G1094" s="50">
        <v>41005</v>
      </c>
      <c r="H1094" s="49">
        <v>5</v>
      </c>
      <c r="I1094" s="49">
        <f t="shared" si="35"/>
        <v>1875</v>
      </c>
      <c r="J1094" s="29">
        <f t="shared" si="34"/>
        <v>1249.9999999999998</v>
      </c>
      <c r="K1094" s="13"/>
      <c r="L1094" s="10"/>
    </row>
    <row r="1095" spans="1:12">
      <c r="A1095" s="13"/>
      <c r="B1095" s="48"/>
      <c r="C1095" s="13"/>
      <c r="D1095" s="49">
        <v>30000</v>
      </c>
      <c r="E1095" s="51">
        <v>7.4999999999999997E-2</v>
      </c>
      <c r="F1095" s="42">
        <v>15</v>
      </c>
      <c r="G1095" s="50">
        <v>41080</v>
      </c>
      <c r="H1095" s="49">
        <v>5</v>
      </c>
      <c r="I1095" s="49">
        <f t="shared" si="35"/>
        <v>5625</v>
      </c>
      <c r="J1095" s="29">
        <f t="shared" si="34"/>
        <v>3749.9999999999995</v>
      </c>
      <c r="K1095" s="13"/>
      <c r="L1095" s="10"/>
    </row>
    <row r="1096" spans="1:12">
      <c r="A1096" s="13"/>
      <c r="B1096" s="48"/>
      <c r="C1096" s="13"/>
      <c r="D1096" s="49">
        <v>50000</v>
      </c>
      <c r="E1096" s="51">
        <v>7.4999999999999997E-2</v>
      </c>
      <c r="F1096" s="42">
        <v>15</v>
      </c>
      <c r="G1096" s="50">
        <v>41155</v>
      </c>
      <c r="H1096" s="49">
        <v>10</v>
      </c>
      <c r="I1096" s="49">
        <f t="shared" si="35"/>
        <v>18750</v>
      </c>
      <c r="J1096" s="29">
        <f t="shared" si="34"/>
        <v>12500</v>
      </c>
      <c r="K1096" s="13"/>
      <c r="L1096" s="10"/>
    </row>
    <row r="1097" spans="1:12">
      <c r="A1097" s="13">
        <v>203</v>
      </c>
      <c r="B1097" s="48">
        <v>2788</v>
      </c>
      <c r="C1097" s="13" t="s">
        <v>1070</v>
      </c>
      <c r="D1097" s="49">
        <v>10000</v>
      </c>
      <c r="E1097" s="51">
        <v>7.0000000000000007E-2</v>
      </c>
      <c r="F1097" s="42" t="s">
        <v>4036</v>
      </c>
      <c r="G1097" s="50">
        <v>40905</v>
      </c>
      <c r="H1097" s="49">
        <v>10</v>
      </c>
      <c r="I1097" s="49">
        <f t="shared" si="35"/>
        <v>1750.0000000000005</v>
      </c>
      <c r="J1097" s="29">
        <f t="shared" si="34"/>
        <v>1125.0000000000002</v>
      </c>
      <c r="K1097" s="13" t="s">
        <v>2808</v>
      </c>
      <c r="L1097" s="10"/>
    </row>
    <row r="1098" spans="1:12">
      <c r="A1098" s="13"/>
      <c r="B1098" s="48"/>
      <c r="C1098" s="13"/>
      <c r="D1098" s="49">
        <v>5000</v>
      </c>
      <c r="E1098" s="51">
        <v>7.0000000000000007E-2</v>
      </c>
      <c r="F1098" s="42" t="s">
        <v>4036</v>
      </c>
      <c r="G1098" s="50">
        <v>40976</v>
      </c>
      <c r="H1098" s="49">
        <v>10</v>
      </c>
      <c r="I1098" s="49">
        <f t="shared" si="35"/>
        <v>875.00000000000023</v>
      </c>
      <c r="J1098" s="29">
        <f t="shared" si="34"/>
        <v>562.50000000000011</v>
      </c>
      <c r="K1098" s="13"/>
      <c r="L1098" s="10"/>
    </row>
    <row r="1099" spans="1:12">
      <c r="A1099" s="13"/>
      <c r="B1099" s="48"/>
      <c r="C1099" s="13"/>
      <c r="D1099" s="49">
        <v>30000</v>
      </c>
      <c r="E1099" s="51">
        <v>7.4999999999999997E-2</v>
      </c>
      <c r="F1099" s="42">
        <v>15</v>
      </c>
      <c r="G1099" s="50">
        <v>40997</v>
      </c>
      <c r="H1099" s="49">
        <v>1</v>
      </c>
      <c r="I1099" s="49">
        <f t="shared" si="35"/>
        <v>1125</v>
      </c>
      <c r="J1099" s="29">
        <f t="shared" si="34"/>
        <v>749.99999999999989</v>
      </c>
      <c r="K1099" s="13"/>
      <c r="L1099" s="10"/>
    </row>
    <row r="1100" spans="1:12">
      <c r="A1100" s="13"/>
      <c r="B1100" s="48"/>
      <c r="C1100" s="13"/>
      <c r="D1100" s="49">
        <v>60000</v>
      </c>
      <c r="E1100" s="51">
        <v>7.4999999999999997E-2</v>
      </c>
      <c r="F1100" s="42">
        <v>15</v>
      </c>
      <c r="G1100" s="50">
        <v>41012</v>
      </c>
      <c r="H1100" s="49">
        <v>20</v>
      </c>
      <c r="I1100" s="49">
        <f t="shared" si="35"/>
        <v>45000</v>
      </c>
      <c r="J1100" s="29">
        <f t="shared" si="34"/>
        <v>29999.999999999996</v>
      </c>
      <c r="K1100" s="13"/>
      <c r="L1100" s="10"/>
    </row>
    <row r="1101" spans="1:12">
      <c r="A1101" s="13">
        <v>204</v>
      </c>
      <c r="B1101" s="48">
        <v>2808</v>
      </c>
      <c r="C1101" s="13" t="s">
        <v>3850</v>
      </c>
      <c r="D1101" s="49">
        <v>150000</v>
      </c>
      <c r="E1101" s="51">
        <v>7.4999999999999997E-2</v>
      </c>
      <c r="F1101" s="42">
        <v>15</v>
      </c>
      <c r="G1101" s="50">
        <v>40784</v>
      </c>
      <c r="H1101" s="49">
        <v>33</v>
      </c>
      <c r="I1101" s="49">
        <f t="shared" si="35"/>
        <v>185625</v>
      </c>
      <c r="J1101" s="29">
        <f t="shared" si="34"/>
        <v>123749.99999999999</v>
      </c>
      <c r="K1101" s="13" t="s">
        <v>2809</v>
      </c>
      <c r="L1101" s="10"/>
    </row>
    <row r="1102" spans="1:12">
      <c r="A1102" s="13">
        <v>205</v>
      </c>
      <c r="B1102" s="48">
        <v>2812</v>
      </c>
      <c r="C1102" s="13" t="s">
        <v>2027</v>
      </c>
      <c r="D1102" s="49">
        <v>50000</v>
      </c>
      <c r="E1102" s="51">
        <v>7.4999999999999997E-2</v>
      </c>
      <c r="F1102" s="42">
        <v>15</v>
      </c>
      <c r="G1102" s="50">
        <v>40811</v>
      </c>
      <c r="H1102" s="49">
        <v>1</v>
      </c>
      <c r="I1102" s="49">
        <f t="shared" si="35"/>
        <v>1875</v>
      </c>
      <c r="J1102" s="29">
        <f t="shared" si="34"/>
        <v>1250</v>
      </c>
      <c r="K1102" s="13" t="s">
        <v>2810</v>
      </c>
      <c r="L1102" s="10"/>
    </row>
    <row r="1103" spans="1:12">
      <c r="A1103" s="13">
        <v>206</v>
      </c>
      <c r="B1103" s="48">
        <v>2870</v>
      </c>
      <c r="C1103" s="13" t="s">
        <v>1133</v>
      </c>
      <c r="D1103" s="49">
        <v>50000</v>
      </c>
      <c r="E1103" s="51">
        <v>7.4999999999999997E-2</v>
      </c>
      <c r="F1103" s="42">
        <v>15</v>
      </c>
      <c r="G1103" s="50">
        <v>40797</v>
      </c>
      <c r="H1103" s="49">
        <v>4</v>
      </c>
      <c r="I1103" s="49">
        <f t="shared" si="35"/>
        <v>7500</v>
      </c>
      <c r="J1103" s="29">
        <f t="shared" si="34"/>
        <v>5000</v>
      </c>
      <c r="K1103" s="13" t="s">
        <v>2811</v>
      </c>
      <c r="L1103" s="10"/>
    </row>
    <row r="1104" spans="1:12">
      <c r="A1104" s="13">
        <v>207</v>
      </c>
      <c r="B1104" s="48">
        <v>3004</v>
      </c>
      <c r="C1104" s="13" t="s">
        <v>2584</v>
      </c>
      <c r="D1104" s="49">
        <v>195000</v>
      </c>
      <c r="E1104" s="51">
        <v>7.4999999999999997E-2</v>
      </c>
      <c r="F1104" s="42">
        <v>15</v>
      </c>
      <c r="G1104" s="50">
        <v>40790</v>
      </c>
      <c r="H1104" s="49">
        <v>1</v>
      </c>
      <c r="I1104" s="49">
        <f t="shared" si="35"/>
        <v>7312.5</v>
      </c>
      <c r="J1104" s="29">
        <f t="shared" si="34"/>
        <v>4875</v>
      </c>
      <c r="K1104" s="13" t="s">
        <v>2812</v>
      </c>
      <c r="L1104" s="10"/>
    </row>
    <row r="1105" spans="1:12">
      <c r="A1105" s="13"/>
      <c r="B1105" s="48"/>
      <c r="C1105" s="13"/>
      <c r="D1105" s="49">
        <v>175000</v>
      </c>
      <c r="E1105" s="51">
        <v>7.4999999999999997E-2</v>
      </c>
      <c r="F1105" s="42">
        <v>15</v>
      </c>
      <c r="G1105" s="50">
        <v>40805</v>
      </c>
      <c r="H1105" s="49">
        <v>1</v>
      </c>
      <c r="I1105" s="49">
        <f t="shared" si="35"/>
        <v>6562.5</v>
      </c>
      <c r="J1105" s="29">
        <f t="shared" si="34"/>
        <v>4375</v>
      </c>
      <c r="K1105" s="13"/>
      <c r="L1105" s="10"/>
    </row>
    <row r="1106" spans="1:12">
      <c r="A1106" s="13"/>
      <c r="B1106" s="48"/>
      <c r="C1106" s="13"/>
      <c r="D1106" s="49">
        <v>155000</v>
      </c>
      <c r="E1106" s="51">
        <v>7.4999999999999997E-2</v>
      </c>
      <c r="F1106" s="42">
        <v>15</v>
      </c>
      <c r="G1106" s="50">
        <v>40820</v>
      </c>
      <c r="H1106" s="49">
        <v>5</v>
      </c>
      <c r="I1106" s="49">
        <f t="shared" si="35"/>
        <v>29062.5</v>
      </c>
      <c r="J1106" s="29">
        <f t="shared" si="34"/>
        <v>19374.999999999996</v>
      </c>
      <c r="K1106" s="13"/>
      <c r="L1106" s="10"/>
    </row>
    <row r="1107" spans="1:12">
      <c r="A1107" s="13"/>
      <c r="B1107" s="48"/>
      <c r="C1107" s="13"/>
      <c r="D1107" s="49">
        <v>155000</v>
      </c>
      <c r="E1107" s="51">
        <v>7.4999999999999997E-2</v>
      </c>
      <c r="F1107" s="42">
        <v>15</v>
      </c>
      <c r="G1107" s="50">
        <v>40874</v>
      </c>
      <c r="H1107" s="49">
        <v>5</v>
      </c>
      <c r="I1107" s="49">
        <f t="shared" si="35"/>
        <v>29062.5</v>
      </c>
      <c r="J1107" s="29">
        <f t="shared" si="34"/>
        <v>19374.999999999996</v>
      </c>
      <c r="K1107" s="13"/>
      <c r="L1107" s="10"/>
    </row>
    <row r="1108" spans="1:12">
      <c r="A1108" s="13"/>
      <c r="B1108" s="48"/>
      <c r="C1108" s="13"/>
      <c r="D1108" s="49">
        <v>140000</v>
      </c>
      <c r="E1108" s="51">
        <v>7.4999999999999997E-2</v>
      </c>
      <c r="F1108" s="42">
        <v>15</v>
      </c>
      <c r="G1108" s="50">
        <v>40895</v>
      </c>
      <c r="H1108" s="49">
        <v>23</v>
      </c>
      <c r="I1108" s="49">
        <f t="shared" si="35"/>
        <v>120750</v>
      </c>
      <c r="J1108" s="29">
        <f t="shared" si="34"/>
        <v>80499.999999999985</v>
      </c>
      <c r="K1108" s="13"/>
      <c r="L1108" s="10"/>
    </row>
    <row r="1109" spans="1:12">
      <c r="A1109" s="13">
        <v>208</v>
      </c>
      <c r="B1109" s="48">
        <v>3032</v>
      </c>
      <c r="C1109" s="13" t="s">
        <v>1059</v>
      </c>
      <c r="D1109" s="49">
        <v>250000</v>
      </c>
      <c r="E1109" s="51">
        <v>7.4999999999999997E-2</v>
      </c>
      <c r="F1109" s="42">
        <v>15</v>
      </c>
      <c r="G1109" s="50">
        <v>40797</v>
      </c>
      <c r="H1109" s="49">
        <v>1</v>
      </c>
      <c r="I1109" s="49">
        <f t="shared" si="35"/>
        <v>9375</v>
      </c>
      <c r="J1109" s="29">
        <f t="shared" si="34"/>
        <v>6249.9999999999991</v>
      </c>
      <c r="K1109" s="13" t="s">
        <v>2813</v>
      </c>
      <c r="L1109" s="10"/>
    </row>
    <row r="1110" spans="1:12">
      <c r="A1110" s="13"/>
      <c r="B1110" s="48"/>
      <c r="C1110" s="13"/>
      <c r="D1110" s="49">
        <v>240000</v>
      </c>
      <c r="E1110" s="51">
        <v>7.4999999999999997E-2</v>
      </c>
      <c r="F1110" s="42">
        <v>15</v>
      </c>
      <c r="G1110" s="50">
        <v>40812</v>
      </c>
      <c r="H1110" s="49">
        <v>1</v>
      </c>
      <c r="I1110" s="49">
        <f t="shared" si="35"/>
        <v>9000</v>
      </c>
      <c r="J1110" s="29">
        <f t="shared" si="34"/>
        <v>5999.9999999999991</v>
      </c>
      <c r="K1110" s="13"/>
      <c r="L1110" s="10"/>
    </row>
    <row r="1111" spans="1:12">
      <c r="A1111" s="13"/>
      <c r="B1111" s="48"/>
      <c r="C1111" s="13"/>
      <c r="D1111" s="49">
        <v>260000</v>
      </c>
      <c r="E1111" s="51">
        <v>7.4999999999999997E-2</v>
      </c>
      <c r="F1111" s="42">
        <v>15</v>
      </c>
      <c r="G1111" s="50">
        <v>40827</v>
      </c>
      <c r="H1111" s="49">
        <v>1</v>
      </c>
      <c r="I1111" s="49">
        <f t="shared" si="35"/>
        <v>9750</v>
      </c>
      <c r="J1111" s="29">
        <f t="shared" si="34"/>
        <v>6499.9999999999991</v>
      </c>
      <c r="K1111" s="13"/>
      <c r="L1111" s="10"/>
    </row>
    <row r="1112" spans="1:12">
      <c r="A1112" s="13"/>
      <c r="B1112" s="48"/>
      <c r="C1112" s="13"/>
      <c r="D1112" s="49">
        <v>250000</v>
      </c>
      <c r="E1112" s="51">
        <v>7.4999999999999997E-2</v>
      </c>
      <c r="F1112" s="42">
        <v>15</v>
      </c>
      <c r="G1112" s="50">
        <v>40842</v>
      </c>
      <c r="H1112" s="49">
        <v>1</v>
      </c>
      <c r="I1112" s="49">
        <f t="shared" si="35"/>
        <v>9375</v>
      </c>
      <c r="J1112" s="29">
        <f t="shared" si="34"/>
        <v>6249.9999999999991</v>
      </c>
      <c r="K1112" s="13"/>
      <c r="L1112" s="10"/>
    </row>
    <row r="1113" spans="1:12">
      <c r="A1113" s="13"/>
      <c r="B1113" s="48"/>
      <c r="C1113" s="13"/>
      <c r="D1113" s="49">
        <v>270000</v>
      </c>
      <c r="E1113" s="51">
        <v>7.4999999999999997E-2</v>
      </c>
      <c r="F1113" s="42">
        <v>15</v>
      </c>
      <c r="G1113" s="50">
        <v>40857</v>
      </c>
      <c r="H1113" s="49">
        <v>2</v>
      </c>
      <c r="I1113" s="49">
        <f t="shared" si="35"/>
        <v>20250</v>
      </c>
      <c r="J1113" s="29">
        <f t="shared" si="34"/>
        <v>13499.999999999998</v>
      </c>
      <c r="K1113" s="13"/>
      <c r="L1113" s="10"/>
    </row>
    <row r="1114" spans="1:12">
      <c r="A1114" s="13"/>
      <c r="B1114" s="48"/>
      <c r="C1114" s="13"/>
      <c r="D1114" s="49">
        <v>260000</v>
      </c>
      <c r="E1114" s="51">
        <v>7.4999999999999997E-2</v>
      </c>
      <c r="F1114" s="42">
        <v>15</v>
      </c>
      <c r="G1114" s="50">
        <v>40872</v>
      </c>
      <c r="H1114" s="49">
        <v>11</v>
      </c>
      <c r="I1114" s="49">
        <f t="shared" si="35"/>
        <v>107250</v>
      </c>
      <c r="J1114" s="29">
        <f t="shared" si="34"/>
        <v>71499.999999999985</v>
      </c>
      <c r="K1114" s="13"/>
      <c r="L1114" s="10"/>
    </row>
    <row r="1115" spans="1:12">
      <c r="A1115" s="13"/>
      <c r="B1115" s="48"/>
      <c r="C1115" s="13"/>
      <c r="D1115" s="49">
        <v>245000</v>
      </c>
      <c r="E1115" s="51">
        <v>7.4999999999999997E-2</v>
      </c>
      <c r="F1115" s="42">
        <v>15</v>
      </c>
      <c r="G1115" s="50">
        <v>41037</v>
      </c>
      <c r="H1115" s="49">
        <v>7</v>
      </c>
      <c r="I1115" s="49">
        <f t="shared" si="35"/>
        <v>64312.5</v>
      </c>
      <c r="J1115" s="29">
        <f t="shared" si="34"/>
        <v>42874.999999999993</v>
      </c>
      <c r="K1115" s="13"/>
      <c r="L1115" s="10"/>
    </row>
    <row r="1116" spans="1:12">
      <c r="A1116" s="13"/>
      <c r="B1116" s="48"/>
      <c r="C1116" s="13"/>
      <c r="D1116" s="49">
        <v>100000</v>
      </c>
      <c r="E1116" s="51">
        <v>7.4999999999999997E-2</v>
      </c>
      <c r="F1116" s="42">
        <v>15</v>
      </c>
      <c r="G1116" s="50">
        <v>41043</v>
      </c>
      <c r="H1116" s="49">
        <v>18</v>
      </c>
      <c r="I1116" s="49">
        <f t="shared" si="35"/>
        <v>67500</v>
      </c>
      <c r="J1116" s="29">
        <f t="shared" si="34"/>
        <v>45000</v>
      </c>
      <c r="K1116" s="13"/>
      <c r="L1116" s="10"/>
    </row>
    <row r="1117" spans="1:12">
      <c r="A1117" s="13"/>
      <c r="B1117" s="48"/>
      <c r="C1117" s="13"/>
      <c r="D1117" s="49">
        <v>230000</v>
      </c>
      <c r="E1117" s="51">
        <v>7.4999999999999997E-2</v>
      </c>
      <c r="F1117" s="42">
        <v>15</v>
      </c>
      <c r="G1117" s="50">
        <v>41142</v>
      </c>
      <c r="H1117" s="49">
        <v>1</v>
      </c>
      <c r="I1117" s="49">
        <f t="shared" si="35"/>
        <v>8625</v>
      </c>
      <c r="J1117" s="29">
        <f t="shared" si="34"/>
        <v>5749.9999999999991</v>
      </c>
      <c r="K1117" s="13"/>
      <c r="L1117" s="10"/>
    </row>
    <row r="1118" spans="1:12">
      <c r="A1118" s="13"/>
      <c r="B1118" s="48"/>
      <c r="C1118" s="13"/>
      <c r="D1118" s="49">
        <v>245000</v>
      </c>
      <c r="E1118" s="51">
        <v>7.4999999999999997E-2</v>
      </c>
      <c r="F1118" s="42">
        <v>15</v>
      </c>
      <c r="G1118" s="50">
        <v>41152</v>
      </c>
      <c r="H1118" s="49">
        <v>10</v>
      </c>
      <c r="I1118" s="49">
        <f t="shared" si="35"/>
        <v>91875</v>
      </c>
      <c r="J1118" s="29">
        <f t="shared" si="34"/>
        <v>61249.999999999993</v>
      </c>
      <c r="K1118" s="13"/>
      <c r="L1118" s="10"/>
    </row>
    <row r="1119" spans="1:12">
      <c r="A1119" s="13"/>
      <c r="B1119" s="48"/>
      <c r="C1119" s="13"/>
      <c r="D1119" s="49">
        <v>100000</v>
      </c>
      <c r="E1119" s="51">
        <v>7.4999999999999997E-2</v>
      </c>
      <c r="F1119" s="42">
        <v>15</v>
      </c>
      <c r="G1119" s="50">
        <v>41282</v>
      </c>
      <c r="H1119" s="49">
        <v>2</v>
      </c>
      <c r="I1119" s="49">
        <f t="shared" si="35"/>
        <v>7500</v>
      </c>
      <c r="J1119" s="29">
        <f t="shared" si="34"/>
        <v>5000</v>
      </c>
      <c r="K1119" s="13"/>
      <c r="L1119" s="10"/>
    </row>
    <row r="1120" spans="1:12">
      <c r="A1120" s="13">
        <v>209</v>
      </c>
      <c r="B1120" s="48">
        <v>3100</v>
      </c>
      <c r="C1120" s="13" t="s">
        <v>1123</v>
      </c>
      <c r="D1120" s="49">
        <v>10000</v>
      </c>
      <c r="E1120" s="51">
        <v>7.0000000000000007E-2</v>
      </c>
      <c r="F1120" s="42" t="s">
        <v>4036</v>
      </c>
      <c r="G1120" s="50">
        <v>40742</v>
      </c>
      <c r="H1120" s="49">
        <v>10</v>
      </c>
      <c r="I1120" s="49">
        <f t="shared" si="35"/>
        <v>1750.0000000000005</v>
      </c>
      <c r="J1120" s="29">
        <f t="shared" si="34"/>
        <v>1125.0000000000002</v>
      </c>
      <c r="K1120" s="13" t="s">
        <v>2404</v>
      </c>
      <c r="L1120" s="10"/>
    </row>
    <row r="1121" spans="1:12">
      <c r="A1121" s="13"/>
      <c r="B1121" s="48"/>
      <c r="C1121" s="13"/>
      <c r="D1121" s="49">
        <v>20000</v>
      </c>
      <c r="E1121" s="51">
        <v>7.4999999999999997E-2</v>
      </c>
      <c r="F1121" s="42">
        <v>15</v>
      </c>
      <c r="G1121" s="50">
        <v>40790</v>
      </c>
      <c r="H1121" s="49">
        <v>10</v>
      </c>
      <c r="I1121" s="49">
        <f t="shared" si="35"/>
        <v>7500</v>
      </c>
      <c r="J1121" s="29">
        <f t="shared" si="34"/>
        <v>4999.9999999999991</v>
      </c>
      <c r="K1121" s="13"/>
      <c r="L1121" s="10"/>
    </row>
    <row r="1122" spans="1:12">
      <c r="A1122" s="13"/>
      <c r="B1122" s="48"/>
      <c r="C1122" s="13"/>
      <c r="D1122" s="49">
        <v>10000</v>
      </c>
      <c r="E1122" s="51">
        <v>7.0000000000000007E-2</v>
      </c>
      <c r="F1122" s="42" t="s">
        <v>4036</v>
      </c>
      <c r="G1122" s="50">
        <v>40812</v>
      </c>
      <c r="H1122" s="49">
        <v>10</v>
      </c>
      <c r="I1122" s="49">
        <f t="shared" si="35"/>
        <v>1750.0000000000005</v>
      </c>
      <c r="J1122" s="29">
        <f t="shared" si="34"/>
        <v>1125.0000000000002</v>
      </c>
      <c r="K1122" s="13"/>
      <c r="L1122" s="10"/>
    </row>
    <row r="1123" spans="1:12">
      <c r="A1123" s="13">
        <v>210</v>
      </c>
      <c r="B1123" s="48">
        <v>3126</v>
      </c>
      <c r="C1123" s="13" t="s">
        <v>3852</v>
      </c>
      <c r="D1123" s="49">
        <v>25000</v>
      </c>
      <c r="E1123" s="51">
        <v>7.4999999999999997E-2</v>
      </c>
      <c r="F1123" s="42">
        <v>15</v>
      </c>
      <c r="G1123" s="50">
        <v>40789</v>
      </c>
      <c r="H1123" s="49">
        <v>5</v>
      </c>
      <c r="I1123" s="49">
        <f t="shared" si="35"/>
        <v>4687.5</v>
      </c>
      <c r="J1123" s="29">
        <f t="shared" ref="J1123:J1186" si="36">IF(F1123="分期",D1123*(E1123-0.025)*2.5*H1123/10,D1123*(E1123-0.025)*F1123/30*H1123)</f>
        <v>3125</v>
      </c>
      <c r="K1123" s="13" t="s">
        <v>2405</v>
      </c>
      <c r="L1123" s="10"/>
    </row>
    <row r="1124" spans="1:12">
      <c r="A1124" s="13"/>
      <c r="B1124" s="48"/>
      <c r="C1124" s="13"/>
      <c r="D1124" s="49">
        <v>15000</v>
      </c>
      <c r="E1124" s="51">
        <v>7.4999999999999997E-2</v>
      </c>
      <c r="F1124" s="42">
        <v>15</v>
      </c>
      <c r="G1124" s="50">
        <v>40864</v>
      </c>
      <c r="H1124" s="49">
        <v>23</v>
      </c>
      <c r="I1124" s="49">
        <f t="shared" si="35"/>
        <v>12937.5</v>
      </c>
      <c r="J1124" s="29">
        <f t="shared" si="36"/>
        <v>8624.9999999999982</v>
      </c>
      <c r="K1124" s="13"/>
      <c r="L1124" s="10"/>
    </row>
    <row r="1125" spans="1:12">
      <c r="A1125" s="13"/>
      <c r="B1125" s="48"/>
      <c r="C1125" s="13"/>
      <c r="D1125" s="49">
        <v>5000</v>
      </c>
      <c r="E1125" s="51">
        <v>7.4999999999999997E-2</v>
      </c>
      <c r="F1125" s="42">
        <v>15</v>
      </c>
      <c r="G1125" s="50">
        <v>41220</v>
      </c>
      <c r="H1125" s="49">
        <v>10</v>
      </c>
      <c r="I1125" s="49">
        <f t="shared" si="35"/>
        <v>1875</v>
      </c>
      <c r="J1125" s="29">
        <f t="shared" si="36"/>
        <v>1249.9999999999998</v>
      </c>
      <c r="K1125" s="13"/>
      <c r="L1125" s="10"/>
    </row>
    <row r="1126" spans="1:12">
      <c r="A1126" s="13">
        <v>211</v>
      </c>
      <c r="B1126" s="48">
        <v>3130</v>
      </c>
      <c r="C1126" s="13" t="s">
        <v>1463</v>
      </c>
      <c r="D1126" s="49">
        <v>30000</v>
      </c>
      <c r="E1126" s="51">
        <v>7.4999999999999997E-2</v>
      </c>
      <c r="F1126" s="42">
        <v>15</v>
      </c>
      <c r="G1126" s="50">
        <v>40867</v>
      </c>
      <c r="H1126" s="49">
        <v>5</v>
      </c>
      <c r="I1126" s="49">
        <f t="shared" si="35"/>
        <v>5625</v>
      </c>
      <c r="J1126" s="29">
        <f t="shared" si="36"/>
        <v>3749.9999999999995</v>
      </c>
      <c r="K1126" s="13" t="s">
        <v>2406</v>
      </c>
      <c r="L1126" s="10"/>
    </row>
    <row r="1127" spans="1:12">
      <c r="A1127" s="13"/>
      <c r="B1127" s="48"/>
      <c r="C1127" s="13"/>
      <c r="D1127" s="49">
        <v>50000</v>
      </c>
      <c r="E1127" s="51">
        <v>7.4999999999999997E-2</v>
      </c>
      <c r="F1127" s="42">
        <v>15</v>
      </c>
      <c r="G1127" s="50">
        <v>40942</v>
      </c>
      <c r="H1127" s="49">
        <v>2</v>
      </c>
      <c r="I1127" s="49">
        <f t="shared" si="35"/>
        <v>3750</v>
      </c>
      <c r="J1127" s="29">
        <f t="shared" si="36"/>
        <v>2500</v>
      </c>
      <c r="K1127" s="13"/>
      <c r="L1127" s="10"/>
    </row>
    <row r="1128" spans="1:12">
      <c r="A1128" s="13"/>
      <c r="B1128" s="48"/>
      <c r="C1128" s="13"/>
      <c r="D1128" s="49">
        <v>20000</v>
      </c>
      <c r="E1128" s="51">
        <v>7.4999999999999997E-2</v>
      </c>
      <c r="F1128" s="42">
        <v>15</v>
      </c>
      <c r="G1128" s="50">
        <v>40972</v>
      </c>
      <c r="H1128" s="49">
        <v>2</v>
      </c>
      <c r="I1128" s="49">
        <f t="shared" si="35"/>
        <v>1500</v>
      </c>
      <c r="J1128" s="29">
        <f t="shared" si="36"/>
        <v>999.99999999999989</v>
      </c>
      <c r="K1128" s="13"/>
      <c r="L1128" s="10"/>
    </row>
    <row r="1129" spans="1:12">
      <c r="A1129" s="13"/>
      <c r="B1129" s="48"/>
      <c r="C1129" s="13"/>
      <c r="D1129" s="49">
        <v>50000</v>
      </c>
      <c r="E1129" s="51">
        <v>7.4999999999999997E-2</v>
      </c>
      <c r="F1129" s="42">
        <v>15</v>
      </c>
      <c r="G1129" s="50">
        <v>41002</v>
      </c>
      <c r="H1129" s="49">
        <v>9</v>
      </c>
      <c r="I1129" s="49">
        <f t="shared" si="35"/>
        <v>16875</v>
      </c>
      <c r="J1129" s="29">
        <f t="shared" si="36"/>
        <v>11250</v>
      </c>
      <c r="K1129" s="13"/>
      <c r="L1129" s="10"/>
    </row>
    <row r="1130" spans="1:12">
      <c r="A1130" s="13"/>
      <c r="B1130" s="48"/>
      <c r="C1130" s="13"/>
      <c r="D1130" s="49">
        <v>20000</v>
      </c>
      <c r="E1130" s="51">
        <v>7.4999999999999997E-2</v>
      </c>
      <c r="F1130" s="42">
        <v>15</v>
      </c>
      <c r="G1130" s="50">
        <v>41138</v>
      </c>
      <c r="H1130" s="49">
        <v>2</v>
      </c>
      <c r="I1130" s="49">
        <f t="shared" si="35"/>
        <v>1500</v>
      </c>
      <c r="J1130" s="29">
        <f t="shared" si="36"/>
        <v>999.99999999999989</v>
      </c>
      <c r="K1130" s="13"/>
      <c r="L1130" s="10"/>
    </row>
    <row r="1131" spans="1:12">
      <c r="A1131" s="13">
        <v>212</v>
      </c>
      <c r="B1131" s="48">
        <v>3134</v>
      </c>
      <c r="C1131" s="13" t="s">
        <v>4040</v>
      </c>
      <c r="D1131" s="49">
        <v>20000</v>
      </c>
      <c r="E1131" s="51">
        <v>7.4999999999999997E-2</v>
      </c>
      <c r="F1131" s="42">
        <v>30</v>
      </c>
      <c r="G1131" s="50">
        <v>40771</v>
      </c>
      <c r="H1131" s="49">
        <v>12</v>
      </c>
      <c r="I1131" s="49">
        <f t="shared" si="35"/>
        <v>18000</v>
      </c>
      <c r="J1131" s="29">
        <f t="shared" si="36"/>
        <v>11999.999999999998</v>
      </c>
      <c r="K1131" s="13" t="s">
        <v>2407</v>
      </c>
      <c r="L1131" s="10"/>
    </row>
    <row r="1132" spans="1:12">
      <c r="A1132" s="13">
        <v>213</v>
      </c>
      <c r="B1132" s="48">
        <v>3142</v>
      </c>
      <c r="C1132" s="13" t="s">
        <v>1085</v>
      </c>
      <c r="D1132" s="49">
        <v>10000</v>
      </c>
      <c r="E1132" s="51">
        <v>7.0000000000000007E-2</v>
      </c>
      <c r="F1132" s="42" t="s">
        <v>4036</v>
      </c>
      <c r="G1132" s="50">
        <v>40706</v>
      </c>
      <c r="H1132" s="49">
        <v>10</v>
      </c>
      <c r="I1132" s="49">
        <f t="shared" si="35"/>
        <v>1750.0000000000005</v>
      </c>
      <c r="J1132" s="29">
        <f t="shared" si="36"/>
        <v>1125.0000000000002</v>
      </c>
      <c r="K1132" s="13" t="s">
        <v>2408</v>
      </c>
      <c r="L1132" s="10"/>
    </row>
    <row r="1133" spans="1:12">
      <c r="A1133" s="13"/>
      <c r="B1133" s="48"/>
      <c r="C1133" s="13"/>
      <c r="D1133" s="49">
        <v>10000</v>
      </c>
      <c r="E1133" s="51">
        <v>7.0000000000000007E-2</v>
      </c>
      <c r="F1133" s="42" t="s">
        <v>4036</v>
      </c>
      <c r="G1133" s="50">
        <v>40712</v>
      </c>
      <c r="H1133" s="49">
        <v>10</v>
      </c>
      <c r="I1133" s="49">
        <f t="shared" si="35"/>
        <v>1750.0000000000005</v>
      </c>
      <c r="J1133" s="29">
        <f t="shared" si="36"/>
        <v>1125.0000000000002</v>
      </c>
      <c r="K1133" s="13"/>
      <c r="L1133" s="10"/>
    </row>
    <row r="1134" spans="1:12">
      <c r="A1134" s="13"/>
      <c r="B1134" s="48"/>
      <c r="C1134" s="13"/>
      <c r="D1134" s="49">
        <v>10000</v>
      </c>
      <c r="E1134" s="51">
        <v>7.0000000000000007E-2</v>
      </c>
      <c r="F1134" s="42" t="s">
        <v>4036</v>
      </c>
      <c r="G1134" s="50">
        <v>40735</v>
      </c>
      <c r="H1134" s="49">
        <v>10</v>
      </c>
      <c r="I1134" s="49">
        <f t="shared" si="35"/>
        <v>1750.0000000000005</v>
      </c>
      <c r="J1134" s="29">
        <f t="shared" si="36"/>
        <v>1125.0000000000002</v>
      </c>
      <c r="K1134" s="13"/>
      <c r="L1134" s="10"/>
    </row>
    <row r="1135" spans="1:12">
      <c r="A1135" s="13"/>
      <c r="B1135" s="48"/>
      <c r="C1135" s="13"/>
      <c r="D1135" s="49">
        <v>10000</v>
      </c>
      <c r="E1135" s="51">
        <v>7.0000000000000007E-2</v>
      </c>
      <c r="F1135" s="42" t="s">
        <v>4036</v>
      </c>
      <c r="G1135" s="50">
        <v>40747</v>
      </c>
      <c r="H1135" s="49">
        <v>10</v>
      </c>
      <c r="I1135" s="49">
        <f t="shared" si="35"/>
        <v>1750.0000000000005</v>
      </c>
      <c r="J1135" s="29">
        <f t="shared" si="36"/>
        <v>1125.0000000000002</v>
      </c>
      <c r="K1135" s="13"/>
      <c r="L1135" s="10"/>
    </row>
    <row r="1136" spans="1:12">
      <c r="A1136" s="13"/>
      <c r="B1136" s="48"/>
      <c r="C1136" s="13"/>
      <c r="D1136" s="49">
        <v>10000</v>
      </c>
      <c r="E1136" s="51">
        <v>7.0000000000000007E-2</v>
      </c>
      <c r="F1136" s="42" t="s">
        <v>4036</v>
      </c>
      <c r="G1136" s="50">
        <v>40754</v>
      </c>
      <c r="H1136" s="49">
        <v>10</v>
      </c>
      <c r="I1136" s="49">
        <f t="shared" si="35"/>
        <v>1750.0000000000005</v>
      </c>
      <c r="J1136" s="29">
        <f t="shared" si="36"/>
        <v>1125.0000000000002</v>
      </c>
      <c r="K1136" s="13"/>
      <c r="L1136" s="10"/>
    </row>
    <row r="1137" spans="1:12">
      <c r="A1137" s="13"/>
      <c r="B1137" s="48"/>
      <c r="C1137" s="13"/>
      <c r="D1137" s="49">
        <v>10000</v>
      </c>
      <c r="E1137" s="51">
        <v>7.0000000000000007E-2</v>
      </c>
      <c r="F1137" s="42" t="s">
        <v>4036</v>
      </c>
      <c r="G1137" s="50">
        <v>40771</v>
      </c>
      <c r="H1137" s="49">
        <v>10</v>
      </c>
      <c r="I1137" s="49">
        <f t="shared" si="35"/>
        <v>1750.0000000000005</v>
      </c>
      <c r="J1137" s="29">
        <f t="shared" si="36"/>
        <v>1125.0000000000002</v>
      </c>
      <c r="K1137" s="13"/>
      <c r="L1137" s="10"/>
    </row>
    <row r="1138" spans="1:12">
      <c r="A1138" s="13"/>
      <c r="B1138" s="48"/>
      <c r="C1138" s="13"/>
      <c r="D1138" s="49">
        <v>10000</v>
      </c>
      <c r="E1138" s="51">
        <v>7.0000000000000007E-2</v>
      </c>
      <c r="F1138" s="42" t="s">
        <v>4036</v>
      </c>
      <c r="G1138" s="50">
        <v>40775</v>
      </c>
      <c r="H1138" s="49">
        <v>10</v>
      </c>
      <c r="I1138" s="49">
        <f t="shared" si="35"/>
        <v>1750.0000000000005</v>
      </c>
      <c r="J1138" s="29">
        <f t="shared" si="36"/>
        <v>1125.0000000000002</v>
      </c>
      <c r="K1138" s="13"/>
      <c r="L1138" s="10"/>
    </row>
    <row r="1139" spans="1:12">
      <c r="A1139" s="13"/>
      <c r="B1139" s="48"/>
      <c r="C1139" s="13"/>
      <c r="D1139" s="49">
        <v>10000</v>
      </c>
      <c r="E1139" s="51">
        <v>7.0000000000000007E-2</v>
      </c>
      <c r="F1139" s="42" t="s">
        <v>4036</v>
      </c>
      <c r="G1139" s="50">
        <v>40793</v>
      </c>
      <c r="H1139" s="49">
        <v>10</v>
      </c>
      <c r="I1139" s="49">
        <f t="shared" si="35"/>
        <v>1750.0000000000005</v>
      </c>
      <c r="J1139" s="29">
        <f t="shared" si="36"/>
        <v>1125.0000000000002</v>
      </c>
      <c r="K1139" s="13"/>
      <c r="L1139" s="10"/>
    </row>
    <row r="1140" spans="1:12">
      <c r="A1140" s="13"/>
      <c r="B1140" s="48"/>
      <c r="C1140" s="13"/>
      <c r="D1140" s="49">
        <v>10000</v>
      </c>
      <c r="E1140" s="51">
        <v>7.0000000000000007E-2</v>
      </c>
      <c r="F1140" s="42" t="s">
        <v>4036</v>
      </c>
      <c r="G1140" s="50">
        <v>40810</v>
      </c>
      <c r="H1140" s="49">
        <v>10</v>
      </c>
      <c r="I1140" s="49">
        <f t="shared" si="35"/>
        <v>1750.0000000000005</v>
      </c>
      <c r="J1140" s="29">
        <f t="shared" si="36"/>
        <v>1125.0000000000002</v>
      </c>
      <c r="K1140" s="13"/>
      <c r="L1140" s="10"/>
    </row>
    <row r="1141" spans="1:12">
      <c r="A1141" s="13"/>
      <c r="B1141" s="48"/>
      <c r="C1141" s="13"/>
      <c r="D1141" s="49">
        <v>10000</v>
      </c>
      <c r="E1141" s="51">
        <v>7.0000000000000007E-2</v>
      </c>
      <c r="F1141" s="42" t="s">
        <v>4036</v>
      </c>
      <c r="G1141" s="50">
        <v>40825</v>
      </c>
      <c r="H1141" s="49">
        <v>10</v>
      </c>
      <c r="I1141" s="49">
        <f t="shared" si="35"/>
        <v>1750.0000000000005</v>
      </c>
      <c r="J1141" s="29">
        <f t="shared" si="36"/>
        <v>1125.0000000000002</v>
      </c>
      <c r="K1141" s="13"/>
      <c r="L1141" s="10"/>
    </row>
    <row r="1142" spans="1:12">
      <c r="A1142" s="13"/>
      <c r="B1142" s="48"/>
      <c r="C1142" s="13"/>
      <c r="D1142" s="49">
        <v>30000</v>
      </c>
      <c r="E1142" s="51">
        <v>7.4999999999999997E-2</v>
      </c>
      <c r="F1142" s="42">
        <v>15</v>
      </c>
      <c r="G1142" s="50">
        <v>41119</v>
      </c>
      <c r="H1142" s="49">
        <v>6</v>
      </c>
      <c r="I1142" s="49">
        <f t="shared" si="35"/>
        <v>6750</v>
      </c>
      <c r="J1142" s="29">
        <f t="shared" si="36"/>
        <v>4499.9999999999991</v>
      </c>
      <c r="K1142" s="13"/>
      <c r="L1142" s="10"/>
    </row>
    <row r="1143" spans="1:12">
      <c r="A1143" s="13"/>
      <c r="B1143" s="48"/>
      <c r="C1143" s="13"/>
      <c r="D1143" s="49">
        <v>10000</v>
      </c>
      <c r="E1143" s="51">
        <v>7.0000000000000007E-2</v>
      </c>
      <c r="F1143" s="42" t="s">
        <v>4036</v>
      </c>
      <c r="G1143" s="50">
        <v>41199</v>
      </c>
      <c r="H1143" s="49">
        <v>10</v>
      </c>
      <c r="I1143" s="49">
        <f t="shared" si="35"/>
        <v>1750.0000000000005</v>
      </c>
      <c r="J1143" s="29">
        <f t="shared" si="36"/>
        <v>1125.0000000000002</v>
      </c>
      <c r="K1143" s="13"/>
      <c r="L1143" s="10"/>
    </row>
    <row r="1144" spans="1:12">
      <c r="A1144" s="13"/>
      <c r="B1144" s="48"/>
      <c r="C1144" s="13"/>
      <c r="D1144" s="49">
        <v>60000</v>
      </c>
      <c r="E1144" s="51">
        <v>7.4999999999999997E-2</v>
      </c>
      <c r="F1144" s="42">
        <v>15</v>
      </c>
      <c r="G1144" s="50">
        <v>41209</v>
      </c>
      <c r="H1144" s="49">
        <v>6</v>
      </c>
      <c r="I1144" s="49">
        <f t="shared" si="35"/>
        <v>13500</v>
      </c>
      <c r="J1144" s="29">
        <f t="shared" si="36"/>
        <v>8999.9999999999982</v>
      </c>
      <c r="K1144" s="13"/>
      <c r="L1144" s="10"/>
    </row>
    <row r="1145" spans="1:12">
      <c r="A1145" s="13"/>
      <c r="B1145" s="48"/>
      <c r="C1145" s="13"/>
      <c r="D1145" s="49">
        <v>10000</v>
      </c>
      <c r="E1145" s="51">
        <v>7.0000000000000007E-2</v>
      </c>
      <c r="F1145" s="42" t="s">
        <v>4036</v>
      </c>
      <c r="G1145" s="50">
        <v>41219</v>
      </c>
      <c r="H1145" s="49">
        <v>10</v>
      </c>
      <c r="I1145" s="49">
        <f t="shared" si="35"/>
        <v>1750.0000000000005</v>
      </c>
      <c r="J1145" s="29">
        <f t="shared" si="36"/>
        <v>1125.0000000000002</v>
      </c>
      <c r="K1145" s="13"/>
      <c r="L1145" s="10"/>
    </row>
    <row r="1146" spans="1:12">
      <c r="A1146" s="13"/>
      <c r="B1146" s="48"/>
      <c r="C1146" s="13"/>
      <c r="D1146" s="49">
        <v>10000</v>
      </c>
      <c r="E1146" s="51">
        <v>7.0000000000000007E-2</v>
      </c>
      <c r="F1146" s="42" t="s">
        <v>4036</v>
      </c>
      <c r="G1146" s="50">
        <v>41234</v>
      </c>
      <c r="H1146" s="49">
        <v>10</v>
      </c>
      <c r="I1146" s="49">
        <f t="shared" si="35"/>
        <v>1750.0000000000005</v>
      </c>
      <c r="J1146" s="29">
        <f t="shared" si="36"/>
        <v>1125.0000000000002</v>
      </c>
      <c r="K1146" s="13"/>
      <c r="L1146" s="10"/>
    </row>
    <row r="1147" spans="1:12">
      <c r="A1147" s="13"/>
      <c r="B1147" s="48"/>
      <c r="C1147" s="13"/>
      <c r="D1147" s="49">
        <v>10000</v>
      </c>
      <c r="E1147" s="51">
        <v>7.0000000000000007E-2</v>
      </c>
      <c r="F1147" s="42" t="s">
        <v>4036</v>
      </c>
      <c r="G1147" s="50">
        <v>41247</v>
      </c>
      <c r="H1147" s="49">
        <v>10</v>
      </c>
      <c r="I1147" s="49">
        <f t="shared" si="35"/>
        <v>1750.0000000000005</v>
      </c>
      <c r="J1147" s="29">
        <f t="shared" si="36"/>
        <v>1125.0000000000002</v>
      </c>
      <c r="K1147" s="13"/>
      <c r="L1147" s="10"/>
    </row>
    <row r="1148" spans="1:12">
      <c r="A1148" s="13"/>
      <c r="B1148" s="48"/>
      <c r="C1148" s="13"/>
      <c r="D1148" s="49">
        <v>10000</v>
      </c>
      <c r="E1148" s="51">
        <v>7.0000000000000007E-2</v>
      </c>
      <c r="F1148" s="42" t="s">
        <v>4036</v>
      </c>
      <c r="G1148" s="50">
        <v>41264</v>
      </c>
      <c r="H1148" s="62">
        <v>6</v>
      </c>
      <c r="I1148" s="49">
        <f t="shared" si="35"/>
        <v>1050.0000000000002</v>
      </c>
      <c r="J1148" s="29">
        <f t="shared" si="36"/>
        <v>675.00000000000023</v>
      </c>
      <c r="K1148" s="13"/>
      <c r="L1148" s="10" t="s">
        <v>1508</v>
      </c>
    </row>
    <row r="1149" spans="1:12">
      <c r="A1149" s="13"/>
      <c r="B1149" s="48"/>
      <c r="C1149" s="13"/>
      <c r="D1149" s="49">
        <v>10000</v>
      </c>
      <c r="E1149" s="51">
        <v>7.0000000000000007E-2</v>
      </c>
      <c r="F1149" s="42" t="s">
        <v>4036</v>
      </c>
      <c r="G1149" s="50">
        <v>41285</v>
      </c>
      <c r="H1149" s="53">
        <v>2</v>
      </c>
      <c r="I1149" s="49">
        <f t="shared" si="35"/>
        <v>350.00000000000006</v>
      </c>
      <c r="J1149" s="29">
        <f t="shared" si="36"/>
        <v>225.00000000000006</v>
      </c>
      <c r="K1149" s="13"/>
      <c r="L1149" s="10"/>
    </row>
    <row r="1150" spans="1:12">
      <c r="A1150" s="13"/>
      <c r="B1150" s="48"/>
      <c r="C1150" s="13"/>
      <c r="D1150" s="49">
        <v>10000</v>
      </c>
      <c r="E1150" s="51">
        <v>7.0000000000000007E-2</v>
      </c>
      <c r="F1150" s="42" t="s">
        <v>4036</v>
      </c>
      <c r="G1150" s="50">
        <v>41290</v>
      </c>
      <c r="H1150" s="53">
        <v>1</v>
      </c>
      <c r="I1150" s="49">
        <f t="shared" si="35"/>
        <v>175.00000000000003</v>
      </c>
      <c r="J1150" s="29">
        <f t="shared" si="36"/>
        <v>112.50000000000003</v>
      </c>
      <c r="K1150" s="13"/>
      <c r="L1150" s="10"/>
    </row>
    <row r="1151" spans="1:12">
      <c r="A1151" s="13">
        <v>214</v>
      </c>
      <c r="B1151" s="48">
        <v>3150</v>
      </c>
      <c r="C1151" s="13" t="s">
        <v>3887</v>
      </c>
      <c r="D1151" s="49">
        <v>200000</v>
      </c>
      <c r="E1151" s="51">
        <v>7.4999999999999997E-2</v>
      </c>
      <c r="F1151" s="42">
        <v>15</v>
      </c>
      <c r="G1151" s="50">
        <v>40789</v>
      </c>
      <c r="H1151" s="49">
        <v>5</v>
      </c>
      <c r="I1151" s="49">
        <f t="shared" si="35"/>
        <v>37500</v>
      </c>
      <c r="J1151" s="29">
        <f t="shared" si="36"/>
        <v>25000</v>
      </c>
      <c r="K1151" s="13" t="s">
        <v>2409</v>
      </c>
      <c r="L1151" s="10"/>
    </row>
    <row r="1152" spans="1:12" ht="32.4">
      <c r="A1152" s="13">
        <v>215</v>
      </c>
      <c r="B1152" s="48">
        <v>3172</v>
      </c>
      <c r="C1152" s="13" t="s">
        <v>2029</v>
      </c>
      <c r="D1152" s="49">
        <v>60000</v>
      </c>
      <c r="E1152" s="51">
        <v>7.4999999999999997E-2</v>
      </c>
      <c r="F1152" s="42">
        <v>15</v>
      </c>
      <c r="G1152" s="50">
        <v>40800</v>
      </c>
      <c r="H1152" s="49">
        <v>30</v>
      </c>
      <c r="I1152" s="49">
        <f t="shared" si="35"/>
        <v>67500</v>
      </c>
      <c r="J1152" s="29">
        <f t="shared" si="36"/>
        <v>44999.999999999993</v>
      </c>
      <c r="K1152" s="13" t="s">
        <v>2410</v>
      </c>
      <c r="L1152" s="10" t="s">
        <v>2028</v>
      </c>
    </row>
    <row r="1153" spans="1:12">
      <c r="A1153" s="13">
        <v>216</v>
      </c>
      <c r="B1153" s="48">
        <v>3178</v>
      </c>
      <c r="C1153" s="13" t="s">
        <v>2588</v>
      </c>
      <c r="D1153" s="49">
        <v>10000</v>
      </c>
      <c r="E1153" s="51">
        <v>7.0000000000000007E-2</v>
      </c>
      <c r="F1153" s="42" t="s">
        <v>4036</v>
      </c>
      <c r="G1153" s="50">
        <v>40778</v>
      </c>
      <c r="H1153" s="49">
        <v>10</v>
      </c>
      <c r="I1153" s="49">
        <f t="shared" si="35"/>
        <v>1750.0000000000005</v>
      </c>
      <c r="J1153" s="29">
        <f t="shared" si="36"/>
        <v>1125.0000000000002</v>
      </c>
      <c r="K1153" s="13" t="s">
        <v>2411</v>
      </c>
      <c r="L1153" s="10"/>
    </row>
    <row r="1154" spans="1:12">
      <c r="A1154" s="13"/>
      <c r="B1154" s="48"/>
      <c r="C1154" s="13"/>
      <c r="D1154" s="49">
        <v>10000</v>
      </c>
      <c r="E1154" s="51">
        <v>7.0000000000000007E-2</v>
      </c>
      <c r="F1154" s="42" t="s">
        <v>4036</v>
      </c>
      <c r="G1154" s="50">
        <v>40840</v>
      </c>
      <c r="H1154" s="49">
        <v>10</v>
      </c>
      <c r="I1154" s="49">
        <f t="shared" si="35"/>
        <v>1750.0000000000005</v>
      </c>
      <c r="J1154" s="29">
        <f t="shared" si="36"/>
        <v>1125.0000000000002</v>
      </c>
      <c r="K1154" s="13"/>
      <c r="L1154" s="10"/>
    </row>
    <row r="1155" spans="1:12">
      <c r="A1155" s="13"/>
      <c r="B1155" s="48"/>
      <c r="C1155" s="13"/>
      <c r="D1155" s="49">
        <v>10000</v>
      </c>
      <c r="E1155" s="51">
        <v>7.0000000000000007E-2</v>
      </c>
      <c r="F1155" s="42" t="s">
        <v>4036</v>
      </c>
      <c r="G1155" s="50">
        <v>40980</v>
      </c>
      <c r="H1155" s="49">
        <v>10</v>
      </c>
      <c r="I1155" s="49">
        <f t="shared" si="35"/>
        <v>1750.0000000000005</v>
      </c>
      <c r="J1155" s="29">
        <f t="shared" si="36"/>
        <v>1125.0000000000002</v>
      </c>
      <c r="K1155" s="13"/>
      <c r="L1155" s="10"/>
    </row>
    <row r="1156" spans="1:12">
      <c r="A1156" s="13"/>
      <c r="B1156" s="48"/>
      <c r="C1156" s="13"/>
      <c r="D1156" s="49">
        <v>5000</v>
      </c>
      <c r="E1156" s="51">
        <v>7.4999999999999997E-2</v>
      </c>
      <c r="F1156" s="42">
        <v>15</v>
      </c>
      <c r="G1156" s="50">
        <v>41001</v>
      </c>
      <c r="H1156" s="49">
        <v>1</v>
      </c>
      <c r="I1156" s="49">
        <f t="shared" ref="I1156:I1219" si="37">IF(F1156="分期",D1156*E1156*2.5*H1156/10,D1156*E1156*F1156*H1156/30)</f>
        <v>187.5</v>
      </c>
      <c r="J1156" s="29">
        <f t="shared" si="36"/>
        <v>124.99999999999999</v>
      </c>
      <c r="K1156" s="13"/>
      <c r="L1156" s="10"/>
    </row>
    <row r="1157" spans="1:12">
      <c r="A1157" s="13"/>
      <c r="B1157" s="48"/>
      <c r="C1157" s="13"/>
      <c r="D1157" s="49">
        <v>10000</v>
      </c>
      <c r="E1157" s="51">
        <v>7.4999999999999997E-2</v>
      </c>
      <c r="F1157" s="42">
        <v>15</v>
      </c>
      <c r="G1157" s="50">
        <v>41013</v>
      </c>
      <c r="H1157" s="49">
        <v>1</v>
      </c>
      <c r="I1157" s="49">
        <f t="shared" si="37"/>
        <v>375</v>
      </c>
      <c r="J1157" s="29">
        <f t="shared" si="36"/>
        <v>249.99999999999997</v>
      </c>
      <c r="K1157" s="13"/>
      <c r="L1157" s="10"/>
    </row>
    <row r="1158" spans="1:12">
      <c r="A1158" s="13"/>
      <c r="B1158" s="48"/>
      <c r="C1158" s="13"/>
      <c r="D1158" s="49">
        <v>20000</v>
      </c>
      <c r="E1158" s="51">
        <v>7.4999999999999997E-2</v>
      </c>
      <c r="F1158" s="42">
        <v>15</v>
      </c>
      <c r="G1158" s="50">
        <v>41022</v>
      </c>
      <c r="H1158" s="49">
        <v>9</v>
      </c>
      <c r="I1158" s="49">
        <f t="shared" si="37"/>
        <v>6750</v>
      </c>
      <c r="J1158" s="29">
        <f t="shared" si="36"/>
        <v>4499.9999999999991</v>
      </c>
      <c r="K1158" s="13"/>
      <c r="L1158" s="10"/>
    </row>
    <row r="1159" spans="1:12">
      <c r="A1159" s="13"/>
      <c r="B1159" s="48"/>
      <c r="C1159" s="13"/>
      <c r="D1159" s="49">
        <v>10000</v>
      </c>
      <c r="E1159" s="51">
        <v>7.0000000000000007E-2</v>
      </c>
      <c r="F1159" s="42" t="s">
        <v>4036</v>
      </c>
      <c r="G1159" s="50">
        <v>41030</v>
      </c>
      <c r="H1159" s="49">
        <v>10</v>
      </c>
      <c r="I1159" s="49">
        <f t="shared" si="37"/>
        <v>1750.0000000000005</v>
      </c>
      <c r="J1159" s="29">
        <f t="shared" si="36"/>
        <v>1125.0000000000002</v>
      </c>
      <c r="K1159" s="13"/>
      <c r="L1159" s="10"/>
    </row>
    <row r="1160" spans="1:12">
      <c r="A1160" s="13"/>
      <c r="B1160" s="48"/>
      <c r="C1160" s="13"/>
      <c r="D1160" s="49">
        <v>10000</v>
      </c>
      <c r="E1160" s="51">
        <v>7.4999999999999997E-2</v>
      </c>
      <c r="F1160" s="42">
        <v>15</v>
      </c>
      <c r="G1160" s="50">
        <v>41061</v>
      </c>
      <c r="H1160" s="49">
        <v>3</v>
      </c>
      <c r="I1160" s="49">
        <f t="shared" si="37"/>
        <v>1125</v>
      </c>
      <c r="J1160" s="29">
        <f t="shared" si="36"/>
        <v>749.99999999999989</v>
      </c>
      <c r="K1160" s="13"/>
      <c r="L1160" s="10"/>
    </row>
    <row r="1161" spans="1:12">
      <c r="A1161" s="13"/>
      <c r="B1161" s="48"/>
      <c r="C1161" s="13"/>
      <c r="D1161" s="49">
        <v>10000</v>
      </c>
      <c r="E1161" s="51">
        <v>7.0000000000000007E-2</v>
      </c>
      <c r="F1161" s="42" t="s">
        <v>4036</v>
      </c>
      <c r="G1161" s="50">
        <v>41073</v>
      </c>
      <c r="H1161" s="49">
        <v>10</v>
      </c>
      <c r="I1161" s="49">
        <f t="shared" si="37"/>
        <v>1750.0000000000005</v>
      </c>
      <c r="J1161" s="29">
        <f t="shared" si="36"/>
        <v>1125.0000000000002</v>
      </c>
      <c r="K1161" s="13"/>
      <c r="L1161" s="10"/>
    </row>
    <row r="1162" spans="1:12">
      <c r="A1162" s="13"/>
      <c r="B1162" s="48"/>
      <c r="C1162" s="13"/>
      <c r="D1162" s="49">
        <v>15000</v>
      </c>
      <c r="E1162" s="51">
        <v>7.4999999999999997E-2</v>
      </c>
      <c r="F1162" s="42">
        <v>15</v>
      </c>
      <c r="G1162" s="50">
        <v>41106</v>
      </c>
      <c r="H1162" s="49">
        <v>1</v>
      </c>
      <c r="I1162" s="49">
        <f t="shared" si="37"/>
        <v>562.5</v>
      </c>
      <c r="J1162" s="29">
        <f t="shared" si="36"/>
        <v>374.99999999999994</v>
      </c>
      <c r="K1162" s="13"/>
      <c r="L1162" s="10"/>
    </row>
    <row r="1163" spans="1:12">
      <c r="A1163" s="13"/>
      <c r="B1163" s="48"/>
      <c r="C1163" s="13"/>
      <c r="D1163" s="49">
        <v>20000</v>
      </c>
      <c r="E1163" s="51">
        <v>7.4999999999999997E-2</v>
      </c>
      <c r="F1163" s="42">
        <v>15</v>
      </c>
      <c r="G1163" s="50">
        <v>41121</v>
      </c>
      <c r="H1163" s="49">
        <v>7</v>
      </c>
      <c r="I1163" s="49">
        <f t="shared" si="37"/>
        <v>5250</v>
      </c>
      <c r="J1163" s="29">
        <f t="shared" si="36"/>
        <v>3499.9999999999995</v>
      </c>
      <c r="K1163" s="13"/>
      <c r="L1163" s="10"/>
    </row>
    <row r="1164" spans="1:12">
      <c r="A1164" s="13"/>
      <c r="B1164" s="48"/>
      <c r="C1164" s="13"/>
      <c r="D1164" s="49">
        <v>10000</v>
      </c>
      <c r="E1164" s="51">
        <v>7.0000000000000007E-2</v>
      </c>
      <c r="F1164" s="42" t="s">
        <v>4036</v>
      </c>
      <c r="G1164" s="50">
        <v>41124</v>
      </c>
      <c r="H1164" s="49">
        <v>10</v>
      </c>
      <c r="I1164" s="49">
        <f t="shared" si="37"/>
        <v>1750.0000000000005</v>
      </c>
      <c r="J1164" s="29">
        <f t="shared" si="36"/>
        <v>1125.0000000000002</v>
      </c>
      <c r="K1164" s="13"/>
      <c r="L1164" s="10"/>
    </row>
    <row r="1165" spans="1:12">
      <c r="A1165" s="13"/>
      <c r="B1165" s="48"/>
      <c r="C1165" s="13"/>
      <c r="D1165" s="49">
        <v>25000</v>
      </c>
      <c r="E1165" s="51">
        <v>7.4999999999999997E-2</v>
      </c>
      <c r="F1165" s="42">
        <v>15</v>
      </c>
      <c r="G1165" s="50">
        <v>41157</v>
      </c>
      <c r="H1165" s="49">
        <v>1</v>
      </c>
      <c r="I1165" s="49">
        <f t="shared" si="37"/>
        <v>937.5</v>
      </c>
      <c r="J1165" s="29">
        <f t="shared" si="36"/>
        <v>625</v>
      </c>
      <c r="K1165" s="13"/>
      <c r="L1165" s="10"/>
    </row>
    <row r="1166" spans="1:12">
      <c r="A1166" s="13"/>
      <c r="B1166" s="48"/>
      <c r="C1166" s="13"/>
      <c r="D1166" s="49">
        <v>20000</v>
      </c>
      <c r="E1166" s="51">
        <v>7.4999999999999997E-2</v>
      </c>
      <c r="F1166" s="42">
        <v>15</v>
      </c>
      <c r="G1166" s="50">
        <v>41163</v>
      </c>
      <c r="H1166" s="49">
        <v>3</v>
      </c>
      <c r="I1166" s="49">
        <f t="shared" si="37"/>
        <v>2250</v>
      </c>
      <c r="J1166" s="29">
        <f t="shared" si="36"/>
        <v>1499.9999999999998</v>
      </c>
      <c r="K1166" s="13"/>
      <c r="L1166" s="10"/>
    </row>
    <row r="1167" spans="1:12">
      <c r="A1167" s="13"/>
      <c r="B1167" s="48"/>
      <c r="C1167" s="13"/>
      <c r="D1167" s="49">
        <v>30000</v>
      </c>
      <c r="E1167" s="51">
        <v>7.4999999999999997E-2</v>
      </c>
      <c r="F1167" s="42">
        <v>15</v>
      </c>
      <c r="G1167" s="50">
        <v>41172</v>
      </c>
      <c r="H1167" s="49">
        <v>3</v>
      </c>
      <c r="I1167" s="49">
        <f t="shared" si="37"/>
        <v>3375</v>
      </c>
      <c r="J1167" s="29">
        <f t="shared" si="36"/>
        <v>2249.9999999999995</v>
      </c>
      <c r="K1167" s="13"/>
      <c r="L1167" s="10"/>
    </row>
    <row r="1168" spans="1:12">
      <c r="A1168" s="13"/>
      <c r="B1168" s="48"/>
      <c r="C1168" s="13"/>
      <c r="D1168" s="49">
        <v>10000</v>
      </c>
      <c r="E1168" s="51">
        <v>7.0000000000000007E-2</v>
      </c>
      <c r="F1168" s="42" t="s">
        <v>4036</v>
      </c>
      <c r="G1168" s="50">
        <v>41172</v>
      </c>
      <c r="H1168" s="49">
        <v>10</v>
      </c>
      <c r="I1168" s="49">
        <f t="shared" si="37"/>
        <v>1750.0000000000005</v>
      </c>
      <c r="J1168" s="29">
        <f t="shared" si="36"/>
        <v>1125.0000000000002</v>
      </c>
      <c r="K1168" s="13"/>
      <c r="L1168" s="10"/>
    </row>
    <row r="1169" spans="1:12">
      <c r="A1169" s="13"/>
      <c r="B1169" s="48"/>
      <c r="C1169" s="13"/>
      <c r="D1169" s="49">
        <v>15000</v>
      </c>
      <c r="E1169" s="51">
        <v>7.4999999999999997E-2</v>
      </c>
      <c r="F1169" s="42">
        <v>15</v>
      </c>
      <c r="G1169" s="50">
        <v>41208</v>
      </c>
      <c r="H1169" s="49">
        <v>1</v>
      </c>
      <c r="I1169" s="49">
        <f t="shared" si="37"/>
        <v>562.5</v>
      </c>
      <c r="J1169" s="29">
        <f t="shared" si="36"/>
        <v>374.99999999999994</v>
      </c>
      <c r="K1169" s="13"/>
      <c r="L1169" s="10"/>
    </row>
    <row r="1170" spans="1:12">
      <c r="A1170" s="13"/>
      <c r="B1170" s="48"/>
      <c r="C1170" s="13"/>
      <c r="D1170" s="49">
        <v>20000</v>
      </c>
      <c r="E1170" s="51">
        <v>7.4999999999999997E-2</v>
      </c>
      <c r="F1170" s="42">
        <v>15</v>
      </c>
      <c r="G1170" s="50">
        <v>41211</v>
      </c>
      <c r="H1170" s="49">
        <v>6</v>
      </c>
      <c r="I1170" s="49">
        <f t="shared" si="37"/>
        <v>4500</v>
      </c>
      <c r="J1170" s="29">
        <f t="shared" si="36"/>
        <v>2999.9999999999995</v>
      </c>
      <c r="K1170" s="13"/>
      <c r="L1170" s="10"/>
    </row>
    <row r="1171" spans="1:12">
      <c r="A1171" s="13"/>
      <c r="B1171" s="48"/>
      <c r="C1171" s="13"/>
      <c r="D1171" s="49">
        <v>35000</v>
      </c>
      <c r="E1171" s="51">
        <v>7.4999999999999997E-2</v>
      </c>
      <c r="F1171" s="42">
        <v>15</v>
      </c>
      <c r="G1171" s="50">
        <v>41216</v>
      </c>
      <c r="H1171" s="49">
        <v>6</v>
      </c>
      <c r="I1171" s="49">
        <f t="shared" si="37"/>
        <v>7875</v>
      </c>
      <c r="J1171" s="29">
        <f t="shared" si="36"/>
        <v>5249.9999999999991</v>
      </c>
      <c r="K1171" s="13"/>
      <c r="L1171" s="10"/>
    </row>
    <row r="1172" spans="1:12">
      <c r="A1172" s="13"/>
      <c r="B1172" s="48"/>
      <c r="C1172" s="13"/>
      <c r="D1172" s="49">
        <v>10000</v>
      </c>
      <c r="E1172" s="51">
        <v>7.0000000000000007E-2</v>
      </c>
      <c r="F1172" s="42" t="s">
        <v>4036</v>
      </c>
      <c r="G1172" s="50">
        <v>41220</v>
      </c>
      <c r="H1172" s="49">
        <v>10</v>
      </c>
      <c r="I1172" s="49">
        <f t="shared" si="37"/>
        <v>1750.0000000000005</v>
      </c>
      <c r="J1172" s="29">
        <f t="shared" si="36"/>
        <v>1125.0000000000002</v>
      </c>
      <c r="K1172" s="13"/>
      <c r="L1172" s="10"/>
    </row>
    <row r="1173" spans="1:12">
      <c r="A1173" s="13"/>
      <c r="B1173" s="48"/>
      <c r="C1173" s="13"/>
      <c r="D1173" s="49">
        <v>20000</v>
      </c>
      <c r="E1173" s="51">
        <v>7.4999999999999997E-2</v>
      </c>
      <c r="F1173" s="42">
        <v>15</v>
      </c>
      <c r="G1173" s="50">
        <v>41223</v>
      </c>
      <c r="H1173" s="49">
        <v>2</v>
      </c>
      <c r="I1173" s="49">
        <f t="shared" si="37"/>
        <v>1500</v>
      </c>
      <c r="J1173" s="29">
        <f t="shared" si="36"/>
        <v>999.99999999999989</v>
      </c>
      <c r="K1173" s="13"/>
      <c r="L1173" s="10"/>
    </row>
    <row r="1174" spans="1:12">
      <c r="A1174" s="13"/>
      <c r="B1174" s="48"/>
      <c r="C1174" s="13"/>
      <c r="D1174" s="49">
        <v>25000</v>
      </c>
      <c r="E1174" s="51">
        <v>7.4999999999999997E-2</v>
      </c>
      <c r="F1174" s="42">
        <v>15</v>
      </c>
      <c r="G1174" s="50">
        <v>41252</v>
      </c>
      <c r="H1174" s="49">
        <v>2</v>
      </c>
      <c r="I1174" s="49">
        <f t="shared" si="37"/>
        <v>1875</v>
      </c>
      <c r="J1174" s="29">
        <f t="shared" si="36"/>
        <v>1250</v>
      </c>
      <c r="K1174" s="13"/>
      <c r="L1174" s="10"/>
    </row>
    <row r="1175" spans="1:12">
      <c r="A1175" s="13"/>
      <c r="B1175" s="48"/>
      <c r="C1175" s="13"/>
      <c r="D1175" s="49">
        <v>10000</v>
      </c>
      <c r="E1175" s="51">
        <v>7.0000000000000007E-2</v>
      </c>
      <c r="F1175" s="42" t="s">
        <v>4036</v>
      </c>
      <c r="G1175" s="50">
        <v>41268</v>
      </c>
      <c r="H1175" s="62">
        <v>5</v>
      </c>
      <c r="I1175" s="49">
        <f t="shared" si="37"/>
        <v>875.00000000000023</v>
      </c>
      <c r="J1175" s="29">
        <f t="shared" si="36"/>
        <v>562.50000000000011</v>
      </c>
      <c r="K1175" s="13"/>
      <c r="L1175" s="10" t="s">
        <v>1508</v>
      </c>
    </row>
    <row r="1176" spans="1:12">
      <c r="A1176" s="13">
        <v>217</v>
      </c>
      <c r="B1176" s="48">
        <v>3180</v>
      </c>
      <c r="C1176" s="13" t="s">
        <v>1149</v>
      </c>
      <c r="D1176" s="49">
        <v>30000</v>
      </c>
      <c r="E1176" s="51">
        <v>7.4999999999999997E-2</v>
      </c>
      <c r="F1176" s="42">
        <v>15</v>
      </c>
      <c r="G1176" s="50">
        <v>40799</v>
      </c>
      <c r="H1176" s="49">
        <v>16</v>
      </c>
      <c r="I1176" s="49">
        <f t="shared" si="37"/>
        <v>18000</v>
      </c>
      <c r="J1176" s="29">
        <f t="shared" si="36"/>
        <v>11999.999999999998</v>
      </c>
      <c r="K1176" s="13" t="s">
        <v>2412</v>
      </c>
      <c r="L1176" s="10"/>
    </row>
    <row r="1177" spans="1:12">
      <c r="A1177" s="13"/>
      <c r="B1177" s="48"/>
      <c r="C1177" s="13"/>
      <c r="D1177" s="49">
        <v>50000</v>
      </c>
      <c r="E1177" s="51">
        <v>7.0000000000000007E-2</v>
      </c>
      <c r="F1177" s="42" t="s">
        <v>4036</v>
      </c>
      <c r="G1177" s="50">
        <v>41085</v>
      </c>
      <c r="H1177" s="49">
        <v>10</v>
      </c>
      <c r="I1177" s="49">
        <f t="shared" si="37"/>
        <v>8750.0000000000018</v>
      </c>
      <c r="J1177" s="29">
        <f t="shared" si="36"/>
        <v>5625.0000000000009</v>
      </c>
      <c r="K1177" s="13"/>
      <c r="L1177" s="10"/>
    </row>
    <row r="1178" spans="1:12">
      <c r="A1178" s="13"/>
      <c r="B1178" s="48"/>
      <c r="C1178" s="13"/>
      <c r="D1178" s="49">
        <v>50000</v>
      </c>
      <c r="E1178" s="51">
        <v>7.0000000000000007E-2</v>
      </c>
      <c r="F1178" s="42" t="s">
        <v>4036</v>
      </c>
      <c r="G1178" s="50">
        <v>41148</v>
      </c>
      <c r="H1178" s="49">
        <v>10</v>
      </c>
      <c r="I1178" s="49">
        <f t="shared" si="37"/>
        <v>8750.0000000000018</v>
      </c>
      <c r="J1178" s="29">
        <f t="shared" si="36"/>
        <v>5625.0000000000009</v>
      </c>
      <c r="K1178" s="13"/>
      <c r="L1178" s="10"/>
    </row>
    <row r="1179" spans="1:12">
      <c r="A1179" s="13"/>
      <c r="B1179" s="48"/>
      <c r="C1179" s="13"/>
      <c r="D1179" s="49">
        <v>10000</v>
      </c>
      <c r="E1179" s="51">
        <v>7.0000000000000007E-2</v>
      </c>
      <c r="F1179" s="42" t="s">
        <v>4036</v>
      </c>
      <c r="G1179" s="50">
        <v>41191</v>
      </c>
      <c r="H1179" s="49">
        <v>10</v>
      </c>
      <c r="I1179" s="49">
        <f t="shared" si="37"/>
        <v>1750.0000000000005</v>
      </c>
      <c r="J1179" s="29">
        <f t="shared" si="36"/>
        <v>1125.0000000000002</v>
      </c>
      <c r="K1179" s="13"/>
      <c r="L1179" s="10"/>
    </row>
    <row r="1180" spans="1:12">
      <c r="A1180" s="13"/>
      <c r="B1180" s="48"/>
      <c r="C1180" s="13"/>
      <c r="D1180" s="49">
        <v>50000</v>
      </c>
      <c r="E1180" s="51">
        <v>7.0000000000000007E-2</v>
      </c>
      <c r="F1180" s="42" t="s">
        <v>4036</v>
      </c>
      <c r="G1180" s="50">
        <v>41215</v>
      </c>
      <c r="H1180" s="49">
        <v>10</v>
      </c>
      <c r="I1180" s="49">
        <f t="shared" si="37"/>
        <v>8750.0000000000018</v>
      </c>
      <c r="J1180" s="29">
        <f t="shared" si="36"/>
        <v>5625.0000000000009</v>
      </c>
      <c r="K1180" s="13"/>
      <c r="L1180" s="10"/>
    </row>
    <row r="1181" spans="1:12">
      <c r="A1181" s="13">
        <v>218</v>
      </c>
      <c r="B1181" s="48">
        <v>3182</v>
      </c>
      <c r="C1181" s="13" t="s">
        <v>3892</v>
      </c>
      <c r="D1181" s="49">
        <v>60000</v>
      </c>
      <c r="E1181" s="51">
        <v>7.4999999999999997E-2</v>
      </c>
      <c r="F1181" s="42">
        <v>30</v>
      </c>
      <c r="G1181" s="50">
        <v>40801</v>
      </c>
      <c r="H1181" s="49">
        <v>4</v>
      </c>
      <c r="I1181" s="49">
        <f t="shared" si="37"/>
        <v>18000</v>
      </c>
      <c r="J1181" s="29">
        <f t="shared" si="36"/>
        <v>11999.999999999998</v>
      </c>
      <c r="K1181" s="13" t="s">
        <v>2413</v>
      </c>
      <c r="L1181" s="10"/>
    </row>
    <row r="1182" spans="1:12">
      <c r="A1182" s="13"/>
      <c r="B1182" s="48"/>
      <c r="C1182" s="13"/>
      <c r="D1182" s="49">
        <v>90000</v>
      </c>
      <c r="E1182" s="51">
        <v>7.4999999999999997E-2</v>
      </c>
      <c r="F1182" s="42">
        <v>30</v>
      </c>
      <c r="G1182" s="50">
        <v>40921</v>
      </c>
      <c r="H1182" s="49">
        <v>14</v>
      </c>
      <c r="I1182" s="49">
        <f t="shared" si="37"/>
        <v>94500</v>
      </c>
      <c r="J1182" s="29">
        <f t="shared" si="36"/>
        <v>63000</v>
      </c>
      <c r="K1182" s="13"/>
      <c r="L1182" s="10"/>
    </row>
    <row r="1183" spans="1:12">
      <c r="A1183" s="13">
        <v>219</v>
      </c>
      <c r="B1183" s="48">
        <v>3188</v>
      </c>
      <c r="C1183" s="13" t="s">
        <v>1086</v>
      </c>
      <c r="D1183" s="49">
        <v>170000</v>
      </c>
      <c r="E1183" s="51">
        <v>7.4999999999999997E-2</v>
      </c>
      <c r="F1183" s="42">
        <v>15</v>
      </c>
      <c r="G1183" s="50">
        <v>40552</v>
      </c>
      <c r="H1183" s="49">
        <v>2</v>
      </c>
      <c r="I1183" s="49">
        <f t="shared" si="37"/>
        <v>12750</v>
      </c>
      <c r="J1183" s="29">
        <f t="shared" si="36"/>
        <v>8500</v>
      </c>
      <c r="K1183" s="13" t="s">
        <v>2414</v>
      </c>
      <c r="L1183" s="10"/>
    </row>
    <row r="1184" spans="1:12">
      <c r="A1184" s="13"/>
      <c r="B1184" s="48"/>
      <c r="C1184" s="13"/>
      <c r="D1184" s="49">
        <v>70000</v>
      </c>
      <c r="E1184" s="51">
        <v>7.4999999999999997E-2</v>
      </c>
      <c r="F1184" s="42">
        <v>15</v>
      </c>
      <c r="G1184" s="50">
        <v>40604</v>
      </c>
      <c r="H1184" s="49">
        <v>3</v>
      </c>
      <c r="I1184" s="49">
        <f t="shared" si="37"/>
        <v>7875</v>
      </c>
      <c r="J1184" s="29">
        <f t="shared" si="36"/>
        <v>5249.9999999999991</v>
      </c>
      <c r="K1184" s="13"/>
      <c r="L1184" s="10"/>
    </row>
    <row r="1185" spans="1:12">
      <c r="A1185" s="13"/>
      <c r="B1185" s="48"/>
      <c r="C1185" s="13"/>
      <c r="D1185" s="49">
        <v>80000</v>
      </c>
      <c r="E1185" s="51">
        <v>7.4999999999999997E-2</v>
      </c>
      <c r="F1185" s="42">
        <v>15</v>
      </c>
      <c r="G1185" s="50">
        <v>40649</v>
      </c>
      <c r="H1185" s="49">
        <v>2</v>
      </c>
      <c r="I1185" s="49">
        <f t="shared" si="37"/>
        <v>6000</v>
      </c>
      <c r="J1185" s="29">
        <f t="shared" si="36"/>
        <v>3999.9999999999995</v>
      </c>
      <c r="K1185" s="13"/>
      <c r="L1185" s="10"/>
    </row>
    <row r="1186" spans="1:12">
      <c r="A1186" s="13"/>
      <c r="B1186" s="48"/>
      <c r="C1186" s="13"/>
      <c r="D1186" s="49">
        <v>50000</v>
      </c>
      <c r="E1186" s="51">
        <v>7.4999999999999997E-2</v>
      </c>
      <c r="F1186" s="42">
        <v>15</v>
      </c>
      <c r="G1186" s="50">
        <v>40679</v>
      </c>
      <c r="H1186" s="49">
        <v>1</v>
      </c>
      <c r="I1186" s="49">
        <f t="shared" si="37"/>
        <v>1875</v>
      </c>
      <c r="J1186" s="29">
        <f t="shared" si="36"/>
        <v>1250</v>
      </c>
      <c r="K1186" s="13"/>
      <c r="L1186" s="10"/>
    </row>
    <row r="1187" spans="1:12">
      <c r="A1187" s="13"/>
      <c r="B1187" s="48"/>
      <c r="C1187" s="13"/>
      <c r="D1187" s="49">
        <v>10000</v>
      </c>
      <c r="E1187" s="51">
        <v>7.4999999999999997E-2</v>
      </c>
      <c r="F1187" s="42">
        <v>15</v>
      </c>
      <c r="G1187" s="50">
        <v>40694</v>
      </c>
      <c r="H1187" s="49">
        <v>2</v>
      </c>
      <c r="I1187" s="49">
        <f t="shared" si="37"/>
        <v>750</v>
      </c>
      <c r="J1187" s="29">
        <f t="shared" ref="J1187:J1250" si="38">IF(F1187="分期",D1187*(E1187-0.025)*2.5*H1187/10,D1187*(E1187-0.025)*F1187/30*H1187)</f>
        <v>499.99999999999994</v>
      </c>
      <c r="K1187" s="13"/>
      <c r="L1187" s="10"/>
    </row>
    <row r="1188" spans="1:12">
      <c r="A1188" s="13"/>
      <c r="B1188" s="48"/>
      <c r="C1188" s="13"/>
      <c r="D1188" s="49">
        <v>20000</v>
      </c>
      <c r="E1188" s="51">
        <v>7.4999999999999997E-2</v>
      </c>
      <c r="F1188" s="42">
        <v>15</v>
      </c>
      <c r="G1188" s="50">
        <v>40782</v>
      </c>
      <c r="H1188" s="49">
        <v>9</v>
      </c>
      <c r="I1188" s="49">
        <f t="shared" si="37"/>
        <v>6750</v>
      </c>
      <c r="J1188" s="29">
        <f t="shared" si="38"/>
        <v>4499.9999999999991</v>
      </c>
      <c r="K1188" s="13"/>
      <c r="L1188" s="10"/>
    </row>
    <row r="1189" spans="1:12">
      <c r="A1189" s="13"/>
      <c r="B1189" s="48"/>
      <c r="C1189" s="13"/>
      <c r="D1189" s="49">
        <v>20000</v>
      </c>
      <c r="E1189" s="51">
        <v>7.0000000000000007E-2</v>
      </c>
      <c r="F1189" s="42" t="s">
        <v>4036</v>
      </c>
      <c r="G1189" s="50">
        <v>40826</v>
      </c>
      <c r="H1189" s="49">
        <v>10</v>
      </c>
      <c r="I1189" s="49">
        <f t="shared" si="37"/>
        <v>3500.0000000000009</v>
      </c>
      <c r="J1189" s="29">
        <f t="shared" si="38"/>
        <v>2250.0000000000005</v>
      </c>
      <c r="K1189" s="13"/>
      <c r="L1189" s="10"/>
    </row>
    <row r="1190" spans="1:12">
      <c r="A1190" s="13"/>
      <c r="B1190" s="48"/>
      <c r="C1190" s="13"/>
      <c r="D1190" s="49">
        <v>20000</v>
      </c>
      <c r="E1190" s="51">
        <v>7.0000000000000007E-2</v>
      </c>
      <c r="F1190" s="42" t="s">
        <v>4036</v>
      </c>
      <c r="G1190" s="50">
        <v>40869</v>
      </c>
      <c r="H1190" s="49">
        <v>10</v>
      </c>
      <c r="I1190" s="49">
        <f t="shared" si="37"/>
        <v>3500.0000000000009</v>
      </c>
      <c r="J1190" s="29">
        <f t="shared" si="38"/>
        <v>2250.0000000000005</v>
      </c>
      <c r="K1190" s="13"/>
      <c r="L1190" s="10"/>
    </row>
    <row r="1191" spans="1:12">
      <c r="A1191" s="13"/>
      <c r="B1191" s="48"/>
      <c r="C1191" s="13"/>
      <c r="D1191" s="49">
        <v>40000</v>
      </c>
      <c r="E1191" s="51">
        <v>7.0000000000000007E-2</v>
      </c>
      <c r="F1191" s="42" t="s">
        <v>4036</v>
      </c>
      <c r="G1191" s="50">
        <v>40938</v>
      </c>
      <c r="H1191" s="49">
        <v>10</v>
      </c>
      <c r="I1191" s="49">
        <f t="shared" si="37"/>
        <v>7000.0000000000018</v>
      </c>
      <c r="J1191" s="29">
        <f t="shared" si="38"/>
        <v>4500.0000000000009</v>
      </c>
      <c r="K1191" s="13"/>
      <c r="L1191" s="10"/>
    </row>
    <row r="1192" spans="1:12">
      <c r="A1192" s="13"/>
      <c r="B1192" s="48"/>
      <c r="C1192" s="13"/>
      <c r="D1192" s="49">
        <v>130000</v>
      </c>
      <c r="E1192" s="51">
        <v>7.4999999999999997E-2</v>
      </c>
      <c r="F1192" s="42">
        <v>15</v>
      </c>
      <c r="G1192" s="50">
        <v>40947</v>
      </c>
      <c r="H1192" s="49">
        <v>6</v>
      </c>
      <c r="I1192" s="49">
        <f t="shared" si="37"/>
        <v>29250</v>
      </c>
      <c r="J1192" s="29">
        <f t="shared" si="38"/>
        <v>19499.999999999996</v>
      </c>
      <c r="K1192" s="13"/>
      <c r="L1192" s="10"/>
    </row>
    <row r="1193" spans="1:12">
      <c r="A1193" s="13"/>
      <c r="B1193" s="48"/>
      <c r="C1193" s="13"/>
      <c r="D1193" s="49">
        <v>10000</v>
      </c>
      <c r="E1193" s="51">
        <v>7.4999999999999997E-2</v>
      </c>
      <c r="F1193" s="42">
        <v>15</v>
      </c>
      <c r="G1193" s="50">
        <v>40985</v>
      </c>
      <c r="H1193" s="49">
        <v>2</v>
      </c>
      <c r="I1193" s="49">
        <f t="shared" si="37"/>
        <v>750</v>
      </c>
      <c r="J1193" s="29">
        <f t="shared" si="38"/>
        <v>499.99999999999994</v>
      </c>
      <c r="K1193" s="13"/>
      <c r="L1193" s="10"/>
    </row>
    <row r="1194" spans="1:12">
      <c r="A1194" s="13"/>
      <c r="B1194" s="48"/>
      <c r="C1194" s="13"/>
      <c r="D1194" s="49">
        <v>40000</v>
      </c>
      <c r="E1194" s="51">
        <v>7.0000000000000007E-2</v>
      </c>
      <c r="F1194" s="42" t="s">
        <v>4036</v>
      </c>
      <c r="G1194" s="50">
        <v>41051</v>
      </c>
      <c r="H1194" s="49">
        <v>10</v>
      </c>
      <c r="I1194" s="49">
        <f t="shared" si="37"/>
        <v>7000.0000000000018</v>
      </c>
      <c r="J1194" s="29">
        <f t="shared" si="38"/>
        <v>4500.0000000000009</v>
      </c>
      <c r="K1194" s="13"/>
      <c r="L1194" s="10"/>
    </row>
    <row r="1195" spans="1:12">
      <c r="A1195" s="13"/>
      <c r="B1195" s="48"/>
      <c r="C1195" s="13"/>
      <c r="D1195" s="49">
        <v>20000</v>
      </c>
      <c r="E1195" s="51">
        <v>7.4999999999999997E-2</v>
      </c>
      <c r="F1195" s="42">
        <v>15</v>
      </c>
      <c r="G1195" s="50">
        <v>41089</v>
      </c>
      <c r="H1195" s="49">
        <v>1</v>
      </c>
      <c r="I1195" s="49">
        <f t="shared" si="37"/>
        <v>750</v>
      </c>
      <c r="J1195" s="29">
        <f t="shared" si="38"/>
        <v>499.99999999999994</v>
      </c>
      <c r="K1195" s="13"/>
      <c r="L1195" s="10"/>
    </row>
    <row r="1196" spans="1:12">
      <c r="A1196" s="13"/>
      <c r="B1196" s="48"/>
      <c r="C1196" s="13"/>
      <c r="D1196" s="49">
        <v>30000</v>
      </c>
      <c r="E1196" s="51">
        <v>7.4999999999999997E-2</v>
      </c>
      <c r="F1196" s="42">
        <v>15</v>
      </c>
      <c r="G1196" s="50">
        <v>41104</v>
      </c>
      <c r="H1196" s="49">
        <v>6</v>
      </c>
      <c r="I1196" s="49">
        <f t="shared" si="37"/>
        <v>6750</v>
      </c>
      <c r="J1196" s="29">
        <f t="shared" si="38"/>
        <v>4499.9999999999991</v>
      </c>
      <c r="K1196" s="13"/>
      <c r="L1196" s="10"/>
    </row>
    <row r="1197" spans="1:12">
      <c r="A1197" s="13"/>
      <c r="B1197" s="48"/>
      <c r="C1197" s="13"/>
      <c r="D1197" s="49">
        <v>130000</v>
      </c>
      <c r="E1197" s="51">
        <v>7.4999999999999997E-2</v>
      </c>
      <c r="F1197" s="42">
        <v>15</v>
      </c>
      <c r="G1197" s="50">
        <v>41123</v>
      </c>
      <c r="H1197" s="49">
        <v>2</v>
      </c>
      <c r="I1197" s="49">
        <f t="shared" si="37"/>
        <v>9750</v>
      </c>
      <c r="J1197" s="29">
        <f t="shared" si="38"/>
        <v>6499.9999999999991</v>
      </c>
      <c r="K1197" s="13"/>
      <c r="L1197" s="10"/>
    </row>
    <row r="1198" spans="1:12">
      <c r="A1198" s="13"/>
      <c r="B1198" s="48"/>
      <c r="C1198" s="13"/>
      <c r="D1198" s="49">
        <v>20000</v>
      </c>
      <c r="E1198" s="51">
        <v>7.0000000000000007E-2</v>
      </c>
      <c r="F1198" s="42" t="s">
        <v>4036</v>
      </c>
      <c r="G1198" s="50">
        <v>41144</v>
      </c>
      <c r="H1198" s="49">
        <v>10</v>
      </c>
      <c r="I1198" s="49">
        <f t="shared" si="37"/>
        <v>3500.0000000000009</v>
      </c>
      <c r="J1198" s="29">
        <f t="shared" si="38"/>
        <v>2250.0000000000005</v>
      </c>
      <c r="K1198" s="13"/>
      <c r="L1198" s="10"/>
    </row>
    <row r="1199" spans="1:12">
      <c r="A1199" s="13"/>
      <c r="B1199" s="48"/>
      <c r="C1199" s="13"/>
      <c r="D1199" s="49">
        <v>40000</v>
      </c>
      <c r="E1199" s="51">
        <v>7.4999999999999997E-2</v>
      </c>
      <c r="F1199" s="42">
        <v>15</v>
      </c>
      <c r="G1199" s="50">
        <v>41153</v>
      </c>
      <c r="H1199" s="49">
        <v>3</v>
      </c>
      <c r="I1199" s="49">
        <f t="shared" si="37"/>
        <v>4500</v>
      </c>
      <c r="J1199" s="29">
        <f t="shared" si="38"/>
        <v>2999.9999999999995</v>
      </c>
      <c r="K1199" s="13"/>
      <c r="L1199" s="10"/>
    </row>
    <row r="1200" spans="1:12">
      <c r="A1200" s="13"/>
      <c r="B1200" s="48"/>
      <c r="C1200" s="13"/>
      <c r="D1200" s="49">
        <v>40000</v>
      </c>
      <c r="E1200" s="51">
        <v>7.4999999999999997E-2</v>
      </c>
      <c r="F1200" s="42">
        <v>15</v>
      </c>
      <c r="G1200" s="50">
        <v>41190</v>
      </c>
      <c r="H1200" s="49">
        <v>4</v>
      </c>
      <c r="I1200" s="49">
        <f t="shared" si="37"/>
        <v>6000</v>
      </c>
      <c r="J1200" s="29">
        <f t="shared" si="38"/>
        <v>3999.9999999999995</v>
      </c>
      <c r="K1200" s="13"/>
      <c r="L1200" s="10"/>
    </row>
    <row r="1201" spans="1:12">
      <c r="A1201" s="13"/>
      <c r="B1201" s="48"/>
      <c r="C1201" s="13"/>
      <c r="D1201" s="49">
        <v>50000</v>
      </c>
      <c r="E1201" s="51">
        <v>7.4999999999999997E-2</v>
      </c>
      <c r="F1201" s="42">
        <v>15</v>
      </c>
      <c r="G1201" s="50">
        <v>41198</v>
      </c>
      <c r="H1201" s="49">
        <v>2</v>
      </c>
      <c r="I1201" s="49">
        <f t="shared" si="37"/>
        <v>3750</v>
      </c>
      <c r="J1201" s="29">
        <f t="shared" si="38"/>
        <v>2500</v>
      </c>
      <c r="K1201" s="13"/>
      <c r="L1201" s="10"/>
    </row>
    <row r="1202" spans="1:12">
      <c r="A1202" s="13"/>
      <c r="B1202" s="48"/>
      <c r="C1202" s="13"/>
      <c r="D1202" s="49">
        <v>10000</v>
      </c>
      <c r="E1202" s="51">
        <v>7.4999999999999997E-2</v>
      </c>
      <c r="F1202" s="42">
        <v>15</v>
      </c>
      <c r="G1202" s="50">
        <v>41218</v>
      </c>
      <c r="H1202" s="49">
        <v>6</v>
      </c>
      <c r="I1202" s="49">
        <f t="shared" si="37"/>
        <v>2250</v>
      </c>
      <c r="J1202" s="29">
        <f t="shared" si="38"/>
        <v>1499.9999999999998</v>
      </c>
      <c r="K1202" s="13"/>
      <c r="L1202" s="10"/>
    </row>
    <row r="1203" spans="1:12">
      <c r="A1203" s="13"/>
      <c r="B1203" s="48"/>
      <c r="C1203" s="13"/>
      <c r="D1203" s="49">
        <v>30000</v>
      </c>
      <c r="E1203" s="51">
        <v>7.0000000000000007E-2</v>
      </c>
      <c r="F1203" s="42" t="s">
        <v>4036</v>
      </c>
      <c r="G1203" s="50">
        <v>41219</v>
      </c>
      <c r="H1203" s="49">
        <v>10</v>
      </c>
      <c r="I1203" s="49">
        <f t="shared" si="37"/>
        <v>5250</v>
      </c>
      <c r="J1203" s="29">
        <f t="shared" si="38"/>
        <v>3375.0000000000009</v>
      </c>
      <c r="K1203" s="13"/>
      <c r="L1203" s="10"/>
    </row>
    <row r="1204" spans="1:12">
      <c r="A1204" s="13"/>
      <c r="B1204" s="48"/>
      <c r="C1204" s="13"/>
      <c r="D1204" s="49">
        <v>20000</v>
      </c>
      <c r="E1204" s="51">
        <v>7.4999999999999997E-2</v>
      </c>
      <c r="F1204" s="42">
        <v>15</v>
      </c>
      <c r="G1204" s="50">
        <v>41228</v>
      </c>
      <c r="H1204" s="49">
        <v>2</v>
      </c>
      <c r="I1204" s="49">
        <f t="shared" si="37"/>
        <v>1500</v>
      </c>
      <c r="J1204" s="29">
        <f t="shared" si="38"/>
        <v>999.99999999999989</v>
      </c>
      <c r="K1204" s="13"/>
      <c r="L1204" s="10"/>
    </row>
    <row r="1205" spans="1:12">
      <c r="A1205" s="13"/>
      <c r="B1205" s="48"/>
      <c r="C1205" s="13"/>
      <c r="D1205" s="49">
        <v>40000</v>
      </c>
      <c r="E1205" s="51">
        <v>7.4999999999999997E-2</v>
      </c>
      <c r="F1205" s="42">
        <v>15</v>
      </c>
      <c r="G1205" s="50">
        <v>41250</v>
      </c>
      <c r="H1205" s="49">
        <v>3</v>
      </c>
      <c r="I1205" s="49">
        <f t="shared" si="37"/>
        <v>4500</v>
      </c>
      <c r="J1205" s="29">
        <f t="shared" si="38"/>
        <v>2999.9999999999995</v>
      </c>
      <c r="K1205" s="13"/>
      <c r="L1205" s="10"/>
    </row>
    <row r="1206" spans="1:12">
      <c r="A1206" s="13"/>
      <c r="B1206" s="48"/>
      <c r="C1206" s="13"/>
      <c r="D1206" s="49">
        <v>50000</v>
      </c>
      <c r="E1206" s="51">
        <v>7.4999999999999997E-2</v>
      </c>
      <c r="F1206" s="42">
        <v>15</v>
      </c>
      <c r="G1206" s="50">
        <v>41257</v>
      </c>
      <c r="H1206" s="49">
        <v>3</v>
      </c>
      <c r="I1206" s="49">
        <f t="shared" si="37"/>
        <v>5625</v>
      </c>
      <c r="J1206" s="29">
        <f t="shared" si="38"/>
        <v>3750</v>
      </c>
      <c r="K1206" s="13"/>
      <c r="L1206" s="10"/>
    </row>
    <row r="1207" spans="1:12">
      <c r="A1207" s="13"/>
      <c r="B1207" s="48"/>
      <c r="C1207" s="13"/>
      <c r="D1207" s="49">
        <v>10000</v>
      </c>
      <c r="E1207" s="51">
        <v>7.4999999999999997E-2</v>
      </c>
      <c r="F1207" s="42">
        <v>15</v>
      </c>
      <c r="G1207" s="50">
        <v>41267</v>
      </c>
      <c r="H1207" s="62">
        <v>3</v>
      </c>
      <c r="I1207" s="49">
        <f t="shared" si="37"/>
        <v>1125</v>
      </c>
      <c r="J1207" s="29">
        <f t="shared" si="38"/>
        <v>749.99999999999989</v>
      </c>
      <c r="K1207" s="13"/>
      <c r="L1207" s="10" t="s">
        <v>1508</v>
      </c>
    </row>
    <row r="1208" spans="1:12">
      <c r="A1208" s="13"/>
      <c r="B1208" s="48"/>
      <c r="C1208" s="13"/>
      <c r="D1208" s="49">
        <v>30000</v>
      </c>
      <c r="E1208" s="51">
        <v>7.4999999999999997E-2</v>
      </c>
      <c r="F1208" s="42">
        <v>15</v>
      </c>
      <c r="G1208" s="50">
        <v>41274</v>
      </c>
      <c r="H1208" s="49">
        <v>2</v>
      </c>
      <c r="I1208" s="49">
        <f t="shared" si="37"/>
        <v>2250</v>
      </c>
      <c r="J1208" s="29">
        <f t="shared" si="38"/>
        <v>1499.9999999999998</v>
      </c>
      <c r="K1208" s="13"/>
      <c r="L1208" s="10"/>
    </row>
    <row r="1209" spans="1:12">
      <c r="A1209" s="13"/>
      <c r="B1209" s="48"/>
      <c r="C1209" s="13"/>
      <c r="D1209" s="49">
        <v>40000</v>
      </c>
      <c r="E1209" s="51">
        <v>7.0000000000000007E-2</v>
      </c>
      <c r="F1209" s="42" t="s">
        <v>4036</v>
      </c>
      <c r="G1209" s="50">
        <v>41286</v>
      </c>
      <c r="H1209" s="53">
        <v>1</v>
      </c>
      <c r="I1209" s="49">
        <f t="shared" si="37"/>
        <v>700.00000000000011</v>
      </c>
      <c r="J1209" s="29">
        <f t="shared" si="38"/>
        <v>450.00000000000011</v>
      </c>
      <c r="K1209" s="13"/>
      <c r="L1209" s="10"/>
    </row>
    <row r="1210" spans="1:12">
      <c r="A1210" s="13"/>
      <c r="B1210" s="48"/>
      <c r="C1210" s="13"/>
      <c r="D1210" s="49">
        <v>30000</v>
      </c>
      <c r="E1210" s="51">
        <v>7.0000000000000007E-2</v>
      </c>
      <c r="F1210" s="42" t="s">
        <v>4036</v>
      </c>
      <c r="G1210" s="50">
        <v>41294</v>
      </c>
      <c r="H1210" s="53">
        <v>1</v>
      </c>
      <c r="I1210" s="49">
        <f t="shared" si="37"/>
        <v>525</v>
      </c>
      <c r="J1210" s="29">
        <f t="shared" si="38"/>
        <v>337.50000000000006</v>
      </c>
      <c r="K1210" s="13"/>
      <c r="L1210" s="10"/>
    </row>
    <row r="1211" spans="1:12">
      <c r="A1211" s="13"/>
      <c r="B1211" s="48"/>
      <c r="C1211" s="13"/>
      <c r="D1211" s="49">
        <v>20000</v>
      </c>
      <c r="E1211" s="51">
        <v>7.0000000000000007E-2</v>
      </c>
      <c r="F1211" s="42" t="s">
        <v>4036</v>
      </c>
      <c r="G1211" s="28" t="s">
        <v>1512</v>
      </c>
      <c r="H1211" s="49">
        <v>10</v>
      </c>
      <c r="I1211" s="49">
        <f t="shared" si="37"/>
        <v>3500.0000000000009</v>
      </c>
      <c r="J1211" s="29">
        <f t="shared" si="38"/>
        <v>2250.0000000000005</v>
      </c>
      <c r="K1211" s="13"/>
      <c r="L1211" s="10"/>
    </row>
    <row r="1212" spans="1:12">
      <c r="A1212" s="13">
        <v>220</v>
      </c>
      <c r="B1212" s="48">
        <v>3190</v>
      </c>
      <c r="C1212" s="13" t="s">
        <v>1131</v>
      </c>
      <c r="D1212" s="49">
        <v>50000</v>
      </c>
      <c r="E1212" s="51">
        <v>7.4999999999999997E-2</v>
      </c>
      <c r="F1212" s="42">
        <v>15</v>
      </c>
      <c r="G1212" s="50">
        <v>40791</v>
      </c>
      <c r="H1212" s="49">
        <v>5</v>
      </c>
      <c r="I1212" s="49">
        <f t="shared" si="37"/>
        <v>9375</v>
      </c>
      <c r="J1212" s="29">
        <f t="shared" si="38"/>
        <v>6250</v>
      </c>
      <c r="K1212" s="13" t="s">
        <v>1635</v>
      </c>
      <c r="L1212" s="10"/>
    </row>
    <row r="1213" spans="1:12">
      <c r="A1213" s="13">
        <v>221</v>
      </c>
      <c r="B1213" s="48">
        <v>3192</v>
      </c>
      <c r="C1213" s="13" t="s">
        <v>1973</v>
      </c>
      <c r="D1213" s="49">
        <v>260000</v>
      </c>
      <c r="E1213" s="51">
        <v>7.4999999999999997E-2</v>
      </c>
      <c r="F1213" s="42">
        <v>15</v>
      </c>
      <c r="G1213" s="50">
        <v>40792</v>
      </c>
      <c r="H1213" s="49">
        <v>1</v>
      </c>
      <c r="I1213" s="49">
        <f t="shared" si="37"/>
        <v>9750</v>
      </c>
      <c r="J1213" s="29">
        <f t="shared" si="38"/>
        <v>6499.9999999999991</v>
      </c>
      <c r="K1213" s="13" t="s">
        <v>1636</v>
      </c>
      <c r="L1213" s="10"/>
    </row>
    <row r="1214" spans="1:12">
      <c r="A1214" s="13"/>
      <c r="B1214" s="48"/>
      <c r="C1214" s="13"/>
      <c r="D1214" s="49">
        <v>255000</v>
      </c>
      <c r="E1214" s="51">
        <v>7.4999999999999997E-2</v>
      </c>
      <c r="F1214" s="42">
        <v>15</v>
      </c>
      <c r="G1214" s="50">
        <v>40807</v>
      </c>
      <c r="H1214" s="49">
        <v>1</v>
      </c>
      <c r="I1214" s="49">
        <f t="shared" si="37"/>
        <v>9562.5</v>
      </c>
      <c r="J1214" s="29">
        <f t="shared" si="38"/>
        <v>6374.9999999999991</v>
      </c>
      <c r="K1214" s="13"/>
      <c r="L1214" s="10"/>
    </row>
    <row r="1215" spans="1:12">
      <c r="A1215" s="13"/>
      <c r="B1215" s="48"/>
      <c r="C1215" s="13"/>
      <c r="D1215" s="49">
        <v>245000</v>
      </c>
      <c r="E1215" s="51">
        <v>7.4999999999999997E-2</v>
      </c>
      <c r="F1215" s="42">
        <v>15</v>
      </c>
      <c r="G1215" s="50">
        <v>40822</v>
      </c>
      <c r="H1215" s="49">
        <v>4</v>
      </c>
      <c r="I1215" s="49">
        <f t="shared" si="37"/>
        <v>36750</v>
      </c>
      <c r="J1215" s="29">
        <f t="shared" si="38"/>
        <v>24499.999999999996</v>
      </c>
      <c r="K1215" s="13"/>
      <c r="L1215" s="10"/>
    </row>
    <row r="1216" spans="1:12">
      <c r="A1216" s="13"/>
      <c r="B1216" s="48"/>
      <c r="C1216" s="13"/>
      <c r="D1216" s="49">
        <v>230000</v>
      </c>
      <c r="E1216" s="51">
        <v>7.4999999999999997E-2</v>
      </c>
      <c r="F1216" s="42">
        <v>15</v>
      </c>
      <c r="G1216" s="50">
        <v>40882</v>
      </c>
      <c r="H1216" s="49">
        <v>6</v>
      </c>
      <c r="I1216" s="49">
        <f t="shared" si="37"/>
        <v>51750</v>
      </c>
      <c r="J1216" s="29">
        <f t="shared" si="38"/>
        <v>34499.999999999993</v>
      </c>
      <c r="K1216" s="13"/>
      <c r="L1216" s="10"/>
    </row>
    <row r="1217" spans="1:12">
      <c r="A1217" s="13"/>
      <c r="B1217" s="48"/>
      <c r="C1217" s="13"/>
      <c r="D1217" s="49">
        <v>50000</v>
      </c>
      <c r="E1217" s="51">
        <v>7.4999999999999997E-2</v>
      </c>
      <c r="F1217" s="42">
        <v>15</v>
      </c>
      <c r="G1217" s="50">
        <v>40973</v>
      </c>
      <c r="H1217" s="49">
        <v>2</v>
      </c>
      <c r="I1217" s="49">
        <f t="shared" si="37"/>
        <v>3750</v>
      </c>
      <c r="J1217" s="29">
        <f t="shared" si="38"/>
        <v>2500</v>
      </c>
      <c r="K1217" s="13"/>
      <c r="L1217" s="10"/>
    </row>
    <row r="1218" spans="1:12">
      <c r="A1218" s="13"/>
      <c r="B1218" s="48"/>
      <c r="C1218" s="13"/>
      <c r="D1218" s="49">
        <v>20000</v>
      </c>
      <c r="E1218" s="51">
        <v>7.4999999999999997E-2</v>
      </c>
      <c r="F1218" s="42">
        <v>15</v>
      </c>
      <c r="G1218" s="50">
        <v>40987</v>
      </c>
      <c r="H1218" s="49">
        <v>6</v>
      </c>
      <c r="I1218" s="49">
        <f t="shared" si="37"/>
        <v>4500</v>
      </c>
      <c r="J1218" s="29">
        <f t="shared" si="38"/>
        <v>2999.9999999999995</v>
      </c>
      <c r="K1218" s="13"/>
      <c r="L1218" s="10"/>
    </row>
    <row r="1219" spans="1:12">
      <c r="A1219" s="13"/>
      <c r="B1219" s="48"/>
      <c r="C1219" s="13"/>
      <c r="D1219" s="49">
        <v>10000</v>
      </c>
      <c r="E1219" s="51">
        <v>7.4999999999999997E-2</v>
      </c>
      <c r="F1219" s="42">
        <v>15</v>
      </c>
      <c r="G1219" s="50">
        <v>41045</v>
      </c>
      <c r="H1219" s="49">
        <v>2</v>
      </c>
      <c r="I1219" s="49">
        <f t="shared" si="37"/>
        <v>750</v>
      </c>
      <c r="J1219" s="29">
        <f t="shared" si="38"/>
        <v>499.99999999999994</v>
      </c>
      <c r="K1219" s="13"/>
      <c r="L1219" s="10"/>
    </row>
    <row r="1220" spans="1:12">
      <c r="A1220" s="13"/>
      <c r="B1220" s="48"/>
      <c r="C1220" s="13"/>
      <c r="D1220" s="49">
        <v>10000</v>
      </c>
      <c r="E1220" s="51">
        <v>7.4999999999999997E-2</v>
      </c>
      <c r="F1220" s="42">
        <v>15</v>
      </c>
      <c r="G1220" s="50">
        <v>41045</v>
      </c>
      <c r="H1220" s="49">
        <v>2</v>
      </c>
      <c r="I1220" s="49">
        <f t="shared" ref="I1220:I1283" si="39">IF(F1220="分期",D1220*E1220*2.5*H1220/10,D1220*E1220*F1220*H1220/30)</f>
        <v>750</v>
      </c>
      <c r="J1220" s="29">
        <f t="shared" si="38"/>
        <v>499.99999999999994</v>
      </c>
      <c r="K1220" s="13"/>
      <c r="L1220" s="10"/>
    </row>
    <row r="1221" spans="1:12">
      <c r="A1221" s="13"/>
      <c r="B1221" s="48"/>
      <c r="C1221" s="13"/>
      <c r="D1221" s="49">
        <v>20000</v>
      </c>
      <c r="E1221" s="51">
        <v>7.4999999999999997E-2</v>
      </c>
      <c r="F1221" s="42">
        <v>15</v>
      </c>
      <c r="G1221" s="50">
        <v>41075</v>
      </c>
      <c r="H1221" s="49">
        <v>1</v>
      </c>
      <c r="I1221" s="49">
        <f t="shared" si="39"/>
        <v>750</v>
      </c>
      <c r="J1221" s="29">
        <f t="shared" si="38"/>
        <v>499.99999999999994</v>
      </c>
      <c r="K1221" s="13"/>
      <c r="L1221" s="10"/>
    </row>
    <row r="1222" spans="1:12">
      <c r="A1222" s="13"/>
      <c r="B1222" s="48"/>
      <c r="C1222" s="13"/>
      <c r="D1222" s="49">
        <v>20000</v>
      </c>
      <c r="E1222" s="51">
        <v>7.4999999999999997E-2</v>
      </c>
      <c r="F1222" s="42">
        <v>15</v>
      </c>
      <c r="G1222" s="50">
        <v>41075</v>
      </c>
      <c r="H1222" s="49">
        <v>1</v>
      </c>
      <c r="I1222" s="49">
        <f t="shared" si="39"/>
        <v>750</v>
      </c>
      <c r="J1222" s="29">
        <f t="shared" si="38"/>
        <v>499.99999999999994</v>
      </c>
      <c r="K1222" s="13"/>
      <c r="L1222" s="10"/>
    </row>
    <row r="1223" spans="1:12">
      <c r="A1223" s="13"/>
      <c r="B1223" s="48"/>
      <c r="C1223" s="13"/>
      <c r="D1223" s="49">
        <v>40000</v>
      </c>
      <c r="E1223" s="51">
        <v>7.4999999999999997E-2</v>
      </c>
      <c r="F1223" s="42">
        <v>15</v>
      </c>
      <c r="G1223" s="50">
        <v>41097</v>
      </c>
      <c r="H1223" s="49">
        <v>13</v>
      </c>
      <c r="I1223" s="49">
        <f t="shared" si="39"/>
        <v>19500</v>
      </c>
      <c r="J1223" s="29">
        <f t="shared" si="38"/>
        <v>12999.999999999998</v>
      </c>
      <c r="K1223" s="13"/>
      <c r="L1223" s="10"/>
    </row>
    <row r="1224" spans="1:12">
      <c r="A1224" s="13">
        <v>222</v>
      </c>
      <c r="B1224" s="48">
        <v>3196</v>
      </c>
      <c r="C1224" s="13" t="s">
        <v>3485</v>
      </c>
      <c r="D1224" s="49">
        <v>15000</v>
      </c>
      <c r="E1224" s="51">
        <v>7.4999999999999997E-2</v>
      </c>
      <c r="F1224" s="42">
        <v>15</v>
      </c>
      <c r="G1224" s="50">
        <v>40797</v>
      </c>
      <c r="H1224" s="49">
        <v>33</v>
      </c>
      <c r="I1224" s="49">
        <f t="shared" si="39"/>
        <v>18562.5</v>
      </c>
      <c r="J1224" s="29">
        <f t="shared" si="38"/>
        <v>12374.999999999998</v>
      </c>
      <c r="K1224" s="13" t="s">
        <v>1637</v>
      </c>
      <c r="L1224" s="10"/>
    </row>
    <row r="1225" spans="1:12">
      <c r="A1225" s="13">
        <v>223</v>
      </c>
      <c r="B1225" s="48">
        <v>3198</v>
      </c>
      <c r="C1225" s="13" t="s">
        <v>279</v>
      </c>
      <c r="D1225" s="49">
        <v>20000</v>
      </c>
      <c r="E1225" s="51">
        <v>7.0000000000000007E-2</v>
      </c>
      <c r="F1225" s="42" t="s">
        <v>4036</v>
      </c>
      <c r="G1225" s="50">
        <v>40759</v>
      </c>
      <c r="H1225" s="49">
        <v>10</v>
      </c>
      <c r="I1225" s="49">
        <f t="shared" si="39"/>
        <v>3500.0000000000009</v>
      </c>
      <c r="J1225" s="29">
        <f t="shared" si="38"/>
        <v>2250.0000000000005</v>
      </c>
      <c r="K1225" s="13" t="s">
        <v>1638</v>
      </c>
      <c r="L1225" s="10"/>
    </row>
    <row r="1226" spans="1:12">
      <c r="A1226" s="13"/>
      <c r="B1226" s="48"/>
      <c r="C1226" s="13"/>
      <c r="D1226" s="49">
        <v>100000</v>
      </c>
      <c r="E1226" s="51">
        <v>7.4999999999999997E-2</v>
      </c>
      <c r="F1226" s="42">
        <v>15</v>
      </c>
      <c r="G1226" s="50">
        <v>40797</v>
      </c>
      <c r="H1226" s="49">
        <v>7</v>
      </c>
      <c r="I1226" s="49">
        <f t="shared" si="39"/>
        <v>26250</v>
      </c>
      <c r="J1226" s="29">
        <f t="shared" si="38"/>
        <v>17500</v>
      </c>
      <c r="K1226" s="13"/>
      <c r="L1226" s="10"/>
    </row>
    <row r="1227" spans="1:12">
      <c r="A1227" s="13">
        <v>224</v>
      </c>
      <c r="B1227" s="48">
        <v>3208</v>
      </c>
      <c r="C1227" s="13" t="s">
        <v>1143</v>
      </c>
      <c r="D1227" s="49">
        <v>30000</v>
      </c>
      <c r="E1227" s="51">
        <v>7.4999999999999997E-2</v>
      </c>
      <c r="F1227" s="42">
        <v>15</v>
      </c>
      <c r="G1227" s="50">
        <v>40796</v>
      </c>
      <c r="H1227" s="62">
        <v>34</v>
      </c>
      <c r="I1227" s="49">
        <f t="shared" si="39"/>
        <v>38250</v>
      </c>
      <c r="J1227" s="29">
        <f t="shared" si="38"/>
        <v>25499.999999999996</v>
      </c>
      <c r="K1227" s="13" t="s">
        <v>1639</v>
      </c>
      <c r="L1227" s="10" t="s">
        <v>1508</v>
      </c>
    </row>
    <row r="1228" spans="1:12">
      <c r="A1228" s="13">
        <v>225</v>
      </c>
      <c r="B1228" s="48">
        <v>3210</v>
      </c>
      <c r="C1228" s="13" t="s">
        <v>1831</v>
      </c>
      <c r="D1228" s="49">
        <v>20000</v>
      </c>
      <c r="E1228" s="51">
        <v>7.4999999999999997E-2</v>
      </c>
      <c r="F1228" s="42">
        <v>15</v>
      </c>
      <c r="G1228" s="50">
        <v>40797</v>
      </c>
      <c r="H1228" s="49">
        <v>23</v>
      </c>
      <c r="I1228" s="49">
        <f t="shared" si="39"/>
        <v>17250</v>
      </c>
      <c r="J1228" s="29">
        <f t="shared" si="38"/>
        <v>11499.999999999998</v>
      </c>
      <c r="K1228" s="13" t="s">
        <v>1640</v>
      </c>
      <c r="L1228" s="10"/>
    </row>
    <row r="1229" spans="1:12">
      <c r="A1229" s="13"/>
      <c r="B1229" s="48"/>
      <c r="C1229" s="13"/>
      <c r="D1229" s="49">
        <v>100000</v>
      </c>
      <c r="E1229" s="51">
        <v>7.4999999999999997E-2</v>
      </c>
      <c r="F1229" s="42">
        <v>15</v>
      </c>
      <c r="G1229" s="50">
        <v>40987</v>
      </c>
      <c r="H1229" s="49">
        <v>14</v>
      </c>
      <c r="I1229" s="49">
        <f t="shared" si="39"/>
        <v>52500</v>
      </c>
      <c r="J1229" s="29">
        <f t="shared" si="38"/>
        <v>35000</v>
      </c>
      <c r="K1229" s="13"/>
      <c r="L1229" s="10"/>
    </row>
    <row r="1230" spans="1:12">
      <c r="A1230" s="13"/>
      <c r="B1230" s="48"/>
      <c r="C1230" s="13"/>
      <c r="D1230" s="49">
        <v>10000</v>
      </c>
      <c r="E1230" s="51">
        <v>7.0000000000000007E-2</v>
      </c>
      <c r="F1230" s="42" t="s">
        <v>4036</v>
      </c>
      <c r="G1230" s="50">
        <v>41124</v>
      </c>
      <c r="H1230" s="49">
        <v>10</v>
      </c>
      <c r="I1230" s="49">
        <f t="shared" si="39"/>
        <v>1750.0000000000005</v>
      </c>
      <c r="J1230" s="29">
        <f t="shared" si="38"/>
        <v>1125.0000000000002</v>
      </c>
      <c r="K1230" s="13"/>
      <c r="L1230" s="10"/>
    </row>
    <row r="1231" spans="1:12">
      <c r="A1231" s="13"/>
      <c r="B1231" s="48"/>
      <c r="C1231" s="13"/>
      <c r="D1231" s="49">
        <v>10000</v>
      </c>
      <c r="E1231" s="51">
        <v>7.0000000000000007E-2</v>
      </c>
      <c r="F1231" s="42" t="s">
        <v>4036</v>
      </c>
      <c r="G1231" s="50">
        <v>41160</v>
      </c>
      <c r="H1231" s="49">
        <v>10</v>
      </c>
      <c r="I1231" s="49">
        <f t="shared" si="39"/>
        <v>1750.0000000000005</v>
      </c>
      <c r="J1231" s="29">
        <f t="shared" si="38"/>
        <v>1125.0000000000002</v>
      </c>
      <c r="K1231" s="13"/>
      <c r="L1231" s="10"/>
    </row>
    <row r="1232" spans="1:12">
      <c r="A1232" s="13"/>
      <c r="B1232" s="48"/>
      <c r="C1232" s="13"/>
      <c r="D1232" s="49">
        <v>30000</v>
      </c>
      <c r="E1232" s="51">
        <v>7.4999999999999997E-2</v>
      </c>
      <c r="F1232" s="42">
        <v>15</v>
      </c>
      <c r="G1232" s="50">
        <v>41172</v>
      </c>
      <c r="H1232" s="49">
        <v>5</v>
      </c>
      <c r="I1232" s="49">
        <f t="shared" si="39"/>
        <v>5625</v>
      </c>
      <c r="J1232" s="29">
        <f t="shared" si="38"/>
        <v>3749.9999999999995</v>
      </c>
      <c r="K1232" s="13"/>
      <c r="L1232" s="10"/>
    </row>
    <row r="1233" spans="1:12">
      <c r="A1233" s="13"/>
      <c r="B1233" s="48"/>
      <c r="C1233" s="13"/>
      <c r="D1233" s="49">
        <v>20000</v>
      </c>
      <c r="E1233" s="51">
        <v>7.4999999999999997E-2</v>
      </c>
      <c r="F1233" s="42">
        <v>15</v>
      </c>
      <c r="G1233" s="50">
        <v>41194</v>
      </c>
      <c r="H1233" s="49">
        <v>8</v>
      </c>
      <c r="I1233" s="49">
        <f t="shared" si="39"/>
        <v>6000</v>
      </c>
      <c r="J1233" s="29">
        <f t="shared" si="38"/>
        <v>3999.9999999999995</v>
      </c>
      <c r="K1233" s="13"/>
      <c r="L1233" s="10"/>
    </row>
    <row r="1234" spans="1:12">
      <c r="A1234" s="13"/>
      <c r="B1234" s="48"/>
      <c r="C1234" s="13"/>
      <c r="D1234" s="49">
        <v>10000</v>
      </c>
      <c r="E1234" s="51">
        <v>7.0000000000000007E-2</v>
      </c>
      <c r="F1234" s="42" t="s">
        <v>4036</v>
      </c>
      <c r="G1234" s="50">
        <v>41218</v>
      </c>
      <c r="H1234" s="49">
        <v>10</v>
      </c>
      <c r="I1234" s="49">
        <f t="shared" si="39"/>
        <v>1750.0000000000005</v>
      </c>
      <c r="J1234" s="29">
        <f t="shared" si="38"/>
        <v>1125.0000000000002</v>
      </c>
      <c r="K1234" s="13"/>
      <c r="L1234" s="10"/>
    </row>
    <row r="1235" spans="1:12">
      <c r="A1235" s="13"/>
      <c r="B1235" s="48"/>
      <c r="C1235" s="13"/>
      <c r="D1235" s="49">
        <v>10000</v>
      </c>
      <c r="E1235" s="51">
        <v>7.0000000000000007E-2</v>
      </c>
      <c r="F1235" s="42" t="s">
        <v>4036</v>
      </c>
      <c r="G1235" s="50">
        <v>41236</v>
      </c>
      <c r="H1235" s="49">
        <v>7</v>
      </c>
      <c r="I1235" s="49">
        <f t="shared" si="39"/>
        <v>1225.0000000000002</v>
      </c>
      <c r="J1235" s="29">
        <f t="shared" si="38"/>
        <v>787.50000000000023</v>
      </c>
      <c r="K1235" s="13"/>
      <c r="L1235" s="10"/>
    </row>
    <row r="1236" spans="1:12">
      <c r="A1236" s="13"/>
      <c r="B1236" s="48"/>
      <c r="C1236" s="13"/>
      <c r="D1236" s="49">
        <v>30000</v>
      </c>
      <c r="E1236" s="51">
        <v>7.4999999999999997E-2</v>
      </c>
      <c r="F1236" s="42">
        <v>15</v>
      </c>
      <c r="G1236" s="50">
        <v>41247</v>
      </c>
      <c r="H1236" s="49">
        <v>4</v>
      </c>
      <c r="I1236" s="49">
        <f t="shared" si="39"/>
        <v>4500</v>
      </c>
      <c r="J1236" s="29">
        <f t="shared" si="38"/>
        <v>2999.9999999999995</v>
      </c>
      <c r="K1236" s="13"/>
      <c r="L1236" s="10"/>
    </row>
    <row r="1237" spans="1:12">
      <c r="A1237" s="13"/>
      <c r="B1237" s="48"/>
      <c r="C1237" s="13"/>
      <c r="D1237" s="49">
        <v>10000</v>
      </c>
      <c r="E1237" s="51">
        <v>7.0000000000000007E-2</v>
      </c>
      <c r="F1237" s="42" t="s">
        <v>4036</v>
      </c>
      <c r="G1237" s="50">
        <v>41276</v>
      </c>
      <c r="H1237" s="49">
        <v>2</v>
      </c>
      <c r="I1237" s="49">
        <f t="shared" si="39"/>
        <v>350.00000000000006</v>
      </c>
      <c r="J1237" s="29">
        <f t="shared" si="38"/>
        <v>225.00000000000006</v>
      </c>
      <c r="K1237" s="13"/>
      <c r="L1237" s="10"/>
    </row>
    <row r="1238" spans="1:12">
      <c r="A1238" s="13">
        <v>226</v>
      </c>
      <c r="B1238" s="48">
        <v>3214</v>
      </c>
      <c r="C1238" s="13" t="s">
        <v>4034</v>
      </c>
      <c r="D1238" s="49">
        <v>15000</v>
      </c>
      <c r="E1238" s="51">
        <v>7.4999999999999997E-2</v>
      </c>
      <c r="F1238" s="42">
        <v>15</v>
      </c>
      <c r="G1238" s="50">
        <v>40793</v>
      </c>
      <c r="H1238" s="49">
        <v>26</v>
      </c>
      <c r="I1238" s="49">
        <f t="shared" si="39"/>
        <v>14625</v>
      </c>
      <c r="J1238" s="29">
        <f t="shared" si="38"/>
        <v>9749.9999999999982</v>
      </c>
      <c r="K1238" s="13" t="s">
        <v>1641</v>
      </c>
      <c r="L1238" s="10"/>
    </row>
    <row r="1239" spans="1:12">
      <c r="A1239" s="13">
        <v>227</v>
      </c>
      <c r="B1239" s="48">
        <v>3220</v>
      </c>
      <c r="C1239" s="13" t="s">
        <v>1054</v>
      </c>
      <c r="D1239" s="49">
        <v>90000</v>
      </c>
      <c r="E1239" s="51">
        <v>7.4999999999999997E-2</v>
      </c>
      <c r="F1239" s="42">
        <v>15</v>
      </c>
      <c r="G1239" s="50">
        <v>40619</v>
      </c>
      <c r="H1239" s="49">
        <v>11</v>
      </c>
      <c r="I1239" s="49">
        <f t="shared" si="39"/>
        <v>37125</v>
      </c>
      <c r="J1239" s="29">
        <f t="shared" si="38"/>
        <v>24750</v>
      </c>
      <c r="K1239" s="13" t="s">
        <v>1642</v>
      </c>
      <c r="L1239" s="10"/>
    </row>
    <row r="1240" spans="1:12">
      <c r="A1240" s="13"/>
      <c r="B1240" s="48"/>
      <c r="C1240" s="13"/>
      <c r="D1240" s="49">
        <v>10000</v>
      </c>
      <c r="E1240" s="51">
        <v>7.0000000000000007E-2</v>
      </c>
      <c r="F1240" s="42" t="s">
        <v>4036</v>
      </c>
      <c r="G1240" s="50">
        <v>40807</v>
      </c>
      <c r="H1240" s="49">
        <v>10</v>
      </c>
      <c r="I1240" s="49">
        <f t="shared" si="39"/>
        <v>1750.0000000000005</v>
      </c>
      <c r="J1240" s="29">
        <f t="shared" si="38"/>
        <v>1125.0000000000002</v>
      </c>
      <c r="K1240" s="13"/>
      <c r="L1240" s="10"/>
    </row>
    <row r="1241" spans="1:12">
      <c r="A1241" s="13"/>
      <c r="B1241" s="48"/>
      <c r="C1241" s="13"/>
      <c r="D1241" s="49">
        <v>10000</v>
      </c>
      <c r="E1241" s="51">
        <v>7.0000000000000007E-2</v>
      </c>
      <c r="F1241" s="42" t="s">
        <v>4036</v>
      </c>
      <c r="G1241" s="50">
        <v>40855</v>
      </c>
      <c r="H1241" s="49">
        <v>10</v>
      </c>
      <c r="I1241" s="49">
        <f t="shared" si="39"/>
        <v>1750.0000000000005</v>
      </c>
      <c r="J1241" s="29">
        <f t="shared" si="38"/>
        <v>1125.0000000000002</v>
      </c>
      <c r="K1241" s="13"/>
      <c r="L1241" s="10"/>
    </row>
    <row r="1242" spans="1:12">
      <c r="A1242" s="13"/>
      <c r="B1242" s="48"/>
      <c r="C1242" s="13"/>
      <c r="D1242" s="49">
        <v>10000</v>
      </c>
      <c r="E1242" s="51">
        <v>7.0000000000000007E-2</v>
      </c>
      <c r="F1242" s="42" t="s">
        <v>4036</v>
      </c>
      <c r="G1242" s="50">
        <v>40883</v>
      </c>
      <c r="H1242" s="49">
        <v>10</v>
      </c>
      <c r="I1242" s="49">
        <f t="shared" si="39"/>
        <v>1750.0000000000005</v>
      </c>
      <c r="J1242" s="29">
        <f t="shared" si="38"/>
        <v>1125.0000000000002</v>
      </c>
      <c r="K1242" s="13"/>
      <c r="L1242" s="10"/>
    </row>
    <row r="1243" spans="1:12">
      <c r="A1243" s="13"/>
      <c r="B1243" s="48"/>
      <c r="C1243" s="13"/>
      <c r="D1243" s="49">
        <v>10000</v>
      </c>
      <c r="E1243" s="51">
        <v>7.0000000000000007E-2</v>
      </c>
      <c r="F1243" s="42" t="s">
        <v>4036</v>
      </c>
      <c r="G1243" s="50">
        <v>40925</v>
      </c>
      <c r="H1243" s="49">
        <v>10</v>
      </c>
      <c r="I1243" s="49">
        <f t="shared" si="39"/>
        <v>1750.0000000000005</v>
      </c>
      <c r="J1243" s="29">
        <f t="shared" si="38"/>
        <v>1125.0000000000002</v>
      </c>
      <c r="K1243" s="13"/>
      <c r="L1243" s="10"/>
    </row>
    <row r="1244" spans="1:12">
      <c r="A1244" s="13"/>
      <c r="B1244" s="48"/>
      <c r="C1244" s="13"/>
      <c r="D1244" s="49">
        <v>10000</v>
      </c>
      <c r="E1244" s="51">
        <v>7.0000000000000007E-2</v>
      </c>
      <c r="F1244" s="42" t="s">
        <v>4036</v>
      </c>
      <c r="G1244" s="50">
        <v>40973</v>
      </c>
      <c r="H1244" s="49">
        <v>10</v>
      </c>
      <c r="I1244" s="49">
        <f t="shared" si="39"/>
        <v>1750.0000000000005</v>
      </c>
      <c r="J1244" s="29">
        <f t="shared" si="38"/>
        <v>1125.0000000000002</v>
      </c>
      <c r="K1244" s="13"/>
      <c r="L1244" s="10"/>
    </row>
    <row r="1245" spans="1:12">
      <c r="A1245" s="13"/>
      <c r="B1245" s="48"/>
      <c r="C1245" s="13"/>
      <c r="D1245" s="49">
        <v>40000</v>
      </c>
      <c r="E1245" s="51">
        <v>7.4999999999999997E-2</v>
      </c>
      <c r="F1245" s="42">
        <v>15</v>
      </c>
      <c r="G1245" s="50">
        <v>40975</v>
      </c>
      <c r="H1245" s="49">
        <v>1</v>
      </c>
      <c r="I1245" s="49">
        <f t="shared" si="39"/>
        <v>1500</v>
      </c>
      <c r="J1245" s="29">
        <f t="shared" si="38"/>
        <v>999.99999999999989</v>
      </c>
      <c r="K1245" s="13"/>
      <c r="L1245" s="10"/>
    </row>
    <row r="1246" spans="1:12">
      <c r="A1246" s="13"/>
      <c r="B1246" s="48"/>
      <c r="C1246" s="13"/>
      <c r="D1246" s="49">
        <v>50000</v>
      </c>
      <c r="E1246" s="51">
        <v>7.4999999999999997E-2</v>
      </c>
      <c r="F1246" s="42">
        <v>15</v>
      </c>
      <c r="G1246" s="50">
        <v>40985</v>
      </c>
      <c r="H1246" s="49">
        <v>1</v>
      </c>
      <c r="I1246" s="49">
        <f t="shared" si="39"/>
        <v>1875</v>
      </c>
      <c r="J1246" s="29">
        <f t="shared" si="38"/>
        <v>1250</v>
      </c>
      <c r="K1246" s="13"/>
      <c r="L1246" s="10"/>
    </row>
    <row r="1247" spans="1:12">
      <c r="A1247" s="13"/>
      <c r="B1247" s="48"/>
      <c r="C1247" s="13"/>
      <c r="D1247" s="49">
        <v>60000</v>
      </c>
      <c r="E1247" s="51">
        <v>7.4999999999999997E-2</v>
      </c>
      <c r="F1247" s="42">
        <v>15</v>
      </c>
      <c r="G1247" s="50">
        <v>40997</v>
      </c>
      <c r="H1247" s="49">
        <v>3</v>
      </c>
      <c r="I1247" s="49">
        <f t="shared" si="39"/>
        <v>6750</v>
      </c>
      <c r="J1247" s="29">
        <f t="shared" si="38"/>
        <v>4499.9999999999991</v>
      </c>
      <c r="K1247" s="13"/>
      <c r="L1247" s="10"/>
    </row>
    <row r="1248" spans="1:12">
      <c r="A1248" s="13"/>
      <c r="B1248" s="48"/>
      <c r="C1248" s="13"/>
      <c r="D1248" s="49">
        <v>10000</v>
      </c>
      <c r="E1248" s="51">
        <v>7.0000000000000007E-2</v>
      </c>
      <c r="F1248" s="42" t="s">
        <v>4036</v>
      </c>
      <c r="G1248" s="50">
        <v>41009</v>
      </c>
      <c r="H1248" s="49">
        <v>10</v>
      </c>
      <c r="I1248" s="49">
        <f t="shared" si="39"/>
        <v>1750.0000000000005</v>
      </c>
      <c r="J1248" s="29">
        <f t="shared" si="38"/>
        <v>1125.0000000000002</v>
      </c>
      <c r="K1248" s="13"/>
      <c r="L1248" s="10"/>
    </row>
    <row r="1249" spans="1:12">
      <c r="A1249" s="13"/>
      <c r="B1249" s="48"/>
      <c r="C1249" s="13"/>
      <c r="D1249" s="49">
        <v>90000</v>
      </c>
      <c r="E1249" s="51">
        <v>7.4999999999999997E-2</v>
      </c>
      <c r="F1249" s="42">
        <v>15</v>
      </c>
      <c r="G1249" s="50">
        <v>41042</v>
      </c>
      <c r="H1249" s="49">
        <v>8</v>
      </c>
      <c r="I1249" s="49">
        <f t="shared" si="39"/>
        <v>27000</v>
      </c>
      <c r="J1249" s="29">
        <f t="shared" si="38"/>
        <v>18000</v>
      </c>
      <c r="K1249" s="13"/>
      <c r="L1249" s="10"/>
    </row>
    <row r="1250" spans="1:12">
      <c r="A1250" s="13"/>
      <c r="B1250" s="48"/>
      <c r="C1250" s="13"/>
      <c r="D1250" s="49">
        <v>10000</v>
      </c>
      <c r="E1250" s="51">
        <v>7.0000000000000007E-2</v>
      </c>
      <c r="F1250" s="42" t="s">
        <v>4036</v>
      </c>
      <c r="G1250" s="50">
        <v>41058</v>
      </c>
      <c r="H1250" s="49">
        <v>10</v>
      </c>
      <c r="I1250" s="49">
        <f t="shared" si="39"/>
        <v>1750.0000000000005</v>
      </c>
      <c r="J1250" s="29">
        <f t="shared" si="38"/>
        <v>1125.0000000000002</v>
      </c>
      <c r="K1250" s="13"/>
      <c r="L1250" s="10"/>
    </row>
    <row r="1251" spans="1:12">
      <c r="A1251" s="13"/>
      <c r="B1251" s="48"/>
      <c r="C1251" s="13"/>
      <c r="D1251" s="49">
        <v>10000</v>
      </c>
      <c r="E1251" s="51">
        <v>7.0000000000000007E-2</v>
      </c>
      <c r="F1251" s="42" t="s">
        <v>4036</v>
      </c>
      <c r="G1251" s="50">
        <v>41107</v>
      </c>
      <c r="H1251" s="49">
        <v>10</v>
      </c>
      <c r="I1251" s="49">
        <f t="shared" si="39"/>
        <v>1750.0000000000005</v>
      </c>
      <c r="J1251" s="29">
        <f t="shared" ref="J1251:J1314" si="40">IF(F1251="分期",D1251*(E1251-0.025)*2.5*H1251/10,D1251*(E1251-0.025)*F1251/30*H1251)</f>
        <v>1125.0000000000002</v>
      </c>
      <c r="K1251" s="13"/>
      <c r="L1251" s="10"/>
    </row>
    <row r="1252" spans="1:12">
      <c r="A1252" s="13">
        <v>228</v>
      </c>
      <c r="B1252" s="48">
        <v>3230</v>
      </c>
      <c r="C1252" s="13" t="s">
        <v>1168</v>
      </c>
      <c r="D1252" s="49">
        <v>15000</v>
      </c>
      <c r="E1252" s="51">
        <v>7.4999999999999997E-2</v>
      </c>
      <c r="F1252" s="42">
        <v>15</v>
      </c>
      <c r="G1252" s="50">
        <v>40803</v>
      </c>
      <c r="H1252" s="49">
        <v>10</v>
      </c>
      <c r="I1252" s="49">
        <f t="shared" si="39"/>
        <v>5625</v>
      </c>
      <c r="J1252" s="29">
        <f t="shared" si="40"/>
        <v>3749.9999999999995</v>
      </c>
      <c r="K1252" s="13" t="s">
        <v>1643</v>
      </c>
      <c r="L1252" s="10"/>
    </row>
    <row r="1253" spans="1:12" ht="32.4">
      <c r="A1253" s="13">
        <v>229</v>
      </c>
      <c r="B1253" s="48">
        <v>3232</v>
      </c>
      <c r="C1253" s="13" t="s">
        <v>2031</v>
      </c>
      <c r="D1253" s="49">
        <v>110000</v>
      </c>
      <c r="E1253" s="51">
        <v>7.4999999999999997E-2</v>
      </c>
      <c r="F1253" s="42">
        <v>15</v>
      </c>
      <c r="G1253" s="50">
        <v>40805</v>
      </c>
      <c r="H1253" s="49">
        <v>17</v>
      </c>
      <c r="I1253" s="49">
        <f t="shared" si="39"/>
        <v>70125</v>
      </c>
      <c r="J1253" s="29">
        <f t="shared" si="40"/>
        <v>46749.999999999993</v>
      </c>
      <c r="K1253" s="13" t="s">
        <v>1644</v>
      </c>
      <c r="L1253" s="10" t="s">
        <v>2030</v>
      </c>
    </row>
    <row r="1254" spans="1:12">
      <c r="A1254" s="13">
        <v>230</v>
      </c>
      <c r="B1254" s="48">
        <v>3234</v>
      </c>
      <c r="C1254" s="13" t="s">
        <v>1052</v>
      </c>
      <c r="D1254" s="49">
        <v>50000</v>
      </c>
      <c r="E1254" s="51">
        <v>7.0000000000000007E-2</v>
      </c>
      <c r="F1254" s="42" t="s">
        <v>4036</v>
      </c>
      <c r="G1254" s="50">
        <v>40645</v>
      </c>
      <c r="H1254" s="49">
        <v>7</v>
      </c>
      <c r="I1254" s="49">
        <f t="shared" si="39"/>
        <v>6125.0000000000018</v>
      </c>
      <c r="J1254" s="29">
        <f t="shared" si="40"/>
        <v>3937.5000000000009</v>
      </c>
      <c r="K1254" s="13" t="s">
        <v>1645</v>
      </c>
      <c r="L1254" s="10"/>
    </row>
    <row r="1255" spans="1:12">
      <c r="A1255" s="13"/>
      <c r="B1255" s="48"/>
      <c r="C1255" s="13"/>
      <c r="D1255" s="49">
        <v>100000</v>
      </c>
      <c r="E1255" s="51">
        <v>7.0000000000000007E-2</v>
      </c>
      <c r="F1255" s="42" t="s">
        <v>4036</v>
      </c>
      <c r="G1255" s="50">
        <v>40645</v>
      </c>
      <c r="H1255" s="49">
        <v>7</v>
      </c>
      <c r="I1255" s="49">
        <f t="shared" si="39"/>
        <v>12250.000000000004</v>
      </c>
      <c r="J1255" s="29">
        <f t="shared" si="40"/>
        <v>7875.0000000000018</v>
      </c>
      <c r="K1255" s="13"/>
      <c r="L1255" s="10"/>
    </row>
    <row r="1256" spans="1:12">
      <c r="A1256" s="13"/>
      <c r="B1256" s="48"/>
      <c r="C1256" s="13"/>
      <c r="D1256" s="49">
        <v>40000</v>
      </c>
      <c r="E1256" s="51">
        <v>7.0000000000000007E-2</v>
      </c>
      <c r="F1256" s="42" t="s">
        <v>4036</v>
      </c>
      <c r="G1256" s="50">
        <v>40656</v>
      </c>
      <c r="H1256" s="49">
        <v>6</v>
      </c>
      <c r="I1256" s="49">
        <f t="shared" si="39"/>
        <v>4200.0000000000009</v>
      </c>
      <c r="J1256" s="29">
        <f t="shared" si="40"/>
        <v>2700.0000000000009</v>
      </c>
      <c r="K1256" s="13"/>
      <c r="L1256" s="10"/>
    </row>
    <row r="1257" spans="1:12">
      <c r="A1257" s="13"/>
      <c r="B1257" s="48"/>
      <c r="C1257" s="13"/>
      <c r="D1257" s="49">
        <v>10000</v>
      </c>
      <c r="E1257" s="51">
        <v>7.0000000000000007E-2</v>
      </c>
      <c r="F1257" s="42" t="s">
        <v>4036</v>
      </c>
      <c r="G1257" s="50">
        <v>40772</v>
      </c>
      <c r="H1257" s="49">
        <v>10</v>
      </c>
      <c r="I1257" s="49">
        <f t="shared" si="39"/>
        <v>1750.0000000000005</v>
      </c>
      <c r="J1257" s="29">
        <f t="shared" si="40"/>
        <v>1125.0000000000002</v>
      </c>
      <c r="K1257" s="13"/>
      <c r="L1257" s="10"/>
    </row>
    <row r="1258" spans="1:12">
      <c r="A1258" s="13"/>
      <c r="B1258" s="48"/>
      <c r="C1258" s="13"/>
      <c r="D1258" s="49">
        <v>90000</v>
      </c>
      <c r="E1258" s="51">
        <v>7.4999999999999997E-2</v>
      </c>
      <c r="F1258" s="42">
        <v>15</v>
      </c>
      <c r="G1258" s="50">
        <v>40808</v>
      </c>
      <c r="H1258" s="49">
        <v>14</v>
      </c>
      <c r="I1258" s="49">
        <f t="shared" si="39"/>
        <v>47250</v>
      </c>
      <c r="J1258" s="29">
        <f t="shared" si="40"/>
        <v>31500</v>
      </c>
      <c r="K1258" s="13"/>
      <c r="L1258" s="10"/>
    </row>
    <row r="1259" spans="1:12">
      <c r="A1259" s="13"/>
      <c r="B1259" s="48"/>
      <c r="C1259" s="13"/>
      <c r="D1259" s="49">
        <v>50000</v>
      </c>
      <c r="E1259" s="51">
        <v>7.4999999999999997E-2</v>
      </c>
      <c r="F1259" s="42">
        <v>15</v>
      </c>
      <c r="G1259" s="50">
        <v>40809</v>
      </c>
      <c r="H1259" s="49">
        <v>14</v>
      </c>
      <c r="I1259" s="49">
        <f t="shared" si="39"/>
        <v>26250</v>
      </c>
      <c r="J1259" s="29">
        <f t="shared" si="40"/>
        <v>17500</v>
      </c>
      <c r="K1259" s="13"/>
      <c r="L1259" s="10"/>
    </row>
    <row r="1260" spans="1:12">
      <c r="A1260" s="13"/>
      <c r="B1260" s="48"/>
      <c r="C1260" s="13"/>
      <c r="D1260" s="49">
        <v>30000</v>
      </c>
      <c r="E1260" s="51">
        <v>7.0000000000000007E-2</v>
      </c>
      <c r="F1260" s="42" t="s">
        <v>4036</v>
      </c>
      <c r="G1260" s="50">
        <v>40840</v>
      </c>
      <c r="H1260" s="49">
        <v>10</v>
      </c>
      <c r="I1260" s="49">
        <f t="shared" si="39"/>
        <v>5250</v>
      </c>
      <c r="J1260" s="29">
        <f t="shared" si="40"/>
        <v>3375.0000000000009</v>
      </c>
      <c r="K1260" s="13"/>
      <c r="L1260" s="10"/>
    </row>
    <row r="1261" spans="1:12">
      <c r="A1261" s="13"/>
      <c r="B1261" s="48"/>
      <c r="C1261" s="13"/>
      <c r="D1261" s="49">
        <v>50000</v>
      </c>
      <c r="E1261" s="51">
        <v>7.0000000000000007E-2</v>
      </c>
      <c r="F1261" s="42" t="s">
        <v>4036</v>
      </c>
      <c r="G1261" s="50">
        <v>40841</v>
      </c>
      <c r="H1261" s="49">
        <v>10</v>
      </c>
      <c r="I1261" s="49">
        <f t="shared" si="39"/>
        <v>8750.0000000000018</v>
      </c>
      <c r="J1261" s="29">
        <f t="shared" si="40"/>
        <v>5625.0000000000009</v>
      </c>
      <c r="K1261" s="13"/>
      <c r="L1261" s="10"/>
    </row>
    <row r="1262" spans="1:12">
      <c r="A1262" s="13"/>
      <c r="B1262" s="48"/>
      <c r="C1262" s="13"/>
      <c r="D1262" s="49">
        <v>40000</v>
      </c>
      <c r="E1262" s="51">
        <v>7.4999999999999997E-2</v>
      </c>
      <c r="F1262" s="42">
        <v>15</v>
      </c>
      <c r="G1262" s="50">
        <v>40849</v>
      </c>
      <c r="H1262" s="49">
        <v>12</v>
      </c>
      <c r="I1262" s="49">
        <f t="shared" si="39"/>
        <v>18000</v>
      </c>
      <c r="J1262" s="29">
        <f t="shared" si="40"/>
        <v>11999.999999999998</v>
      </c>
      <c r="K1262" s="13"/>
      <c r="L1262" s="10"/>
    </row>
    <row r="1263" spans="1:12">
      <c r="A1263" s="13"/>
      <c r="B1263" s="48"/>
      <c r="C1263" s="13"/>
      <c r="D1263" s="49">
        <v>10000</v>
      </c>
      <c r="E1263" s="51">
        <v>7.0000000000000007E-2</v>
      </c>
      <c r="F1263" s="42" t="s">
        <v>4036</v>
      </c>
      <c r="G1263" s="50">
        <v>40878</v>
      </c>
      <c r="H1263" s="49">
        <v>10</v>
      </c>
      <c r="I1263" s="49">
        <f t="shared" si="39"/>
        <v>1750.0000000000005</v>
      </c>
      <c r="J1263" s="29">
        <f t="shared" si="40"/>
        <v>1125.0000000000002</v>
      </c>
      <c r="K1263" s="13"/>
      <c r="L1263" s="10"/>
    </row>
    <row r="1264" spans="1:12">
      <c r="A1264" s="13"/>
      <c r="B1264" s="48"/>
      <c r="C1264" s="13"/>
      <c r="D1264" s="49">
        <v>100000</v>
      </c>
      <c r="E1264" s="51">
        <v>7.4999999999999997E-2</v>
      </c>
      <c r="F1264" s="42">
        <v>15</v>
      </c>
      <c r="G1264" s="50">
        <v>40898</v>
      </c>
      <c r="H1264" s="49">
        <v>8</v>
      </c>
      <c r="I1264" s="49">
        <f t="shared" si="39"/>
        <v>30000</v>
      </c>
      <c r="J1264" s="29">
        <f t="shared" si="40"/>
        <v>20000</v>
      </c>
      <c r="K1264" s="13"/>
      <c r="L1264" s="10"/>
    </row>
    <row r="1265" spans="1:12">
      <c r="A1265" s="13">
        <v>231</v>
      </c>
      <c r="B1265" s="48">
        <v>3236</v>
      </c>
      <c r="C1265" s="13" t="s">
        <v>1415</v>
      </c>
      <c r="D1265" s="49">
        <v>15000</v>
      </c>
      <c r="E1265" s="51">
        <v>7.0000000000000007E-2</v>
      </c>
      <c r="F1265" s="42" t="s">
        <v>4036</v>
      </c>
      <c r="G1265" s="50">
        <v>40730</v>
      </c>
      <c r="H1265" s="49">
        <v>4</v>
      </c>
      <c r="I1265" s="49">
        <f t="shared" si="39"/>
        <v>1050</v>
      </c>
      <c r="J1265" s="29">
        <f t="shared" si="40"/>
        <v>675.00000000000011</v>
      </c>
      <c r="K1265" s="13" t="s">
        <v>1646</v>
      </c>
      <c r="L1265" s="10"/>
    </row>
    <row r="1266" spans="1:12">
      <c r="A1266" s="13"/>
      <c r="B1266" s="48"/>
      <c r="C1266" s="13"/>
      <c r="D1266" s="49">
        <v>30000</v>
      </c>
      <c r="E1266" s="51">
        <v>7.4999999999999997E-2</v>
      </c>
      <c r="F1266" s="42">
        <v>15</v>
      </c>
      <c r="G1266" s="50">
        <v>40761</v>
      </c>
      <c r="H1266" s="49">
        <v>1</v>
      </c>
      <c r="I1266" s="49">
        <f t="shared" si="39"/>
        <v>1125</v>
      </c>
      <c r="J1266" s="29">
        <f t="shared" si="40"/>
        <v>749.99999999999989</v>
      </c>
      <c r="K1266" s="13"/>
      <c r="L1266" s="10"/>
    </row>
    <row r="1267" spans="1:12">
      <c r="A1267" s="13">
        <v>232</v>
      </c>
      <c r="B1267" s="48">
        <v>3238</v>
      </c>
      <c r="C1267" s="13" t="s">
        <v>1174</v>
      </c>
      <c r="D1267" s="49">
        <v>120000</v>
      </c>
      <c r="E1267" s="51">
        <v>7.4999999999999997E-2</v>
      </c>
      <c r="F1267" s="42">
        <v>15</v>
      </c>
      <c r="G1267" s="50">
        <v>40814</v>
      </c>
      <c r="H1267" s="49">
        <v>6</v>
      </c>
      <c r="I1267" s="49">
        <f t="shared" si="39"/>
        <v>27000</v>
      </c>
      <c r="J1267" s="29">
        <f t="shared" si="40"/>
        <v>17999.999999999996</v>
      </c>
      <c r="K1267" s="13" t="s">
        <v>1647</v>
      </c>
      <c r="L1267" s="10"/>
    </row>
    <row r="1268" spans="1:12">
      <c r="A1268" s="13">
        <v>233</v>
      </c>
      <c r="B1268" s="48">
        <v>3248</v>
      </c>
      <c r="C1268" s="13" t="s">
        <v>1832</v>
      </c>
      <c r="D1268" s="49">
        <v>30000</v>
      </c>
      <c r="E1268" s="51">
        <v>7.4999999999999997E-2</v>
      </c>
      <c r="F1268" s="42">
        <v>15</v>
      </c>
      <c r="G1268" s="50">
        <v>40803</v>
      </c>
      <c r="H1268" s="49">
        <v>24</v>
      </c>
      <c r="I1268" s="49">
        <f t="shared" si="39"/>
        <v>27000</v>
      </c>
      <c r="J1268" s="29">
        <f t="shared" si="40"/>
        <v>17999.999999999996</v>
      </c>
      <c r="K1268" s="13" t="s">
        <v>1648</v>
      </c>
      <c r="L1268" s="10"/>
    </row>
    <row r="1269" spans="1:12">
      <c r="A1269" s="13">
        <v>234</v>
      </c>
      <c r="B1269" s="48">
        <v>3250</v>
      </c>
      <c r="C1269" s="13" t="s">
        <v>1416</v>
      </c>
      <c r="D1269" s="49">
        <v>10000</v>
      </c>
      <c r="E1269" s="51">
        <v>7.0000000000000007E-2</v>
      </c>
      <c r="F1269" s="42" t="s">
        <v>4036</v>
      </c>
      <c r="G1269" s="50">
        <v>41187</v>
      </c>
      <c r="H1269" s="49">
        <v>10</v>
      </c>
      <c r="I1269" s="49">
        <f t="shared" si="39"/>
        <v>1750.0000000000005</v>
      </c>
      <c r="J1269" s="29">
        <f t="shared" si="40"/>
        <v>1125.0000000000002</v>
      </c>
      <c r="K1269" s="13" t="s">
        <v>1649</v>
      </c>
      <c r="L1269" s="10"/>
    </row>
    <row r="1270" spans="1:12">
      <c r="A1270" s="13"/>
      <c r="B1270" s="48"/>
      <c r="C1270" s="13"/>
      <c r="D1270" s="49">
        <v>10000</v>
      </c>
      <c r="E1270" s="51">
        <v>7.0000000000000007E-2</v>
      </c>
      <c r="F1270" s="42" t="s">
        <v>4036</v>
      </c>
      <c r="G1270" s="50">
        <v>41229</v>
      </c>
      <c r="H1270" s="49">
        <v>10</v>
      </c>
      <c r="I1270" s="49">
        <f t="shared" si="39"/>
        <v>1750.0000000000005</v>
      </c>
      <c r="J1270" s="29">
        <f t="shared" si="40"/>
        <v>1125.0000000000002</v>
      </c>
      <c r="K1270" s="13"/>
      <c r="L1270" s="10"/>
    </row>
    <row r="1271" spans="1:12">
      <c r="A1271" s="13"/>
      <c r="B1271" s="48"/>
      <c r="C1271" s="13"/>
      <c r="D1271" s="49">
        <v>10000</v>
      </c>
      <c r="E1271" s="51">
        <v>7.0000000000000007E-2</v>
      </c>
      <c r="F1271" s="42" t="s">
        <v>4036</v>
      </c>
      <c r="G1271" s="50">
        <v>41271</v>
      </c>
      <c r="H1271" s="49">
        <v>4</v>
      </c>
      <c r="I1271" s="49">
        <f t="shared" si="39"/>
        <v>700.00000000000011</v>
      </c>
      <c r="J1271" s="29">
        <f t="shared" si="40"/>
        <v>450.00000000000011</v>
      </c>
      <c r="K1271" s="13"/>
      <c r="L1271" s="10"/>
    </row>
    <row r="1272" spans="1:12">
      <c r="A1272" s="13">
        <v>235</v>
      </c>
      <c r="B1272" s="48">
        <v>3254</v>
      </c>
      <c r="C1272" s="13" t="s">
        <v>3493</v>
      </c>
      <c r="D1272" s="49">
        <v>90000</v>
      </c>
      <c r="E1272" s="51">
        <v>7.4999999999999997E-2</v>
      </c>
      <c r="F1272" s="42">
        <v>15</v>
      </c>
      <c r="G1272" s="50">
        <v>40805</v>
      </c>
      <c r="H1272" s="49">
        <v>18</v>
      </c>
      <c r="I1272" s="49">
        <f t="shared" si="39"/>
        <v>60750</v>
      </c>
      <c r="J1272" s="29">
        <f t="shared" si="40"/>
        <v>40500</v>
      </c>
      <c r="K1272" s="13" t="s">
        <v>1650</v>
      </c>
      <c r="L1272" s="10"/>
    </row>
    <row r="1273" spans="1:12">
      <c r="A1273" s="13"/>
      <c r="B1273" s="48"/>
      <c r="C1273" s="13"/>
      <c r="D1273" s="49">
        <v>300000</v>
      </c>
      <c r="E1273" s="51">
        <v>7.4999999999999997E-2</v>
      </c>
      <c r="F1273" s="42">
        <v>15</v>
      </c>
      <c r="G1273" s="50">
        <v>40809</v>
      </c>
      <c r="H1273" s="49">
        <v>1</v>
      </c>
      <c r="I1273" s="49">
        <f t="shared" si="39"/>
        <v>11250</v>
      </c>
      <c r="J1273" s="29">
        <f t="shared" si="40"/>
        <v>7499.9999999999991</v>
      </c>
      <c r="K1273" s="13"/>
      <c r="L1273" s="10"/>
    </row>
    <row r="1274" spans="1:12">
      <c r="A1274" s="13"/>
      <c r="B1274" s="48"/>
      <c r="C1274" s="13"/>
      <c r="D1274" s="49">
        <v>270000</v>
      </c>
      <c r="E1274" s="51">
        <v>7.4999999999999997E-2</v>
      </c>
      <c r="F1274" s="42">
        <v>15</v>
      </c>
      <c r="G1274" s="50">
        <v>40824</v>
      </c>
      <c r="H1274" s="49">
        <v>5</v>
      </c>
      <c r="I1274" s="49">
        <f t="shared" si="39"/>
        <v>50625</v>
      </c>
      <c r="J1274" s="29">
        <f t="shared" si="40"/>
        <v>33749.999999999993</v>
      </c>
      <c r="K1274" s="13"/>
      <c r="L1274" s="10"/>
    </row>
    <row r="1275" spans="1:12">
      <c r="A1275" s="13"/>
      <c r="B1275" s="48"/>
      <c r="C1275" s="13"/>
      <c r="D1275" s="49">
        <v>250000</v>
      </c>
      <c r="E1275" s="51">
        <v>7.4999999999999997E-2</v>
      </c>
      <c r="F1275" s="42">
        <v>15</v>
      </c>
      <c r="G1275" s="50">
        <v>40885</v>
      </c>
      <c r="H1275" s="49">
        <v>7</v>
      </c>
      <c r="I1275" s="49">
        <f t="shared" si="39"/>
        <v>65625</v>
      </c>
      <c r="J1275" s="29">
        <f t="shared" si="40"/>
        <v>43749.999999999993</v>
      </c>
      <c r="K1275" s="13"/>
      <c r="L1275" s="10"/>
    </row>
    <row r="1276" spans="1:12">
      <c r="A1276" s="13"/>
      <c r="B1276" s="48"/>
      <c r="C1276" s="13"/>
      <c r="D1276" s="49">
        <v>20000</v>
      </c>
      <c r="E1276" s="51">
        <v>7.4999999999999997E-2</v>
      </c>
      <c r="F1276" s="42">
        <v>15</v>
      </c>
      <c r="G1276" s="50">
        <v>40963</v>
      </c>
      <c r="H1276" s="49">
        <v>2</v>
      </c>
      <c r="I1276" s="49">
        <f t="shared" si="39"/>
        <v>1500</v>
      </c>
      <c r="J1276" s="29">
        <f t="shared" si="40"/>
        <v>999.99999999999989</v>
      </c>
      <c r="K1276" s="13"/>
      <c r="L1276" s="10"/>
    </row>
    <row r="1277" spans="1:12">
      <c r="A1277" s="13"/>
      <c r="B1277" s="48"/>
      <c r="C1277" s="13"/>
      <c r="D1277" s="49">
        <v>20000</v>
      </c>
      <c r="E1277" s="51">
        <v>7.4999999999999997E-2</v>
      </c>
      <c r="F1277" s="42">
        <v>15</v>
      </c>
      <c r="G1277" s="50">
        <v>40967</v>
      </c>
      <c r="H1277" s="49">
        <v>2</v>
      </c>
      <c r="I1277" s="49">
        <f t="shared" si="39"/>
        <v>1500</v>
      </c>
      <c r="J1277" s="29">
        <f t="shared" si="40"/>
        <v>999.99999999999989</v>
      </c>
      <c r="K1277" s="13"/>
      <c r="L1277" s="10"/>
    </row>
    <row r="1278" spans="1:12">
      <c r="A1278" s="13"/>
      <c r="B1278" s="48"/>
      <c r="C1278" s="13"/>
      <c r="D1278" s="49">
        <v>20000</v>
      </c>
      <c r="E1278" s="51">
        <v>7.4999999999999997E-2</v>
      </c>
      <c r="F1278" s="42">
        <v>15</v>
      </c>
      <c r="G1278" s="50">
        <v>40994</v>
      </c>
      <c r="H1278" s="49">
        <v>6</v>
      </c>
      <c r="I1278" s="49">
        <f t="shared" si="39"/>
        <v>4500</v>
      </c>
      <c r="J1278" s="29">
        <f t="shared" si="40"/>
        <v>2999.9999999999995</v>
      </c>
      <c r="K1278" s="13"/>
      <c r="L1278" s="10"/>
    </row>
    <row r="1279" spans="1:12">
      <c r="A1279" s="13"/>
      <c r="B1279" s="48"/>
      <c r="C1279" s="13"/>
      <c r="D1279" s="49">
        <v>30000</v>
      </c>
      <c r="E1279" s="51">
        <v>7.4999999999999997E-2</v>
      </c>
      <c r="F1279" s="42">
        <v>15</v>
      </c>
      <c r="G1279" s="50">
        <v>41084</v>
      </c>
      <c r="H1279" s="49">
        <v>6</v>
      </c>
      <c r="I1279" s="49">
        <f t="shared" si="39"/>
        <v>6750</v>
      </c>
      <c r="J1279" s="29">
        <f t="shared" si="40"/>
        <v>4499.9999999999991</v>
      </c>
      <c r="K1279" s="13"/>
      <c r="L1279" s="10"/>
    </row>
    <row r="1280" spans="1:12">
      <c r="A1280" s="13"/>
      <c r="B1280" s="48"/>
      <c r="C1280" s="13"/>
      <c r="D1280" s="49">
        <v>30000</v>
      </c>
      <c r="E1280" s="51">
        <v>7.4999999999999997E-2</v>
      </c>
      <c r="F1280" s="42">
        <v>15</v>
      </c>
      <c r="G1280" s="50">
        <v>41174</v>
      </c>
      <c r="H1280" s="49">
        <v>3</v>
      </c>
      <c r="I1280" s="49">
        <f t="shared" si="39"/>
        <v>3375</v>
      </c>
      <c r="J1280" s="29">
        <f t="shared" si="40"/>
        <v>2249.9999999999995</v>
      </c>
      <c r="K1280" s="13"/>
      <c r="L1280" s="10"/>
    </row>
    <row r="1281" spans="1:12">
      <c r="A1281" s="13"/>
      <c r="B1281" s="48"/>
      <c r="C1281" s="13"/>
      <c r="D1281" s="49">
        <v>60000</v>
      </c>
      <c r="E1281" s="51">
        <v>7.4999999999999997E-2</v>
      </c>
      <c r="F1281" s="42">
        <v>15</v>
      </c>
      <c r="G1281" s="50">
        <v>41249</v>
      </c>
      <c r="H1281" s="49">
        <v>4</v>
      </c>
      <c r="I1281" s="49">
        <f t="shared" si="39"/>
        <v>9000</v>
      </c>
      <c r="J1281" s="29">
        <f t="shared" si="40"/>
        <v>5999.9999999999991</v>
      </c>
      <c r="K1281" s="13"/>
      <c r="L1281" s="10"/>
    </row>
    <row r="1282" spans="1:12">
      <c r="A1282" s="13">
        <v>236</v>
      </c>
      <c r="B1282" s="48">
        <v>3260</v>
      </c>
      <c r="C1282" s="13" t="s">
        <v>1825</v>
      </c>
      <c r="D1282" s="49">
        <v>10000</v>
      </c>
      <c r="E1282" s="51">
        <v>7.0000000000000007E-2</v>
      </c>
      <c r="F1282" s="42" t="s">
        <v>4036</v>
      </c>
      <c r="G1282" s="50">
        <v>40800</v>
      </c>
      <c r="H1282" s="49">
        <v>2</v>
      </c>
      <c r="I1282" s="49">
        <f t="shared" si="39"/>
        <v>350.00000000000006</v>
      </c>
      <c r="J1282" s="29">
        <f t="shared" si="40"/>
        <v>225.00000000000006</v>
      </c>
      <c r="K1282" s="13" t="s">
        <v>1651</v>
      </c>
      <c r="L1282" s="10"/>
    </row>
    <row r="1283" spans="1:12">
      <c r="A1283" s="13"/>
      <c r="B1283" s="48"/>
      <c r="C1283" s="13"/>
      <c r="D1283" s="49">
        <v>10000</v>
      </c>
      <c r="E1283" s="51">
        <v>7.4999999999999997E-2</v>
      </c>
      <c r="F1283" s="42">
        <v>15</v>
      </c>
      <c r="G1283" s="50">
        <v>40804</v>
      </c>
      <c r="H1283" s="49">
        <v>1</v>
      </c>
      <c r="I1283" s="49">
        <f t="shared" si="39"/>
        <v>375</v>
      </c>
      <c r="J1283" s="29">
        <f t="shared" si="40"/>
        <v>249.99999999999997</v>
      </c>
      <c r="K1283" s="13"/>
      <c r="L1283" s="10"/>
    </row>
    <row r="1284" spans="1:12">
      <c r="A1284" s="13">
        <v>237</v>
      </c>
      <c r="B1284" s="48">
        <v>3266</v>
      </c>
      <c r="C1284" s="13" t="s">
        <v>1130</v>
      </c>
      <c r="D1284" s="49">
        <v>180000</v>
      </c>
      <c r="E1284" s="51">
        <v>7.4999999999999997E-2</v>
      </c>
      <c r="F1284" s="42">
        <v>15</v>
      </c>
      <c r="G1284" s="56"/>
      <c r="H1284" s="49">
        <v>1</v>
      </c>
      <c r="I1284" s="49">
        <f t="shared" ref="I1284:I1347" si="41">IF(F1284="分期",D1284*E1284*2.5*H1284/10,D1284*E1284*F1284*H1284/30)</f>
        <v>6750</v>
      </c>
      <c r="J1284" s="29">
        <f t="shared" si="40"/>
        <v>4500</v>
      </c>
      <c r="K1284" s="13" t="s">
        <v>1652</v>
      </c>
      <c r="L1284" s="10"/>
    </row>
    <row r="1285" spans="1:12">
      <c r="A1285" s="13">
        <v>238</v>
      </c>
      <c r="B1285" s="48">
        <v>3274</v>
      </c>
      <c r="C1285" s="13" t="s">
        <v>3491</v>
      </c>
      <c r="D1285" s="49">
        <v>30000</v>
      </c>
      <c r="E1285" s="51">
        <v>7.4999999999999997E-2</v>
      </c>
      <c r="F1285" s="42">
        <v>15</v>
      </c>
      <c r="G1285" s="50">
        <v>40803</v>
      </c>
      <c r="H1285" s="49">
        <v>33</v>
      </c>
      <c r="I1285" s="49">
        <f t="shared" si="41"/>
        <v>37125</v>
      </c>
      <c r="J1285" s="29">
        <f t="shared" si="40"/>
        <v>24749.999999999996</v>
      </c>
      <c r="K1285" s="13" t="s">
        <v>1653</v>
      </c>
      <c r="L1285" s="10"/>
    </row>
    <row r="1286" spans="1:12">
      <c r="A1286" s="13">
        <v>239</v>
      </c>
      <c r="B1286" s="48">
        <v>3284</v>
      </c>
      <c r="C1286" s="13" t="s">
        <v>1993</v>
      </c>
      <c r="D1286" s="49">
        <v>100000</v>
      </c>
      <c r="E1286" s="51">
        <v>7.4999999999999997E-2</v>
      </c>
      <c r="F1286" s="42">
        <v>15</v>
      </c>
      <c r="G1286" s="50">
        <v>40590</v>
      </c>
      <c r="H1286" s="49">
        <v>6</v>
      </c>
      <c r="I1286" s="49">
        <f t="shared" si="41"/>
        <v>22500</v>
      </c>
      <c r="J1286" s="29">
        <f t="shared" si="40"/>
        <v>15000</v>
      </c>
      <c r="K1286" s="13" t="s">
        <v>1654</v>
      </c>
      <c r="L1286" s="10"/>
    </row>
    <row r="1287" spans="1:12">
      <c r="A1287" s="13"/>
      <c r="B1287" s="48"/>
      <c r="C1287" s="13"/>
      <c r="D1287" s="49">
        <v>50000</v>
      </c>
      <c r="E1287" s="51">
        <v>7.0000000000000007E-2</v>
      </c>
      <c r="F1287" s="42" t="s">
        <v>4036</v>
      </c>
      <c r="G1287" s="50">
        <v>40670</v>
      </c>
      <c r="H1287" s="49">
        <v>10</v>
      </c>
      <c r="I1287" s="49">
        <f t="shared" si="41"/>
        <v>8750.0000000000018</v>
      </c>
      <c r="J1287" s="29">
        <f t="shared" si="40"/>
        <v>5625.0000000000009</v>
      </c>
      <c r="K1287" s="13"/>
      <c r="L1287" s="10"/>
    </row>
    <row r="1288" spans="1:12">
      <c r="A1288" s="13"/>
      <c r="B1288" s="48"/>
      <c r="C1288" s="13"/>
      <c r="D1288" s="49">
        <v>100000</v>
      </c>
      <c r="E1288" s="51">
        <v>7.4999999999999997E-2</v>
      </c>
      <c r="F1288" s="42">
        <v>15</v>
      </c>
      <c r="G1288" s="50">
        <v>40672</v>
      </c>
      <c r="H1288" s="49">
        <v>14</v>
      </c>
      <c r="I1288" s="49">
        <f t="shared" si="41"/>
        <v>52500</v>
      </c>
      <c r="J1288" s="29">
        <f t="shared" si="40"/>
        <v>35000</v>
      </c>
      <c r="K1288" s="13"/>
      <c r="L1288" s="10"/>
    </row>
    <row r="1289" spans="1:12">
      <c r="A1289" s="13"/>
      <c r="B1289" s="48"/>
      <c r="C1289" s="13"/>
      <c r="D1289" s="49">
        <v>50000</v>
      </c>
      <c r="E1289" s="51">
        <v>7.4999999999999997E-2</v>
      </c>
      <c r="F1289" s="42">
        <v>15</v>
      </c>
      <c r="G1289" s="50">
        <v>40679</v>
      </c>
      <c r="H1289" s="49">
        <v>14</v>
      </c>
      <c r="I1289" s="49">
        <f t="shared" si="41"/>
        <v>26250</v>
      </c>
      <c r="J1289" s="29">
        <f t="shared" si="40"/>
        <v>17500</v>
      </c>
      <c r="K1289" s="13"/>
      <c r="L1289" s="10"/>
    </row>
    <row r="1290" spans="1:12">
      <c r="A1290" s="13"/>
      <c r="B1290" s="48"/>
      <c r="C1290" s="13"/>
      <c r="D1290" s="49">
        <v>100000</v>
      </c>
      <c r="E1290" s="51">
        <v>7.4999999999999997E-2</v>
      </c>
      <c r="F1290" s="42">
        <v>15</v>
      </c>
      <c r="G1290" s="50">
        <v>40733</v>
      </c>
      <c r="H1290" s="49">
        <v>10</v>
      </c>
      <c r="I1290" s="49">
        <f t="shared" si="41"/>
        <v>37500</v>
      </c>
      <c r="J1290" s="29">
        <f t="shared" si="40"/>
        <v>25000</v>
      </c>
      <c r="K1290" s="13"/>
      <c r="L1290" s="10"/>
    </row>
    <row r="1291" spans="1:12">
      <c r="A1291" s="13">
        <v>240</v>
      </c>
      <c r="B1291" s="48">
        <v>3286</v>
      </c>
      <c r="C1291" s="13" t="s">
        <v>278</v>
      </c>
      <c r="D1291" s="49">
        <v>30000</v>
      </c>
      <c r="E1291" s="51">
        <v>7.4999999999999997E-2</v>
      </c>
      <c r="F1291" s="42">
        <v>15</v>
      </c>
      <c r="G1291" s="50">
        <v>40805</v>
      </c>
      <c r="H1291" s="49">
        <v>17</v>
      </c>
      <c r="I1291" s="49">
        <f t="shared" si="41"/>
        <v>19125</v>
      </c>
      <c r="J1291" s="29">
        <f t="shared" si="40"/>
        <v>12749.999999999998</v>
      </c>
      <c r="K1291" s="13" t="s">
        <v>1655</v>
      </c>
      <c r="L1291" s="10"/>
    </row>
    <row r="1292" spans="1:12">
      <c r="A1292" s="13">
        <v>241</v>
      </c>
      <c r="B1292" s="48">
        <v>3302</v>
      </c>
      <c r="C1292" s="13" t="s">
        <v>1804</v>
      </c>
      <c r="D1292" s="49">
        <v>70000</v>
      </c>
      <c r="E1292" s="51">
        <v>7.4999999999999997E-2</v>
      </c>
      <c r="F1292" s="42">
        <v>15</v>
      </c>
      <c r="G1292" s="50">
        <v>40816</v>
      </c>
      <c r="H1292" s="49">
        <v>1</v>
      </c>
      <c r="I1292" s="49">
        <f t="shared" si="41"/>
        <v>2625</v>
      </c>
      <c r="J1292" s="29">
        <f t="shared" si="40"/>
        <v>1749.9999999999998</v>
      </c>
      <c r="K1292" s="13" t="s">
        <v>1656</v>
      </c>
      <c r="L1292" s="10"/>
    </row>
    <row r="1293" spans="1:12">
      <c r="A1293" s="13"/>
      <c r="B1293" s="48"/>
      <c r="C1293" s="13"/>
      <c r="D1293" s="49">
        <v>100000</v>
      </c>
      <c r="E1293" s="51">
        <v>7.4999999999999997E-2</v>
      </c>
      <c r="F1293" s="42">
        <v>15</v>
      </c>
      <c r="G1293" s="50">
        <v>40836</v>
      </c>
      <c r="H1293" s="49">
        <v>9</v>
      </c>
      <c r="I1293" s="49">
        <f t="shared" si="41"/>
        <v>33750</v>
      </c>
      <c r="J1293" s="29">
        <f t="shared" si="40"/>
        <v>22500</v>
      </c>
      <c r="K1293" s="13"/>
      <c r="L1293" s="10"/>
    </row>
    <row r="1294" spans="1:12">
      <c r="A1294" s="13"/>
      <c r="B1294" s="48"/>
      <c r="C1294" s="13"/>
      <c r="D1294" s="49">
        <v>150000</v>
      </c>
      <c r="E1294" s="51">
        <v>7.4999999999999997E-2</v>
      </c>
      <c r="F1294" s="42">
        <v>15</v>
      </c>
      <c r="G1294" s="50">
        <v>40842</v>
      </c>
      <c r="H1294" s="49">
        <v>3</v>
      </c>
      <c r="I1294" s="49">
        <f t="shared" si="41"/>
        <v>16875</v>
      </c>
      <c r="J1294" s="29">
        <f t="shared" si="40"/>
        <v>11249.999999999998</v>
      </c>
      <c r="K1294" s="13"/>
      <c r="L1294" s="10"/>
    </row>
    <row r="1295" spans="1:12" ht="32.4">
      <c r="A1295" s="13">
        <v>241</v>
      </c>
      <c r="B1295" s="48">
        <v>3310</v>
      </c>
      <c r="C1295" s="13" t="s">
        <v>2033</v>
      </c>
      <c r="D1295" s="49">
        <v>50000</v>
      </c>
      <c r="E1295" s="51">
        <v>7.4999999999999997E-2</v>
      </c>
      <c r="F1295" s="42">
        <v>30</v>
      </c>
      <c r="G1295" s="50">
        <v>40614</v>
      </c>
      <c r="H1295" s="49">
        <v>12</v>
      </c>
      <c r="I1295" s="49">
        <f t="shared" si="41"/>
        <v>45000</v>
      </c>
      <c r="J1295" s="29">
        <f t="shared" si="40"/>
        <v>30000</v>
      </c>
      <c r="K1295" s="13" t="s">
        <v>1657</v>
      </c>
      <c r="L1295" s="10" t="s">
        <v>2032</v>
      </c>
    </row>
    <row r="1296" spans="1:12">
      <c r="A1296" s="13"/>
      <c r="B1296" s="48"/>
      <c r="C1296" s="13"/>
      <c r="D1296" s="49">
        <v>30000</v>
      </c>
      <c r="E1296" s="51">
        <v>7.4999999999999997E-2</v>
      </c>
      <c r="F1296" s="42">
        <v>30</v>
      </c>
      <c r="G1296" s="50">
        <v>40857</v>
      </c>
      <c r="H1296" s="49">
        <v>2</v>
      </c>
      <c r="I1296" s="49">
        <f t="shared" si="41"/>
        <v>4500</v>
      </c>
      <c r="J1296" s="29">
        <f t="shared" si="40"/>
        <v>2999.9999999999995</v>
      </c>
      <c r="K1296" s="13"/>
      <c r="L1296" s="10"/>
    </row>
    <row r="1297" spans="1:12">
      <c r="A1297" s="13"/>
      <c r="B1297" s="48"/>
      <c r="C1297" s="13"/>
      <c r="D1297" s="49">
        <v>30000</v>
      </c>
      <c r="E1297" s="51">
        <v>7.4999999999999997E-2</v>
      </c>
      <c r="F1297" s="42">
        <v>30</v>
      </c>
      <c r="G1297" s="50">
        <v>40863</v>
      </c>
      <c r="H1297" s="49">
        <v>15</v>
      </c>
      <c r="I1297" s="49">
        <f t="shared" si="41"/>
        <v>33750</v>
      </c>
      <c r="J1297" s="29">
        <f t="shared" si="40"/>
        <v>22499.999999999996</v>
      </c>
      <c r="K1297" s="13"/>
      <c r="L1297" s="10"/>
    </row>
    <row r="1298" spans="1:12">
      <c r="A1298" s="13">
        <v>242</v>
      </c>
      <c r="B1298" s="48">
        <v>3316</v>
      </c>
      <c r="C1298" s="13" t="s">
        <v>1971</v>
      </c>
      <c r="D1298" s="49">
        <v>70000</v>
      </c>
      <c r="E1298" s="51">
        <v>7.4999999999999997E-2</v>
      </c>
      <c r="F1298" s="42">
        <v>15</v>
      </c>
      <c r="G1298" s="50">
        <v>40811</v>
      </c>
      <c r="H1298" s="49">
        <v>3</v>
      </c>
      <c r="I1298" s="49">
        <f t="shared" si="41"/>
        <v>7875</v>
      </c>
      <c r="J1298" s="29">
        <f t="shared" si="40"/>
        <v>5249.9999999999991</v>
      </c>
      <c r="K1298" s="13" t="s">
        <v>1658</v>
      </c>
      <c r="L1298" s="10"/>
    </row>
    <row r="1299" spans="1:12">
      <c r="A1299" s="13">
        <v>245</v>
      </c>
      <c r="B1299" s="48">
        <v>3322</v>
      </c>
      <c r="C1299" s="26" t="s">
        <v>2034</v>
      </c>
      <c r="D1299" s="49">
        <v>50000</v>
      </c>
      <c r="E1299" s="51">
        <v>7.4999999999999997E-2</v>
      </c>
      <c r="F1299" s="42">
        <v>15</v>
      </c>
      <c r="G1299" s="50">
        <v>40808</v>
      </c>
      <c r="H1299" s="49">
        <v>1</v>
      </c>
      <c r="I1299" s="49">
        <f t="shared" si="41"/>
        <v>1875</v>
      </c>
      <c r="J1299" s="29">
        <f t="shared" si="40"/>
        <v>1250</v>
      </c>
      <c r="K1299" s="13" t="s">
        <v>1659</v>
      </c>
      <c r="L1299" s="10"/>
    </row>
    <row r="1300" spans="1:12">
      <c r="A1300" s="13">
        <v>246</v>
      </c>
      <c r="B1300" s="48">
        <v>3324</v>
      </c>
      <c r="C1300" s="13" t="s">
        <v>2002</v>
      </c>
      <c r="D1300" s="49">
        <v>25000</v>
      </c>
      <c r="E1300" s="51">
        <v>7.0000000000000007E-2</v>
      </c>
      <c r="F1300" s="42" t="s">
        <v>4036</v>
      </c>
      <c r="G1300" s="50">
        <v>40778</v>
      </c>
      <c r="H1300" s="49">
        <v>10</v>
      </c>
      <c r="I1300" s="49">
        <f t="shared" si="41"/>
        <v>4375.0000000000009</v>
      </c>
      <c r="J1300" s="29">
        <f t="shared" si="40"/>
        <v>2812.5000000000005</v>
      </c>
      <c r="K1300" s="13" t="s">
        <v>1660</v>
      </c>
      <c r="L1300" s="10"/>
    </row>
    <row r="1301" spans="1:12">
      <c r="A1301" s="13"/>
      <c r="B1301" s="48"/>
      <c r="C1301" s="13"/>
      <c r="D1301" s="49">
        <v>20000</v>
      </c>
      <c r="E1301" s="51">
        <v>7.0000000000000007E-2</v>
      </c>
      <c r="F1301" s="42" t="s">
        <v>4036</v>
      </c>
      <c r="G1301" s="50">
        <v>40833</v>
      </c>
      <c r="H1301" s="49">
        <v>10</v>
      </c>
      <c r="I1301" s="49">
        <f t="shared" si="41"/>
        <v>3500.0000000000009</v>
      </c>
      <c r="J1301" s="29">
        <f t="shared" si="40"/>
        <v>2250.0000000000005</v>
      </c>
      <c r="K1301" s="13"/>
      <c r="L1301" s="10"/>
    </row>
    <row r="1302" spans="1:12">
      <c r="A1302" s="13"/>
      <c r="B1302" s="48"/>
      <c r="C1302" s="13"/>
      <c r="D1302" s="49">
        <v>20000</v>
      </c>
      <c r="E1302" s="51">
        <v>7.0000000000000007E-2</v>
      </c>
      <c r="F1302" s="42" t="s">
        <v>4036</v>
      </c>
      <c r="G1302" s="50">
        <v>40869</v>
      </c>
      <c r="H1302" s="49">
        <v>10</v>
      </c>
      <c r="I1302" s="49">
        <f t="shared" si="41"/>
        <v>3500.0000000000009</v>
      </c>
      <c r="J1302" s="29">
        <f t="shared" si="40"/>
        <v>2250.0000000000005</v>
      </c>
      <c r="K1302" s="13"/>
      <c r="L1302" s="10"/>
    </row>
    <row r="1303" spans="1:12">
      <c r="A1303" s="13"/>
      <c r="B1303" s="48"/>
      <c r="C1303" s="13"/>
      <c r="D1303" s="49">
        <v>20000</v>
      </c>
      <c r="E1303" s="51">
        <v>7.0000000000000007E-2</v>
      </c>
      <c r="F1303" s="42" t="s">
        <v>4036</v>
      </c>
      <c r="G1303" s="50">
        <v>40907</v>
      </c>
      <c r="H1303" s="49">
        <v>10</v>
      </c>
      <c r="I1303" s="49">
        <f t="shared" si="41"/>
        <v>3500.0000000000009</v>
      </c>
      <c r="J1303" s="29">
        <f t="shared" si="40"/>
        <v>2250.0000000000005</v>
      </c>
      <c r="K1303" s="13"/>
      <c r="L1303" s="10"/>
    </row>
    <row r="1304" spans="1:12">
      <c r="A1304" s="13"/>
      <c r="B1304" s="48"/>
      <c r="C1304" s="13"/>
      <c r="D1304" s="49">
        <v>20000</v>
      </c>
      <c r="E1304" s="51">
        <v>7.0000000000000007E-2</v>
      </c>
      <c r="F1304" s="42" t="s">
        <v>4036</v>
      </c>
      <c r="G1304" s="50">
        <v>40966</v>
      </c>
      <c r="H1304" s="49">
        <v>10</v>
      </c>
      <c r="I1304" s="49">
        <f t="shared" si="41"/>
        <v>3500.0000000000009</v>
      </c>
      <c r="J1304" s="29">
        <f t="shared" si="40"/>
        <v>2250.0000000000005</v>
      </c>
      <c r="K1304" s="13"/>
      <c r="L1304" s="10"/>
    </row>
    <row r="1305" spans="1:12">
      <c r="A1305" s="13"/>
      <c r="B1305" s="48"/>
      <c r="C1305" s="13"/>
      <c r="D1305" s="49">
        <v>10000</v>
      </c>
      <c r="E1305" s="51">
        <v>7.0000000000000007E-2</v>
      </c>
      <c r="F1305" s="42" t="s">
        <v>4036</v>
      </c>
      <c r="G1305" s="50">
        <v>40994</v>
      </c>
      <c r="H1305" s="49">
        <v>10</v>
      </c>
      <c r="I1305" s="49">
        <f t="shared" si="41"/>
        <v>1750.0000000000005</v>
      </c>
      <c r="J1305" s="29">
        <f t="shared" si="40"/>
        <v>1125.0000000000002</v>
      </c>
      <c r="K1305" s="13"/>
      <c r="L1305" s="10"/>
    </row>
    <row r="1306" spans="1:12">
      <c r="A1306" s="13"/>
      <c r="B1306" s="48"/>
      <c r="C1306" s="13"/>
      <c r="D1306" s="49">
        <v>20000</v>
      </c>
      <c r="E1306" s="51">
        <v>7.0000000000000007E-2</v>
      </c>
      <c r="F1306" s="42" t="s">
        <v>4036</v>
      </c>
      <c r="G1306" s="50">
        <v>41016</v>
      </c>
      <c r="H1306" s="49">
        <v>10</v>
      </c>
      <c r="I1306" s="49">
        <f t="shared" si="41"/>
        <v>3500.0000000000009</v>
      </c>
      <c r="J1306" s="29">
        <f t="shared" si="40"/>
        <v>2250.0000000000005</v>
      </c>
      <c r="K1306" s="13"/>
      <c r="L1306" s="10"/>
    </row>
    <row r="1307" spans="1:12">
      <c r="A1307" s="13"/>
      <c r="B1307" s="48"/>
      <c r="C1307" s="13"/>
      <c r="D1307" s="49">
        <v>10000</v>
      </c>
      <c r="E1307" s="51">
        <v>7.0000000000000007E-2</v>
      </c>
      <c r="F1307" s="42" t="s">
        <v>4036</v>
      </c>
      <c r="G1307" s="50">
        <v>41050</v>
      </c>
      <c r="H1307" s="49">
        <v>10</v>
      </c>
      <c r="I1307" s="49">
        <f t="shared" si="41"/>
        <v>1750.0000000000005</v>
      </c>
      <c r="J1307" s="29">
        <f t="shared" si="40"/>
        <v>1125.0000000000002</v>
      </c>
      <c r="K1307" s="13"/>
      <c r="L1307" s="10"/>
    </row>
    <row r="1308" spans="1:12">
      <c r="A1308" s="13"/>
      <c r="B1308" s="48"/>
      <c r="C1308" s="13"/>
      <c r="D1308" s="49">
        <v>20000</v>
      </c>
      <c r="E1308" s="51">
        <v>7.0000000000000007E-2</v>
      </c>
      <c r="F1308" s="42" t="s">
        <v>4036</v>
      </c>
      <c r="G1308" s="50">
        <v>41078</v>
      </c>
      <c r="H1308" s="49">
        <v>10</v>
      </c>
      <c r="I1308" s="49">
        <f t="shared" si="41"/>
        <v>3500.0000000000009</v>
      </c>
      <c r="J1308" s="29">
        <f t="shared" si="40"/>
        <v>2250.0000000000005</v>
      </c>
      <c r="K1308" s="13"/>
      <c r="L1308" s="10"/>
    </row>
    <row r="1309" spans="1:12">
      <c r="A1309" s="13"/>
      <c r="B1309" s="48"/>
      <c r="C1309" s="13"/>
      <c r="D1309" s="49">
        <v>10000</v>
      </c>
      <c r="E1309" s="51">
        <v>7.0000000000000007E-2</v>
      </c>
      <c r="F1309" s="42" t="s">
        <v>4036</v>
      </c>
      <c r="G1309" s="50">
        <v>41094</v>
      </c>
      <c r="H1309" s="49">
        <v>10</v>
      </c>
      <c r="I1309" s="49">
        <f t="shared" si="41"/>
        <v>1750.0000000000005</v>
      </c>
      <c r="J1309" s="29">
        <f t="shared" si="40"/>
        <v>1125.0000000000002</v>
      </c>
      <c r="K1309" s="13"/>
      <c r="L1309" s="10"/>
    </row>
    <row r="1310" spans="1:12">
      <c r="A1310" s="13"/>
      <c r="B1310" s="48"/>
      <c r="C1310" s="13"/>
      <c r="D1310" s="49">
        <v>10000</v>
      </c>
      <c r="E1310" s="51">
        <v>7.0000000000000007E-2</v>
      </c>
      <c r="F1310" s="42" t="s">
        <v>4036</v>
      </c>
      <c r="G1310" s="50">
        <v>41116</v>
      </c>
      <c r="H1310" s="49">
        <v>10</v>
      </c>
      <c r="I1310" s="49">
        <f t="shared" si="41"/>
        <v>1750.0000000000005</v>
      </c>
      <c r="J1310" s="29">
        <f t="shared" si="40"/>
        <v>1125.0000000000002</v>
      </c>
      <c r="K1310" s="13"/>
      <c r="L1310" s="10"/>
    </row>
    <row r="1311" spans="1:12">
      <c r="A1311" s="13"/>
      <c r="B1311" s="48"/>
      <c r="C1311" s="13"/>
      <c r="D1311" s="49">
        <v>20000</v>
      </c>
      <c r="E1311" s="51">
        <v>7.0000000000000007E-2</v>
      </c>
      <c r="F1311" s="42" t="s">
        <v>4036</v>
      </c>
      <c r="G1311" s="50">
        <v>41134</v>
      </c>
      <c r="H1311" s="49">
        <v>10</v>
      </c>
      <c r="I1311" s="49">
        <f t="shared" si="41"/>
        <v>3500.0000000000009</v>
      </c>
      <c r="J1311" s="29">
        <f t="shared" si="40"/>
        <v>2250.0000000000005</v>
      </c>
      <c r="K1311" s="13"/>
      <c r="L1311" s="10"/>
    </row>
    <row r="1312" spans="1:12">
      <c r="A1312" s="13"/>
      <c r="B1312" s="48"/>
      <c r="C1312" s="13"/>
      <c r="D1312" s="49">
        <v>10000</v>
      </c>
      <c r="E1312" s="51">
        <v>7.0000000000000007E-2</v>
      </c>
      <c r="F1312" s="42" t="s">
        <v>4036</v>
      </c>
      <c r="G1312" s="50">
        <v>41152</v>
      </c>
      <c r="H1312" s="49">
        <v>10</v>
      </c>
      <c r="I1312" s="49">
        <f t="shared" si="41"/>
        <v>1750.0000000000005</v>
      </c>
      <c r="J1312" s="29">
        <f t="shared" si="40"/>
        <v>1125.0000000000002</v>
      </c>
      <c r="K1312" s="13"/>
      <c r="L1312" s="10"/>
    </row>
    <row r="1313" spans="1:12">
      <c r="A1313" s="13"/>
      <c r="B1313" s="48"/>
      <c r="C1313" s="13"/>
      <c r="D1313" s="49">
        <v>10000</v>
      </c>
      <c r="E1313" s="51">
        <v>7.0000000000000007E-2</v>
      </c>
      <c r="F1313" s="42" t="s">
        <v>4036</v>
      </c>
      <c r="G1313" s="50">
        <v>41172</v>
      </c>
      <c r="H1313" s="49">
        <v>10</v>
      </c>
      <c r="I1313" s="49">
        <f t="shared" si="41"/>
        <v>1750.0000000000005</v>
      </c>
      <c r="J1313" s="29">
        <f t="shared" si="40"/>
        <v>1125.0000000000002</v>
      </c>
      <c r="K1313" s="13"/>
      <c r="L1313" s="10"/>
    </row>
    <row r="1314" spans="1:12">
      <c r="A1314" s="13"/>
      <c r="B1314" s="48"/>
      <c r="C1314" s="13"/>
      <c r="D1314" s="49">
        <v>20000</v>
      </c>
      <c r="E1314" s="51">
        <v>7.0000000000000007E-2</v>
      </c>
      <c r="F1314" s="42" t="s">
        <v>4036</v>
      </c>
      <c r="G1314" s="50">
        <v>41183</v>
      </c>
      <c r="H1314" s="49">
        <v>10</v>
      </c>
      <c r="I1314" s="49">
        <f t="shared" si="41"/>
        <v>3500.0000000000009</v>
      </c>
      <c r="J1314" s="29">
        <f t="shared" si="40"/>
        <v>2250.0000000000005</v>
      </c>
      <c r="K1314" s="13"/>
      <c r="L1314" s="10"/>
    </row>
    <row r="1315" spans="1:12">
      <c r="A1315" s="13"/>
      <c r="B1315" s="48"/>
      <c r="C1315" s="13"/>
      <c r="D1315" s="49">
        <v>10000</v>
      </c>
      <c r="E1315" s="51">
        <v>7.0000000000000007E-2</v>
      </c>
      <c r="F1315" s="42" t="s">
        <v>4036</v>
      </c>
      <c r="G1315" s="50">
        <v>41208</v>
      </c>
      <c r="H1315" s="49">
        <v>10</v>
      </c>
      <c r="I1315" s="49">
        <f t="shared" si="41"/>
        <v>1750.0000000000005</v>
      </c>
      <c r="J1315" s="29">
        <f t="shared" ref="J1315:J1378" si="42">IF(F1315="分期",D1315*(E1315-0.025)*2.5*H1315/10,D1315*(E1315-0.025)*F1315/30*H1315)</f>
        <v>1125.0000000000002</v>
      </c>
      <c r="K1315" s="13"/>
      <c r="L1315" s="10"/>
    </row>
    <row r="1316" spans="1:12">
      <c r="A1316" s="13"/>
      <c r="B1316" s="48"/>
      <c r="C1316" s="13"/>
      <c r="D1316" s="49">
        <v>10000</v>
      </c>
      <c r="E1316" s="51">
        <v>7.0000000000000007E-2</v>
      </c>
      <c r="F1316" s="42" t="s">
        <v>4036</v>
      </c>
      <c r="G1316" s="50">
        <v>41221</v>
      </c>
      <c r="H1316" s="49">
        <v>10</v>
      </c>
      <c r="I1316" s="49">
        <f t="shared" si="41"/>
        <v>1750.0000000000005</v>
      </c>
      <c r="J1316" s="29">
        <f t="shared" si="42"/>
        <v>1125.0000000000002</v>
      </c>
      <c r="K1316" s="13"/>
      <c r="L1316" s="10"/>
    </row>
    <row r="1317" spans="1:12">
      <c r="A1317" s="13"/>
      <c r="B1317" s="48"/>
      <c r="C1317" s="13"/>
      <c r="D1317" s="49">
        <v>20000</v>
      </c>
      <c r="E1317" s="51">
        <v>7.0000000000000007E-2</v>
      </c>
      <c r="F1317" s="42" t="s">
        <v>4036</v>
      </c>
      <c r="G1317" s="50">
        <v>41234</v>
      </c>
      <c r="H1317" s="49">
        <v>10</v>
      </c>
      <c r="I1317" s="49">
        <f t="shared" si="41"/>
        <v>3500.0000000000009</v>
      </c>
      <c r="J1317" s="29">
        <f t="shared" si="42"/>
        <v>2250.0000000000005</v>
      </c>
      <c r="K1317" s="13"/>
      <c r="L1317" s="10"/>
    </row>
    <row r="1318" spans="1:12">
      <c r="A1318" s="13"/>
      <c r="B1318" s="48"/>
      <c r="C1318" s="13"/>
      <c r="D1318" s="49">
        <v>10000</v>
      </c>
      <c r="E1318" s="51">
        <v>7.0000000000000007E-2</v>
      </c>
      <c r="F1318" s="42" t="s">
        <v>4036</v>
      </c>
      <c r="G1318" s="50">
        <v>41267</v>
      </c>
      <c r="H1318" s="53">
        <v>5</v>
      </c>
      <c r="I1318" s="49">
        <f t="shared" si="41"/>
        <v>875.00000000000023</v>
      </c>
      <c r="J1318" s="29">
        <f t="shared" si="42"/>
        <v>562.50000000000011</v>
      </c>
      <c r="K1318" s="13"/>
      <c r="L1318" s="10"/>
    </row>
    <row r="1319" spans="1:12">
      <c r="A1319" s="13"/>
      <c r="B1319" s="48"/>
      <c r="C1319" s="13"/>
      <c r="D1319" s="49">
        <v>10000</v>
      </c>
      <c r="E1319" s="51">
        <v>7.0000000000000007E-2</v>
      </c>
      <c r="F1319" s="42" t="s">
        <v>4036</v>
      </c>
      <c r="G1319" s="50">
        <v>41274</v>
      </c>
      <c r="H1319" s="53">
        <v>4</v>
      </c>
      <c r="I1319" s="49">
        <f t="shared" si="41"/>
        <v>700.00000000000011</v>
      </c>
      <c r="J1319" s="29">
        <f t="shared" si="42"/>
        <v>450.00000000000011</v>
      </c>
      <c r="K1319" s="13"/>
      <c r="L1319" s="10"/>
    </row>
    <row r="1320" spans="1:12" ht="32.4">
      <c r="A1320" s="13">
        <v>247</v>
      </c>
      <c r="B1320" s="48">
        <v>3330</v>
      </c>
      <c r="C1320" s="13" t="s">
        <v>2036</v>
      </c>
      <c r="D1320" s="49">
        <v>10000</v>
      </c>
      <c r="E1320" s="51">
        <v>7.0000000000000007E-2</v>
      </c>
      <c r="F1320" s="42" t="s">
        <v>4036</v>
      </c>
      <c r="G1320" s="50">
        <v>40766</v>
      </c>
      <c r="H1320" s="49">
        <v>10</v>
      </c>
      <c r="I1320" s="49">
        <f t="shared" si="41"/>
        <v>1750.0000000000005</v>
      </c>
      <c r="J1320" s="29">
        <f t="shared" si="42"/>
        <v>1125.0000000000002</v>
      </c>
      <c r="K1320" s="13" t="s">
        <v>1661</v>
      </c>
      <c r="L1320" s="10" t="s">
        <v>2035</v>
      </c>
    </row>
    <row r="1321" spans="1:12">
      <c r="A1321" s="13"/>
      <c r="B1321" s="48"/>
      <c r="C1321" s="13"/>
      <c r="D1321" s="49">
        <v>10000</v>
      </c>
      <c r="E1321" s="51">
        <v>7.0000000000000007E-2</v>
      </c>
      <c r="F1321" s="42" t="s">
        <v>4036</v>
      </c>
      <c r="G1321" s="50">
        <v>40816</v>
      </c>
      <c r="H1321" s="49">
        <v>10</v>
      </c>
      <c r="I1321" s="49">
        <f t="shared" si="41"/>
        <v>1750.0000000000005</v>
      </c>
      <c r="J1321" s="29">
        <f t="shared" si="42"/>
        <v>1125.0000000000002</v>
      </c>
      <c r="K1321" s="13"/>
      <c r="L1321" s="10"/>
    </row>
    <row r="1322" spans="1:12">
      <c r="A1322" s="13"/>
      <c r="B1322" s="48"/>
      <c r="C1322" s="13"/>
      <c r="D1322" s="49">
        <v>10000</v>
      </c>
      <c r="E1322" s="51">
        <v>7.0000000000000007E-2</v>
      </c>
      <c r="F1322" s="42" t="s">
        <v>4036</v>
      </c>
      <c r="G1322" s="50">
        <v>40854</v>
      </c>
      <c r="H1322" s="49">
        <v>10</v>
      </c>
      <c r="I1322" s="49">
        <f t="shared" si="41"/>
        <v>1750.0000000000005</v>
      </c>
      <c r="J1322" s="29">
        <f t="shared" si="42"/>
        <v>1125.0000000000002</v>
      </c>
      <c r="K1322" s="13"/>
      <c r="L1322" s="10"/>
    </row>
    <row r="1323" spans="1:12">
      <c r="A1323" s="13"/>
      <c r="B1323" s="48"/>
      <c r="C1323" s="13"/>
      <c r="D1323" s="49">
        <v>20000</v>
      </c>
      <c r="E1323" s="51">
        <v>7.0000000000000007E-2</v>
      </c>
      <c r="F1323" s="42" t="s">
        <v>4036</v>
      </c>
      <c r="G1323" s="50">
        <v>40899</v>
      </c>
      <c r="H1323" s="49">
        <v>10</v>
      </c>
      <c r="I1323" s="49">
        <f t="shared" si="41"/>
        <v>3500.0000000000009</v>
      </c>
      <c r="J1323" s="29">
        <f t="shared" si="42"/>
        <v>2250.0000000000005</v>
      </c>
      <c r="K1323" s="13"/>
      <c r="L1323" s="10"/>
    </row>
    <row r="1324" spans="1:12">
      <c r="A1324" s="13"/>
      <c r="B1324" s="48"/>
      <c r="C1324" s="13"/>
      <c r="D1324" s="49">
        <v>20000</v>
      </c>
      <c r="E1324" s="51">
        <v>7.0000000000000007E-2</v>
      </c>
      <c r="F1324" s="42" t="s">
        <v>4036</v>
      </c>
      <c r="G1324" s="50">
        <v>40947</v>
      </c>
      <c r="H1324" s="49">
        <v>10</v>
      </c>
      <c r="I1324" s="49">
        <f t="shared" si="41"/>
        <v>3500.0000000000009</v>
      </c>
      <c r="J1324" s="29">
        <f t="shared" si="42"/>
        <v>2250.0000000000005</v>
      </c>
      <c r="K1324" s="13"/>
      <c r="L1324" s="10"/>
    </row>
    <row r="1325" spans="1:12">
      <c r="A1325" s="13"/>
      <c r="B1325" s="48"/>
      <c r="C1325" s="13"/>
      <c r="D1325" s="49">
        <v>20000</v>
      </c>
      <c r="E1325" s="51">
        <v>7.0000000000000007E-2</v>
      </c>
      <c r="F1325" s="42" t="s">
        <v>4036</v>
      </c>
      <c r="G1325" s="50">
        <v>40988</v>
      </c>
      <c r="H1325" s="49">
        <v>10</v>
      </c>
      <c r="I1325" s="49">
        <f t="shared" si="41"/>
        <v>3500.0000000000009</v>
      </c>
      <c r="J1325" s="29">
        <f t="shared" si="42"/>
        <v>2250.0000000000005</v>
      </c>
      <c r="K1325" s="13"/>
      <c r="L1325" s="10"/>
    </row>
    <row r="1326" spans="1:12">
      <c r="A1326" s="13"/>
      <c r="B1326" s="48"/>
      <c r="C1326" s="13"/>
      <c r="D1326" s="49">
        <v>20000</v>
      </c>
      <c r="E1326" s="51">
        <v>7.0000000000000007E-2</v>
      </c>
      <c r="F1326" s="42" t="s">
        <v>4036</v>
      </c>
      <c r="G1326" s="50">
        <v>41030</v>
      </c>
      <c r="H1326" s="49">
        <v>10</v>
      </c>
      <c r="I1326" s="49">
        <f t="shared" si="41"/>
        <v>3500.0000000000009</v>
      </c>
      <c r="J1326" s="29">
        <f t="shared" si="42"/>
        <v>2250.0000000000005</v>
      </c>
      <c r="K1326" s="13"/>
      <c r="L1326" s="10"/>
    </row>
    <row r="1327" spans="1:12">
      <c r="A1327" s="13"/>
      <c r="B1327" s="48"/>
      <c r="C1327" s="13"/>
      <c r="D1327" s="49">
        <v>20000</v>
      </c>
      <c r="E1327" s="51">
        <v>7.0000000000000007E-2</v>
      </c>
      <c r="F1327" s="42" t="s">
        <v>4036</v>
      </c>
      <c r="G1327" s="50">
        <v>41071</v>
      </c>
      <c r="H1327" s="49">
        <v>10</v>
      </c>
      <c r="I1327" s="49">
        <f t="shared" si="41"/>
        <v>3500.0000000000009</v>
      </c>
      <c r="J1327" s="29">
        <f t="shared" si="42"/>
        <v>2250.0000000000005</v>
      </c>
      <c r="K1327" s="13"/>
      <c r="L1327" s="10"/>
    </row>
    <row r="1328" spans="1:12">
      <c r="A1328" s="13"/>
      <c r="B1328" s="48"/>
      <c r="C1328" s="13"/>
      <c r="D1328" s="49">
        <v>20000</v>
      </c>
      <c r="E1328" s="51">
        <v>7.0000000000000007E-2</v>
      </c>
      <c r="F1328" s="42" t="s">
        <v>4036</v>
      </c>
      <c r="G1328" s="50">
        <v>41106</v>
      </c>
      <c r="H1328" s="49">
        <v>10</v>
      </c>
      <c r="I1328" s="49">
        <f t="shared" si="41"/>
        <v>3500.0000000000009</v>
      </c>
      <c r="J1328" s="29">
        <f t="shared" si="42"/>
        <v>2250.0000000000005</v>
      </c>
      <c r="K1328" s="13"/>
      <c r="L1328" s="10"/>
    </row>
    <row r="1329" spans="1:12">
      <c r="A1329" s="13"/>
      <c r="B1329" s="48"/>
      <c r="C1329" s="13"/>
      <c r="D1329" s="49">
        <v>10000</v>
      </c>
      <c r="E1329" s="51">
        <v>7.4999999999999997E-2</v>
      </c>
      <c r="F1329" s="42">
        <v>15</v>
      </c>
      <c r="G1329" s="50">
        <v>41134</v>
      </c>
      <c r="H1329" s="49">
        <v>1</v>
      </c>
      <c r="I1329" s="49">
        <f t="shared" si="41"/>
        <v>375</v>
      </c>
      <c r="J1329" s="29">
        <f t="shared" si="42"/>
        <v>249.99999999999997</v>
      </c>
      <c r="K1329" s="13"/>
      <c r="L1329" s="10"/>
    </row>
    <row r="1330" spans="1:12">
      <c r="A1330" s="13">
        <v>248</v>
      </c>
      <c r="B1330" s="48">
        <v>3332</v>
      </c>
      <c r="C1330" s="13" t="s">
        <v>1064</v>
      </c>
      <c r="D1330" s="49">
        <v>80000</v>
      </c>
      <c r="E1330" s="51">
        <v>7.4999999999999997E-2</v>
      </c>
      <c r="F1330" s="42">
        <v>15</v>
      </c>
      <c r="G1330" s="50">
        <v>40799</v>
      </c>
      <c r="H1330" s="49">
        <v>4</v>
      </c>
      <c r="I1330" s="49">
        <f t="shared" si="41"/>
        <v>12000</v>
      </c>
      <c r="J1330" s="29">
        <f t="shared" si="42"/>
        <v>7999.9999999999991</v>
      </c>
      <c r="K1330" s="13" t="s">
        <v>1662</v>
      </c>
      <c r="L1330" s="10"/>
    </row>
    <row r="1331" spans="1:12">
      <c r="A1331" s="13">
        <v>249</v>
      </c>
      <c r="B1331" s="48">
        <v>3334</v>
      </c>
      <c r="C1331" s="13" t="s">
        <v>3893</v>
      </c>
      <c r="D1331" s="49">
        <v>10000</v>
      </c>
      <c r="E1331" s="51">
        <v>7.0000000000000007E-2</v>
      </c>
      <c r="F1331" s="42" t="s">
        <v>4036</v>
      </c>
      <c r="G1331" s="50">
        <v>40777</v>
      </c>
      <c r="H1331" s="49">
        <v>10</v>
      </c>
      <c r="I1331" s="49">
        <f t="shared" si="41"/>
        <v>1750.0000000000005</v>
      </c>
      <c r="J1331" s="29">
        <f t="shared" si="42"/>
        <v>1125.0000000000002</v>
      </c>
      <c r="K1331" s="13" t="s">
        <v>1663</v>
      </c>
      <c r="L1331" s="10"/>
    </row>
    <row r="1332" spans="1:12">
      <c r="A1332" s="13"/>
      <c r="B1332" s="48"/>
      <c r="C1332" s="13"/>
      <c r="D1332" s="49">
        <v>10000</v>
      </c>
      <c r="E1332" s="51">
        <v>7.0000000000000007E-2</v>
      </c>
      <c r="F1332" s="42" t="s">
        <v>4036</v>
      </c>
      <c r="G1332" s="50">
        <v>40795</v>
      </c>
      <c r="H1332" s="49">
        <v>10</v>
      </c>
      <c r="I1332" s="49">
        <f t="shared" si="41"/>
        <v>1750.0000000000005</v>
      </c>
      <c r="J1332" s="29">
        <f t="shared" si="42"/>
        <v>1125.0000000000002</v>
      </c>
      <c r="K1332" s="13"/>
      <c r="L1332" s="10"/>
    </row>
    <row r="1333" spans="1:12">
      <c r="A1333" s="13"/>
      <c r="B1333" s="48"/>
      <c r="C1333" s="13"/>
      <c r="D1333" s="49">
        <v>10000</v>
      </c>
      <c r="E1333" s="51">
        <v>7.0000000000000007E-2</v>
      </c>
      <c r="F1333" s="42" t="s">
        <v>4036</v>
      </c>
      <c r="G1333" s="50">
        <v>40815</v>
      </c>
      <c r="H1333" s="49">
        <v>10</v>
      </c>
      <c r="I1333" s="49">
        <f t="shared" si="41"/>
        <v>1750.0000000000005</v>
      </c>
      <c r="J1333" s="29">
        <f t="shared" si="42"/>
        <v>1125.0000000000002</v>
      </c>
      <c r="K1333" s="13"/>
      <c r="L1333" s="10"/>
    </row>
    <row r="1334" spans="1:12">
      <c r="A1334" s="13"/>
      <c r="B1334" s="48"/>
      <c r="C1334" s="13"/>
      <c r="D1334" s="49">
        <v>40000</v>
      </c>
      <c r="E1334" s="51">
        <v>7.4999999999999997E-2</v>
      </c>
      <c r="F1334" s="42">
        <v>15</v>
      </c>
      <c r="G1334" s="50">
        <v>40836</v>
      </c>
      <c r="H1334" s="49">
        <v>8</v>
      </c>
      <c r="I1334" s="49">
        <f t="shared" si="41"/>
        <v>12000</v>
      </c>
      <c r="J1334" s="29">
        <f t="shared" si="42"/>
        <v>7999.9999999999991</v>
      </c>
      <c r="K1334" s="13"/>
      <c r="L1334" s="10"/>
    </row>
    <row r="1335" spans="1:12">
      <c r="A1335" s="13"/>
      <c r="B1335" s="48"/>
      <c r="C1335" s="13"/>
      <c r="D1335" s="49">
        <v>20000</v>
      </c>
      <c r="E1335" s="51">
        <v>7.0000000000000007E-2</v>
      </c>
      <c r="F1335" s="42" t="s">
        <v>4036</v>
      </c>
      <c r="G1335" s="50">
        <v>40856</v>
      </c>
      <c r="H1335" s="49">
        <v>10</v>
      </c>
      <c r="I1335" s="49">
        <f t="shared" si="41"/>
        <v>3500.0000000000009</v>
      </c>
      <c r="J1335" s="29">
        <f t="shared" si="42"/>
        <v>2250.0000000000005</v>
      </c>
      <c r="K1335" s="13"/>
      <c r="L1335" s="10"/>
    </row>
    <row r="1336" spans="1:12">
      <c r="A1336" s="13"/>
      <c r="B1336" s="48"/>
      <c r="C1336" s="13"/>
      <c r="D1336" s="49">
        <v>20000</v>
      </c>
      <c r="E1336" s="51">
        <v>7.0000000000000007E-2</v>
      </c>
      <c r="F1336" s="42" t="s">
        <v>4036</v>
      </c>
      <c r="G1336" s="50">
        <v>40902</v>
      </c>
      <c r="H1336" s="49">
        <v>10</v>
      </c>
      <c r="I1336" s="49">
        <f t="shared" si="41"/>
        <v>3500.0000000000009</v>
      </c>
      <c r="J1336" s="29">
        <f t="shared" si="42"/>
        <v>2250.0000000000005</v>
      </c>
      <c r="K1336" s="13"/>
      <c r="L1336" s="10"/>
    </row>
    <row r="1337" spans="1:12">
      <c r="A1337" s="13"/>
      <c r="B1337" s="48"/>
      <c r="C1337" s="13"/>
      <c r="D1337" s="49">
        <v>60000</v>
      </c>
      <c r="E1337" s="51">
        <v>7.4999999999999997E-2</v>
      </c>
      <c r="F1337" s="42">
        <v>15</v>
      </c>
      <c r="G1337" s="50">
        <v>40953</v>
      </c>
      <c r="H1337" s="62">
        <v>23</v>
      </c>
      <c r="I1337" s="49">
        <f t="shared" si="41"/>
        <v>51750</v>
      </c>
      <c r="J1337" s="29">
        <f t="shared" si="42"/>
        <v>34499.999999999993</v>
      </c>
      <c r="K1337" s="13"/>
      <c r="L1337" s="10" t="s">
        <v>1508</v>
      </c>
    </row>
    <row r="1338" spans="1:12">
      <c r="A1338" s="13"/>
      <c r="B1338" s="48"/>
      <c r="C1338" s="13"/>
      <c r="D1338" s="49">
        <v>20000</v>
      </c>
      <c r="E1338" s="51">
        <v>7.0000000000000007E-2</v>
      </c>
      <c r="F1338" s="42" t="s">
        <v>4036</v>
      </c>
      <c r="G1338" s="50">
        <v>41173</v>
      </c>
      <c r="H1338" s="49">
        <v>10</v>
      </c>
      <c r="I1338" s="49">
        <f t="shared" si="41"/>
        <v>3500.0000000000009</v>
      </c>
      <c r="J1338" s="29">
        <f t="shared" si="42"/>
        <v>2250.0000000000005</v>
      </c>
      <c r="K1338" s="13"/>
      <c r="L1338" s="10"/>
    </row>
    <row r="1339" spans="1:12">
      <c r="A1339" s="13"/>
      <c r="B1339" s="48"/>
      <c r="C1339" s="13"/>
      <c r="D1339" s="49">
        <v>10000</v>
      </c>
      <c r="E1339" s="51">
        <v>7.0000000000000007E-2</v>
      </c>
      <c r="F1339" s="42" t="s">
        <v>4036</v>
      </c>
      <c r="G1339" s="50">
        <v>41235</v>
      </c>
      <c r="H1339" s="49">
        <v>10</v>
      </c>
      <c r="I1339" s="49">
        <f t="shared" si="41"/>
        <v>1750.0000000000005</v>
      </c>
      <c r="J1339" s="29">
        <f t="shared" si="42"/>
        <v>1125.0000000000002</v>
      </c>
      <c r="K1339" s="13"/>
      <c r="L1339" s="10"/>
    </row>
    <row r="1340" spans="1:12">
      <c r="A1340" s="13"/>
      <c r="B1340" s="48"/>
      <c r="C1340" s="13"/>
      <c r="D1340" s="49">
        <v>10000</v>
      </c>
      <c r="E1340" s="51">
        <v>7.0000000000000007E-2</v>
      </c>
      <c r="F1340" s="42" t="s">
        <v>4036</v>
      </c>
      <c r="G1340" s="50">
        <v>41297</v>
      </c>
      <c r="H1340" s="62">
        <v>1</v>
      </c>
      <c r="I1340" s="49">
        <f t="shared" si="41"/>
        <v>175.00000000000003</v>
      </c>
      <c r="J1340" s="29">
        <f t="shared" si="42"/>
        <v>112.50000000000003</v>
      </c>
      <c r="K1340" s="13"/>
      <c r="L1340" s="10" t="s">
        <v>1508</v>
      </c>
    </row>
    <row r="1341" spans="1:12">
      <c r="A1341" s="13">
        <v>250</v>
      </c>
      <c r="B1341" s="48">
        <v>3336</v>
      </c>
      <c r="C1341" s="13" t="s">
        <v>1061</v>
      </c>
      <c r="D1341" s="49">
        <v>30000</v>
      </c>
      <c r="E1341" s="51">
        <v>7.4999999999999997E-2</v>
      </c>
      <c r="F1341" s="42">
        <v>15</v>
      </c>
      <c r="G1341" s="50">
        <v>40817</v>
      </c>
      <c r="H1341" s="49">
        <v>1</v>
      </c>
      <c r="I1341" s="49">
        <f t="shared" si="41"/>
        <v>1125</v>
      </c>
      <c r="J1341" s="29">
        <f t="shared" si="42"/>
        <v>749.99999999999989</v>
      </c>
      <c r="K1341" s="13" t="s">
        <v>1664</v>
      </c>
      <c r="L1341" s="10"/>
    </row>
    <row r="1342" spans="1:12">
      <c r="A1342" s="13"/>
      <c r="B1342" s="48"/>
      <c r="C1342" s="13"/>
      <c r="D1342" s="49">
        <v>20000</v>
      </c>
      <c r="E1342" s="51">
        <v>7.4999999999999997E-2</v>
      </c>
      <c r="F1342" s="42">
        <v>15</v>
      </c>
      <c r="G1342" s="50">
        <v>40832</v>
      </c>
      <c r="H1342" s="49">
        <v>9</v>
      </c>
      <c r="I1342" s="49">
        <f t="shared" si="41"/>
        <v>6750</v>
      </c>
      <c r="J1342" s="29">
        <f t="shared" si="42"/>
        <v>4499.9999999999991</v>
      </c>
      <c r="K1342" s="13"/>
      <c r="L1342" s="10"/>
    </row>
    <row r="1343" spans="1:12">
      <c r="A1343" s="13"/>
      <c r="B1343" s="48"/>
      <c r="C1343" s="13"/>
      <c r="D1343" s="49">
        <v>30000</v>
      </c>
      <c r="E1343" s="51">
        <v>7.4999999999999997E-2</v>
      </c>
      <c r="F1343" s="42">
        <v>15</v>
      </c>
      <c r="G1343" s="50">
        <v>41002</v>
      </c>
      <c r="H1343" s="49">
        <v>2</v>
      </c>
      <c r="I1343" s="49">
        <f t="shared" si="41"/>
        <v>2250</v>
      </c>
      <c r="J1343" s="29">
        <f t="shared" si="42"/>
        <v>1499.9999999999998</v>
      </c>
      <c r="K1343" s="13"/>
      <c r="L1343" s="10"/>
    </row>
    <row r="1344" spans="1:12">
      <c r="A1344" s="13"/>
      <c r="B1344" s="48"/>
      <c r="C1344" s="13"/>
      <c r="D1344" s="49">
        <v>60000</v>
      </c>
      <c r="E1344" s="51">
        <v>7.4999999999999997E-2</v>
      </c>
      <c r="F1344" s="42">
        <v>15</v>
      </c>
      <c r="G1344" s="50">
        <v>41032</v>
      </c>
      <c r="H1344" s="49">
        <v>13</v>
      </c>
      <c r="I1344" s="49">
        <f t="shared" si="41"/>
        <v>29250</v>
      </c>
      <c r="J1344" s="29">
        <f t="shared" si="42"/>
        <v>19499.999999999996</v>
      </c>
      <c r="K1344" s="13"/>
      <c r="L1344" s="10"/>
    </row>
    <row r="1345" spans="1:12">
      <c r="A1345" s="13"/>
      <c r="B1345" s="48"/>
      <c r="C1345" s="13"/>
      <c r="D1345" s="49">
        <v>40000</v>
      </c>
      <c r="E1345" s="51">
        <v>7.4999999999999997E-2</v>
      </c>
      <c r="F1345" s="42">
        <v>15</v>
      </c>
      <c r="G1345" s="50">
        <v>41227</v>
      </c>
      <c r="H1345" s="49">
        <v>5</v>
      </c>
      <c r="I1345" s="49">
        <f t="shared" si="41"/>
        <v>7500</v>
      </c>
      <c r="J1345" s="29">
        <f t="shared" si="42"/>
        <v>4999.9999999999991</v>
      </c>
      <c r="K1345" s="13"/>
      <c r="L1345" s="10"/>
    </row>
    <row r="1346" spans="1:12">
      <c r="A1346" s="13">
        <v>251</v>
      </c>
      <c r="B1346" s="48">
        <v>3340</v>
      </c>
      <c r="C1346" s="13" t="s">
        <v>1101</v>
      </c>
      <c r="D1346" s="49">
        <v>400000</v>
      </c>
      <c r="E1346" s="51">
        <v>0.05</v>
      </c>
      <c r="F1346" s="42">
        <v>15</v>
      </c>
      <c r="G1346" s="50">
        <v>40806</v>
      </c>
      <c r="H1346" s="49">
        <v>33</v>
      </c>
      <c r="I1346" s="49">
        <f t="shared" si="41"/>
        <v>330000</v>
      </c>
      <c r="J1346" s="29">
        <f t="shared" si="42"/>
        <v>165000</v>
      </c>
      <c r="K1346" s="13" t="s">
        <v>1665</v>
      </c>
      <c r="L1346" s="10"/>
    </row>
    <row r="1347" spans="1:12">
      <c r="A1347" s="13"/>
      <c r="B1347" s="48"/>
      <c r="C1347" s="13"/>
      <c r="D1347" s="49">
        <v>100000</v>
      </c>
      <c r="E1347" s="51">
        <v>0.05</v>
      </c>
      <c r="F1347" s="42">
        <v>15</v>
      </c>
      <c r="G1347" s="50">
        <v>40855</v>
      </c>
      <c r="H1347" s="49">
        <v>12</v>
      </c>
      <c r="I1347" s="49">
        <f t="shared" si="41"/>
        <v>30000</v>
      </c>
      <c r="J1347" s="29">
        <f t="shared" si="42"/>
        <v>15000</v>
      </c>
      <c r="K1347" s="13"/>
      <c r="L1347" s="10"/>
    </row>
    <row r="1348" spans="1:12">
      <c r="A1348" s="13"/>
      <c r="B1348" s="48"/>
      <c r="C1348" s="13"/>
      <c r="D1348" s="49">
        <v>200000</v>
      </c>
      <c r="E1348" s="51">
        <v>0.05</v>
      </c>
      <c r="F1348" s="42">
        <v>15</v>
      </c>
      <c r="G1348" s="50">
        <v>41034</v>
      </c>
      <c r="H1348" s="49">
        <v>1</v>
      </c>
      <c r="I1348" s="49">
        <f t="shared" ref="I1348:I1411" si="43">IF(F1348="分期",D1348*E1348*2.5*H1348/10,D1348*E1348*F1348*H1348/30)</f>
        <v>5000</v>
      </c>
      <c r="J1348" s="29">
        <f t="shared" si="42"/>
        <v>2500</v>
      </c>
      <c r="K1348" s="13"/>
      <c r="L1348" s="10"/>
    </row>
    <row r="1349" spans="1:12">
      <c r="A1349" s="13"/>
      <c r="B1349" s="48"/>
      <c r="C1349" s="13"/>
      <c r="D1349" s="49">
        <v>600000</v>
      </c>
      <c r="E1349" s="51">
        <v>0.05</v>
      </c>
      <c r="F1349" s="42">
        <v>15</v>
      </c>
      <c r="G1349" s="50">
        <v>41049</v>
      </c>
      <c r="H1349" s="49">
        <v>17</v>
      </c>
      <c r="I1349" s="49">
        <f t="shared" si="43"/>
        <v>255000</v>
      </c>
      <c r="J1349" s="29">
        <f t="shared" si="42"/>
        <v>127500</v>
      </c>
      <c r="K1349" s="13"/>
      <c r="L1349" s="10"/>
    </row>
    <row r="1350" spans="1:12">
      <c r="A1350" s="13">
        <v>252</v>
      </c>
      <c r="B1350" s="48">
        <v>3342</v>
      </c>
      <c r="C1350" s="13" t="s">
        <v>3854</v>
      </c>
      <c r="D1350" s="49">
        <v>80000</v>
      </c>
      <c r="E1350" s="51">
        <v>7.4999999999999997E-2</v>
      </c>
      <c r="F1350" s="42">
        <v>15</v>
      </c>
      <c r="G1350" s="50">
        <v>40814</v>
      </c>
      <c r="H1350" s="49">
        <v>5</v>
      </c>
      <c r="I1350" s="49">
        <f t="shared" si="43"/>
        <v>15000</v>
      </c>
      <c r="J1350" s="29">
        <f t="shared" si="42"/>
        <v>9999.9999999999982</v>
      </c>
      <c r="K1350" s="13" t="s">
        <v>1666</v>
      </c>
      <c r="L1350" s="10"/>
    </row>
    <row r="1351" spans="1:12">
      <c r="A1351" s="13"/>
      <c r="B1351" s="48"/>
      <c r="C1351" s="13"/>
      <c r="D1351" s="49">
        <v>90000</v>
      </c>
      <c r="E1351" s="51">
        <v>7.4999999999999997E-2</v>
      </c>
      <c r="F1351" s="42">
        <v>15</v>
      </c>
      <c r="G1351" s="50">
        <v>40889</v>
      </c>
      <c r="H1351" s="49">
        <v>6</v>
      </c>
      <c r="I1351" s="49">
        <f t="shared" si="43"/>
        <v>20250</v>
      </c>
      <c r="J1351" s="29">
        <f t="shared" si="42"/>
        <v>13500</v>
      </c>
      <c r="K1351" s="13"/>
      <c r="L1351" s="10"/>
    </row>
    <row r="1352" spans="1:12">
      <c r="A1352" s="13"/>
      <c r="B1352" s="48"/>
      <c r="C1352" s="13"/>
      <c r="D1352" s="49">
        <v>110000</v>
      </c>
      <c r="E1352" s="51">
        <v>7.4999999999999997E-2</v>
      </c>
      <c r="F1352" s="42">
        <v>15</v>
      </c>
      <c r="G1352" s="50">
        <v>40973</v>
      </c>
      <c r="H1352" s="49">
        <v>16</v>
      </c>
      <c r="I1352" s="49">
        <f t="shared" si="43"/>
        <v>66000</v>
      </c>
      <c r="J1352" s="29">
        <f t="shared" si="42"/>
        <v>43999.999999999993</v>
      </c>
      <c r="K1352" s="13"/>
      <c r="L1352" s="10"/>
    </row>
    <row r="1353" spans="1:12">
      <c r="A1353" s="13"/>
      <c r="B1353" s="48"/>
      <c r="C1353" s="13"/>
      <c r="D1353" s="49">
        <v>15000</v>
      </c>
      <c r="E1353" s="51">
        <v>7.0000000000000007E-2</v>
      </c>
      <c r="F1353" s="42" t="s">
        <v>4036</v>
      </c>
      <c r="G1353" s="50">
        <v>41127</v>
      </c>
      <c r="H1353" s="49">
        <v>10</v>
      </c>
      <c r="I1353" s="49">
        <f t="shared" si="43"/>
        <v>2625</v>
      </c>
      <c r="J1353" s="29">
        <f t="shared" si="42"/>
        <v>1687.5000000000005</v>
      </c>
      <c r="K1353" s="13"/>
      <c r="L1353" s="10"/>
    </row>
    <row r="1354" spans="1:12">
      <c r="A1354" s="13"/>
      <c r="B1354" s="48"/>
      <c r="C1354" s="13"/>
      <c r="D1354" s="49">
        <v>125000</v>
      </c>
      <c r="E1354" s="51">
        <v>7.4999999999999997E-2</v>
      </c>
      <c r="F1354" s="42">
        <v>15</v>
      </c>
      <c r="G1354" s="50">
        <v>41212</v>
      </c>
      <c r="H1354" s="49">
        <v>6</v>
      </c>
      <c r="I1354" s="49">
        <f t="shared" si="43"/>
        <v>28125</v>
      </c>
      <c r="J1354" s="29">
        <f t="shared" si="42"/>
        <v>18749.999999999996</v>
      </c>
      <c r="K1354" s="13"/>
      <c r="L1354" s="10"/>
    </row>
    <row r="1355" spans="1:12">
      <c r="A1355" s="13">
        <v>253</v>
      </c>
      <c r="B1355" s="48">
        <v>3350</v>
      </c>
      <c r="C1355" s="13" t="s">
        <v>1077</v>
      </c>
      <c r="D1355" s="49">
        <v>5000</v>
      </c>
      <c r="E1355" s="51">
        <v>7.0000000000000007E-2</v>
      </c>
      <c r="F1355" s="42" t="s">
        <v>4036</v>
      </c>
      <c r="G1355" s="50">
        <v>40806</v>
      </c>
      <c r="H1355" s="49">
        <v>10</v>
      </c>
      <c r="I1355" s="49">
        <f t="shared" si="43"/>
        <v>875.00000000000023</v>
      </c>
      <c r="J1355" s="29">
        <f t="shared" si="42"/>
        <v>562.50000000000011</v>
      </c>
      <c r="K1355" s="13" t="s">
        <v>1667</v>
      </c>
      <c r="L1355" s="10"/>
    </row>
    <row r="1356" spans="1:12">
      <c r="A1356" s="13"/>
      <c r="B1356" s="48"/>
      <c r="C1356" s="13"/>
      <c r="D1356" s="49">
        <v>20000</v>
      </c>
      <c r="E1356" s="51">
        <v>7.4999999999999997E-2</v>
      </c>
      <c r="F1356" s="42">
        <v>15</v>
      </c>
      <c r="G1356" s="50">
        <v>40809</v>
      </c>
      <c r="H1356" s="49">
        <v>14</v>
      </c>
      <c r="I1356" s="49">
        <f t="shared" si="43"/>
        <v>10500</v>
      </c>
      <c r="J1356" s="29">
        <f t="shared" si="42"/>
        <v>6999.9999999999991</v>
      </c>
      <c r="K1356" s="13"/>
      <c r="L1356" s="10"/>
    </row>
    <row r="1357" spans="1:12">
      <c r="A1357" s="13">
        <v>254</v>
      </c>
      <c r="B1357" s="48">
        <v>3352</v>
      </c>
      <c r="C1357" s="13" t="s">
        <v>2009</v>
      </c>
      <c r="D1357" s="29">
        <v>80000</v>
      </c>
      <c r="E1357" s="51">
        <v>7.0000000000000007E-2</v>
      </c>
      <c r="F1357" s="42">
        <v>15</v>
      </c>
      <c r="G1357" s="50">
        <v>40807</v>
      </c>
      <c r="H1357" s="49">
        <v>13</v>
      </c>
      <c r="I1357" s="49">
        <f t="shared" si="43"/>
        <v>36400.000000000007</v>
      </c>
      <c r="J1357" s="29">
        <f t="shared" si="42"/>
        <v>23400.000000000004</v>
      </c>
      <c r="K1357" s="13" t="s">
        <v>2040</v>
      </c>
      <c r="L1357" s="10"/>
    </row>
    <row r="1358" spans="1:12">
      <c r="A1358" s="13">
        <v>255</v>
      </c>
      <c r="B1358" s="48">
        <v>3354</v>
      </c>
      <c r="C1358" s="13" t="s">
        <v>2008</v>
      </c>
      <c r="D1358" s="49">
        <v>10000</v>
      </c>
      <c r="E1358" s="51">
        <v>7.0000000000000007E-2</v>
      </c>
      <c r="F1358" s="42" t="s">
        <v>4036</v>
      </c>
      <c r="G1358" s="50">
        <v>40735</v>
      </c>
      <c r="H1358" s="49">
        <v>1</v>
      </c>
      <c r="I1358" s="49">
        <f t="shared" si="43"/>
        <v>175.00000000000003</v>
      </c>
      <c r="J1358" s="29">
        <f t="shared" si="42"/>
        <v>112.50000000000003</v>
      </c>
      <c r="K1358" s="13" t="s">
        <v>2041</v>
      </c>
      <c r="L1358" s="10"/>
    </row>
    <row r="1359" spans="1:12">
      <c r="A1359" s="13">
        <v>256</v>
      </c>
      <c r="B1359" s="48">
        <v>3362</v>
      </c>
      <c r="C1359" s="13" t="s">
        <v>1997</v>
      </c>
      <c r="D1359" s="49">
        <v>50000</v>
      </c>
      <c r="E1359" s="51">
        <v>7.4999999999999997E-2</v>
      </c>
      <c r="F1359" s="42">
        <v>15</v>
      </c>
      <c r="G1359" s="50">
        <v>40806</v>
      </c>
      <c r="H1359" s="49">
        <v>2</v>
      </c>
      <c r="I1359" s="49">
        <f t="shared" si="43"/>
        <v>3750</v>
      </c>
      <c r="J1359" s="29">
        <f t="shared" si="42"/>
        <v>2500</v>
      </c>
      <c r="K1359" s="13" t="s">
        <v>2042</v>
      </c>
      <c r="L1359" s="10"/>
    </row>
    <row r="1360" spans="1:12">
      <c r="A1360" s="13"/>
      <c r="B1360" s="48"/>
      <c r="C1360" s="13"/>
      <c r="D1360" s="49">
        <v>50000</v>
      </c>
      <c r="E1360" s="51">
        <v>7.4999999999999997E-2</v>
      </c>
      <c r="F1360" s="42">
        <v>15</v>
      </c>
      <c r="G1360" s="50">
        <v>40837</v>
      </c>
      <c r="H1360" s="49">
        <v>1</v>
      </c>
      <c r="I1360" s="49">
        <f t="shared" si="43"/>
        <v>1875</v>
      </c>
      <c r="J1360" s="29">
        <f t="shared" si="42"/>
        <v>1250</v>
      </c>
      <c r="K1360" s="13"/>
      <c r="L1360" s="10"/>
    </row>
    <row r="1361" spans="1:12">
      <c r="A1361" s="13"/>
      <c r="B1361" s="48"/>
      <c r="C1361" s="13"/>
      <c r="D1361" s="49">
        <v>100000</v>
      </c>
      <c r="E1361" s="51">
        <v>7.4999999999999997E-2</v>
      </c>
      <c r="F1361" s="42">
        <v>15</v>
      </c>
      <c r="G1361" s="50">
        <v>40847</v>
      </c>
      <c r="H1361" s="49">
        <v>2</v>
      </c>
      <c r="I1361" s="49">
        <f t="shared" si="43"/>
        <v>7500</v>
      </c>
      <c r="J1361" s="29">
        <f t="shared" si="42"/>
        <v>5000</v>
      </c>
      <c r="K1361" s="13"/>
      <c r="L1361" s="10"/>
    </row>
    <row r="1362" spans="1:12">
      <c r="A1362" s="13"/>
      <c r="B1362" s="48"/>
      <c r="C1362" s="13"/>
      <c r="D1362" s="49">
        <v>150000</v>
      </c>
      <c r="E1362" s="51">
        <v>7.4999999999999997E-2</v>
      </c>
      <c r="F1362" s="42">
        <v>15</v>
      </c>
      <c r="G1362" s="50">
        <v>40872</v>
      </c>
      <c r="H1362" s="49">
        <v>9</v>
      </c>
      <c r="I1362" s="49">
        <f t="shared" si="43"/>
        <v>50625</v>
      </c>
      <c r="J1362" s="29">
        <f t="shared" si="42"/>
        <v>33749.999999999993</v>
      </c>
      <c r="K1362" s="13"/>
      <c r="L1362" s="10"/>
    </row>
    <row r="1363" spans="1:12">
      <c r="A1363" s="13"/>
      <c r="B1363" s="48"/>
      <c r="C1363" s="13"/>
      <c r="D1363" s="49">
        <v>50000</v>
      </c>
      <c r="E1363" s="51">
        <v>7.4999999999999997E-2</v>
      </c>
      <c r="F1363" s="42">
        <v>15</v>
      </c>
      <c r="G1363" s="50">
        <v>40897</v>
      </c>
      <c r="H1363" s="49">
        <v>2</v>
      </c>
      <c r="I1363" s="49">
        <f t="shared" si="43"/>
        <v>3750</v>
      </c>
      <c r="J1363" s="29">
        <f t="shared" si="42"/>
        <v>2500</v>
      </c>
      <c r="K1363" s="13"/>
      <c r="L1363" s="10"/>
    </row>
    <row r="1364" spans="1:12">
      <c r="A1364" s="13"/>
      <c r="B1364" s="48"/>
      <c r="C1364" s="13"/>
      <c r="D1364" s="49">
        <v>100000</v>
      </c>
      <c r="E1364" s="51">
        <v>7.4999999999999997E-2</v>
      </c>
      <c r="F1364" s="42">
        <v>15</v>
      </c>
      <c r="G1364" s="50">
        <v>40927</v>
      </c>
      <c r="H1364" s="49">
        <v>6</v>
      </c>
      <c r="I1364" s="49">
        <f t="shared" si="43"/>
        <v>22500</v>
      </c>
      <c r="J1364" s="29">
        <f t="shared" si="42"/>
        <v>15000</v>
      </c>
      <c r="K1364" s="13"/>
      <c r="L1364" s="10"/>
    </row>
    <row r="1365" spans="1:12">
      <c r="A1365" s="13"/>
      <c r="B1365" s="48"/>
      <c r="C1365" s="13"/>
      <c r="D1365" s="49">
        <v>170000</v>
      </c>
      <c r="E1365" s="51">
        <v>7.4999999999999997E-2</v>
      </c>
      <c r="F1365" s="42">
        <v>15</v>
      </c>
      <c r="G1365" s="50">
        <v>41059</v>
      </c>
      <c r="H1365" s="49">
        <v>16</v>
      </c>
      <c r="I1365" s="49">
        <f t="shared" si="43"/>
        <v>102000</v>
      </c>
      <c r="J1365" s="29">
        <f t="shared" si="42"/>
        <v>68000</v>
      </c>
      <c r="K1365" s="13"/>
      <c r="L1365" s="10"/>
    </row>
    <row r="1366" spans="1:12">
      <c r="A1366" s="13">
        <v>257</v>
      </c>
      <c r="B1366" s="48">
        <v>3366</v>
      </c>
      <c r="C1366" s="13" t="s">
        <v>3884</v>
      </c>
      <c r="D1366" s="49">
        <v>135000</v>
      </c>
      <c r="E1366" s="51">
        <v>7.4999999999999997E-2</v>
      </c>
      <c r="F1366" s="42">
        <v>15</v>
      </c>
      <c r="G1366" s="50">
        <v>40811</v>
      </c>
      <c r="H1366" s="49">
        <v>7</v>
      </c>
      <c r="I1366" s="49">
        <f t="shared" si="43"/>
        <v>35437.5</v>
      </c>
      <c r="J1366" s="29">
        <f t="shared" si="42"/>
        <v>23624.999999999996</v>
      </c>
      <c r="K1366" s="13" t="s">
        <v>2043</v>
      </c>
      <c r="L1366" s="10"/>
    </row>
    <row r="1367" spans="1:12">
      <c r="A1367" s="13"/>
      <c r="B1367" s="48"/>
      <c r="C1367" s="13"/>
      <c r="D1367" s="49">
        <v>130000</v>
      </c>
      <c r="E1367" s="51">
        <v>7.4999999999999997E-2</v>
      </c>
      <c r="F1367" s="42">
        <v>15</v>
      </c>
      <c r="G1367" s="50">
        <v>40916</v>
      </c>
      <c r="H1367" s="49">
        <v>6</v>
      </c>
      <c r="I1367" s="49">
        <f t="shared" si="43"/>
        <v>29250</v>
      </c>
      <c r="J1367" s="29">
        <f t="shared" si="42"/>
        <v>19499.999999999996</v>
      </c>
      <c r="K1367" s="13"/>
      <c r="L1367" s="10"/>
    </row>
    <row r="1368" spans="1:12">
      <c r="A1368" s="13"/>
      <c r="B1368" s="48"/>
      <c r="C1368" s="13"/>
      <c r="D1368" s="49">
        <v>125000</v>
      </c>
      <c r="E1368" s="51">
        <v>7.4999999999999997E-2</v>
      </c>
      <c r="F1368" s="42">
        <v>15</v>
      </c>
      <c r="G1368" s="50">
        <v>41006</v>
      </c>
      <c r="H1368" s="49">
        <v>5</v>
      </c>
      <c r="I1368" s="49">
        <f t="shared" si="43"/>
        <v>23437.5</v>
      </c>
      <c r="J1368" s="29">
        <f t="shared" si="42"/>
        <v>15624.999999999998</v>
      </c>
      <c r="K1368" s="13"/>
      <c r="L1368" s="10"/>
    </row>
    <row r="1369" spans="1:12">
      <c r="A1369" s="13">
        <v>258</v>
      </c>
      <c r="B1369" s="48">
        <v>3368</v>
      </c>
      <c r="C1369" s="13" t="s">
        <v>1895</v>
      </c>
      <c r="D1369" s="49">
        <v>40000</v>
      </c>
      <c r="E1369" s="51">
        <v>7.4999999999999997E-2</v>
      </c>
      <c r="F1369" s="42">
        <v>30</v>
      </c>
      <c r="G1369" s="50">
        <v>40834</v>
      </c>
      <c r="H1369" s="49">
        <v>1</v>
      </c>
      <c r="I1369" s="49">
        <f t="shared" si="43"/>
        <v>3000</v>
      </c>
      <c r="J1369" s="29">
        <f t="shared" si="42"/>
        <v>1999.9999999999998</v>
      </c>
      <c r="K1369" s="13" t="s">
        <v>2044</v>
      </c>
      <c r="L1369" s="10"/>
    </row>
    <row r="1370" spans="1:12">
      <c r="A1370" s="13">
        <v>259</v>
      </c>
      <c r="B1370" s="48">
        <v>3370</v>
      </c>
      <c r="C1370" s="13" t="s">
        <v>1109</v>
      </c>
      <c r="D1370" s="49">
        <v>20000</v>
      </c>
      <c r="E1370" s="51">
        <v>7.4999999999999997E-2</v>
      </c>
      <c r="F1370" s="42">
        <v>15</v>
      </c>
      <c r="G1370" s="50">
        <v>40714</v>
      </c>
      <c r="H1370" s="49">
        <v>4</v>
      </c>
      <c r="I1370" s="49">
        <f t="shared" si="43"/>
        <v>3000</v>
      </c>
      <c r="J1370" s="29">
        <f t="shared" si="42"/>
        <v>1999.9999999999998</v>
      </c>
      <c r="K1370" s="13" t="s">
        <v>2045</v>
      </c>
      <c r="L1370" s="10"/>
    </row>
    <row r="1371" spans="1:12">
      <c r="A1371" s="13">
        <v>260</v>
      </c>
      <c r="B1371" s="48">
        <v>3372</v>
      </c>
      <c r="C1371" s="13" t="s">
        <v>2589</v>
      </c>
      <c r="D1371" s="49">
        <v>15000</v>
      </c>
      <c r="E1371" s="51">
        <v>7.4999999999999997E-2</v>
      </c>
      <c r="F1371" s="42">
        <v>15</v>
      </c>
      <c r="G1371" s="50">
        <v>40807</v>
      </c>
      <c r="H1371" s="49">
        <v>29</v>
      </c>
      <c r="I1371" s="49">
        <f t="shared" si="43"/>
        <v>16312.5</v>
      </c>
      <c r="J1371" s="29">
        <f t="shared" si="42"/>
        <v>10874.999999999998</v>
      </c>
      <c r="K1371" s="13" t="s">
        <v>2046</v>
      </c>
      <c r="L1371" s="10"/>
    </row>
    <row r="1372" spans="1:12">
      <c r="A1372" s="13">
        <v>261</v>
      </c>
      <c r="B1372" s="48">
        <v>3380</v>
      </c>
      <c r="C1372" s="13" t="s">
        <v>1145</v>
      </c>
      <c r="D1372" s="49">
        <v>200000</v>
      </c>
      <c r="E1372" s="51">
        <v>7.4999999999999997E-2</v>
      </c>
      <c r="F1372" s="42">
        <v>15</v>
      </c>
      <c r="G1372" s="50">
        <v>40815</v>
      </c>
      <c r="H1372" s="49">
        <v>7</v>
      </c>
      <c r="I1372" s="49">
        <f t="shared" si="43"/>
        <v>52500</v>
      </c>
      <c r="J1372" s="29">
        <f t="shared" si="42"/>
        <v>35000</v>
      </c>
      <c r="K1372" s="13" t="s">
        <v>2047</v>
      </c>
      <c r="L1372" s="10"/>
    </row>
    <row r="1373" spans="1:12">
      <c r="A1373" s="13"/>
      <c r="B1373" s="48"/>
      <c r="C1373" s="13"/>
      <c r="D1373" s="49">
        <v>170000</v>
      </c>
      <c r="E1373" s="51">
        <v>7.4999999999999997E-2</v>
      </c>
      <c r="F1373" s="42">
        <v>15</v>
      </c>
      <c r="G1373" s="50">
        <v>40920</v>
      </c>
      <c r="H1373" s="49">
        <v>2</v>
      </c>
      <c r="I1373" s="49">
        <f t="shared" si="43"/>
        <v>12750</v>
      </c>
      <c r="J1373" s="29">
        <f t="shared" si="42"/>
        <v>8500</v>
      </c>
      <c r="K1373" s="13"/>
      <c r="L1373" s="10"/>
    </row>
    <row r="1374" spans="1:12">
      <c r="A1374" s="13"/>
      <c r="B1374" s="48"/>
      <c r="C1374" s="13"/>
      <c r="D1374" s="49">
        <v>140000</v>
      </c>
      <c r="E1374" s="51">
        <v>7.4999999999999997E-2</v>
      </c>
      <c r="F1374" s="42">
        <v>15</v>
      </c>
      <c r="G1374" s="50">
        <v>40950</v>
      </c>
      <c r="H1374" s="49">
        <v>4</v>
      </c>
      <c r="I1374" s="49">
        <f t="shared" si="43"/>
        <v>21000</v>
      </c>
      <c r="J1374" s="29">
        <f t="shared" si="42"/>
        <v>13999.999999999998</v>
      </c>
      <c r="K1374" s="13"/>
      <c r="L1374" s="10"/>
    </row>
    <row r="1375" spans="1:12">
      <c r="A1375" s="13"/>
      <c r="B1375" s="48"/>
      <c r="C1375" s="13"/>
      <c r="D1375" s="49">
        <v>100000</v>
      </c>
      <c r="E1375" s="51">
        <v>7.4999999999999997E-2</v>
      </c>
      <c r="F1375" s="42">
        <v>15</v>
      </c>
      <c r="G1375" s="50">
        <v>41010</v>
      </c>
      <c r="H1375" s="49">
        <v>5</v>
      </c>
      <c r="I1375" s="49">
        <f t="shared" si="43"/>
        <v>18750</v>
      </c>
      <c r="J1375" s="29">
        <f t="shared" si="42"/>
        <v>12500</v>
      </c>
      <c r="K1375" s="13"/>
      <c r="L1375" s="10"/>
    </row>
    <row r="1376" spans="1:12">
      <c r="A1376" s="13">
        <v>262</v>
      </c>
      <c r="B1376" s="48">
        <v>3382</v>
      </c>
      <c r="C1376" s="13" t="s">
        <v>3492</v>
      </c>
      <c r="D1376" s="49">
        <v>50000</v>
      </c>
      <c r="E1376" s="51">
        <v>7.4999999999999997E-2</v>
      </c>
      <c r="F1376" s="42">
        <v>15</v>
      </c>
      <c r="G1376" s="50">
        <v>40805</v>
      </c>
      <c r="H1376" s="49">
        <v>3</v>
      </c>
      <c r="I1376" s="49">
        <f t="shared" si="43"/>
        <v>5625</v>
      </c>
      <c r="J1376" s="29">
        <f t="shared" si="42"/>
        <v>3750</v>
      </c>
      <c r="K1376" s="13" t="s">
        <v>2048</v>
      </c>
      <c r="L1376" s="10"/>
    </row>
    <row r="1377" spans="1:12">
      <c r="A1377" s="13"/>
      <c r="B1377" s="48"/>
      <c r="C1377" s="13"/>
      <c r="D1377" s="49">
        <v>100000</v>
      </c>
      <c r="E1377" s="51">
        <v>7.4999999999999997E-2</v>
      </c>
      <c r="F1377" s="42">
        <v>15</v>
      </c>
      <c r="G1377" s="50">
        <v>40805</v>
      </c>
      <c r="H1377" s="49">
        <v>3</v>
      </c>
      <c r="I1377" s="49">
        <f t="shared" si="43"/>
        <v>11250</v>
      </c>
      <c r="J1377" s="29">
        <f t="shared" si="42"/>
        <v>7500</v>
      </c>
      <c r="K1377" s="13"/>
      <c r="L1377" s="10"/>
    </row>
    <row r="1378" spans="1:12">
      <c r="A1378" s="13"/>
      <c r="B1378" s="48"/>
      <c r="C1378" s="13"/>
      <c r="D1378" s="49">
        <v>10000</v>
      </c>
      <c r="E1378" s="51">
        <v>7.4999999999999997E-2</v>
      </c>
      <c r="F1378" s="42">
        <v>15</v>
      </c>
      <c r="G1378" s="50">
        <v>40850</v>
      </c>
      <c r="H1378" s="49">
        <v>1</v>
      </c>
      <c r="I1378" s="49">
        <f t="shared" si="43"/>
        <v>375</v>
      </c>
      <c r="J1378" s="29">
        <f t="shared" si="42"/>
        <v>249.99999999999997</v>
      </c>
      <c r="K1378" s="13"/>
      <c r="L1378" s="10"/>
    </row>
    <row r="1379" spans="1:12">
      <c r="A1379" s="13">
        <v>263</v>
      </c>
      <c r="B1379" s="48">
        <v>3384</v>
      </c>
      <c r="C1379" s="13" t="s">
        <v>3489</v>
      </c>
      <c r="D1379" s="49">
        <v>200000</v>
      </c>
      <c r="E1379" s="51">
        <v>7.4999999999999997E-2</v>
      </c>
      <c r="F1379" s="42">
        <v>15</v>
      </c>
      <c r="G1379" s="50">
        <v>40817</v>
      </c>
      <c r="H1379" s="49">
        <v>5</v>
      </c>
      <c r="I1379" s="49">
        <f t="shared" si="43"/>
        <v>37500</v>
      </c>
      <c r="J1379" s="29">
        <f t="shared" ref="J1379:J1442" si="44">IF(F1379="分期",D1379*(E1379-0.025)*2.5*H1379/10,D1379*(E1379-0.025)*F1379/30*H1379)</f>
        <v>25000</v>
      </c>
      <c r="K1379" s="13" t="s">
        <v>2049</v>
      </c>
      <c r="L1379" s="10"/>
    </row>
    <row r="1380" spans="1:12">
      <c r="A1380" s="13"/>
      <c r="B1380" s="48"/>
      <c r="C1380" s="13"/>
      <c r="D1380" s="49">
        <v>30000</v>
      </c>
      <c r="E1380" s="51">
        <v>7.4999999999999997E-2</v>
      </c>
      <c r="F1380" s="42">
        <v>15</v>
      </c>
      <c r="G1380" s="50">
        <v>40919</v>
      </c>
      <c r="H1380" s="49">
        <v>2</v>
      </c>
      <c r="I1380" s="49">
        <f t="shared" si="43"/>
        <v>2250</v>
      </c>
      <c r="J1380" s="29">
        <f t="shared" si="44"/>
        <v>1499.9999999999998</v>
      </c>
      <c r="K1380" s="13"/>
      <c r="L1380" s="10"/>
    </row>
    <row r="1381" spans="1:12">
      <c r="A1381" s="13"/>
      <c r="B1381" s="48"/>
      <c r="C1381" s="13"/>
      <c r="D1381" s="49">
        <v>50000</v>
      </c>
      <c r="E1381" s="51">
        <v>7.4999999999999997E-2</v>
      </c>
      <c r="F1381" s="42">
        <v>15</v>
      </c>
      <c r="G1381" s="50">
        <v>40928</v>
      </c>
      <c r="H1381" s="49">
        <v>2</v>
      </c>
      <c r="I1381" s="49">
        <f t="shared" si="43"/>
        <v>3750</v>
      </c>
      <c r="J1381" s="29">
        <f t="shared" si="44"/>
        <v>2500</v>
      </c>
      <c r="K1381" s="13"/>
      <c r="L1381" s="10"/>
    </row>
    <row r="1382" spans="1:12">
      <c r="A1382" s="13"/>
      <c r="B1382" s="48"/>
      <c r="C1382" s="13"/>
      <c r="D1382" s="49">
        <v>30000</v>
      </c>
      <c r="E1382" s="51">
        <v>7.4999999999999997E-2</v>
      </c>
      <c r="F1382" s="42">
        <v>15</v>
      </c>
      <c r="G1382" s="50">
        <v>40957</v>
      </c>
      <c r="H1382" s="49">
        <v>1</v>
      </c>
      <c r="I1382" s="49">
        <f t="shared" si="43"/>
        <v>1125</v>
      </c>
      <c r="J1382" s="29">
        <f t="shared" si="44"/>
        <v>749.99999999999989</v>
      </c>
      <c r="K1382" s="13"/>
      <c r="L1382" s="10"/>
    </row>
    <row r="1383" spans="1:12">
      <c r="A1383" s="13"/>
      <c r="B1383" s="48"/>
      <c r="C1383" s="13"/>
      <c r="D1383" s="49">
        <v>55000</v>
      </c>
      <c r="E1383" s="51">
        <v>7.4999999999999997E-2</v>
      </c>
      <c r="F1383" s="42">
        <v>15</v>
      </c>
      <c r="G1383" s="50">
        <v>40972</v>
      </c>
      <c r="H1383" s="49">
        <v>1</v>
      </c>
      <c r="I1383" s="49">
        <f t="shared" si="43"/>
        <v>2062.5</v>
      </c>
      <c r="J1383" s="29">
        <f t="shared" si="44"/>
        <v>1374.9999999999998</v>
      </c>
      <c r="K1383" s="13"/>
      <c r="L1383" s="10"/>
    </row>
    <row r="1384" spans="1:12">
      <c r="A1384" s="13"/>
      <c r="B1384" s="48"/>
      <c r="C1384" s="13"/>
      <c r="D1384" s="49">
        <v>20000</v>
      </c>
      <c r="E1384" s="51">
        <v>7.4999999999999997E-2</v>
      </c>
      <c r="F1384" s="42">
        <v>15</v>
      </c>
      <c r="G1384" s="50">
        <v>40987</v>
      </c>
      <c r="H1384" s="49">
        <v>4</v>
      </c>
      <c r="I1384" s="49">
        <f t="shared" si="43"/>
        <v>3000</v>
      </c>
      <c r="J1384" s="29">
        <f t="shared" si="44"/>
        <v>1999.9999999999998</v>
      </c>
      <c r="K1384" s="13"/>
      <c r="L1384" s="10"/>
    </row>
    <row r="1385" spans="1:12">
      <c r="A1385" s="13"/>
      <c r="B1385" s="48"/>
      <c r="C1385" s="13"/>
      <c r="D1385" s="49">
        <v>20000</v>
      </c>
      <c r="E1385" s="51">
        <v>7.4999999999999997E-2</v>
      </c>
      <c r="F1385" s="42">
        <v>15</v>
      </c>
      <c r="G1385" s="50">
        <v>41047</v>
      </c>
      <c r="H1385" s="49">
        <v>3</v>
      </c>
      <c r="I1385" s="49">
        <f t="shared" si="43"/>
        <v>2250</v>
      </c>
      <c r="J1385" s="29">
        <f t="shared" si="44"/>
        <v>1499.9999999999998</v>
      </c>
      <c r="K1385" s="13"/>
      <c r="L1385" s="10"/>
    </row>
    <row r="1386" spans="1:12">
      <c r="A1386" s="13"/>
      <c r="B1386" s="48"/>
      <c r="C1386" s="13"/>
      <c r="D1386" s="49">
        <v>100000</v>
      </c>
      <c r="E1386" s="51">
        <v>7.4999999999999997E-2</v>
      </c>
      <c r="F1386" s="42">
        <v>15</v>
      </c>
      <c r="G1386" s="50">
        <v>41086</v>
      </c>
      <c r="H1386" s="49">
        <v>3</v>
      </c>
      <c r="I1386" s="49">
        <f t="shared" si="43"/>
        <v>11250</v>
      </c>
      <c r="J1386" s="29">
        <f t="shared" si="44"/>
        <v>7500</v>
      </c>
      <c r="K1386" s="13"/>
      <c r="L1386" s="10"/>
    </row>
    <row r="1387" spans="1:12">
      <c r="A1387" s="13"/>
      <c r="B1387" s="48"/>
      <c r="C1387" s="13"/>
      <c r="D1387" s="49">
        <v>50000</v>
      </c>
      <c r="E1387" s="51">
        <v>7.4999999999999997E-2</v>
      </c>
      <c r="F1387" s="42">
        <v>15</v>
      </c>
      <c r="G1387" s="50">
        <v>41096</v>
      </c>
      <c r="H1387" s="49">
        <v>1</v>
      </c>
      <c r="I1387" s="49">
        <f t="shared" si="43"/>
        <v>1875</v>
      </c>
      <c r="J1387" s="29">
        <f t="shared" si="44"/>
        <v>1250</v>
      </c>
      <c r="K1387" s="13"/>
      <c r="L1387" s="10"/>
    </row>
    <row r="1388" spans="1:12">
      <c r="A1388" s="13"/>
      <c r="B1388" s="48"/>
      <c r="C1388" s="13"/>
      <c r="D1388" s="49">
        <v>100000</v>
      </c>
      <c r="E1388" s="51">
        <v>7.4999999999999997E-2</v>
      </c>
      <c r="F1388" s="42">
        <v>15</v>
      </c>
      <c r="G1388" s="50">
        <v>41111</v>
      </c>
      <c r="H1388" s="49">
        <v>1</v>
      </c>
      <c r="I1388" s="49">
        <f t="shared" si="43"/>
        <v>3750</v>
      </c>
      <c r="J1388" s="29">
        <f t="shared" si="44"/>
        <v>2500</v>
      </c>
      <c r="K1388" s="13"/>
      <c r="L1388" s="10"/>
    </row>
    <row r="1389" spans="1:12">
      <c r="A1389" s="13"/>
      <c r="B1389" s="48"/>
      <c r="C1389" s="13"/>
      <c r="D1389" s="49">
        <v>90000</v>
      </c>
      <c r="E1389" s="51">
        <v>7.4999999999999997E-2</v>
      </c>
      <c r="F1389" s="42">
        <v>15</v>
      </c>
      <c r="G1389" s="50">
        <v>41126</v>
      </c>
      <c r="H1389" s="49">
        <v>1</v>
      </c>
      <c r="I1389" s="49">
        <f t="shared" si="43"/>
        <v>3375</v>
      </c>
      <c r="J1389" s="29">
        <f t="shared" si="44"/>
        <v>2250</v>
      </c>
      <c r="K1389" s="13"/>
      <c r="L1389" s="10"/>
    </row>
    <row r="1390" spans="1:12">
      <c r="A1390" s="13"/>
      <c r="B1390" s="48"/>
      <c r="C1390" s="13"/>
      <c r="D1390" s="49">
        <v>90000</v>
      </c>
      <c r="E1390" s="51">
        <v>7.4999999999999997E-2</v>
      </c>
      <c r="F1390" s="42">
        <v>15</v>
      </c>
      <c r="G1390" s="50">
        <v>41131</v>
      </c>
      <c r="H1390" s="49">
        <v>1</v>
      </c>
      <c r="I1390" s="49">
        <f t="shared" si="43"/>
        <v>3375</v>
      </c>
      <c r="J1390" s="29">
        <f t="shared" si="44"/>
        <v>2250</v>
      </c>
      <c r="K1390" s="13"/>
      <c r="L1390" s="10"/>
    </row>
    <row r="1391" spans="1:12">
      <c r="A1391" s="13"/>
      <c r="B1391" s="48"/>
      <c r="C1391" s="13"/>
      <c r="D1391" s="49">
        <v>80000</v>
      </c>
      <c r="E1391" s="51">
        <v>7.4999999999999997E-2</v>
      </c>
      <c r="F1391" s="42">
        <v>15</v>
      </c>
      <c r="G1391" s="50">
        <v>41141</v>
      </c>
      <c r="H1391" s="49">
        <v>1</v>
      </c>
      <c r="I1391" s="49">
        <f t="shared" si="43"/>
        <v>3000</v>
      </c>
      <c r="J1391" s="29">
        <f t="shared" si="44"/>
        <v>1999.9999999999998</v>
      </c>
      <c r="K1391" s="13"/>
      <c r="L1391" s="10"/>
    </row>
    <row r="1392" spans="1:12">
      <c r="A1392" s="13"/>
      <c r="B1392" s="48"/>
      <c r="C1392" s="13"/>
      <c r="D1392" s="49">
        <v>50000</v>
      </c>
      <c r="E1392" s="51">
        <v>7.4999999999999997E-2</v>
      </c>
      <c r="F1392" s="42">
        <v>15</v>
      </c>
      <c r="G1392" s="50">
        <v>41146</v>
      </c>
      <c r="H1392" s="49">
        <v>1</v>
      </c>
      <c r="I1392" s="49">
        <f t="shared" si="43"/>
        <v>1875</v>
      </c>
      <c r="J1392" s="29">
        <f t="shared" si="44"/>
        <v>1250</v>
      </c>
      <c r="K1392" s="13"/>
      <c r="L1392" s="10"/>
    </row>
    <row r="1393" spans="1:12">
      <c r="A1393" s="13"/>
      <c r="B1393" s="48"/>
      <c r="C1393" s="13"/>
      <c r="D1393" s="49">
        <v>75000</v>
      </c>
      <c r="E1393" s="51">
        <v>7.4999999999999997E-2</v>
      </c>
      <c r="F1393" s="42">
        <v>15</v>
      </c>
      <c r="G1393" s="50">
        <v>41156</v>
      </c>
      <c r="H1393" s="49">
        <v>3</v>
      </c>
      <c r="I1393" s="49">
        <f t="shared" si="43"/>
        <v>8437.5</v>
      </c>
      <c r="J1393" s="29">
        <f t="shared" si="44"/>
        <v>5624.9999999999991</v>
      </c>
      <c r="K1393" s="13"/>
      <c r="L1393" s="10"/>
    </row>
    <row r="1394" spans="1:12">
      <c r="A1394" s="13"/>
      <c r="B1394" s="48"/>
      <c r="C1394" s="13"/>
      <c r="D1394" s="49">
        <v>80000</v>
      </c>
      <c r="E1394" s="51">
        <v>7.4999999999999997E-2</v>
      </c>
      <c r="F1394" s="42">
        <v>15</v>
      </c>
      <c r="G1394" s="50">
        <v>41160</v>
      </c>
      <c r="H1394" s="49">
        <v>3</v>
      </c>
      <c r="I1394" s="49">
        <f t="shared" si="43"/>
        <v>9000</v>
      </c>
      <c r="J1394" s="29">
        <f t="shared" si="44"/>
        <v>5999.9999999999991</v>
      </c>
      <c r="K1394" s="13"/>
      <c r="L1394" s="10"/>
    </row>
    <row r="1395" spans="1:12">
      <c r="A1395" s="13"/>
      <c r="B1395" s="48"/>
      <c r="C1395" s="13"/>
      <c r="D1395" s="49">
        <v>55000</v>
      </c>
      <c r="E1395" s="51">
        <v>7.4999999999999997E-2</v>
      </c>
      <c r="F1395" s="42">
        <v>15</v>
      </c>
      <c r="G1395" s="50">
        <v>41201</v>
      </c>
      <c r="H1395" s="49">
        <v>1</v>
      </c>
      <c r="I1395" s="49">
        <f t="shared" si="43"/>
        <v>2062.5</v>
      </c>
      <c r="J1395" s="29">
        <f t="shared" si="44"/>
        <v>1374.9999999999998</v>
      </c>
      <c r="K1395" s="13"/>
      <c r="L1395" s="10"/>
    </row>
    <row r="1396" spans="1:12">
      <c r="A1396" s="13"/>
      <c r="B1396" s="48"/>
      <c r="C1396" s="13"/>
      <c r="D1396" s="49">
        <v>70000</v>
      </c>
      <c r="E1396" s="51">
        <v>7.4999999999999997E-2</v>
      </c>
      <c r="F1396" s="42">
        <v>15</v>
      </c>
      <c r="G1396" s="50">
        <v>41205</v>
      </c>
      <c r="H1396" s="49">
        <v>1</v>
      </c>
      <c r="I1396" s="49">
        <f t="shared" si="43"/>
        <v>2625</v>
      </c>
      <c r="J1396" s="29">
        <f t="shared" si="44"/>
        <v>1749.9999999999998</v>
      </c>
      <c r="K1396" s="13"/>
      <c r="L1396" s="10"/>
    </row>
    <row r="1397" spans="1:12">
      <c r="A1397" s="13"/>
      <c r="B1397" s="48"/>
      <c r="C1397" s="13"/>
      <c r="D1397" s="49">
        <v>100000</v>
      </c>
      <c r="E1397" s="51">
        <v>7.4999999999999997E-2</v>
      </c>
      <c r="F1397" s="42">
        <v>15</v>
      </c>
      <c r="G1397" s="50">
        <v>41220</v>
      </c>
      <c r="H1397" s="49">
        <v>2</v>
      </c>
      <c r="I1397" s="49">
        <f t="shared" si="43"/>
        <v>7500</v>
      </c>
      <c r="J1397" s="29">
        <f t="shared" si="44"/>
        <v>5000</v>
      </c>
      <c r="K1397" s="13"/>
      <c r="L1397" s="10"/>
    </row>
    <row r="1398" spans="1:12">
      <c r="A1398" s="13"/>
      <c r="B1398" s="48"/>
      <c r="C1398" s="13"/>
      <c r="D1398" s="49">
        <v>100000</v>
      </c>
      <c r="E1398" s="51">
        <v>7.4999999999999997E-2</v>
      </c>
      <c r="F1398" s="42">
        <v>15</v>
      </c>
      <c r="G1398" s="50">
        <v>41223</v>
      </c>
      <c r="H1398" s="49">
        <v>5</v>
      </c>
      <c r="I1398" s="49">
        <f t="shared" si="43"/>
        <v>18750</v>
      </c>
      <c r="J1398" s="29">
        <f t="shared" si="44"/>
        <v>12500</v>
      </c>
      <c r="K1398" s="13"/>
      <c r="L1398" s="10"/>
    </row>
    <row r="1399" spans="1:12">
      <c r="A1399" s="13"/>
      <c r="B1399" s="48"/>
      <c r="C1399" s="13"/>
      <c r="D1399" s="49">
        <v>150000</v>
      </c>
      <c r="E1399" s="51">
        <v>7.4999999999999997E-2</v>
      </c>
      <c r="F1399" s="42">
        <v>15</v>
      </c>
      <c r="G1399" s="50">
        <v>41250</v>
      </c>
      <c r="H1399" s="49">
        <v>1</v>
      </c>
      <c r="I1399" s="49">
        <f t="shared" si="43"/>
        <v>5625</v>
      </c>
      <c r="J1399" s="29">
        <f t="shared" si="44"/>
        <v>3749.9999999999995</v>
      </c>
      <c r="K1399" s="13"/>
      <c r="L1399" s="10"/>
    </row>
    <row r="1400" spans="1:12">
      <c r="A1400" s="13"/>
      <c r="B1400" s="48"/>
      <c r="C1400" s="13"/>
      <c r="D1400" s="49">
        <v>100000</v>
      </c>
      <c r="E1400" s="51">
        <v>7.4999999999999997E-2</v>
      </c>
      <c r="F1400" s="42">
        <v>15</v>
      </c>
      <c r="G1400" s="50">
        <v>41262</v>
      </c>
      <c r="H1400" s="62">
        <v>3</v>
      </c>
      <c r="I1400" s="49">
        <f t="shared" si="43"/>
        <v>11250</v>
      </c>
      <c r="J1400" s="29">
        <f t="shared" si="44"/>
        <v>7500</v>
      </c>
      <c r="K1400" s="13"/>
      <c r="L1400" s="10" t="s">
        <v>1508</v>
      </c>
    </row>
    <row r="1401" spans="1:12">
      <c r="A1401" s="13"/>
      <c r="B1401" s="48"/>
      <c r="C1401" s="13"/>
      <c r="D1401" s="49">
        <v>70000</v>
      </c>
      <c r="E1401" s="51">
        <v>7.4999999999999997E-2</v>
      </c>
      <c r="F1401" s="42">
        <v>15</v>
      </c>
      <c r="G1401" s="50">
        <v>41292</v>
      </c>
      <c r="H1401" s="49">
        <v>1</v>
      </c>
      <c r="I1401" s="49">
        <f t="shared" si="43"/>
        <v>2625</v>
      </c>
      <c r="J1401" s="29">
        <f t="shared" si="44"/>
        <v>1749.9999999999998</v>
      </c>
      <c r="K1401" s="13"/>
      <c r="L1401" s="10"/>
    </row>
    <row r="1402" spans="1:12">
      <c r="A1402" s="13">
        <v>264</v>
      </c>
      <c r="B1402" s="48">
        <v>3386</v>
      </c>
      <c r="C1402" s="13" t="s">
        <v>3890</v>
      </c>
      <c r="D1402" s="49">
        <v>10000</v>
      </c>
      <c r="E1402" s="51">
        <v>7.0000000000000007E-2</v>
      </c>
      <c r="F1402" s="42" t="s">
        <v>4036</v>
      </c>
      <c r="G1402" s="50">
        <v>40777</v>
      </c>
      <c r="H1402" s="49">
        <v>10</v>
      </c>
      <c r="I1402" s="49">
        <f t="shared" si="43"/>
        <v>1750.0000000000005</v>
      </c>
      <c r="J1402" s="29">
        <f t="shared" si="44"/>
        <v>1125.0000000000002</v>
      </c>
      <c r="K1402" s="13" t="s">
        <v>2050</v>
      </c>
      <c r="L1402" s="10"/>
    </row>
    <row r="1403" spans="1:12">
      <c r="A1403" s="13"/>
      <c r="B1403" s="48"/>
      <c r="C1403" s="13"/>
      <c r="D1403" s="49">
        <v>10000</v>
      </c>
      <c r="E1403" s="51">
        <v>7.0000000000000007E-2</v>
      </c>
      <c r="F1403" s="42" t="s">
        <v>4036</v>
      </c>
      <c r="G1403" s="50">
        <v>40826</v>
      </c>
      <c r="H1403" s="49">
        <v>10</v>
      </c>
      <c r="I1403" s="49">
        <f t="shared" si="43"/>
        <v>1750.0000000000005</v>
      </c>
      <c r="J1403" s="29">
        <f t="shared" si="44"/>
        <v>1125.0000000000002</v>
      </c>
      <c r="K1403" s="13"/>
      <c r="L1403" s="10"/>
    </row>
    <row r="1404" spans="1:12">
      <c r="A1404" s="13"/>
      <c r="B1404" s="48"/>
      <c r="C1404" s="13"/>
      <c r="D1404" s="49">
        <v>10000</v>
      </c>
      <c r="E1404" s="51">
        <v>7.0000000000000007E-2</v>
      </c>
      <c r="F1404" s="42" t="s">
        <v>4036</v>
      </c>
      <c r="G1404" s="50">
        <v>40875</v>
      </c>
      <c r="H1404" s="49">
        <v>10</v>
      </c>
      <c r="I1404" s="49">
        <f t="shared" si="43"/>
        <v>1750.0000000000005</v>
      </c>
      <c r="J1404" s="29">
        <f t="shared" si="44"/>
        <v>1125.0000000000002</v>
      </c>
      <c r="K1404" s="13"/>
      <c r="L1404" s="10"/>
    </row>
    <row r="1405" spans="1:12">
      <c r="A1405" s="13"/>
      <c r="B1405" s="48"/>
      <c r="C1405" s="13"/>
      <c r="D1405" s="49">
        <v>10000</v>
      </c>
      <c r="E1405" s="51">
        <v>7.0000000000000007E-2</v>
      </c>
      <c r="F1405" s="42" t="s">
        <v>4036</v>
      </c>
      <c r="G1405" s="50">
        <v>40938</v>
      </c>
      <c r="H1405" s="49">
        <v>10</v>
      </c>
      <c r="I1405" s="49">
        <f t="shared" si="43"/>
        <v>1750.0000000000005</v>
      </c>
      <c r="J1405" s="29">
        <f t="shared" si="44"/>
        <v>1125.0000000000002</v>
      </c>
      <c r="K1405" s="13"/>
      <c r="L1405" s="10"/>
    </row>
    <row r="1406" spans="1:12">
      <c r="A1406" s="13"/>
      <c r="B1406" s="48"/>
      <c r="C1406" s="13"/>
      <c r="D1406" s="49">
        <v>10000</v>
      </c>
      <c r="E1406" s="51">
        <v>7.0000000000000007E-2</v>
      </c>
      <c r="F1406" s="42" t="s">
        <v>4036</v>
      </c>
      <c r="G1406" s="50">
        <v>40987</v>
      </c>
      <c r="H1406" s="49">
        <v>10</v>
      </c>
      <c r="I1406" s="49">
        <f t="shared" si="43"/>
        <v>1750.0000000000005</v>
      </c>
      <c r="J1406" s="29">
        <f t="shared" si="44"/>
        <v>1125.0000000000002</v>
      </c>
      <c r="K1406" s="13"/>
      <c r="L1406" s="10"/>
    </row>
    <row r="1407" spans="1:12">
      <c r="A1407" s="13"/>
      <c r="B1407" s="48"/>
      <c r="C1407" s="13"/>
      <c r="D1407" s="49">
        <v>10000</v>
      </c>
      <c r="E1407" s="51">
        <v>7.0000000000000007E-2</v>
      </c>
      <c r="F1407" s="42" t="s">
        <v>4036</v>
      </c>
      <c r="G1407" s="50">
        <v>41033</v>
      </c>
      <c r="H1407" s="49">
        <v>10</v>
      </c>
      <c r="I1407" s="49">
        <f t="shared" si="43"/>
        <v>1750.0000000000005</v>
      </c>
      <c r="J1407" s="29">
        <f t="shared" si="44"/>
        <v>1125.0000000000002</v>
      </c>
      <c r="K1407" s="13"/>
      <c r="L1407" s="10"/>
    </row>
    <row r="1408" spans="1:12">
      <c r="A1408" s="13"/>
      <c r="B1408" s="48"/>
      <c r="C1408" s="13"/>
      <c r="D1408" s="49">
        <v>10000</v>
      </c>
      <c r="E1408" s="51">
        <v>7.0000000000000007E-2</v>
      </c>
      <c r="F1408" s="42" t="s">
        <v>4036</v>
      </c>
      <c r="G1408" s="50">
        <v>41071</v>
      </c>
      <c r="H1408" s="49">
        <v>10</v>
      </c>
      <c r="I1408" s="49">
        <f t="shared" si="43"/>
        <v>1750.0000000000005</v>
      </c>
      <c r="J1408" s="29">
        <f t="shared" si="44"/>
        <v>1125.0000000000002</v>
      </c>
      <c r="K1408" s="13"/>
      <c r="L1408" s="10"/>
    </row>
    <row r="1409" spans="1:12">
      <c r="A1409" s="13"/>
      <c r="B1409" s="48"/>
      <c r="C1409" s="13"/>
      <c r="D1409" s="49">
        <v>10000</v>
      </c>
      <c r="E1409" s="51">
        <v>7.0000000000000007E-2</v>
      </c>
      <c r="F1409" s="42" t="s">
        <v>4036</v>
      </c>
      <c r="G1409" s="50">
        <v>41092</v>
      </c>
      <c r="H1409" s="49">
        <v>10</v>
      </c>
      <c r="I1409" s="49">
        <f t="shared" si="43"/>
        <v>1750.0000000000005</v>
      </c>
      <c r="J1409" s="29">
        <f t="shared" si="44"/>
        <v>1125.0000000000002</v>
      </c>
      <c r="K1409" s="13"/>
      <c r="L1409" s="10"/>
    </row>
    <row r="1410" spans="1:12">
      <c r="A1410" s="13"/>
      <c r="B1410" s="48"/>
      <c r="C1410" s="13"/>
      <c r="D1410" s="49">
        <v>10000</v>
      </c>
      <c r="E1410" s="51">
        <v>7.0000000000000007E-2</v>
      </c>
      <c r="F1410" s="42" t="s">
        <v>4036</v>
      </c>
      <c r="G1410" s="50">
        <v>41120</v>
      </c>
      <c r="H1410" s="49">
        <v>10</v>
      </c>
      <c r="I1410" s="49">
        <f t="shared" si="43"/>
        <v>1750.0000000000005</v>
      </c>
      <c r="J1410" s="29">
        <f t="shared" si="44"/>
        <v>1125.0000000000002</v>
      </c>
      <c r="K1410" s="13"/>
      <c r="L1410" s="10"/>
    </row>
    <row r="1411" spans="1:12">
      <c r="A1411" s="13"/>
      <c r="B1411" s="48"/>
      <c r="C1411" s="13"/>
      <c r="D1411" s="49">
        <v>10000</v>
      </c>
      <c r="E1411" s="51">
        <v>7.0000000000000007E-2</v>
      </c>
      <c r="F1411" s="42" t="s">
        <v>4036</v>
      </c>
      <c r="G1411" s="50">
        <v>41137</v>
      </c>
      <c r="H1411" s="49">
        <v>10</v>
      </c>
      <c r="I1411" s="49">
        <f t="shared" si="43"/>
        <v>1750.0000000000005</v>
      </c>
      <c r="J1411" s="29">
        <f t="shared" si="44"/>
        <v>1125.0000000000002</v>
      </c>
      <c r="K1411" s="13"/>
      <c r="L1411" s="10"/>
    </row>
    <row r="1412" spans="1:12">
      <c r="A1412" s="13"/>
      <c r="B1412" s="48"/>
      <c r="C1412" s="13"/>
      <c r="D1412" s="49">
        <v>10000</v>
      </c>
      <c r="E1412" s="51">
        <v>7.0000000000000007E-2</v>
      </c>
      <c r="F1412" s="42" t="s">
        <v>4036</v>
      </c>
      <c r="G1412" s="50">
        <v>41157</v>
      </c>
      <c r="H1412" s="49">
        <v>10</v>
      </c>
      <c r="I1412" s="49">
        <f t="shared" ref="I1412:I1475" si="45">IF(F1412="分期",D1412*E1412*2.5*H1412/10,D1412*E1412*F1412*H1412/30)</f>
        <v>1750.0000000000005</v>
      </c>
      <c r="J1412" s="29">
        <f t="shared" si="44"/>
        <v>1125.0000000000002</v>
      </c>
      <c r="K1412" s="13"/>
      <c r="L1412" s="10"/>
    </row>
    <row r="1413" spans="1:12">
      <c r="A1413" s="13"/>
      <c r="B1413" s="48"/>
      <c r="C1413" s="13"/>
      <c r="D1413" s="49">
        <v>10000</v>
      </c>
      <c r="E1413" s="51">
        <v>7.0000000000000007E-2</v>
      </c>
      <c r="F1413" s="42" t="s">
        <v>4036</v>
      </c>
      <c r="G1413" s="50">
        <v>41178</v>
      </c>
      <c r="H1413" s="49">
        <v>10</v>
      </c>
      <c r="I1413" s="49">
        <f t="shared" si="45"/>
        <v>1750.0000000000005</v>
      </c>
      <c r="J1413" s="29">
        <f t="shared" si="44"/>
        <v>1125.0000000000002</v>
      </c>
      <c r="K1413" s="13"/>
      <c r="L1413" s="10"/>
    </row>
    <row r="1414" spans="1:12">
      <c r="A1414" s="13"/>
      <c r="B1414" s="48"/>
      <c r="C1414" s="13"/>
      <c r="D1414" s="49">
        <v>10000</v>
      </c>
      <c r="E1414" s="51">
        <v>7.0000000000000007E-2</v>
      </c>
      <c r="F1414" s="42" t="s">
        <v>4036</v>
      </c>
      <c r="G1414" s="50">
        <v>41200</v>
      </c>
      <c r="H1414" s="49">
        <v>10</v>
      </c>
      <c r="I1414" s="49">
        <f t="shared" si="45"/>
        <v>1750.0000000000005</v>
      </c>
      <c r="J1414" s="29">
        <f t="shared" si="44"/>
        <v>1125.0000000000002</v>
      </c>
      <c r="K1414" s="13"/>
      <c r="L1414" s="10"/>
    </row>
    <row r="1415" spans="1:12">
      <c r="A1415" s="13"/>
      <c r="B1415" s="48"/>
      <c r="C1415" s="13"/>
      <c r="D1415" s="49">
        <v>10000</v>
      </c>
      <c r="E1415" s="51">
        <v>7.0000000000000007E-2</v>
      </c>
      <c r="F1415" s="42" t="s">
        <v>4036</v>
      </c>
      <c r="G1415" s="50">
        <v>41226</v>
      </c>
      <c r="H1415" s="49">
        <v>10</v>
      </c>
      <c r="I1415" s="49">
        <f t="shared" si="45"/>
        <v>1750.0000000000005</v>
      </c>
      <c r="J1415" s="29">
        <f t="shared" si="44"/>
        <v>1125.0000000000002</v>
      </c>
      <c r="K1415" s="13"/>
      <c r="L1415" s="10"/>
    </row>
    <row r="1416" spans="1:12">
      <c r="A1416" s="13"/>
      <c r="B1416" s="48"/>
      <c r="C1416" s="13"/>
      <c r="D1416" s="49">
        <v>10000</v>
      </c>
      <c r="E1416" s="51">
        <v>7.0000000000000007E-2</v>
      </c>
      <c r="F1416" s="42" t="s">
        <v>4036</v>
      </c>
      <c r="G1416" s="50">
        <v>41251</v>
      </c>
      <c r="H1416" s="49">
        <v>10</v>
      </c>
      <c r="I1416" s="49">
        <f t="shared" si="45"/>
        <v>1750.0000000000005</v>
      </c>
      <c r="J1416" s="29">
        <f t="shared" si="44"/>
        <v>1125.0000000000002</v>
      </c>
      <c r="K1416" s="13"/>
      <c r="L1416" s="10"/>
    </row>
    <row r="1417" spans="1:12">
      <c r="A1417" s="13"/>
      <c r="B1417" s="48"/>
      <c r="C1417" s="13"/>
      <c r="D1417" s="49">
        <v>10000</v>
      </c>
      <c r="E1417" s="51">
        <v>7.0000000000000007E-2</v>
      </c>
      <c r="F1417" s="42" t="s">
        <v>4036</v>
      </c>
      <c r="G1417" s="50">
        <v>41274</v>
      </c>
      <c r="H1417" s="62">
        <v>4</v>
      </c>
      <c r="I1417" s="49">
        <f t="shared" si="45"/>
        <v>700.00000000000011</v>
      </c>
      <c r="J1417" s="29">
        <f t="shared" si="44"/>
        <v>450.00000000000011</v>
      </c>
      <c r="K1417" s="13"/>
      <c r="L1417" s="10" t="s">
        <v>1508</v>
      </c>
    </row>
    <row r="1418" spans="1:12">
      <c r="A1418" s="13"/>
      <c r="B1418" s="48"/>
      <c r="C1418" s="13"/>
      <c r="D1418" s="49">
        <v>10000</v>
      </c>
      <c r="E1418" s="51">
        <v>7.0000000000000007E-2</v>
      </c>
      <c r="F1418" s="42" t="s">
        <v>4036</v>
      </c>
      <c r="G1418" s="50">
        <v>41295</v>
      </c>
      <c r="H1418" s="62">
        <v>1</v>
      </c>
      <c r="I1418" s="49">
        <f t="shared" si="45"/>
        <v>175.00000000000003</v>
      </c>
      <c r="J1418" s="29">
        <f t="shared" si="44"/>
        <v>112.50000000000003</v>
      </c>
      <c r="K1418" s="13"/>
      <c r="L1418" s="10" t="s">
        <v>1508</v>
      </c>
    </row>
    <row r="1419" spans="1:12">
      <c r="A1419" s="13">
        <v>265</v>
      </c>
      <c r="B1419" s="48">
        <v>3388</v>
      </c>
      <c r="C1419" s="13" t="s">
        <v>1138</v>
      </c>
      <c r="D1419" s="49">
        <v>10000</v>
      </c>
      <c r="E1419" s="51">
        <v>7.0000000000000007E-2</v>
      </c>
      <c r="F1419" s="42" t="s">
        <v>4036</v>
      </c>
      <c r="G1419" s="50">
        <v>40785</v>
      </c>
      <c r="H1419" s="49">
        <v>10</v>
      </c>
      <c r="I1419" s="49">
        <f t="shared" si="45"/>
        <v>1750.0000000000005</v>
      </c>
      <c r="J1419" s="29">
        <f t="shared" si="44"/>
        <v>1125.0000000000002</v>
      </c>
      <c r="K1419" s="13" t="s">
        <v>2051</v>
      </c>
      <c r="L1419" s="10"/>
    </row>
    <row r="1420" spans="1:12">
      <c r="A1420" s="13"/>
      <c r="B1420" s="48"/>
      <c r="C1420" s="13"/>
      <c r="D1420" s="49">
        <v>20000</v>
      </c>
      <c r="E1420" s="51">
        <v>7.4999999999999997E-2</v>
      </c>
      <c r="F1420" s="42">
        <v>15</v>
      </c>
      <c r="G1420" s="50">
        <v>40810</v>
      </c>
      <c r="H1420" s="49">
        <v>4</v>
      </c>
      <c r="I1420" s="49">
        <f t="shared" si="45"/>
        <v>3000</v>
      </c>
      <c r="J1420" s="29">
        <f t="shared" si="44"/>
        <v>1999.9999999999998</v>
      </c>
      <c r="K1420" s="13"/>
      <c r="L1420" s="10"/>
    </row>
    <row r="1421" spans="1:12">
      <c r="A1421" s="13"/>
      <c r="B1421" s="48"/>
      <c r="C1421" s="13"/>
      <c r="D1421" s="49">
        <v>10000</v>
      </c>
      <c r="E1421" s="51">
        <v>7.0000000000000007E-2</v>
      </c>
      <c r="F1421" s="42" t="s">
        <v>4036</v>
      </c>
      <c r="G1421" s="50">
        <v>40854</v>
      </c>
      <c r="H1421" s="49">
        <v>10</v>
      </c>
      <c r="I1421" s="49">
        <f t="shared" si="45"/>
        <v>1750.0000000000005</v>
      </c>
      <c r="J1421" s="29">
        <f t="shared" si="44"/>
        <v>1125.0000000000002</v>
      </c>
      <c r="K1421" s="13"/>
      <c r="L1421" s="10"/>
    </row>
    <row r="1422" spans="1:12">
      <c r="A1422" s="13"/>
      <c r="B1422" s="48"/>
      <c r="C1422" s="13"/>
      <c r="D1422" s="49">
        <v>10000</v>
      </c>
      <c r="E1422" s="51">
        <v>7.4999999999999997E-2</v>
      </c>
      <c r="F1422" s="42">
        <v>15</v>
      </c>
      <c r="G1422" s="50">
        <v>40870</v>
      </c>
      <c r="H1422" s="49">
        <v>2</v>
      </c>
      <c r="I1422" s="49">
        <f t="shared" si="45"/>
        <v>750</v>
      </c>
      <c r="J1422" s="29">
        <f t="shared" si="44"/>
        <v>499.99999999999994</v>
      </c>
      <c r="K1422" s="13"/>
      <c r="L1422" s="10"/>
    </row>
    <row r="1423" spans="1:12">
      <c r="A1423" s="13"/>
      <c r="B1423" s="48"/>
      <c r="C1423" s="13"/>
      <c r="D1423" s="49">
        <v>115000</v>
      </c>
      <c r="E1423" s="51">
        <v>7.4999999999999997E-2</v>
      </c>
      <c r="F1423" s="42">
        <v>15</v>
      </c>
      <c r="G1423" s="50">
        <v>40900</v>
      </c>
      <c r="H1423" s="49">
        <v>2</v>
      </c>
      <c r="I1423" s="49">
        <f t="shared" si="45"/>
        <v>8625</v>
      </c>
      <c r="J1423" s="29">
        <f t="shared" si="44"/>
        <v>5749.9999999999991</v>
      </c>
      <c r="K1423" s="13"/>
      <c r="L1423" s="10"/>
    </row>
    <row r="1424" spans="1:12">
      <c r="A1424" s="13"/>
      <c r="B1424" s="48"/>
      <c r="C1424" s="13"/>
      <c r="D1424" s="49">
        <v>10000</v>
      </c>
      <c r="E1424" s="51">
        <v>7.0000000000000007E-2</v>
      </c>
      <c r="F1424" s="42" t="s">
        <v>4036</v>
      </c>
      <c r="G1424" s="50">
        <v>40917</v>
      </c>
      <c r="H1424" s="49">
        <v>10</v>
      </c>
      <c r="I1424" s="49">
        <f t="shared" si="45"/>
        <v>1750.0000000000005</v>
      </c>
      <c r="J1424" s="29">
        <f t="shared" si="44"/>
        <v>1125.0000000000002</v>
      </c>
      <c r="K1424" s="13"/>
      <c r="L1424" s="10"/>
    </row>
    <row r="1425" spans="1:12">
      <c r="A1425" s="13"/>
      <c r="B1425" s="48"/>
      <c r="C1425" s="13"/>
      <c r="D1425" s="49">
        <v>90000</v>
      </c>
      <c r="E1425" s="51">
        <v>7.4999999999999997E-2</v>
      </c>
      <c r="F1425" s="42">
        <v>15</v>
      </c>
      <c r="G1425" s="50">
        <v>40930</v>
      </c>
      <c r="H1425" s="49">
        <v>2</v>
      </c>
      <c r="I1425" s="49">
        <f t="shared" si="45"/>
        <v>6750</v>
      </c>
      <c r="J1425" s="29">
        <f t="shared" si="44"/>
        <v>4500</v>
      </c>
      <c r="K1425" s="13"/>
      <c r="L1425" s="10"/>
    </row>
    <row r="1426" spans="1:12">
      <c r="A1426" s="13"/>
      <c r="B1426" s="48"/>
      <c r="C1426" s="13"/>
      <c r="D1426" s="49">
        <v>110000</v>
      </c>
      <c r="E1426" s="51">
        <v>7.4999999999999997E-2</v>
      </c>
      <c r="F1426" s="42">
        <v>15</v>
      </c>
      <c r="G1426" s="50">
        <v>40957</v>
      </c>
      <c r="H1426" s="49">
        <v>1</v>
      </c>
      <c r="I1426" s="49">
        <f t="shared" si="45"/>
        <v>4125</v>
      </c>
      <c r="J1426" s="29">
        <f t="shared" si="44"/>
        <v>2749.9999999999995</v>
      </c>
      <c r="K1426" s="13"/>
      <c r="L1426" s="10"/>
    </row>
    <row r="1427" spans="1:12">
      <c r="A1427" s="13">
        <v>266</v>
      </c>
      <c r="B1427" s="48">
        <v>3394</v>
      </c>
      <c r="C1427" s="13" t="s">
        <v>1097</v>
      </c>
      <c r="D1427" s="49">
        <v>10000</v>
      </c>
      <c r="E1427" s="51">
        <v>7.0000000000000007E-2</v>
      </c>
      <c r="F1427" s="42" t="s">
        <v>4036</v>
      </c>
      <c r="G1427" s="50">
        <v>40791</v>
      </c>
      <c r="H1427" s="49">
        <v>10</v>
      </c>
      <c r="I1427" s="49">
        <f t="shared" si="45"/>
        <v>1750.0000000000005</v>
      </c>
      <c r="J1427" s="29">
        <f t="shared" si="44"/>
        <v>1125.0000000000002</v>
      </c>
      <c r="K1427" s="13" t="s">
        <v>2052</v>
      </c>
      <c r="L1427" s="10"/>
    </row>
    <row r="1428" spans="1:12">
      <c r="A1428" s="13"/>
      <c r="B1428" s="48"/>
      <c r="C1428" s="13"/>
      <c r="D1428" s="49">
        <v>20000</v>
      </c>
      <c r="E1428" s="51">
        <v>7.4999999999999997E-2</v>
      </c>
      <c r="F1428" s="42">
        <v>15</v>
      </c>
      <c r="G1428" s="50">
        <v>40817</v>
      </c>
      <c r="H1428" s="49">
        <v>2</v>
      </c>
      <c r="I1428" s="49">
        <f t="shared" si="45"/>
        <v>1500</v>
      </c>
      <c r="J1428" s="29">
        <f t="shared" si="44"/>
        <v>999.99999999999989</v>
      </c>
      <c r="K1428" s="13"/>
      <c r="L1428" s="10"/>
    </row>
    <row r="1429" spans="1:12">
      <c r="A1429" s="13"/>
      <c r="B1429" s="48"/>
      <c r="C1429" s="13"/>
      <c r="D1429" s="49">
        <v>10000</v>
      </c>
      <c r="E1429" s="51">
        <v>7.0000000000000007E-2</v>
      </c>
      <c r="F1429" s="42" t="s">
        <v>4036</v>
      </c>
      <c r="G1429" s="50">
        <v>40875</v>
      </c>
      <c r="H1429" s="49">
        <v>10</v>
      </c>
      <c r="I1429" s="49">
        <f t="shared" si="45"/>
        <v>1750.0000000000005</v>
      </c>
      <c r="J1429" s="29">
        <f t="shared" si="44"/>
        <v>1125.0000000000002</v>
      </c>
      <c r="K1429" s="13"/>
      <c r="L1429" s="10"/>
    </row>
    <row r="1430" spans="1:12">
      <c r="A1430" s="13"/>
      <c r="B1430" s="48"/>
      <c r="C1430" s="13"/>
      <c r="D1430" s="49">
        <v>20000</v>
      </c>
      <c r="E1430" s="51">
        <v>7.4999999999999997E-2</v>
      </c>
      <c r="F1430" s="42">
        <v>15</v>
      </c>
      <c r="G1430" s="50">
        <v>40882</v>
      </c>
      <c r="H1430" s="49">
        <v>9</v>
      </c>
      <c r="I1430" s="49">
        <f t="shared" si="45"/>
        <v>6750</v>
      </c>
      <c r="J1430" s="29">
        <f t="shared" si="44"/>
        <v>4499.9999999999991</v>
      </c>
      <c r="K1430" s="13"/>
      <c r="L1430" s="10"/>
    </row>
    <row r="1431" spans="1:12">
      <c r="A1431" s="13"/>
      <c r="B1431" s="48"/>
      <c r="C1431" s="13"/>
      <c r="D1431" s="49">
        <v>10000</v>
      </c>
      <c r="E1431" s="51">
        <v>7.0000000000000007E-2</v>
      </c>
      <c r="F1431" s="42" t="s">
        <v>4036</v>
      </c>
      <c r="G1431" s="50">
        <v>40931</v>
      </c>
      <c r="H1431" s="49">
        <v>10</v>
      </c>
      <c r="I1431" s="49">
        <f t="shared" si="45"/>
        <v>1750.0000000000005</v>
      </c>
      <c r="J1431" s="29">
        <f t="shared" si="44"/>
        <v>1125.0000000000002</v>
      </c>
      <c r="K1431" s="13"/>
      <c r="L1431" s="10"/>
    </row>
    <row r="1432" spans="1:12">
      <c r="A1432" s="13"/>
      <c r="B1432" s="48"/>
      <c r="C1432" s="13"/>
      <c r="D1432" s="49">
        <v>20000</v>
      </c>
      <c r="E1432" s="51">
        <v>7.0000000000000007E-2</v>
      </c>
      <c r="F1432" s="42" t="s">
        <v>4036</v>
      </c>
      <c r="G1432" s="50">
        <v>40966</v>
      </c>
      <c r="H1432" s="49">
        <v>10</v>
      </c>
      <c r="I1432" s="49">
        <f t="shared" si="45"/>
        <v>3500.0000000000009</v>
      </c>
      <c r="J1432" s="29">
        <f t="shared" si="44"/>
        <v>2250.0000000000005</v>
      </c>
      <c r="K1432" s="13"/>
      <c r="L1432" s="10"/>
    </row>
    <row r="1433" spans="1:12">
      <c r="A1433" s="13">
        <v>267</v>
      </c>
      <c r="B1433" s="48">
        <v>3398</v>
      </c>
      <c r="C1433" s="13" t="s">
        <v>2007</v>
      </c>
      <c r="D1433" s="49">
        <v>20000</v>
      </c>
      <c r="E1433" s="51">
        <v>7.4999999999999997E-2</v>
      </c>
      <c r="F1433" s="42">
        <v>30</v>
      </c>
      <c r="G1433" s="50">
        <v>40824</v>
      </c>
      <c r="H1433" s="49">
        <v>11</v>
      </c>
      <c r="I1433" s="49">
        <f t="shared" si="45"/>
        <v>16500</v>
      </c>
      <c r="J1433" s="29">
        <f t="shared" si="44"/>
        <v>10999.999999999998</v>
      </c>
      <c r="K1433" s="13" t="s">
        <v>2053</v>
      </c>
      <c r="L1433" s="10"/>
    </row>
    <row r="1434" spans="1:12">
      <c r="A1434" s="13">
        <v>268</v>
      </c>
      <c r="B1434" s="48">
        <v>3400</v>
      </c>
      <c r="C1434" s="13" t="s">
        <v>1392</v>
      </c>
      <c r="D1434" s="49">
        <v>10000</v>
      </c>
      <c r="E1434" s="51">
        <v>7.0000000000000007E-2</v>
      </c>
      <c r="F1434" s="42" t="s">
        <v>4036</v>
      </c>
      <c r="G1434" s="50">
        <v>40743</v>
      </c>
      <c r="H1434" s="49">
        <v>10</v>
      </c>
      <c r="I1434" s="49">
        <f t="shared" si="45"/>
        <v>1750.0000000000005</v>
      </c>
      <c r="J1434" s="29">
        <f t="shared" si="44"/>
        <v>1125.0000000000002</v>
      </c>
      <c r="K1434" s="13" t="s">
        <v>2054</v>
      </c>
      <c r="L1434" s="10"/>
    </row>
    <row r="1435" spans="1:12">
      <c r="A1435" s="13"/>
      <c r="B1435" s="48"/>
      <c r="C1435" s="13"/>
      <c r="D1435" s="49">
        <v>20000</v>
      </c>
      <c r="E1435" s="51">
        <v>7.4999999999999997E-2</v>
      </c>
      <c r="F1435" s="42">
        <v>15</v>
      </c>
      <c r="G1435" s="50">
        <v>40811</v>
      </c>
      <c r="H1435" s="49">
        <v>23</v>
      </c>
      <c r="I1435" s="49">
        <f t="shared" si="45"/>
        <v>17250</v>
      </c>
      <c r="J1435" s="29">
        <f t="shared" si="44"/>
        <v>11499.999999999998</v>
      </c>
      <c r="K1435" s="13"/>
      <c r="L1435" s="10"/>
    </row>
    <row r="1436" spans="1:12">
      <c r="A1436" s="13">
        <v>269</v>
      </c>
      <c r="B1436" s="48">
        <v>3402</v>
      </c>
      <c r="C1436" s="13" t="s">
        <v>1137</v>
      </c>
      <c r="D1436" s="49">
        <v>100000</v>
      </c>
      <c r="E1436" s="51">
        <v>0.06</v>
      </c>
      <c r="F1436" s="42">
        <v>30</v>
      </c>
      <c r="G1436" s="50">
        <v>40809</v>
      </c>
      <c r="H1436" s="49">
        <v>1</v>
      </c>
      <c r="I1436" s="49">
        <f t="shared" si="45"/>
        <v>6000</v>
      </c>
      <c r="J1436" s="29">
        <f t="shared" si="44"/>
        <v>3499.9999999999995</v>
      </c>
      <c r="K1436" s="13" t="s">
        <v>2055</v>
      </c>
      <c r="L1436" s="10"/>
    </row>
    <row r="1437" spans="1:12">
      <c r="A1437" s="13"/>
      <c r="B1437" s="48"/>
      <c r="C1437" s="13"/>
      <c r="D1437" s="49">
        <v>100000</v>
      </c>
      <c r="E1437" s="51">
        <v>0.06</v>
      </c>
      <c r="F1437" s="42">
        <v>30</v>
      </c>
      <c r="G1437" s="50">
        <v>40831</v>
      </c>
      <c r="H1437" s="49">
        <v>1</v>
      </c>
      <c r="I1437" s="49">
        <f t="shared" si="45"/>
        <v>6000</v>
      </c>
      <c r="J1437" s="29">
        <f t="shared" si="44"/>
        <v>3499.9999999999995</v>
      </c>
      <c r="K1437" s="13"/>
      <c r="L1437" s="10"/>
    </row>
    <row r="1438" spans="1:12">
      <c r="A1438" s="13"/>
      <c r="B1438" s="48"/>
      <c r="C1438" s="13"/>
      <c r="D1438" s="49">
        <v>100000</v>
      </c>
      <c r="E1438" s="51">
        <v>0.06</v>
      </c>
      <c r="F1438" s="42">
        <v>30</v>
      </c>
      <c r="G1438" s="50">
        <v>40838</v>
      </c>
      <c r="H1438" s="49">
        <v>1</v>
      </c>
      <c r="I1438" s="49">
        <f t="shared" si="45"/>
        <v>6000</v>
      </c>
      <c r="J1438" s="29">
        <f t="shared" si="44"/>
        <v>3499.9999999999995</v>
      </c>
      <c r="K1438" s="13"/>
      <c r="L1438" s="10"/>
    </row>
    <row r="1439" spans="1:12">
      <c r="A1439" s="13"/>
      <c r="B1439" s="48"/>
      <c r="C1439" s="13"/>
      <c r="D1439" s="49">
        <v>100000</v>
      </c>
      <c r="E1439" s="51">
        <v>0.06</v>
      </c>
      <c r="F1439" s="42">
        <v>30</v>
      </c>
      <c r="G1439" s="50">
        <v>40866</v>
      </c>
      <c r="H1439" s="49">
        <v>1</v>
      </c>
      <c r="I1439" s="49">
        <f t="shared" si="45"/>
        <v>6000</v>
      </c>
      <c r="J1439" s="29">
        <f t="shared" si="44"/>
        <v>3499.9999999999995</v>
      </c>
      <c r="K1439" s="13"/>
      <c r="L1439" s="10"/>
    </row>
    <row r="1440" spans="1:12">
      <c r="A1440" s="13"/>
      <c r="B1440" s="48"/>
      <c r="C1440" s="13"/>
      <c r="D1440" s="49">
        <v>100000</v>
      </c>
      <c r="E1440" s="51">
        <v>0.06</v>
      </c>
      <c r="F1440" s="42">
        <v>30</v>
      </c>
      <c r="G1440" s="50">
        <v>40872</v>
      </c>
      <c r="H1440" s="49">
        <v>1</v>
      </c>
      <c r="I1440" s="49">
        <f t="shared" si="45"/>
        <v>6000</v>
      </c>
      <c r="J1440" s="29">
        <f t="shared" si="44"/>
        <v>3499.9999999999995</v>
      </c>
      <c r="K1440" s="13"/>
      <c r="L1440" s="10"/>
    </row>
    <row r="1441" spans="1:12">
      <c r="A1441" s="13"/>
      <c r="B1441" s="48"/>
      <c r="C1441" s="13"/>
      <c r="D1441" s="49">
        <v>100000</v>
      </c>
      <c r="E1441" s="51">
        <v>0.06</v>
      </c>
      <c r="F1441" s="42">
        <v>30</v>
      </c>
      <c r="G1441" s="50">
        <v>41060</v>
      </c>
      <c r="H1441" s="49">
        <v>1</v>
      </c>
      <c r="I1441" s="49">
        <f t="shared" si="45"/>
        <v>6000</v>
      </c>
      <c r="J1441" s="29">
        <f t="shared" si="44"/>
        <v>3499.9999999999995</v>
      </c>
      <c r="K1441" s="13"/>
      <c r="L1441" s="10"/>
    </row>
    <row r="1442" spans="1:12">
      <c r="A1442" s="13"/>
      <c r="B1442" s="48"/>
      <c r="C1442" s="13"/>
      <c r="D1442" s="49">
        <v>100000</v>
      </c>
      <c r="E1442" s="51">
        <v>0.06</v>
      </c>
      <c r="F1442" s="42">
        <v>30</v>
      </c>
      <c r="G1442" s="50">
        <v>41096</v>
      </c>
      <c r="H1442" s="49">
        <v>1</v>
      </c>
      <c r="I1442" s="49">
        <f t="shared" si="45"/>
        <v>6000</v>
      </c>
      <c r="J1442" s="29">
        <f t="shared" si="44"/>
        <v>3499.9999999999995</v>
      </c>
      <c r="K1442" s="13"/>
      <c r="L1442" s="10"/>
    </row>
    <row r="1443" spans="1:12">
      <c r="A1443" s="13"/>
      <c r="B1443" s="48"/>
      <c r="C1443" s="13"/>
      <c r="D1443" s="49">
        <v>100000</v>
      </c>
      <c r="E1443" s="51">
        <v>0.06</v>
      </c>
      <c r="F1443" s="42">
        <v>30</v>
      </c>
      <c r="G1443" s="50">
        <v>41132</v>
      </c>
      <c r="H1443" s="49">
        <v>1</v>
      </c>
      <c r="I1443" s="49">
        <f t="shared" si="45"/>
        <v>6000</v>
      </c>
      <c r="J1443" s="29">
        <f t="shared" ref="J1443:J1506" si="46">IF(F1443="分期",D1443*(E1443-0.025)*2.5*H1443/10,D1443*(E1443-0.025)*F1443/30*H1443)</f>
        <v>3499.9999999999995</v>
      </c>
      <c r="K1443" s="13"/>
      <c r="L1443" s="10"/>
    </row>
    <row r="1444" spans="1:12">
      <c r="A1444" s="13"/>
      <c r="B1444" s="48"/>
      <c r="C1444" s="13"/>
      <c r="D1444" s="49">
        <v>100000</v>
      </c>
      <c r="E1444" s="51">
        <v>0.06</v>
      </c>
      <c r="F1444" s="42">
        <v>30</v>
      </c>
      <c r="G1444" s="50">
        <v>41279</v>
      </c>
      <c r="H1444" s="49">
        <v>1</v>
      </c>
      <c r="I1444" s="49">
        <f t="shared" si="45"/>
        <v>6000</v>
      </c>
      <c r="J1444" s="29">
        <f t="shared" si="46"/>
        <v>3499.9999999999995</v>
      </c>
      <c r="K1444" s="13"/>
      <c r="L1444" s="10"/>
    </row>
    <row r="1445" spans="1:12">
      <c r="A1445" s="13">
        <v>270</v>
      </c>
      <c r="B1445" s="48">
        <v>3404</v>
      </c>
      <c r="C1445" s="13" t="s">
        <v>1126</v>
      </c>
      <c r="D1445" s="49">
        <v>10000</v>
      </c>
      <c r="E1445" s="51">
        <v>7.0000000000000007E-2</v>
      </c>
      <c r="F1445" s="42" t="s">
        <v>4036</v>
      </c>
      <c r="G1445" s="50">
        <v>40798</v>
      </c>
      <c r="H1445" s="49">
        <v>10</v>
      </c>
      <c r="I1445" s="49">
        <f t="shared" si="45"/>
        <v>1750.0000000000005</v>
      </c>
      <c r="J1445" s="29">
        <f t="shared" si="46"/>
        <v>1125.0000000000002</v>
      </c>
      <c r="K1445" s="13" t="s">
        <v>2056</v>
      </c>
      <c r="L1445" s="10"/>
    </row>
    <row r="1446" spans="1:12">
      <c r="A1446" s="13">
        <v>271</v>
      </c>
      <c r="B1446" s="48">
        <v>3406</v>
      </c>
      <c r="C1446" s="13" t="s">
        <v>1894</v>
      </c>
      <c r="D1446" s="49">
        <v>30000</v>
      </c>
      <c r="E1446" s="51">
        <v>7.0000000000000007E-2</v>
      </c>
      <c r="F1446" s="42" t="s">
        <v>4036</v>
      </c>
      <c r="G1446" s="50">
        <v>40756</v>
      </c>
      <c r="H1446" s="49">
        <v>10</v>
      </c>
      <c r="I1446" s="49">
        <f t="shared" si="45"/>
        <v>5250</v>
      </c>
      <c r="J1446" s="29">
        <f t="shared" si="46"/>
        <v>3375.0000000000009</v>
      </c>
      <c r="K1446" s="13" t="s">
        <v>2057</v>
      </c>
      <c r="L1446" s="10"/>
    </row>
    <row r="1447" spans="1:12">
      <c r="A1447" s="13"/>
      <c r="B1447" s="48"/>
      <c r="C1447" s="13"/>
      <c r="D1447" s="49">
        <v>10000</v>
      </c>
      <c r="E1447" s="51">
        <v>7.0000000000000007E-2</v>
      </c>
      <c r="F1447" s="42" t="s">
        <v>4036</v>
      </c>
      <c r="G1447" s="50">
        <v>40821</v>
      </c>
      <c r="H1447" s="49">
        <v>10</v>
      </c>
      <c r="I1447" s="49">
        <f t="shared" si="45"/>
        <v>1750.0000000000005</v>
      </c>
      <c r="J1447" s="29">
        <f t="shared" si="46"/>
        <v>1125.0000000000002</v>
      </c>
      <c r="K1447" s="13"/>
      <c r="L1447" s="10"/>
    </row>
    <row r="1448" spans="1:12">
      <c r="A1448" s="13"/>
      <c r="B1448" s="48"/>
      <c r="C1448" s="13"/>
      <c r="D1448" s="49">
        <v>10000</v>
      </c>
      <c r="E1448" s="51">
        <v>7.0000000000000007E-2</v>
      </c>
      <c r="F1448" s="42" t="s">
        <v>4036</v>
      </c>
      <c r="G1448" s="50">
        <v>40828</v>
      </c>
      <c r="H1448" s="49">
        <v>10</v>
      </c>
      <c r="I1448" s="49">
        <f t="shared" si="45"/>
        <v>1750.0000000000005</v>
      </c>
      <c r="J1448" s="29">
        <f t="shared" si="46"/>
        <v>1125.0000000000002</v>
      </c>
      <c r="K1448" s="13"/>
      <c r="L1448" s="10"/>
    </row>
    <row r="1449" spans="1:12">
      <c r="A1449" s="13">
        <v>272</v>
      </c>
      <c r="B1449" s="48">
        <v>3408</v>
      </c>
      <c r="C1449" s="13" t="s">
        <v>3838</v>
      </c>
      <c r="D1449" s="49">
        <v>20000</v>
      </c>
      <c r="E1449" s="51">
        <v>7.0000000000000007E-2</v>
      </c>
      <c r="F1449" s="42" t="s">
        <v>4036</v>
      </c>
      <c r="G1449" s="50">
        <v>40756</v>
      </c>
      <c r="H1449" s="49">
        <v>10</v>
      </c>
      <c r="I1449" s="49">
        <f t="shared" si="45"/>
        <v>3500.0000000000009</v>
      </c>
      <c r="J1449" s="29">
        <f t="shared" si="46"/>
        <v>2250.0000000000005</v>
      </c>
      <c r="K1449" s="13" t="s">
        <v>2058</v>
      </c>
      <c r="L1449" s="10"/>
    </row>
    <row r="1450" spans="1:12">
      <c r="A1450" s="13"/>
      <c r="B1450" s="48"/>
      <c r="C1450" s="13"/>
      <c r="D1450" s="49">
        <v>10000</v>
      </c>
      <c r="E1450" s="51">
        <v>7.4999999999999997E-2</v>
      </c>
      <c r="F1450" s="42">
        <v>15</v>
      </c>
      <c r="G1450" s="50">
        <v>40809</v>
      </c>
      <c r="H1450" s="49">
        <v>6</v>
      </c>
      <c r="I1450" s="49">
        <f t="shared" si="45"/>
        <v>2250</v>
      </c>
      <c r="J1450" s="29">
        <f t="shared" si="46"/>
        <v>1499.9999999999998</v>
      </c>
      <c r="K1450" s="13"/>
      <c r="L1450" s="10"/>
    </row>
    <row r="1451" spans="1:12">
      <c r="A1451" s="13">
        <v>273</v>
      </c>
      <c r="B1451" s="48">
        <v>3410</v>
      </c>
      <c r="C1451" s="13" t="s">
        <v>1414</v>
      </c>
      <c r="D1451" s="49">
        <v>130000</v>
      </c>
      <c r="E1451" s="51">
        <v>7.4999999999999997E-2</v>
      </c>
      <c r="F1451" s="42">
        <v>15</v>
      </c>
      <c r="G1451" s="50">
        <v>40811</v>
      </c>
      <c r="H1451" s="49">
        <v>4</v>
      </c>
      <c r="I1451" s="49">
        <f t="shared" si="45"/>
        <v>19500</v>
      </c>
      <c r="J1451" s="29">
        <f t="shared" si="46"/>
        <v>12999.999999999998</v>
      </c>
      <c r="K1451" s="13" t="s">
        <v>2059</v>
      </c>
      <c r="L1451" s="10"/>
    </row>
    <row r="1452" spans="1:12">
      <c r="A1452" s="13"/>
      <c r="B1452" s="48"/>
      <c r="C1452" s="13"/>
      <c r="D1452" s="49">
        <v>140000</v>
      </c>
      <c r="E1452" s="51">
        <v>7.4999999999999997E-2</v>
      </c>
      <c r="F1452" s="42">
        <v>15</v>
      </c>
      <c r="G1452" s="50">
        <v>40871</v>
      </c>
      <c r="H1452" s="49">
        <v>1</v>
      </c>
      <c r="I1452" s="49">
        <f t="shared" si="45"/>
        <v>5250</v>
      </c>
      <c r="J1452" s="29">
        <f t="shared" si="46"/>
        <v>3499.9999999999995</v>
      </c>
      <c r="K1452" s="13"/>
      <c r="L1452" s="10"/>
    </row>
    <row r="1453" spans="1:12">
      <c r="A1453" s="13"/>
      <c r="B1453" s="48"/>
      <c r="C1453" s="13"/>
      <c r="D1453" s="49">
        <v>160000</v>
      </c>
      <c r="E1453" s="51">
        <v>7.4999999999999997E-2</v>
      </c>
      <c r="F1453" s="42">
        <v>15</v>
      </c>
      <c r="G1453" s="50">
        <v>40886</v>
      </c>
      <c r="H1453" s="49">
        <v>9</v>
      </c>
      <c r="I1453" s="49">
        <f t="shared" si="45"/>
        <v>54000</v>
      </c>
      <c r="J1453" s="29">
        <f t="shared" si="46"/>
        <v>35999.999999999993</v>
      </c>
      <c r="K1453" s="13"/>
      <c r="L1453" s="10"/>
    </row>
    <row r="1454" spans="1:12">
      <c r="A1454" s="13"/>
      <c r="B1454" s="48"/>
      <c r="C1454" s="13"/>
      <c r="D1454" s="49">
        <v>170000</v>
      </c>
      <c r="E1454" s="51">
        <v>7.4999999999999997E-2</v>
      </c>
      <c r="F1454" s="42">
        <v>15</v>
      </c>
      <c r="G1454" s="50">
        <v>41006</v>
      </c>
      <c r="H1454" s="49">
        <v>17</v>
      </c>
      <c r="I1454" s="49">
        <f t="shared" si="45"/>
        <v>108375</v>
      </c>
      <c r="J1454" s="29">
        <f t="shared" si="46"/>
        <v>72250</v>
      </c>
      <c r="K1454" s="13"/>
      <c r="L1454" s="10"/>
    </row>
    <row r="1455" spans="1:12">
      <c r="A1455" s="13"/>
      <c r="B1455" s="48"/>
      <c r="C1455" s="13"/>
      <c r="D1455" s="49">
        <v>190000</v>
      </c>
      <c r="E1455" s="51">
        <v>7.4999999999999997E-2</v>
      </c>
      <c r="F1455" s="42">
        <v>15</v>
      </c>
      <c r="G1455" s="50">
        <v>41261</v>
      </c>
      <c r="H1455" s="49">
        <v>3</v>
      </c>
      <c r="I1455" s="49">
        <f t="shared" si="45"/>
        <v>21375</v>
      </c>
      <c r="J1455" s="29">
        <f t="shared" si="46"/>
        <v>14250</v>
      </c>
      <c r="K1455" s="13"/>
      <c r="L1455" s="10"/>
    </row>
    <row r="1456" spans="1:12">
      <c r="A1456" s="13"/>
      <c r="B1456" s="48"/>
      <c r="C1456" s="13"/>
      <c r="D1456" s="49">
        <v>20000</v>
      </c>
      <c r="E1456" s="51">
        <v>7.0000000000000007E-2</v>
      </c>
      <c r="F1456" s="42" t="s">
        <v>4036</v>
      </c>
      <c r="G1456" s="50">
        <v>41290</v>
      </c>
      <c r="H1456" s="49">
        <v>1</v>
      </c>
      <c r="I1456" s="49">
        <f t="shared" si="45"/>
        <v>350.00000000000006</v>
      </c>
      <c r="J1456" s="29">
        <f t="shared" si="46"/>
        <v>225.00000000000006</v>
      </c>
      <c r="K1456" s="13"/>
      <c r="L1456" s="10"/>
    </row>
    <row r="1457" spans="1:12">
      <c r="A1457" s="13">
        <v>274</v>
      </c>
      <c r="B1457" s="48">
        <v>3414</v>
      </c>
      <c r="C1457" s="13" t="s">
        <v>1827</v>
      </c>
      <c r="D1457" s="49">
        <v>10000</v>
      </c>
      <c r="E1457" s="51">
        <v>7.0000000000000007E-2</v>
      </c>
      <c r="F1457" s="42" t="s">
        <v>4036</v>
      </c>
      <c r="G1457" s="50">
        <v>40772</v>
      </c>
      <c r="H1457" s="49">
        <v>9</v>
      </c>
      <c r="I1457" s="49">
        <f t="shared" si="45"/>
        <v>1575.0000000000002</v>
      </c>
      <c r="J1457" s="29">
        <f t="shared" si="46"/>
        <v>1012.5000000000002</v>
      </c>
      <c r="K1457" s="13" t="s">
        <v>2060</v>
      </c>
      <c r="L1457" s="10"/>
    </row>
    <row r="1458" spans="1:12">
      <c r="A1458" s="13"/>
      <c r="B1458" s="48"/>
      <c r="C1458" s="13"/>
      <c r="D1458" s="49">
        <v>20000</v>
      </c>
      <c r="E1458" s="51">
        <v>7.4999999999999997E-2</v>
      </c>
      <c r="F1458" s="42">
        <v>15</v>
      </c>
      <c r="G1458" s="50">
        <v>40810</v>
      </c>
      <c r="H1458" s="49">
        <v>5</v>
      </c>
      <c r="I1458" s="49">
        <f t="shared" si="45"/>
        <v>3750</v>
      </c>
      <c r="J1458" s="29">
        <f t="shared" si="46"/>
        <v>2499.9999999999995</v>
      </c>
      <c r="K1458" s="13"/>
      <c r="L1458" s="10"/>
    </row>
    <row r="1459" spans="1:12">
      <c r="A1459" s="13"/>
      <c r="B1459" s="48"/>
      <c r="C1459" s="13"/>
      <c r="D1459" s="49">
        <v>10000</v>
      </c>
      <c r="E1459" s="51">
        <v>7.4999999999999997E-2</v>
      </c>
      <c r="F1459" s="42">
        <v>15</v>
      </c>
      <c r="G1459" s="50">
        <v>40885</v>
      </c>
      <c r="H1459" s="49">
        <v>2</v>
      </c>
      <c r="I1459" s="49">
        <f t="shared" si="45"/>
        <v>750</v>
      </c>
      <c r="J1459" s="29">
        <f t="shared" si="46"/>
        <v>499.99999999999994</v>
      </c>
      <c r="K1459" s="13"/>
      <c r="L1459" s="10"/>
    </row>
    <row r="1460" spans="1:12">
      <c r="A1460" s="13"/>
      <c r="B1460" s="48"/>
      <c r="C1460" s="13"/>
      <c r="D1460" s="49">
        <v>5000</v>
      </c>
      <c r="E1460" s="51">
        <v>7.4999999999999997E-2</v>
      </c>
      <c r="F1460" s="42">
        <v>15</v>
      </c>
      <c r="G1460" s="50">
        <v>40915</v>
      </c>
      <c r="H1460" s="49">
        <v>3</v>
      </c>
      <c r="I1460" s="49">
        <f t="shared" si="45"/>
        <v>562.5</v>
      </c>
      <c r="J1460" s="29">
        <f t="shared" si="46"/>
        <v>374.99999999999994</v>
      </c>
      <c r="K1460" s="13"/>
      <c r="L1460" s="10"/>
    </row>
    <row r="1461" spans="1:12">
      <c r="A1461" s="13">
        <v>275</v>
      </c>
      <c r="B1461" s="48">
        <v>3416</v>
      </c>
      <c r="C1461" s="13" t="s">
        <v>1127</v>
      </c>
      <c r="D1461" s="49">
        <v>70000</v>
      </c>
      <c r="E1461" s="51">
        <v>7.4999999999999997E-2</v>
      </c>
      <c r="F1461" s="42">
        <v>15</v>
      </c>
      <c r="G1461" s="50">
        <v>40809</v>
      </c>
      <c r="H1461" s="49">
        <v>13</v>
      </c>
      <c r="I1461" s="49">
        <f t="shared" si="45"/>
        <v>34125</v>
      </c>
      <c r="J1461" s="29">
        <f t="shared" si="46"/>
        <v>22749.999999999996</v>
      </c>
      <c r="K1461" s="13" t="s">
        <v>2061</v>
      </c>
      <c r="L1461" s="10"/>
    </row>
    <row r="1462" spans="1:12">
      <c r="A1462" s="13">
        <v>276</v>
      </c>
      <c r="B1462" s="48">
        <v>3418</v>
      </c>
      <c r="C1462" s="13" t="s">
        <v>3847</v>
      </c>
      <c r="D1462" s="49">
        <v>20000</v>
      </c>
      <c r="E1462" s="51">
        <v>7.0000000000000007E-2</v>
      </c>
      <c r="F1462" s="42" t="s">
        <v>4036</v>
      </c>
      <c r="G1462" s="50">
        <v>40791</v>
      </c>
      <c r="H1462" s="49">
        <v>10</v>
      </c>
      <c r="I1462" s="49">
        <f t="shared" si="45"/>
        <v>3500.0000000000009</v>
      </c>
      <c r="J1462" s="29">
        <f t="shared" si="46"/>
        <v>2250.0000000000005</v>
      </c>
      <c r="K1462" s="13" t="s">
        <v>2062</v>
      </c>
      <c r="L1462" s="10"/>
    </row>
    <row r="1463" spans="1:12">
      <c r="A1463" s="13"/>
      <c r="B1463" s="48"/>
      <c r="C1463" s="13"/>
      <c r="D1463" s="49">
        <v>20000</v>
      </c>
      <c r="E1463" s="51">
        <v>7.0000000000000007E-2</v>
      </c>
      <c r="F1463" s="42" t="s">
        <v>4036</v>
      </c>
      <c r="G1463" s="50">
        <v>40848</v>
      </c>
      <c r="H1463" s="49">
        <v>10</v>
      </c>
      <c r="I1463" s="49">
        <f t="shared" si="45"/>
        <v>3500.0000000000009</v>
      </c>
      <c r="J1463" s="29">
        <f t="shared" si="46"/>
        <v>2250.0000000000005</v>
      </c>
      <c r="K1463" s="13"/>
      <c r="L1463" s="10"/>
    </row>
    <row r="1464" spans="1:12">
      <c r="A1464" s="13"/>
      <c r="B1464" s="48"/>
      <c r="C1464" s="13"/>
      <c r="D1464" s="49">
        <v>30000</v>
      </c>
      <c r="E1464" s="51">
        <v>7.4999999999999997E-2</v>
      </c>
      <c r="F1464" s="42">
        <v>15</v>
      </c>
      <c r="G1464" s="50">
        <v>40856</v>
      </c>
      <c r="H1464" s="49">
        <v>8</v>
      </c>
      <c r="I1464" s="49">
        <f t="shared" si="45"/>
        <v>9000</v>
      </c>
      <c r="J1464" s="29">
        <f t="shared" si="46"/>
        <v>5999.9999999999991</v>
      </c>
      <c r="K1464" s="13"/>
      <c r="L1464" s="10"/>
    </row>
    <row r="1465" spans="1:12">
      <c r="A1465" s="13"/>
      <c r="B1465" s="48"/>
      <c r="C1465" s="13"/>
      <c r="D1465" s="49">
        <v>20000</v>
      </c>
      <c r="E1465" s="51">
        <v>7.0000000000000007E-2</v>
      </c>
      <c r="F1465" s="42" t="s">
        <v>4036</v>
      </c>
      <c r="G1465" s="50">
        <v>40902</v>
      </c>
      <c r="H1465" s="49">
        <v>10</v>
      </c>
      <c r="I1465" s="49">
        <f t="shared" si="45"/>
        <v>3500.0000000000009</v>
      </c>
      <c r="J1465" s="29">
        <f t="shared" si="46"/>
        <v>2250.0000000000005</v>
      </c>
      <c r="K1465" s="13"/>
      <c r="L1465" s="10"/>
    </row>
    <row r="1466" spans="1:12">
      <c r="A1466" s="13"/>
      <c r="B1466" s="48"/>
      <c r="C1466" s="13"/>
      <c r="D1466" s="49">
        <v>20000</v>
      </c>
      <c r="E1466" s="51">
        <v>7.0000000000000007E-2</v>
      </c>
      <c r="F1466" s="42" t="s">
        <v>4036</v>
      </c>
      <c r="G1466" s="50">
        <v>40959</v>
      </c>
      <c r="H1466" s="49">
        <v>10</v>
      </c>
      <c r="I1466" s="49">
        <f t="shared" si="45"/>
        <v>3500.0000000000009</v>
      </c>
      <c r="J1466" s="29">
        <f t="shared" si="46"/>
        <v>2250.0000000000005</v>
      </c>
      <c r="K1466" s="13"/>
      <c r="L1466" s="10"/>
    </row>
    <row r="1467" spans="1:12">
      <c r="A1467" s="13"/>
      <c r="B1467" s="48"/>
      <c r="C1467" s="13"/>
      <c r="D1467" s="49">
        <v>60000</v>
      </c>
      <c r="E1467" s="51">
        <v>7.4999999999999997E-2</v>
      </c>
      <c r="F1467" s="42">
        <v>15</v>
      </c>
      <c r="G1467" s="50">
        <v>40961</v>
      </c>
      <c r="H1467" s="49">
        <v>23</v>
      </c>
      <c r="I1467" s="49">
        <f t="shared" si="45"/>
        <v>51750</v>
      </c>
      <c r="J1467" s="29">
        <f t="shared" si="46"/>
        <v>34499.999999999993</v>
      </c>
      <c r="K1467" s="13"/>
      <c r="L1467" s="10"/>
    </row>
    <row r="1468" spans="1:12">
      <c r="A1468" s="13"/>
      <c r="B1468" s="48"/>
      <c r="C1468" s="13"/>
      <c r="D1468" s="49">
        <v>20000</v>
      </c>
      <c r="E1468" s="51">
        <v>7.0000000000000007E-2</v>
      </c>
      <c r="F1468" s="42" t="s">
        <v>4036</v>
      </c>
      <c r="G1468" s="50">
        <v>41002</v>
      </c>
      <c r="H1468" s="49">
        <v>10</v>
      </c>
      <c r="I1468" s="49">
        <f t="shared" si="45"/>
        <v>3500.0000000000009</v>
      </c>
      <c r="J1468" s="29">
        <f t="shared" si="46"/>
        <v>2250.0000000000005</v>
      </c>
      <c r="K1468" s="13"/>
      <c r="L1468" s="10"/>
    </row>
    <row r="1469" spans="1:12">
      <c r="A1469" s="13"/>
      <c r="B1469" s="48"/>
      <c r="C1469" s="13"/>
      <c r="D1469" s="49">
        <v>20000</v>
      </c>
      <c r="E1469" s="51">
        <v>7.0000000000000007E-2</v>
      </c>
      <c r="F1469" s="42" t="s">
        <v>4036</v>
      </c>
      <c r="G1469" s="50">
        <v>41065</v>
      </c>
      <c r="H1469" s="49">
        <v>10</v>
      </c>
      <c r="I1469" s="49">
        <f t="shared" si="45"/>
        <v>3500.0000000000009</v>
      </c>
      <c r="J1469" s="29">
        <f t="shared" si="46"/>
        <v>2250.0000000000005</v>
      </c>
      <c r="K1469" s="13"/>
      <c r="L1469" s="10"/>
    </row>
    <row r="1470" spans="1:12">
      <c r="A1470" s="13"/>
      <c r="B1470" s="48"/>
      <c r="C1470" s="13"/>
      <c r="D1470" s="49">
        <v>20000</v>
      </c>
      <c r="E1470" s="51">
        <v>7.0000000000000007E-2</v>
      </c>
      <c r="F1470" s="42" t="s">
        <v>4036</v>
      </c>
      <c r="G1470" s="50">
        <v>41115</v>
      </c>
      <c r="H1470" s="49">
        <v>10</v>
      </c>
      <c r="I1470" s="49">
        <f t="shared" si="45"/>
        <v>3500.0000000000009</v>
      </c>
      <c r="J1470" s="29">
        <f t="shared" si="46"/>
        <v>2250.0000000000005</v>
      </c>
      <c r="K1470" s="13"/>
      <c r="L1470" s="10"/>
    </row>
    <row r="1471" spans="1:12">
      <c r="A1471" s="13"/>
      <c r="B1471" s="48"/>
      <c r="C1471" s="13"/>
      <c r="D1471" s="49">
        <v>20000</v>
      </c>
      <c r="E1471" s="51">
        <v>7.0000000000000007E-2</v>
      </c>
      <c r="F1471" s="42" t="s">
        <v>4036</v>
      </c>
      <c r="G1471" s="50">
        <v>41164</v>
      </c>
      <c r="H1471" s="49">
        <v>10</v>
      </c>
      <c r="I1471" s="49">
        <f t="shared" si="45"/>
        <v>3500.0000000000009</v>
      </c>
      <c r="J1471" s="29">
        <f t="shared" si="46"/>
        <v>2250.0000000000005</v>
      </c>
      <c r="K1471" s="13"/>
      <c r="L1471" s="10"/>
    </row>
    <row r="1472" spans="1:12">
      <c r="A1472" s="13"/>
      <c r="B1472" s="48"/>
      <c r="C1472" s="13"/>
      <c r="D1472" s="49">
        <v>20000</v>
      </c>
      <c r="E1472" s="51">
        <v>7.0000000000000007E-2</v>
      </c>
      <c r="F1472" s="42" t="s">
        <v>4036</v>
      </c>
      <c r="G1472" s="50">
        <v>41212</v>
      </c>
      <c r="H1472" s="49">
        <v>10</v>
      </c>
      <c r="I1472" s="49">
        <f t="shared" si="45"/>
        <v>3500.0000000000009</v>
      </c>
      <c r="J1472" s="29">
        <f t="shared" si="46"/>
        <v>2250.0000000000005</v>
      </c>
      <c r="K1472" s="13"/>
      <c r="L1472" s="10"/>
    </row>
    <row r="1473" spans="1:12">
      <c r="A1473" s="13"/>
      <c r="B1473" s="48"/>
      <c r="C1473" s="13"/>
      <c r="D1473" s="49">
        <v>20000</v>
      </c>
      <c r="E1473" s="51">
        <v>7.0000000000000007E-2</v>
      </c>
      <c r="F1473" s="42" t="s">
        <v>4036</v>
      </c>
      <c r="G1473" s="50">
        <v>41262</v>
      </c>
      <c r="H1473" s="49">
        <v>5</v>
      </c>
      <c r="I1473" s="49">
        <f t="shared" si="45"/>
        <v>1750.0000000000005</v>
      </c>
      <c r="J1473" s="29">
        <f t="shared" si="46"/>
        <v>1125.0000000000002</v>
      </c>
      <c r="K1473" s="13"/>
      <c r="L1473" s="10"/>
    </row>
    <row r="1474" spans="1:12">
      <c r="A1474" s="13">
        <v>277</v>
      </c>
      <c r="B1474" s="48">
        <v>3420</v>
      </c>
      <c r="C1474" s="13" t="s">
        <v>1091</v>
      </c>
      <c r="D1474" s="49">
        <v>50000</v>
      </c>
      <c r="E1474" s="51">
        <v>7.4999999999999997E-2</v>
      </c>
      <c r="F1474" s="42">
        <v>15</v>
      </c>
      <c r="G1474" s="50">
        <v>40815</v>
      </c>
      <c r="H1474" s="49">
        <v>1</v>
      </c>
      <c r="I1474" s="49">
        <f t="shared" si="45"/>
        <v>1875</v>
      </c>
      <c r="J1474" s="29">
        <f t="shared" si="46"/>
        <v>1250</v>
      </c>
      <c r="K1474" s="13" t="s">
        <v>2063</v>
      </c>
      <c r="L1474" s="10"/>
    </row>
    <row r="1475" spans="1:12">
      <c r="A1475" s="13"/>
      <c r="B1475" s="48"/>
      <c r="C1475" s="13"/>
      <c r="D1475" s="49">
        <v>10000</v>
      </c>
      <c r="E1475" s="51">
        <v>7.0000000000000007E-2</v>
      </c>
      <c r="F1475" s="42" t="s">
        <v>4036</v>
      </c>
      <c r="G1475" s="50">
        <v>40819</v>
      </c>
      <c r="H1475" s="49">
        <v>10</v>
      </c>
      <c r="I1475" s="49">
        <f t="shared" si="45"/>
        <v>1750.0000000000005</v>
      </c>
      <c r="J1475" s="29">
        <f t="shared" si="46"/>
        <v>1125.0000000000002</v>
      </c>
      <c r="K1475" s="13"/>
      <c r="L1475" s="10"/>
    </row>
    <row r="1476" spans="1:12">
      <c r="A1476" s="13"/>
      <c r="B1476" s="48"/>
      <c r="C1476" s="13"/>
      <c r="D1476" s="49">
        <v>45000</v>
      </c>
      <c r="E1476" s="51">
        <v>7.4999999999999997E-2</v>
      </c>
      <c r="F1476" s="42">
        <v>15</v>
      </c>
      <c r="G1476" s="50">
        <v>40830</v>
      </c>
      <c r="H1476" s="49">
        <v>1</v>
      </c>
      <c r="I1476" s="49">
        <f t="shared" ref="I1476:I1539" si="47">IF(F1476="分期",D1476*E1476*2.5*H1476/10,D1476*E1476*F1476*H1476/30)</f>
        <v>1687.5</v>
      </c>
      <c r="J1476" s="29">
        <f t="shared" si="46"/>
        <v>1125</v>
      </c>
      <c r="K1476" s="13"/>
      <c r="L1476" s="10"/>
    </row>
    <row r="1477" spans="1:12">
      <c r="A1477" s="13"/>
      <c r="B1477" s="48"/>
      <c r="C1477" s="13"/>
      <c r="D1477" s="49">
        <v>10000</v>
      </c>
      <c r="E1477" s="51">
        <v>7.0000000000000007E-2</v>
      </c>
      <c r="F1477" s="42" t="s">
        <v>4036</v>
      </c>
      <c r="G1477" s="50">
        <v>40843</v>
      </c>
      <c r="H1477" s="49">
        <v>10</v>
      </c>
      <c r="I1477" s="49">
        <f t="shared" si="47"/>
        <v>1750.0000000000005</v>
      </c>
      <c r="J1477" s="29">
        <f t="shared" si="46"/>
        <v>1125.0000000000002</v>
      </c>
      <c r="K1477" s="13"/>
      <c r="L1477" s="10"/>
    </row>
    <row r="1478" spans="1:12">
      <c r="A1478" s="13"/>
      <c r="B1478" s="48"/>
      <c r="C1478" s="13"/>
      <c r="D1478" s="49">
        <v>40000</v>
      </c>
      <c r="E1478" s="51">
        <v>7.4999999999999997E-2</v>
      </c>
      <c r="F1478" s="42">
        <v>15</v>
      </c>
      <c r="G1478" s="50">
        <v>40846</v>
      </c>
      <c r="H1478" s="49">
        <v>1</v>
      </c>
      <c r="I1478" s="49">
        <f t="shared" si="47"/>
        <v>1500</v>
      </c>
      <c r="J1478" s="29">
        <f t="shared" si="46"/>
        <v>999.99999999999989</v>
      </c>
      <c r="K1478" s="13"/>
      <c r="L1478" s="10"/>
    </row>
    <row r="1479" spans="1:12">
      <c r="A1479" s="13"/>
      <c r="B1479" s="48"/>
      <c r="C1479" s="13"/>
      <c r="D1479" s="49">
        <v>35000</v>
      </c>
      <c r="E1479" s="51">
        <v>7.4999999999999997E-2</v>
      </c>
      <c r="F1479" s="42">
        <v>15</v>
      </c>
      <c r="G1479" s="50">
        <v>40861</v>
      </c>
      <c r="H1479" s="49">
        <v>2</v>
      </c>
      <c r="I1479" s="49">
        <f t="shared" si="47"/>
        <v>2625</v>
      </c>
      <c r="J1479" s="29">
        <f t="shared" si="46"/>
        <v>1749.9999999999998</v>
      </c>
      <c r="K1479" s="13"/>
      <c r="L1479" s="10"/>
    </row>
    <row r="1480" spans="1:12">
      <c r="A1480" s="13"/>
      <c r="B1480" s="48"/>
      <c r="C1480" s="13"/>
      <c r="D1480" s="49">
        <v>50000</v>
      </c>
      <c r="E1480" s="51">
        <v>7.4999999999999997E-2</v>
      </c>
      <c r="F1480" s="42">
        <v>15</v>
      </c>
      <c r="G1480" s="50">
        <v>40891</v>
      </c>
      <c r="H1480" s="49">
        <v>1</v>
      </c>
      <c r="I1480" s="49">
        <f t="shared" si="47"/>
        <v>1875</v>
      </c>
      <c r="J1480" s="29">
        <f t="shared" si="46"/>
        <v>1250</v>
      </c>
      <c r="K1480" s="13"/>
      <c r="L1480" s="10"/>
    </row>
    <row r="1481" spans="1:12">
      <c r="A1481" s="13"/>
      <c r="B1481" s="48"/>
      <c r="C1481" s="13"/>
      <c r="D1481" s="49">
        <v>20000</v>
      </c>
      <c r="E1481" s="51">
        <v>7.0000000000000007E-2</v>
      </c>
      <c r="F1481" s="42" t="s">
        <v>4036</v>
      </c>
      <c r="G1481" s="50">
        <v>40897</v>
      </c>
      <c r="H1481" s="49">
        <v>10</v>
      </c>
      <c r="I1481" s="49">
        <f t="shared" si="47"/>
        <v>3500.0000000000009</v>
      </c>
      <c r="J1481" s="29">
        <f t="shared" si="46"/>
        <v>2250.0000000000005</v>
      </c>
      <c r="K1481" s="13"/>
      <c r="L1481" s="10"/>
    </row>
    <row r="1482" spans="1:12">
      <c r="A1482" s="13"/>
      <c r="B1482" s="48"/>
      <c r="C1482" s="13"/>
      <c r="D1482" s="49">
        <v>30000</v>
      </c>
      <c r="E1482" s="51">
        <v>7.4999999999999997E-2</v>
      </c>
      <c r="F1482" s="42">
        <v>15</v>
      </c>
      <c r="G1482" s="50">
        <v>40906</v>
      </c>
      <c r="H1482" s="49">
        <v>4</v>
      </c>
      <c r="I1482" s="49">
        <f t="shared" si="47"/>
        <v>4500</v>
      </c>
      <c r="J1482" s="29">
        <f t="shared" si="46"/>
        <v>2999.9999999999995</v>
      </c>
      <c r="K1482" s="13"/>
      <c r="L1482" s="10"/>
    </row>
    <row r="1483" spans="1:12">
      <c r="A1483" s="13"/>
      <c r="B1483" s="48"/>
      <c r="C1483" s="13"/>
      <c r="D1483" s="49">
        <v>20000</v>
      </c>
      <c r="E1483" s="51">
        <v>7.0000000000000007E-2</v>
      </c>
      <c r="F1483" s="42" t="s">
        <v>4036</v>
      </c>
      <c r="G1483" s="50">
        <v>40949</v>
      </c>
      <c r="H1483" s="49">
        <v>10</v>
      </c>
      <c r="I1483" s="49">
        <f t="shared" si="47"/>
        <v>3500.0000000000009</v>
      </c>
      <c r="J1483" s="29">
        <f t="shared" si="46"/>
        <v>2250.0000000000005</v>
      </c>
      <c r="K1483" s="13"/>
      <c r="L1483" s="10"/>
    </row>
    <row r="1484" spans="1:12">
      <c r="A1484" s="13"/>
      <c r="B1484" s="48"/>
      <c r="C1484" s="13"/>
      <c r="D1484" s="49">
        <v>30000</v>
      </c>
      <c r="E1484" s="51">
        <v>7.0000000000000007E-2</v>
      </c>
      <c r="F1484" s="42" t="s">
        <v>4036</v>
      </c>
      <c r="G1484" s="50">
        <v>40959</v>
      </c>
      <c r="H1484" s="49">
        <v>10</v>
      </c>
      <c r="I1484" s="49">
        <f t="shared" si="47"/>
        <v>5250</v>
      </c>
      <c r="J1484" s="29">
        <f t="shared" si="46"/>
        <v>3375.0000000000009</v>
      </c>
      <c r="K1484" s="13"/>
      <c r="L1484" s="10"/>
    </row>
    <row r="1485" spans="1:12">
      <c r="A1485" s="13"/>
      <c r="B1485" s="48"/>
      <c r="C1485" s="13"/>
      <c r="D1485" s="49">
        <v>20000</v>
      </c>
      <c r="E1485" s="51">
        <v>7.0000000000000007E-2</v>
      </c>
      <c r="F1485" s="42" t="s">
        <v>4036</v>
      </c>
      <c r="G1485" s="50">
        <v>40994</v>
      </c>
      <c r="H1485" s="49">
        <v>10</v>
      </c>
      <c r="I1485" s="49">
        <f t="shared" si="47"/>
        <v>3500.0000000000009</v>
      </c>
      <c r="J1485" s="29">
        <f t="shared" si="46"/>
        <v>2250.0000000000005</v>
      </c>
      <c r="K1485" s="13"/>
      <c r="L1485" s="10"/>
    </row>
    <row r="1486" spans="1:12">
      <c r="A1486" s="13"/>
      <c r="B1486" s="48"/>
      <c r="C1486" s="13"/>
      <c r="D1486" s="49">
        <v>10000</v>
      </c>
      <c r="E1486" s="51">
        <v>7.4999999999999997E-2</v>
      </c>
      <c r="F1486" s="42">
        <v>15</v>
      </c>
      <c r="G1486" s="50">
        <v>40997</v>
      </c>
      <c r="H1486" s="49">
        <v>2</v>
      </c>
      <c r="I1486" s="49">
        <f t="shared" si="47"/>
        <v>750</v>
      </c>
      <c r="J1486" s="29">
        <f t="shared" si="46"/>
        <v>499.99999999999994</v>
      </c>
      <c r="K1486" s="13"/>
      <c r="L1486" s="10"/>
    </row>
    <row r="1487" spans="1:12">
      <c r="A1487" s="13"/>
      <c r="B1487" s="48"/>
      <c r="C1487" s="13"/>
      <c r="D1487" s="49">
        <v>20000</v>
      </c>
      <c r="E1487" s="51">
        <v>7.0000000000000007E-2</v>
      </c>
      <c r="F1487" s="42" t="s">
        <v>4036</v>
      </c>
      <c r="G1487" s="50">
        <v>41009</v>
      </c>
      <c r="H1487" s="49">
        <v>10</v>
      </c>
      <c r="I1487" s="49">
        <f t="shared" si="47"/>
        <v>3500.0000000000009</v>
      </c>
      <c r="J1487" s="29">
        <f t="shared" si="46"/>
        <v>2250.0000000000005</v>
      </c>
      <c r="K1487" s="13"/>
      <c r="L1487" s="10"/>
    </row>
    <row r="1488" spans="1:12">
      <c r="A1488" s="13"/>
      <c r="B1488" s="48"/>
      <c r="C1488" s="13"/>
      <c r="D1488" s="49">
        <v>20000</v>
      </c>
      <c r="E1488" s="51">
        <v>7.4999999999999997E-2</v>
      </c>
      <c r="F1488" s="42">
        <v>15</v>
      </c>
      <c r="G1488" s="50">
        <v>41027</v>
      </c>
      <c r="H1488" s="49">
        <v>7</v>
      </c>
      <c r="I1488" s="49">
        <f t="shared" si="47"/>
        <v>5250</v>
      </c>
      <c r="J1488" s="29">
        <f t="shared" si="46"/>
        <v>3499.9999999999995</v>
      </c>
      <c r="K1488" s="13"/>
      <c r="L1488" s="10"/>
    </row>
    <row r="1489" spans="1:12">
      <c r="A1489" s="13"/>
      <c r="B1489" s="48"/>
      <c r="C1489" s="13"/>
      <c r="D1489" s="49">
        <v>20000</v>
      </c>
      <c r="E1489" s="51">
        <v>7.0000000000000007E-2</v>
      </c>
      <c r="F1489" s="42" t="s">
        <v>4036</v>
      </c>
      <c r="G1489" s="50">
        <v>41043</v>
      </c>
      <c r="H1489" s="49">
        <v>10</v>
      </c>
      <c r="I1489" s="49">
        <f t="shared" si="47"/>
        <v>3500.0000000000009</v>
      </c>
      <c r="J1489" s="29">
        <f t="shared" si="46"/>
        <v>2250.0000000000005</v>
      </c>
      <c r="K1489" s="13"/>
      <c r="L1489" s="10"/>
    </row>
    <row r="1490" spans="1:12">
      <c r="A1490" s="13"/>
      <c r="B1490" s="48"/>
      <c r="C1490" s="13"/>
      <c r="D1490" s="49">
        <v>20000</v>
      </c>
      <c r="E1490" s="51">
        <v>7.0000000000000007E-2</v>
      </c>
      <c r="F1490" s="42" t="s">
        <v>4036</v>
      </c>
      <c r="G1490" s="50">
        <v>41057</v>
      </c>
      <c r="H1490" s="49">
        <v>10</v>
      </c>
      <c r="I1490" s="49">
        <f t="shared" si="47"/>
        <v>3500.0000000000009</v>
      </c>
      <c r="J1490" s="29">
        <f t="shared" si="46"/>
        <v>2250.0000000000005</v>
      </c>
      <c r="K1490" s="13"/>
      <c r="L1490" s="10"/>
    </row>
    <row r="1491" spans="1:12">
      <c r="A1491" s="13"/>
      <c r="B1491" s="48"/>
      <c r="C1491" s="13"/>
      <c r="D1491" s="49">
        <v>20000</v>
      </c>
      <c r="E1491" s="51">
        <v>7.0000000000000007E-2</v>
      </c>
      <c r="F1491" s="42" t="s">
        <v>4036</v>
      </c>
      <c r="G1491" s="50">
        <v>41093</v>
      </c>
      <c r="H1491" s="49">
        <v>10</v>
      </c>
      <c r="I1491" s="49">
        <f t="shared" si="47"/>
        <v>3500.0000000000009</v>
      </c>
      <c r="J1491" s="29">
        <f t="shared" si="46"/>
        <v>2250.0000000000005</v>
      </c>
      <c r="K1491" s="13"/>
      <c r="L1491" s="10"/>
    </row>
    <row r="1492" spans="1:12">
      <c r="A1492" s="13"/>
      <c r="B1492" s="48"/>
      <c r="C1492" s="13"/>
      <c r="D1492" s="49">
        <v>20000</v>
      </c>
      <c r="E1492" s="51">
        <v>7.0000000000000007E-2</v>
      </c>
      <c r="F1492" s="42" t="s">
        <v>4036</v>
      </c>
      <c r="G1492" s="50">
        <v>41107</v>
      </c>
      <c r="H1492" s="49">
        <v>10</v>
      </c>
      <c r="I1492" s="49">
        <f t="shared" si="47"/>
        <v>3500.0000000000009</v>
      </c>
      <c r="J1492" s="29">
        <f t="shared" si="46"/>
        <v>2250.0000000000005</v>
      </c>
      <c r="K1492" s="13"/>
      <c r="L1492" s="10"/>
    </row>
    <row r="1493" spans="1:12">
      <c r="A1493" s="13">
        <v>278</v>
      </c>
      <c r="B1493" s="48">
        <v>3422</v>
      </c>
      <c r="C1493" s="13" t="s">
        <v>1169</v>
      </c>
      <c r="D1493" s="49">
        <v>30000</v>
      </c>
      <c r="E1493" s="51">
        <v>7.4999999999999997E-2</v>
      </c>
      <c r="F1493" s="42">
        <v>15</v>
      </c>
      <c r="G1493" s="50">
        <v>40807</v>
      </c>
      <c r="H1493" s="49">
        <v>4</v>
      </c>
      <c r="I1493" s="49">
        <f t="shared" si="47"/>
        <v>4500</v>
      </c>
      <c r="J1493" s="29">
        <f t="shared" si="46"/>
        <v>2999.9999999999995</v>
      </c>
      <c r="K1493" s="13" t="s">
        <v>2064</v>
      </c>
      <c r="L1493" s="10"/>
    </row>
    <row r="1494" spans="1:12">
      <c r="A1494" s="13"/>
      <c r="B1494" s="48"/>
      <c r="C1494" s="13"/>
      <c r="D1494" s="49">
        <v>10000</v>
      </c>
      <c r="E1494" s="51">
        <v>7.0000000000000007E-2</v>
      </c>
      <c r="F1494" s="42" t="s">
        <v>4036</v>
      </c>
      <c r="G1494" s="50">
        <v>40858</v>
      </c>
      <c r="H1494" s="49">
        <v>10</v>
      </c>
      <c r="I1494" s="49">
        <f t="shared" si="47"/>
        <v>1750.0000000000005</v>
      </c>
      <c r="J1494" s="29">
        <f t="shared" si="46"/>
        <v>1125.0000000000002</v>
      </c>
      <c r="K1494" s="13"/>
      <c r="L1494" s="10"/>
    </row>
    <row r="1495" spans="1:12">
      <c r="A1495" s="13"/>
      <c r="B1495" s="48"/>
      <c r="C1495" s="13"/>
      <c r="D1495" s="49">
        <v>20000</v>
      </c>
      <c r="E1495" s="51">
        <v>7.4999999999999997E-2</v>
      </c>
      <c r="F1495" s="42">
        <v>15</v>
      </c>
      <c r="G1495" s="50">
        <v>40867</v>
      </c>
      <c r="H1495" s="49">
        <v>5</v>
      </c>
      <c r="I1495" s="49">
        <f t="shared" si="47"/>
        <v>3750</v>
      </c>
      <c r="J1495" s="29">
        <f t="shared" si="46"/>
        <v>2499.9999999999995</v>
      </c>
      <c r="K1495" s="13"/>
      <c r="L1495" s="10"/>
    </row>
    <row r="1496" spans="1:12">
      <c r="A1496" s="13">
        <v>279</v>
      </c>
      <c r="B1496" s="48">
        <v>3424</v>
      </c>
      <c r="C1496" s="13" t="s">
        <v>1404</v>
      </c>
      <c r="D1496" s="49">
        <v>110000</v>
      </c>
      <c r="E1496" s="51">
        <v>7.4999999999999997E-2</v>
      </c>
      <c r="F1496" s="42">
        <v>15</v>
      </c>
      <c r="G1496" s="50">
        <v>40814</v>
      </c>
      <c r="H1496" s="49">
        <v>4</v>
      </c>
      <c r="I1496" s="49">
        <f t="shared" si="47"/>
        <v>16500</v>
      </c>
      <c r="J1496" s="29">
        <f t="shared" si="46"/>
        <v>10999.999999999998</v>
      </c>
      <c r="K1496" s="13" t="s">
        <v>2065</v>
      </c>
      <c r="L1496" s="10"/>
    </row>
    <row r="1497" spans="1:12">
      <c r="A1497" s="13"/>
      <c r="B1497" s="48"/>
      <c r="C1497" s="13"/>
      <c r="D1497" s="49">
        <v>80000</v>
      </c>
      <c r="E1497" s="51">
        <v>7.4999999999999997E-2</v>
      </c>
      <c r="F1497" s="42">
        <v>15</v>
      </c>
      <c r="G1497" s="50">
        <v>40922</v>
      </c>
      <c r="H1497" s="49">
        <v>3</v>
      </c>
      <c r="I1497" s="49">
        <f t="shared" si="47"/>
        <v>9000</v>
      </c>
      <c r="J1497" s="29">
        <f t="shared" si="46"/>
        <v>5999.9999999999991</v>
      </c>
      <c r="K1497" s="13"/>
      <c r="L1497" s="10"/>
    </row>
    <row r="1498" spans="1:12">
      <c r="A1498" s="13">
        <v>280</v>
      </c>
      <c r="B1498" s="48">
        <v>3426</v>
      </c>
      <c r="C1498" s="13" t="s">
        <v>4035</v>
      </c>
      <c r="D1498" s="49">
        <v>10000</v>
      </c>
      <c r="E1498" s="51">
        <v>7.0000000000000007E-2</v>
      </c>
      <c r="F1498" s="42" t="s">
        <v>4036</v>
      </c>
      <c r="G1498" s="50">
        <v>40814</v>
      </c>
      <c r="H1498" s="49">
        <v>10</v>
      </c>
      <c r="I1498" s="49">
        <f t="shared" si="47"/>
        <v>1750.0000000000005</v>
      </c>
      <c r="J1498" s="29">
        <f t="shared" si="46"/>
        <v>1125.0000000000002</v>
      </c>
      <c r="K1498" s="13" t="s">
        <v>2066</v>
      </c>
      <c r="L1498" s="10"/>
    </row>
    <row r="1499" spans="1:12">
      <c r="A1499" s="13"/>
      <c r="B1499" s="48"/>
      <c r="C1499" s="13"/>
      <c r="D1499" s="49">
        <v>10000</v>
      </c>
      <c r="E1499" s="51">
        <v>7.4999999999999997E-2</v>
      </c>
      <c r="F1499" s="42">
        <v>15</v>
      </c>
      <c r="G1499" s="50">
        <v>40822</v>
      </c>
      <c r="H1499" s="49">
        <v>4</v>
      </c>
      <c r="I1499" s="49">
        <f t="shared" si="47"/>
        <v>1500</v>
      </c>
      <c r="J1499" s="29">
        <f t="shared" si="46"/>
        <v>999.99999999999989</v>
      </c>
      <c r="K1499" s="13"/>
      <c r="L1499" s="10"/>
    </row>
    <row r="1500" spans="1:12">
      <c r="A1500" s="13"/>
      <c r="B1500" s="48"/>
      <c r="C1500" s="13"/>
      <c r="D1500" s="49">
        <v>10000</v>
      </c>
      <c r="E1500" s="51">
        <v>7.0000000000000007E-2</v>
      </c>
      <c r="F1500" s="42" t="s">
        <v>4036</v>
      </c>
      <c r="G1500" s="50">
        <v>40851</v>
      </c>
      <c r="H1500" s="49">
        <v>10</v>
      </c>
      <c r="I1500" s="49">
        <f t="shared" si="47"/>
        <v>1750.0000000000005</v>
      </c>
      <c r="J1500" s="29">
        <f t="shared" si="46"/>
        <v>1125.0000000000002</v>
      </c>
      <c r="K1500" s="13"/>
      <c r="L1500" s="10"/>
    </row>
    <row r="1501" spans="1:12">
      <c r="A1501" s="13"/>
      <c r="B1501" s="48"/>
      <c r="C1501" s="13"/>
      <c r="D1501" s="49">
        <v>10000</v>
      </c>
      <c r="E1501" s="51">
        <v>7.0000000000000007E-2</v>
      </c>
      <c r="F1501" s="42" t="s">
        <v>4036</v>
      </c>
      <c r="G1501" s="50">
        <v>40863</v>
      </c>
      <c r="H1501" s="49">
        <v>10</v>
      </c>
      <c r="I1501" s="49">
        <f t="shared" si="47"/>
        <v>1750.0000000000005</v>
      </c>
      <c r="J1501" s="29">
        <f t="shared" si="46"/>
        <v>1125.0000000000002</v>
      </c>
      <c r="K1501" s="13"/>
      <c r="L1501" s="10"/>
    </row>
    <row r="1502" spans="1:12">
      <c r="A1502" s="13"/>
      <c r="B1502" s="48"/>
      <c r="C1502" s="13"/>
      <c r="D1502" s="49">
        <v>30000</v>
      </c>
      <c r="E1502" s="51">
        <v>7.4999999999999997E-2</v>
      </c>
      <c r="F1502" s="42">
        <v>15</v>
      </c>
      <c r="G1502" s="50">
        <v>40882</v>
      </c>
      <c r="H1502" s="49">
        <v>28</v>
      </c>
      <c r="I1502" s="49">
        <f t="shared" si="47"/>
        <v>31500</v>
      </c>
      <c r="J1502" s="29">
        <f t="shared" si="46"/>
        <v>20999.999999999996</v>
      </c>
      <c r="K1502" s="13"/>
      <c r="L1502" s="10"/>
    </row>
    <row r="1503" spans="1:12">
      <c r="A1503" s="13"/>
      <c r="B1503" s="48"/>
      <c r="C1503" s="13"/>
      <c r="D1503" s="49">
        <v>10000</v>
      </c>
      <c r="E1503" s="51">
        <v>7.0000000000000007E-2</v>
      </c>
      <c r="F1503" s="42" t="s">
        <v>4036</v>
      </c>
      <c r="G1503" s="50">
        <v>40899</v>
      </c>
      <c r="H1503" s="49">
        <v>10</v>
      </c>
      <c r="I1503" s="49">
        <f t="shared" si="47"/>
        <v>1750.0000000000005</v>
      </c>
      <c r="J1503" s="29">
        <f t="shared" si="46"/>
        <v>1125.0000000000002</v>
      </c>
      <c r="K1503" s="13"/>
      <c r="L1503" s="10"/>
    </row>
    <row r="1504" spans="1:12">
      <c r="A1504" s="13"/>
      <c r="B1504" s="48"/>
      <c r="C1504" s="13"/>
      <c r="D1504" s="49">
        <v>10000</v>
      </c>
      <c r="E1504" s="51">
        <v>7.0000000000000007E-2</v>
      </c>
      <c r="F1504" s="42" t="s">
        <v>4036</v>
      </c>
      <c r="G1504" s="50">
        <v>40919</v>
      </c>
      <c r="H1504" s="49">
        <v>10</v>
      </c>
      <c r="I1504" s="49">
        <f t="shared" si="47"/>
        <v>1750.0000000000005</v>
      </c>
      <c r="J1504" s="29">
        <f t="shared" si="46"/>
        <v>1125.0000000000002</v>
      </c>
      <c r="K1504" s="13"/>
      <c r="L1504" s="10"/>
    </row>
    <row r="1505" spans="1:12">
      <c r="A1505" s="13"/>
      <c r="B1505" s="48"/>
      <c r="C1505" s="13"/>
      <c r="D1505" s="49">
        <v>10000</v>
      </c>
      <c r="E1505" s="51">
        <v>7.0000000000000007E-2</v>
      </c>
      <c r="F1505" s="42" t="s">
        <v>4036</v>
      </c>
      <c r="G1505" s="50">
        <v>40952</v>
      </c>
      <c r="H1505" s="49">
        <v>10</v>
      </c>
      <c r="I1505" s="49">
        <f t="shared" si="47"/>
        <v>1750.0000000000005</v>
      </c>
      <c r="J1505" s="29">
        <f t="shared" si="46"/>
        <v>1125.0000000000002</v>
      </c>
      <c r="K1505" s="13"/>
      <c r="L1505" s="10"/>
    </row>
    <row r="1506" spans="1:12">
      <c r="A1506" s="13"/>
      <c r="B1506" s="48"/>
      <c r="C1506" s="13"/>
      <c r="D1506" s="49">
        <v>10000</v>
      </c>
      <c r="E1506" s="51">
        <v>7.0000000000000007E-2</v>
      </c>
      <c r="F1506" s="42" t="s">
        <v>4036</v>
      </c>
      <c r="G1506" s="50">
        <v>40968</v>
      </c>
      <c r="H1506" s="49">
        <v>10</v>
      </c>
      <c r="I1506" s="49">
        <f t="shared" si="47"/>
        <v>1750.0000000000005</v>
      </c>
      <c r="J1506" s="29">
        <f t="shared" si="46"/>
        <v>1125.0000000000002</v>
      </c>
      <c r="K1506" s="13"/>
      <c r="L1506" s="10"/>
    </row>
    <row r="1507" spans="1:12">
      <c r="A1507" s="13"/>
      <c r="B1507" s="48"/>
      <c r="C1507" s="13"/>
      <c r="D1507" s="49">
        <v>10000</v>
      </c>
      <c r="E1507" s="51">
        <v>7.0000000000000007E-2</v>
      </c>
      <c r="F1507" s="42" t="s">
        <v>4036</v>
      </c>
      <c r="G1507" s="50">
        <v>40996</v>
      </c>
      <c r="H1507" s="49">
        <v>10</v>
      </c>
      <c r="I1507" s="49">
        <f t="shared" si="47"/>
        <v>1750.0000000000005</v>
      </c>
      <c r="J1507" s="29">
        <f t="shared" ref="J1507:J1570" si="48">IF(F1507="分期",D1507*(E1507-0.025)*2.5*H1507/10,D1507*(E1507-0.025)*F1507/30*H1507)</f>
        <v>1125.0000000000002</v>
      </c>
      <c r="K1507" s="13"/>
      <c r="L1507" s="10"/>
    </row>
    <row r="1508" spans="1:12">
      <c r="A1508" s="13"/>
      <c r="B1508" s="48"/>
      <c r="C1508" s="13"/>
      <c r="D1508" s="49">
        <v>10000</v>
      </c>
      <c r="E1508" s="51">
        <v>7.0000000000000007E-2</v>
      </c>
      <c r="F1508" s="42" t="s">
        <v>4036</v>
      </c>
      <c r="G1508" s="50">
        <v>41010</v>
      </c>
      <c r="H1508" s="49">
        <v>10</v>
      </c>
      <c r="I1508" s="49">
        <f t="shared" si="47"/>
        <v>1750.0000000000005</v>
      </c>
      <c r="J1508" s="29">
        <f t="shared" si="48"/>
        <v>1125.0000000000002</v>
      </c>
      <c r="K1508" s="13"/>
      <c r="L1508" s="10"/>
    </row>
    <row r="1509" spans="1:12">
      <c r="A1509" s="13"/>
      <c r="B1509" s="48"/>
      <c r="C1509" s="13"/>
      <c r="D1509" s="49">
        <v>10000</v>
      </c>
      <c r="E1509" s="51">
        <v>7.0000000000000007E-2</v>
      </c>
      <c r="F1509" s="42" t="s">
        <v>4036</v>
      </c>
      <c r="G1509" s="50">
        <v>41043</v>
      </c>
      <c r="H1509" s="49">
        <v>10</v>
      </c>
      <c r="I1509" s="49">
        <f t="shared" si="47"/>
        <v>1750.0000000000005</v>
      </c>
      <c r="J1509" s="29">
        <f t="shared" si="48"/>
        <v>1125.0000000000002</v>
      </c>
      <c r="K1509" s="13"/>
      <c r="L1509" s="10"/>
    </row>
    <row r="1510" spans="1:12">
      <c r="A1510" s="13"/>
      <c r="B1510" s="48"/>
      <c r="C1510" s="13"/>
      <c r="D1510" s="49">
        <v>10000</v>
      </c>
      <c r="E1510" s="51">
        <v>7.0000000000000007E-2</v>
      </c>
      <c r="F1510" s="42" t="s">
        <v>4036</v>
      </c>
      <c r="G1510" s="50">
        <v>41052</v>
      </c>
      <c r="H1510" s="49">
        <v>10</v>
      </c>
      <c r="I1510" s="49">
        <f t="shared" si="47"/>
        <v>1750.0000000000005</v>
      </c>
      <c r="J1510" s="29">
        <f t="shared" si="48"/>
        <v>1125.0000000000002</v>
      </c>
      <c r="K1510" s="13"/>
      <c r="L1510" s="10"/>
    </row>
    <row r="1511" spans="1:12">
      <c r="A1511" s="13"/>
      <c r="B1511" s="48"/>
      <c r="C1511" s="13"/>
      <c r="D1511" s="49">
        <v>10000</v>
      </c>
      <c r="E1511" s="51">
        <v>7.0000000000000007E-2</v>
      </c>
      <c r="F1511" s="42" t="s">
        <v>4036</v>
      </c>
      <c r="G1511" s="50">
        <v>41085</v>
      </c>
      <c r="H1511" s="49">
        <v>10</v>
      </c>
      <c r="I1511" s="49">
        <f t="shared" si="47"/>
        <v>1750.0000000000005</v>
      </c>
      <c r="J1511" s="29">
        <f t="shared" si="48"/>
        <v>1125.0000000000002</v>
      </c>
      <c r="K1511" s="13"/>
      <c r="L1511" s="10"/>
    </row>
    <row r="1512" spans="1:12">
      <c r="A1512" s="13"/>
      <c r="B1512" s="48"/>
      <c r="C1512" s="13"/>
      <c r="D1512" s="49">
        <v>10000</v>
      </c>
      <c r="E1512" s="51">
        <v>7.0000000000000007E-2</v>
      </c>
      <c r="F1512" s="42" t="s">
        <v>4036</v>
      </c>
      <c r="G1512" s="50">
        <v>41094</v>
      </c>
      <c r="H1512" s="49">
        <v>10</v>
      </c>
      <c r="I1512" s="49">
        <f t="shared" si="47"/>
        <v>1750.0000000000005</v>
      </c>
      <c r="J1512" s="29">
        <f t="shared" si="48"/>
        <v>1125.0000000000002</v>
      </c>
      <c r="K1512" s="13"/>
      <c r="L1512" s="10"/>
    </row>
    <row r="1513" spans="1:12">
      <c r="A1513" s="13"/>
      <c r="B1513" s="48"/>
      <c r="C1513" s="13"/>
      <c r="D1513" s="49">
        <v>10000</v>
      </c>
      <c r="E1513" s="51">
        <v>7.0000000000000007E-2</v>
      </c>
      <c r="F1513" s="42" t="s">
        <v>4036</v>
      </c>
      <c r="G1513" s="50">
        <v>41130</v>
      </c>
      <c r="H1513" s="49">
        <v>10</v>
      </c>
      <c r="I1513" s="49">
        <f t="shared" si="47"/>
        <v>1750.0000000000005</v>
      </c>
      <c r="J1513" s="29">
        <f t="shared" si="48"/>
        <v>1125.0000000000002</v>
      </c>
      <c r="K1513" s="13"/>
      <c r="L1513" s="10"/>
    </row>
    <row r="1514" spans="1:12">
      <c r="A1514" s="13"/>
      <c r="B1514" s="48"/>
      <c r="C1514" s="13"/>
      <c r="D1514" s="49">
        <v>10000</v>
      </c>
      <c r="E1514" s="51">
        <v>7.0000000000000007E-2</v>
      </c>
      <c r="F1514" s="42" t="s">
        <v>4036</v>
      </c>
      <c r="G1514" s="50">
        <v>41142</v>
      </c>
      <c r="H1514" s="49">
        <v>10</v>
      </c>
      <c r="I1514" s="49">
        <f t="shared" si="47"/>
        <v>1750.0000000000005</v>
      </c>
      <c r="J1514" s="29">
        <f t="shared" si="48"/>
        <v>1125.0000000000002</v>
      </c>
      <c r="K1514" s="13"/>
      <c r="L1514" s="10"/>
    </row>
    <row r="1515" spans="1:12">
      <c r="A1515" s="13"/>
      <c r="B1515" s="48"/>
      <c r="C1515" s="13"/>
      <c r="D1515" s="49">
        <v>10000</v>
      </c>
      <c r="E1515" s="51">
        <v>7.0000000000000007E-2</v>
      </c>
      <c r="F1515" s="42" t="s">
        <v>4036</v>
      </c>
      <c r="G1515" s="50">
        <v>41172</v>
      </c>
      <c r="H1515" s="49">
        <v>10</v>
      </c>
      <c r="I1515" s="49">
        <f t="shared" si="47"/>
        <v>1750.0000000000005</v>
      </c>
      <c r="J1515" s="29">
        <f t="shared" si="48"/>
        <v>1125.0000000000002</v>
      </c>
      <c r="K1515" s="13"/>
      <c r="L1515" s="10"/>
    </row>
    <row r="1516" spans="1:12">
      <c r="A1516" s="13"/>
      <c r="B1516" s="48"/>
      <c r="C1516" s="13"/>
      <c r="D1516" s="49">
        <v>10000</v>
      </c>
      <c r="E1516" s="51">
        <v>7.0000000000000007E-2</v>
      </c>
      <c r="F1516" s="42" t="s">
        <v>4036</v>
      </c>
      <c r="G1516" s="50">
        <v>41185</v>
      </c>
      <c r="H1516" s="49">
        <v>10</v>
      </c>
      <c r="I1516" s="49">
        <f t="shared" si="47"/>
        <v>1750.0000000000005</v>
      </c>
      <c r="J1516" s="29">
        <f t="shared" si="48"/>
        <v>1125.0000000000002</v>
      </c>
      <c r="K1516" s="13"/>
      <c r="L1516" s="10"/>
    </row>
    <row r="1517" spans="1:12">
      <c r="A1517" s="13"/>
      <c r="B1517" s="48"/>
      <c r="C1517" s="13"/>
      <c r="D1517" s="49">
        <v>10000</v>
      </c>
      <c r="E1517" s="51">
        <v>7.0000000000000007E-2</v>
      </c>
      <c r="F1517" s="42" t="s">
        <v>4036</v>
      </c>
      <c r="G1517" s="50">
        <v>41214</v>
      </c>
      <c r="H1517" s="49">
        <v>10</v>
      </c>
      <c r="I1517" s="49">
        <f t="shared" si="47"/>
        <v>1750.0000000000005</v>
      </c>
      <c r="J1517" s="29">
        <f t="shared" si="48"/>
        <v>1125.0000000000002</v>
      </c>
      <c r="K1517" s="13"/>
      <c r="L1517" s="10"/>
    </row>
    <row r="1518" spans="1:12">
      <c r="A1518" s="13"/>
      <c r="B1518" s="48"/>
      <c r="C1518" s="13"/>
      <c r="D1518" s="49">
        <v>10000</v>
      </c>
      <c r="E1518" s="51">
        <v>7.0000000000000007E-2</v>
      </c>
      <c r="F1518" s="42" t="s">
        <v>4036</v>
      </c>
      <c r="G1518" s="50">
        <v>41234</v>
      </c>
      <c r="H1518" s="49">
        <v>10</v>
      </c>
      <c r="I1518" s="49">
        <f t="shared" si="47"/>
        <v>1750.0000000000005</v>
      </c>
      <c r="J1518" s="29">
        <f t="shared" si="48"/>
        <v>1125.0000000000002</v>
      </c>
      <c r="K1518" s="13"/>
      <c r="L1518" s="10"/>
    </row>
    <row r="1519" spans="1:12">
      <c r="A1519" s="13"/>
      <c r="B1519" s="48"/>
      <c r="C1519" s="13"/>
      <c r="D1519" s="49">
        <v>10000</v>
      </c>
      <c r="E1519" s="51">
        <v>7.0000000000000007E-2</v>
      </c>
      <c r="F1519" s="42" t="s">
        <v>4036</v>
      </c>
      <c r="G1519" s="50">
        <v>41262</v>
      </c>
      <c r="H1519" s="49">
        <v>10</v>
      </c>
      <c r="I1519" s="49">
        <f t="shared" si="47"/>
        <v>1750.0000000000005</v>
      </c>
      <c r="J1519" s="29">
        <f t="shared" si="48"/>
        <v>1125.0000000000002</v>
      </c>
      <c r="K1519" s="13"/>
      <c r="L1519" s="10"/>
    </row>
    <row r="1520" spans="1:12">
      <c r="A1520" s="13"/>
      <c r="B1520" s="48"/>
      <c r="C1520" s="13"/>
      <c r="D1520" s="49">
        <v>10000</v>
      </c>
      <c r="E1520" s="51">
        <v>7.0000000000000007E-2</v>
      </c>
      <c r="F1520" s="42" t="s">
        <v>4036</v>
      </c>
      <c r="G1520" s="50">
        <v>41268</v>
      </c>
      <c r="H1520" s="49">
        <v>10</v>
      </c>
      <c r="I1520" s="49">
        <f t="shared" si="47"/>
        <v>1750.0000000000005</v>
      </c>
      <c r="J1520" s="29">
        <f t="shared" si="48"/>
        <v>1125.0000000000002</v>
      </c>
      <c r="K1520" s="13"/>
      <c r="L1520" s="10"/>
    </row>
    <row r="1521" spans="1:12">
      <c r="A1521" s="13"/>
      <c r="B1521" s="48"/>
      <c r="C1521" s="13"/>
      <c r="D1521" s="49">
        <v>10000</v>
      </c>
      <c r="E1521" s="51">
        <v>7.0000000000000007E-2</v>
      </c>
      <c r="F1521" s="42" t="s">
        <v>4036</v>
      </c>
      <c r="G1521" s="50">
        <v>41275</v>
      </c>
      <c r="H1521" s="53">
        <v>3</v>
      </c>
      <c r="I1521" s="49">
        <f t="shared" si="47"/>
        <v>525.00000000000011</v>
      </c>
      <c r="J1521" s="29">
        <f t="shared" si="48"/>
        <v>337.50000000000011</v>
      </c>
      <c r="K1521" s="13"/>
      <c r="L1521" s="10"/>
    </row>
    <row r="1522" spans="1:12">
      <c r="A1522" s="13"/>
      <c r="B1522" s="48"/>
      <c r="C1522" s="13"/>
      <c r="D1522" s="49">
        <v>10000</v>
      </c>
      <c r="E1522" s="51">
        <v>7.0000000000000007E-2</v>
      </c>
      <c r="F1522" s="42" t="s">
        <v>4036</v>
      </c>
      <c r="G1522" s="50">
        <v>41289</v>
      </c>
      <c r="H1522" s="53">
        <v>1</v>
      </c>
      <c r="I1522" s="49">
        <f t="shared" si="47"/>
        <v>175.00000000000003</v>
      </c>
      <c r="J1522" s="29">
        <f t="shared" si="48"/>
        <v>112.50000000000003</v>
      </c>
      <c r="K1522" s="13"/>
      <c r="L1522" s="10"/>
    </row>
    <row r="1523" spans="1:12">
      <c r="A1523" s="13">
        <v>281</v>
      </c>
      <c r="B1523" s="48">
        <v>3428</v>
      </c>
      <c r="C1523" s="13" t="s">
        <v>2583</v>
      </c>
      <c r="D1523" s="49">
        <v>10000</v>
      </c>
      <c r="E1523" s="51">
        <v>7.4999999999999997E-2</v>
      </c>
      <c r="F1523" s="42">
        <v>15</v>
      </c>
      <c r="G1523" s="50">
        <v>40853</v>
      </c>
      <c r="H1523" s="49">
        <v>21</v>
      </c>
      <c r="I1523" s="49">
        <f t="shared" si="47"/>
        <v>7875</v>
      </c>
      <c r="J1523" s="29">
        <f t="shared" si="48"/>
        <v>5249.9999999999991</v>
      </c>
      <c r="K1523" s="13" t="s">
        <v>2067</v>
      </c>
      <c r="L1523" s="10"/>
    </row>
    <row r="1524" spans="1:12">
      <c r="A1524" s="13">
        <v>282</v>
      </c>
      <c r="B1524" s="48">
        <v>3430</v>
      </c>
      <c r="C1524" s="13" t="s">
        <v>1105</v>
      </c>
      <c r="D1524" s="49">
        <v>55000</v>
      </c>
      <c r="E1524" s="51">
        <v>7.4999999999999997E-2</v>
      </c>
      <c r="F1524" s="42">
        <v>15</v>
      </c>
      <c r="G1524" s="50">
        <v>40846</v>
      </c>
      <c r="H1524" s="49">
        <v>31</v>
      </c>
      <c r="I1524" s="49">
        <f t="shared" si="47"/>
        <v>63937.5</v>
      </c>
      <c r="J1524" s="29">
        <f t="shared" si="48"/>
        <v>42624.999999999993</v>
      </c>
      <c r="K1524" s="13" t="s">
        <v>2068</v>
      </c>
      <c r="L1524" s="10"/>
    </row>
    <row r="1525" spans="1:12">
      <c r="A1525" s="13">
        <v>283</v>
      </c>
      <c r="B1525" s="48">
        <v>3432</v>
      </c>
      <c r="C1525" s="13" t="s">
        <v>2005</v>
      </c>
      <c r="D1525" s="49">
        <v>25000</v>
      </c>
      <c r="E1525" s="51">
        <v>7.4999999999999997E-2</v>
      </c>
      <c r="F1525" s="42">
        <v>15</v>
      </c>
      <c r="G1525" s="50">
        <v>40851</v>
      </c>
      <c r="H1525" s="49">
        <v>1</v>
      </c>
      <c r="I1525" s="49">
        <f t="shared" si="47"/>
        <v>937.5</v>
      </c>
      <c r="J1525" s="29">
        <f t="shared" si="48"/>
        <v>625</v>
      </c>
      <c r="K1525" s="13" t="s">
        <v>2069</v>
      </c>
      <c r="L1525" s="10"/>
    </row>
    <row r="1526" spans="1:12">
      <c r="A1526" s="13">
        <v>284</v>
      </c>
      <c r="B1526" s="48">
        <v>3434</v>
      </c>
      <c r="C1526" s="13" t="s">
        <v>277</v>
      </c>
      <c r="D1526" s="49">
        <v>10000</v>
      </c>
      <c r="E1526" s="51">
        <v>7.0000000000000007E-2</v>
      </c>
      <c r="F1526" s="42" t="s">
        <v>4036</v>
      </c>
      <c r="G1526" s="50">
        <v>40849</v>
      </c>
      <c r="H1526" s="49">
        <v>10</v>
      </c>
      <c r="I1526" s="49">
        <f t="shared" si="47"/>
        <v>1750.0000000000005</v>
      </c>
      <c r="J1526" s="29">
        <f t="shared" si="48"/>
        <v>1125.0000000000002</v>
      </c>
      <c r="K1526" s="13" t="s">
        <v>2070</v>
      </c>
      <c r="L1526" s="10"/>
    </row>
    <row r="1527" spans="1:12">
      <c r="A1527" s="13"/>
      <c r="B1527" s="48"/>
      <c r="C1527" s="13"/>
      <c r="D1527" s="49">
        <v>10000</v>
      </c>
      <c r="E1527" s="51">
        <v>7.4999999999999997E-2</v>
      </c>
      <c r="F1527" s="42">
        <v>15</v>
      </c>
      <c r="G1527" s="50">
        <v>40857</v>
      </c>
      <c r="H1527" s="49">
        <v>9</v>
      </c>
      <c r="I1527" s="49">
        <f t="shared" si="47"/>
        <v>3375</v>
      </c>
      <c r="J1527" s="29">
        <f t="shared" si="48"/>
        <v>2249.9999999999995</v>
      </c>
      <c r="K1527" s="13"/>
      <c r="L1527" s="10"/>
    </row>
    <row r="1528" spans="1:12">
      <c r="A1528" s="13"/>
      <c r="B1528" s="48"/>
      <c r="C1528" s="13"/>
      <c r="D1528" s="49">
        <v>10000</v>
      </c>
      <c r="E1528" s="51">
        <v>7.0000000000000007E-2</v>
      </c>
      <c r="F1528" s="42" t="s">
        <v>4036</v>
      </c>
      <c r="G1528" s="50">
        <v>40905</v>
      </c>
      <c r="H1528" s="49">
        <v>10</v>
      </c>
      <c r="I1528" s="49">
        <f t="shared" si="47"/>
        <v>1750.0000000000005</v>
      </c>
      <c r="J1528" s="29">
        <f t="shared" si="48"/>
        <v>1125.0000000000002</v>
      </c>
      <c r="K1528" s="13"/>
      <c r="L1528" s="10"/>
    </row>
    <row r="1529" spans="1:12">
      <c r="A1529" s="13">
        <v>285</v>
      </c>
      <c r="B1529" s="48">
        <v>3436</v>
      </c>
      <c r="C1529" s="13" t="s">
        <v>3621</v>
      </c>
      <c r="D1529" s="49">
        <v>10000</v>
      </c>
      <c r="E1529" s="51">
        <v>7.0000000000000007E-2</v>
      </c>
      <c r="F1529" s="42" t="s">
        <v>4036</v>
      </c>
      <c r="G1529" s="50">
        <v>40882</v>
      </c>
      <c r="H1529" s="49">
        <v>10</v>
      </c>
      <c r="I1529" s="49">
        <f t="shared" si="47"/>
        <v>1750.0000000000005</v>
      </c>
      <c r="J1529" s="29">
        <f t="shared" si="48"/>
        <v>1125.0000000000002</v>
      </c>
      <c r="K1529" s="13" t="s">
        <v>2071</v>
      </c>
      <c r="L1529" s="10"/>
    </row>
    <row r="1530" spans="1:12">
      <c r="A1530" s="13"/>
      <c r="B1530" s="48"/>
      <c r="C1530" s="13"/>
      <c r="D1530" s="49">
        <v>20000</v>
      </c>
      <c r="E1530" s="51">
        <v>7.4999999999999997E-2</v>
      </c>
      <c r="F1530" s="42">
        <v>15</v>
      </c>
      <c r="G1530" s="50">
        <v>40889</v>
      </c>
      <c r="H1530" s="49">
        <v>8</v>
      </c>
      <c r="I1530" s="49">
        <f t="shared" si="47"/>
        <v>6000</v>
      </c>
      <c r="J1530" s="29">
        <f t="shared" si="48"/>
        <v>3999.9999999999995</v>
      </c>
      <c r="K1530" s="13"/>
      <c r="L1530" s="10"/>
    </row>
    <row r="1531" spans="1:12">
      <c r="A1531" s="13"/>
      <c r="B1531" s="48"/>
      <c r="C1531" s="13"/>
      <c r="D1531" s="49">
        <v>10000</v>
      </c>
      <c r="E1531" s="51">
        <v>7.0000000000000007E-2</v>
      </c>
      <c r="F1531" s="42" t="s">
        <v>4036</v>
      </c>
      <c r="G1531" s="50">
        <v>40952</v>
      </c>
      <c r="H1531" s="49">
        <v>10</v>
      </c>
      <c r="I1531" s="49">
        <f t="shared" si="47"/>
        <v>1750.0000000000005</v>
      </c>
      <c r="J1531" s="29">
        <f t="shared" si="48"/>
        <v>1125.0000000000002</v>
      </c>
      <c r="K1531" s="13"/>
      <c r="L1531" s="10"/>
    </row>
    <row r="1532" spans="1:12">
      <c r="A1532" s="13"/>
      <c r="B1532" s="48"/>
      <c r="C1532" s="13"/>
      <c r="D1532" s="49">
        <v>40000</v>
      </c>
      <c r="E1532" s="51">
        <v>7.4999999999999997E-2</v>
      </c>
      <c r="F1532" s="42">
        <v>15</v>
      </c>
      <c r="G1532" s="50">
        <v>41010</v>
      </c>
      <c r="H1532" s="49">
        <v>4</v>
      </c>
      <c r="I1532" s="49">
        <f t="shared" si="47"/>
        <v>6000</v>
      </c>
      <c r="J1532" s="29">
        <f t="shared" si="48"/>
        <v>3999.9999999999995</v>
      </c>
      <c r="K1532" s="13"/>
      <c r="L1532" s="10"/>
    </row>
    <row r="1533" spans="1:12">
      <c r="A1533" s="13"/>
      <c r="B1533" s="48"/>
      <c r="C1533" s="13"/>
      <c r="D1533" s="49">
        <v>10000</v>
      </c>
      <c r="E1533" s="51">
        <v>7.0000000000000007E-2</v>
      </c>
      <c r="F1533" s="42" t="s">
        <v>4036</v>
      </c>
      <c r="G1533" s="50">
        <v>41023</v>
      </c>
      <c r="H1533" s="49">
        <v>10</v>
      </c>
      <c r="I1533" s="49">
        <f t="shared" si="47"/>
        <v>1750.0000000000005</v>
      </c>
      <c r="J1533" s="29">
        <f t="shared" si="48"/>
        <v>1125.0000000000002</v>
      </c>
      <c r="K1533" s="13"/>
      <c r="L1533" s="10"/>
    </row>
    <row r="1534" spans="1:12">
      <c r="A1534" s="13"/>
      <c r="B1534" s="48"/>
      <c r="C1534" s="13"/>
      <c r="D1534" s="49">
        <v>10000</v>
      </c>
      <c r="E1534" s="51">
        <v>7.0000000000000007E-2</v>
      </c>
      <c r="F1534" s="42" t="s">
        <v>4036</v>
      </c>
      <c r="G1534" s="50">
        <v>41123</v>
      </c>
      <c r="H1534" s="49">
        <v>10</v>
      </c>
      <c r="I1534" s="49">
        <f t="shared" si="47"/>
        <v>1750.0000000000005</v>
      </c>
      <c r="J1534" s="29">
        <f t="shared" si="48"/>
        <v>1125.0000000000002</v>
      </c>
      <c r="K1534" s="13"/>
      <c r="L1534" s="10"/>
    </row>
    <row r="1535" spans="1:12">
      <c r="A1535" s="13"/>
      <c r="B1535" s="48"/>
      <c r="C1535" s="13"/>
      <c r="D1535" s="49">
        <v>20000</v>
      </c>
      <c r="E1535" s="51">
        <v>7.4999999999999997E-2</v>
      </c>
      <c r="F1535" s="42">
        <v>15</v>
      </c>
      <c r="G1535" s="50">
        <v>41131</v>
      </c>
      <c r="H1535" s="49">
        <v>5</v>
      </c>
      <c r="I1535" s="49">
        <f t="shared" si="47"/>
        <v>3750</v>
      </c>
      <c r="J1535" s="29">
        <f t="shared" si="48"/>
        <v>2499.9999999999995</v>
      </c>
      <c r="K1535" s="13"/>
      <c r="L1535" s="10"/>
    </row>
    <row r="1536" spans="1:12">
      <c r="A1536" s="13"/>
      <c r="B1536" s="48"/>
      <c r="C1536" s="13"/>
      <c r="D1536" s="49">
        <v>10000</v>
      </c>
      <c r="E1536" s="51">
        <v>7.0000000000000007E-2</v>
      </c>
      <c r="F1536" s="42" t="s">
        <v>4036</v>
      </c>
      <c r="G1536" s="50">
        <v>41192</v>
      </c>
      <c r="H1536" s="49">
        <v>10</v>
      </c>
      <c r="I1536" s="49">
        <f t="shared" si="47"/>
        <v>1750.0000000000005</v>
      </c>
      <c r="J1536" s="29">
        <f t="shared" si="48"/>
        <v>1125.0000000000002</v>
      </c>
      <c r="K1536" s="13"/>
      <c r="L1536" s="10"/>
    </row>
    <row r="1537" spans="1:12">
      <c r="A1537" s="13"/>
      <c r="B1537" s="48"/>
      <c r="C1537" s="13"/>
      <c r="D1537" s="49">
        <v>40000</v>
      </c>
      <c r="E1537" s="51">
        <v>7.4999999999999997E-2</v>
      </c>
      <c r="F1537" s="42">
        <v>15</v>
      </c>
      <c r="G1537" s="50">
        <v>41201</v>
      </c>
      <c r="H1537" s="49">
        <v>7</v>
      </c>
      <c r="I1537" s="49">
        <f t="shared" si="47"/>
        <v>10500</v>
      </c>
      <c r="J1537" s="29">
        <f t="shared" si="48"/>
        <v>6999.9999999999991</v>
      </c>
      <c r="K1537" s="13"/>
      <c r="L1537" s="10"/>
    </row>
    <row r="1538" spans="1:12">
      <c r="A1538" s="13"/>
      <c r="B1538" s="48"/>
      <c r="C1538" s="13"/>
      <c r="D1538" s="49">
        <v>10000</v>
      </c>
      <c r="E1538" s="51">
        <v>7.0000000000000007E-2</v>
      </c>
      <c r="F1538" s="42" t="s">
        <v>4036</v>
      </c>
      <c r="G1538" s="50">
        <v>41260</v>
      </c>
      <c r="H1538" s="49">
        <v>6</v>
      </c>
      <c r="I1538" s="49">
        <f t="shared" si="47"/>
        <v>1050.0000000000002</v>
      </c>
      <c r="J1538" s="29">
        <f t="shared" si="48"/>
        <v>675.00000000000023</v>
      </c>
      <c r="K1538" s="13"/>
      <c r="L1538" s="10"/>
    </row>
    <row r="1539" spans="1:12">
      <c r="A1539" s="13">
        <v>286</v>
      </c>
      <c r="B1539" s="48">
        <v>3438</v>
      </c>
      <c r="C1539" s="13" t="s">
        <v>1893</v>
      </c>
      <c r="D1539" s="49">
        <v>10000</v>
      </c>
      <c r="E1539" s="51">
        <v>7.0000000000000007E-2</v>
      </c>
      <c r="F1539" s="42" t="s">
        <v>4036</v>
      </c>
      <c r="G1539" s="50">
        <v>40883</v>
      </c>
      <c r="H1539" s="49">
        <v>10</v>
      </c>
      <c r="I1539" s="49">
        <f t="shared" si="47"/>
        <v>1750.0000000000005</v>
      </c>
      <c r="J1539" s="29">
        <f t="shared" si="48"/>
        <v>1125.0000000000002</v>
      </c>
      <c r="K1539" s="13" t="s">
        <v>2072</v>
      </c>
      <c r="L1539" s="10"/>
    </row>
    <row r="1540" spans="1:12">
      <c r="A1540" s="13"/>
      <c r="B1540" s="48"/>
      <c r="C1540" s="13"/>
      <c r="D1540" s="49">
        <v>10000</v>
      </c>
      <c r="E1540" s="51">
        <v>7.0000000000000007E-2</v>
      </c>
      <c r="F1540" s="42" t="s">
        <v>4036</v>
      </c>
      <c r="G1540" s="50">
        <v>40952</v>
      </c>
      <c r="H1540" s="49">
        <v>10</v>
      </c>
      <c r="I1540" s="49">
        <f t="shared" ref="I1540:I1603" si="49">IF(F1540="分期",D1540*E1540*2.5*H1540/10,D1540*E1540*F1540*H1540/30)</f>
        <v>1750.0000000000005</v>
      </c>
      <c r="J1540" s="29">
        <f t="shared" si="48"/>
        <v>1125.0000000000002</v>
      </c>
      <c r="K1540" s="13"/>
      <c r="L1540" s="10"/>
    </row>
    <row r="1541" spans="1:12">
      <c r="A1541" s="13">
        <v>287</v>
      </c>
      <c r="B1541" s="48">
        <v>3440</v>
      </c>
      <c r="C1541" s="13" t="s">
        <v>1121</v>
      </c>
      <c r="D1541" s="49">
        <v>10000</v>
      </c>
      <c r="E1541" s="51">
        <v>7.0000000000000007E-2</v>
      </c>
      <c r="F1541" s="42" t="s">
        <v>4036</v>
      </c>
      <c r="G1541" s="50">
        <v>40889</v>
      </c>
      <c r="H1541" s="49">
        <v>10</v>
      </c>
      <c r="I1541" s="49">
        <f t="shared" si="49"/>
        <v>1750.0000000000005</v>
      </c>
      <c r="J1541" s="29">
        <f t="shared" si="48"/>
        <v>1125.0000000000002</v>
      </c>
      <c r="K1541" s="13" t="s">
        <v>2073</v>
      </c>
      <c r="L1541" s="10"/>
    </row>
    <row r="1542" spans="1:12">
      <c r="A1542" s="13"/>
      <c r="B1542" s="48"/>
      <c r="C1542" s="13"/>
      <c r="D1542" s="49">
        <v>10000</v>
      </c>
      <c r="E1542" s="51">
        <v>7.4999999999999997E-2</v>
      </c>
      <c r="F1542" s="42">
        <v>15</v>
      </c>
      <c r="G1542" s="50">
        <v>40896</v>
      </c>
      <c r="H1542" s="49">
        <v>18</v>
      </c>
      <c r="I1542" s="49">
        <f t="shared" si="49"/>
        <v>6750</v>
      </c>
      <c r="J1542" s="29">
        <f t="shared" si="48"/>
        <v>4499.9999999999991</v>
      </c>
      <c r="K1542" s="13"/>
      <c r="L1542" s="10"/>
    </row>
    <row r="1543" spans="1:12">
      <c r="A1543" s="13"/>
      <c r="B1543" s="48"/>
      <c r="C1543" s="13"/>
      <c r="D1543" s="49">
        <v>10000</v>
      </c>
      <c r="E1543" s="51">
        <v>7.0000000000000007E-2</v>
      </c>
      <c r="F1543" s="42" t="s">
        <v>4036</v>
      </c>
      <c r="G1543" s="50">
        <v>40960</v>
      </c>
      <c r="H1543" s="49">
        <v>10</v>
      </c>
      <c r="I1543" s="49">
        <f t="shared" si="49"/>
        <v>1750.0000000000005</v>
      </c>
      <c r="J1543" s="29">
        <f t="shared" si="48"/>
        <v>1125.0000000000002</v>
      </c>
      <c r="K1543" s="13"/>
      <c r="L1543" s="10"/>
    </row>
    <row r="1544" spans="1:12">
      <c r="A1544" s="13">
        <v>288</v>
      </c>
      <c r="B1544" s="48">
        <v>3442</v>
      </c>
      <c r="C1544" s="13" t="s">
        <v>1160</v>
      </c>
      <c r="D1544" s="49">
        <v>10000</v>
      </c>
      <c r="E1544" s="51">
        <v>7.0000000000000007E-2</v>
      </c>
      <c r="F1544" s="42" t="s">
        <v>4036</v>
      </c>
      <c r="G1544" s="50">
        <v>40791</v>
      </c>
      <c r="H1544" s="49">
        <v>10</v>
      </c>
      <c r="I1544" s="49">
        <f t="shared" si="49"/>
        <v>1750.0000000000005</v>
      </c>
      <c r="J1544" s="29">
        <f t="shared" si="48"/>
        <v>1125.0000000000002</v>
      </c>
      <c r="K1544" s="13" t="s">
        <v>2074</v>
      </c>
      <c r="L1544" s="10"/>
    </row>
    <row r="1545" spans="1:12">
      <c r="A1545" s="13"/>
      <c r="B1545" s="48"/>
      <c r="C1545" s="13"/>
      <c r="D1545" s="49">
        <v>30000</v>
      </c>
      <c r="E1545" s="51">
        <v>7.4999999999999997E-2</v>
      </c>
      <c r="F1545" s="42">
        <v>15</v>
      </c>
      <c r="G1545" s="50">
        <v>40899</v>
      </c>
      <c r="H1545" s="49">
        <v>3</v>
      </c>
      <c r="I1545" s="49">
        <f t="shared" si="49"/>
        <v>3375</v>
      </c>
      <c r="J1545" s="29">
        <f t="shared" si="48"/>
        <v>2249.9999999999995</v>
      </c>
      <c r="K1545" s="13"/>
      <c r="L1545" s="10"/>
    </row>
    <row r="1546" spans="1:12">
      <c r="A1546" s="13"/>
      <c r="B1546" s="48"/>
      <c r="C1546" s="13"/>
      <c r="D1546" s="49">
        <v>50000</v>
      </c>
      <c r="E1546" s="51">
        <v>7.4999999999999997E-2</v>
      </c>
      <c r="F1546" s="42">
        <v>15</v>
      </c>
      <c r="G1546" s="50">
        <v>40944</v>
      </c>
      <c r="H1546" s="49">
        <v>2</v>
      </c>
      <c r="I1546" s="49">
        <f t="shared" si="49"/>
        <v>3750</v>
      </c>
      <c r="J1546" s="29">
        <f t="shared" si="48"/>
        <v>2500</v>
      </c>
      <c r="K1546" s="13"/>
      <c r="L1546" s="10"/>
    </row>
    <row r="1547" spans="1:12">
      <c r="A1547" s="13"/>
      <c r="B1547" s="48"/>
      <c r="C1547" s="13"/>
      <c r="D1547" s="49">
        <v>30000</v>
      </c>
      <c r="E1547" s="51">
        <v>7.4999999999999997E-2</v>
      </c>
      <c r="F1547" s="42">
        <v>15</v>
      </c>
      <c r="G1547" s="50">
        <v>40974</v>
      </c>
      <c r="H1547" s="49">
        <v>2</v>
      </c>
      <c r="I1547" s="49">
        <f t="shared" si="49"/>
        <v>2250</v>
      </c>
      <c r="J1547" s="29">
        <f t="shared" si="48"/>
        <v>1499.9999999999998</v>
      </c>
      <c r="K1547" s="13"/>
      <c r="L1547" s="10"/>
    </row>
    <row r="1548" spans="1:12">
      <c r="A1548" s="13"/>
      <c r="B1548" s="48"/>
      <c r="C1548" s="13"/>
      <c r="D1548" s="49">
        <v>50000</v>
      </c>
      <c r="E1548" s="51">
        <v>7.4999999999999997E-2</v>
      </c>
      <c r="F1548" s="42">
        <v>15</v>
      </c>
      <c r="G1548" s="50">
        <v>41004</v>
      </c>
      <c r="H1548" s="49">
        <v>15</v>
      </c>
      <c r="I1548" s="49">
        <f t="shared" si="49"/>
        <v>28125</v>
      </c>
      <c r="J1548" s="29">
        <f t="shared" si="48"/>
        <v>18750</v>
      </c>
      <c r="K1548" s="13"/>
      <c r="L1548" s="10"/>
    </row>
    <row r="1549" spans="1:12">
      <c r="A1549" s="13"/>
      <c r="B1549" s="48"/>
      <c r="C1549" s="13"/>
      <c r="D1549" s="49">
        <v>60000</v>
      </c>
      <c r="E1549" s="51">
        <v>7.4999999999999997E-2</v>
      </c>
      <c r="F1549" s="42">
        <v>15</v>
      </c>
      <c r="G1549" s="50">
        <v>41243</v>
      </c>
      <c r="H1549" s="49">
        <v>3</v>
      </c>
      <c r="I1549" s="49">
        <f t="shared" si="49"/>
        <v>6750</v>
      </c>
      <c r="J1549" s="29">
        <f t="shared" si="48"/>
        <v>4499.9999999999991</v>
      </c>
      <c r="K1549" s="13"/>
      <c r="L1549" s="10"/>
    </row>
    <row r="1550" spans="1:12">
      <c r="A1550" s="13">
        <v>289</v>
      </c>
      <c r="B1550" s="48">
        <v>3444</v>
      </c>
      <c r="C1550" s="13" t="s">
        <v>4048</v>
      </c>
      <c r="D1550" s="49">
        <v>15000</v>
      </c>
      <c r="E1550" s="51">
        <v>7.0000000000000007E-2</v>
      </c>
      <c r="F1550" s="42" t="s">
        <v>4036</v>
      </c>
      <c r="G1550" s="50">
        <v>40903</v>
      </c>
      <c r="H1550" s="49">
        <v>10</v>
      </c>
      <c r="I1550" s="49">
        <f t="shared" si="49"/>
        <v>2625</v>
      </c>
      <c r="J1550" s="29">
        <f t="shared" si="48"/>
        <v>1687.5000000000005</v>
      </c>
      <c r="K1550" s="13" t="s">
        <v>2075</v>
      </c>
      <c r="L1550" s="10"/>
    </row>
    <row r="1551" spans="1:12">
      <c r="A1551" s="13"/>
      <c r="B1551" s="48"/>
      <c r="C1551" s="13"/>
      <c r="D1551" s="49">
        <v>15000</v>
      </c>
      <c r="E1551" s="51">
        <v>7.4999999999999997E-2</v>
      </c>
      <c r="F1551" s="42">
        <v>15</v>
      </c>
      <c r="G1551" s="50">
        <v>40911</v>
      </c>
      <c r="H1551" s="49">
        <v>21</v>
      </c>
      <c r="I1551" s="49">
        <f t="shared" si="49"/>
        <v>11812.5</v>
      </c>
      <c r="J1551" s="29">
        <f t="shared" si="48"/>
        <v>7874.9999999999991</v>
      </c>
      <c r="K1551" s="13"/>
      <c r="L1551" s="10"/>
    </row>
    <row r="1552" spans="1:12">
      <c r="A1552" s="13"/>
      <c r="B1552" s="48"/>
      <c r="C1552" s="13"/>
      <c r="D1552" s="49">
        <v>15000</v>
      </c>
      <c r="E1552" s="51">
        <v>7.0000000000000007E-2</v>
      </c>
      <c r="F1552" s="42" t="s">
        <v>4036</v>
      </c>
      <c r="G1552" s="50">
        <v>40952</v>
      </c>
      <c r="H1552" s="49">
        <v>10</v>
      </c>
      <c r="I1552" s="49">
        <f t="shared" si="49"/>
        <v>2625</v>
      </c>
      <c r="J1552" s="29">
        <f t="shared" si="48"/>
        <v>1687.5000000000005</v>
      </c>
      <c r="K1552" s="13"/>
      <c r="L1552" s="10"/>
    </row>
    <row r="1553" spans="1:12">
      <c r="A1553" s="13"/>
      <c r="B1553" s="48"/>
      <c r="C1553" s="13"/>
      <c r="D1553" s="49">
        <v>15000</v>
      </c>
      <c r="E1553" s="51">
        <v>7.0000000000000007E-2</v>
      </c>
      <c r="F1553" s="42" t="s">
        <v>4036</v>
      </c>
      <c r="G1553" s="50">
        <v>40997</v>
      </c>
      <c r="H1553" s="49">
        <v>10</v>
      </c>
      <c r="I1553" s="49">
        <f t="shared" si="49"/>
        <v>2625</v>
      </c>
      <c r="J1553" s="29">
        <f t="shared" si="48"/>
        <v>1687.5000000000005</v>
      </c>
      <c r="K1553" s="13"/>
      <c r="L1553" s="10"/>
    </row>
    <row r="1554" spans="1:12">
      <c r="A1554" s="13"/>
      <c r="B1554" s="48"/>
      <c r="C1554" s="13"/>
      <c r="D1554" s="49">
        <v>15000</v>
      </c>
      <c r="E1554" s="51">
        <v>7.0000000000000007E-2</v>
      </c>
      <c r="F1554" s="42" t="s">
        <v>4036</v>
      </c>
      <c r="G1554" s="50">
        <v>41045</v>
      </c>
      <c r="H1554" s="49">
        <v>10</v>
      </c>
      <c r="I1554" s="49">
        <f t="shared" si="49"/>
        <v>2625</v>
      </c>
      <c r="J1554" s="29">
        <f t="shared" si="48"/>
        <v>1687.5000000000005</v>
      </c>
      <c r="K1554" s="13"/>
      <c r="L1554" s="10"/>
    </row>
    <row r="1555" spans="1:12">
      <c r="A1555" s="13"/>
      <c r="B1555" s="48"/>
      <c r="C1555" s="13"/>
      <c r="D1555" s="49">
        <v>15000</v>
      </c>
      <c r="E1555" s="51">
        <v>7.0000000000000007E-2</v>
      </c>
      <c r="F1555" s="42" t="s">
        <v>4036</v>
      </c>
      <c r="G1555" s="50">
        <v>41079</v>
      </c>
      <c r="H1555" s="49">
        <v>10</v>
      </c>
      <c r="I1555" s="49">
        <f t="shared" si="49"/>
        <v>2625</v>
      </c>
      <c r="J1555" s="29">
        <f t="shared" si="48"/>
        <v>1687.5000000000005</v>
      </c>
      <c r="K1555" s="13"/>
      <c r="L1555" s="10"/>
    </row>
    <row r="1556" spans="1:12">
      <c r="A1556" s="13"/>
      <c r="B1556" s="48"/>
      <c r="C1556" s="13"/>
      <c r="D1556" s="49">
        <v>15000</v>
      </c>
      <c r="E1556" s="51">
        <v>7.0000000000000007E-2</v>
      </c>
      <c r="F1556" s="42" t="s">
        <v>4036</v>
      </c>
      <c r="G1556" s="50">
        <v>41121</v>
      </c>
      <c r="H1556" s="49">
        <v>10</v>
      </c>
      <c r="I1556" s="49">
        <f t="shared" si="49"/>
        <v>2625</v>
      </c>
      <c r="J1556" s="29">
        <f t="shared" si="48"/>
        <v>1687.5000000000005</v>
      </c>
      <c r="K1556" s="13"/>
      <c r="L1556" s="10"/>
    </row>
    <row r="1557" spans="1:12">
      <c r="A1557" s="13"/>
      <c r="B1557" s="48"/>
      <c r="C1557" s="13"/>
      <c r="D1557" s="49">
        <v>15000</v>
      </c>
      <c r="E1557" s="51">
        <v>7.0000000000000007E-2</v>
      </c>
      <c r="F1557" s="42" t="s">
        <v>4036</v>
      </c>
      <c r="G1557" s="50">
        <v>41163</v>
      </c>
      <c r="H1557" s="49">
        <v>10</v>
      </c>
      <c r="I1557" s="49">
        <f t="shared" si="49"/>
        <v>2625</v>
      </c>
      <c r="J1557" s="29">
        <f t="shared" si="48"/>
        <v>1687.5000000000005</v>
      </c>
      <c r="K1557" s="13"/>
      <c r="L1557" s="10"/>
    </row>
    <row r="1558" spans="1:12">
      <c r="A1558" s="13"/>
      <c r="B1558" s="48"/>
      <c r="C1558" s="13"/>
      <c r="D1558" s="49">
        <v>15000</v>
      </c>
      <c r="E1558" s="51">
        <v>7.0000000000000007E-2</v>
      </c>
      <c r="F1558" s="42" t="s">
        <v>4036</v>
      </c>
      <c r="G1558" s="50">
        <v>41207</v>
      </c>
      <c r="H1558" s="49">
        <v>3</v>
      </c>
      <c r="I1558" s="49">
        <f t="shared" si="49"/>
        <v>787.5</v>
      </c>
      <c r="J1558" s="29">
        <f t="shared" si="48"/>
        <v>506.25000000000011</v>
      </c>
      <c r="K1558" s="13"/>
      <c r="L1558" s="10"/>
    </row>
    <row r="1559" spans="1:12">
      <c r="A1559" s="13">
        <v>290</v>
      </c>
      <c r="B1559" s="48">
        <v>3446</v>
      </c>
      <c r="C1559" s="13" t="s">
        <v>956</v>
      </c>
      <c r="D1559" s="49">
        <v>75000</v>
      </c>
      <c r="E1559" s="51">
        <v>7.4999999999999997E-2</v>
      </c>
      <c r="F1559" s="42">
        <v>15</v>
      </c>
      <c r="G1559" s="50">
        <v>40919</v>
      </c>
      <c r="H1559" s="49">
        <v>1</v>
      </c>
      <c r="I1559" s="49">
        <f t="shared" si="49"/>
        <v>2812.5</v>
      </c>
      <c r="J1559" s="29">
        <f t="shared" si="48"/>
        <v>1874.9999999999998</v>
      </c>
      <c r="K1559" s="13" t="s">
        <v>2076</v>
      </c>
      <c r="L1559" s="10"/>
    </row>
    <row r="1560" spans="1:12">
      <c r="A1560" s="13"/>
      <c r="B1560" s="48"/>
      <c r="C1560" s="13"/>
      <c r="D1560" s="49">
        <v>65000</v>
      </c>
      <c r="E1560" s="51">
        <v>7.4999999999999997E-2</v>
      </c>
      <c r="F1560" s="42">
        <v>15</v>
      </c>
      <c r="G1560" s="50">
        <v>40934</v>
      </c>
      <c r="H1560" s="49">
        <v>1</v>
      </c>
      <c r="I1560" s="49">
        <f t="shared" si="49"/>
        <v>2437.5</v>
      </c>
      <c r="J1560" s="29">
        <f t="shared" si="48"/>
        <v>1624.9999999999998</v>
      </c>
      <c r="K1560" s="13"/>
      <c r="L1560" s="10"/>
    </row>
    <row r="1561" spans="1:12">
      <c r="A1561" s="13"/>
      <c r="B1561" s="48"/>
      <c r="C1561" s="13"/>
      <c r="D1561" s="49">
        <v>55000</v>
      </c>
      <c r="E1561" s="51">
        <v>7.4999999999999997E-2</v>
      </c>
      <c r="F1561" s="42">
        <v>15</v>
      </c>
      <c r="G1561" s="50">
        <v>40949</v>
      </c>
      <c r="H1561" s="49">
        <v>1</v>
      </c>
      <c r="I1561" s="49">
        <f t="shared" si="49"/>
        <v>2062.5</v>
      </c>
      <c r="J1561" s="29">
        <f t="shared" si="48"/>
        <v>1374.9999999999998</v>
      </c>
      <c r="K1561" s="13"/>
      <c r="L1561" s="10"/>
    </row>
    <row r="1562" spans="1:12">
      <c r="A1562" s="13"/>
      <c r="B1562" s="48"/>
      <c r="C1562" s="13"/>
      <c r="D1562" s="49">
        <v>45000</v>
      </c>
      <c r="E1562" s="51">
        <v>7.4999999999999997E-2</v>
      </c>
      <c r="F1562" s="42">
        <v>15</v>
      </c>
      <c r="G1562" s="50">
        <v>40964</v>
      </c>
      <c r="H1562" s="49">
        <v>1</v>
      </c>
      <c r="I1562" s="49">
        <f t="shared" si="49"/>
        <v>1687.5</v>
      </c>
      <c r="J1562" s="29">
        <f t="shared" si="48"/>
        <v>1125</v>
      </c>
      <c r="K1562" s="13"/>
      <c r="L1562" s="10"/>
    </row>
    <row r="1563" spans="1:12">
      <c r="A1563" s="13"/>
      <c r="B1563" s="48"/>
      <c r="C1563" s="13"/>
      <c r="D1563" s="49">
        <v>20000</v>
      </c>
      <c r="E1563" s="51">
        <v>7.4999999999999997E-2</v>
      </c>
      <c r="F1563" s="42">
        <v>15</v>
      </c>
      <c r="G1563" s="50">
        <v>40994</v>
      </c>
      <c r="H1563" s="49">
        <v>2</v>
      </c>
      <c r="I1563" s="49">
        <f t="shared" si="49"/>
        <v>1500</v>
      </c>
      <c r="J1563" s="29">
        <f t="shared" si="48"/>
        <v>999.99999999999989</v>
      </c>
      <c r="K1563" s="13"/>
      <c r="L1563" s="10"/>
    </row>
    <row r="1564" spans="1:12">
      <c r="A1564" s="13"/>
      <c r="B1564" s="48"/>
      <c r="C1564" s="13"/>
      <c r="D1564" s="49">
        <v>5000</v>
      </c>
      <c r="E1564" s="51">
        <v>7.4999999999999997E-2</v>
      </c>
      <c r="F1564" s="42">
        <v>15</v>
      </c>
      <c r="G1564" s="50">
        <v>41024</v>
      </c>
      <c r="H1564" s="49">
        <v>9</v>
      </c>
      <c r="I1564" s="49">
        <f t="shared" si="49"/>
        <v>1687.5</v>
      </c>
      <c r="J1564" s="29">
        <f t="shared" si="48"/>
        <v>1124.9999999999998</v>
      </c>
      <c r="K1564" s="13"/>
      <c r="L1564" s="10"/>
    </row>
    <row r="1565" spans="1:12">
      <c r="A1565" s="13">
        <v>291</v>
      </c>
      <c r="B1565" s="48">
        <v>3448</v>
      </c>
      <c r="C1565" s="13" t="s">
        <v>1410</v>
      </c>
      <c r="D1565" s="49">
        <v>10000</v>
      </c>
      <c r="E1565" s="51">
        <v>7.0000000000000007E-2</v>
      </c>
      <c r="F1565" s="42" t="s">
        <v>4036</v>
      </c>
      <c r="G1565" s="50">
        <v>40920</v>
      </c>
      <c r="H1565" s="49">
        <v>10</v>
      </c>
      <c r="I1565" s="49">
        <f t="shared" si="49"/>
        <v>1750.0000000000005</v>
      </c>
      <c r="J1565" s="29">
        <f t="shared" si="48"/>
        <v>1125.0000000000002</v>
      </c>
      <c r="K1565" s="13" t="s">
        <v>2077</v>
      </c>
      <c r="L1565" s="10"/>
    </row>
    <row r="1566" spans="1:12">
      <c r="A1566" s="13"/>
      <c r="B1566" s="48"/>
      <c r="C1566" s="13"/>
      <c r="D1566" s="49">
        <v>10000</v>
      </c>
      <c r="E1566" s="51">
        <v>7.4999999999999997E-2</v>
      </c>
      <c r="F1566" s="42">
        <v>15</v>
      </c>
      <c r="G1566" s="50">
        <v>40928</v>
      </c>
      <c r="H1566" s="49">
        <v>5</v>
      </c>
      <c r="I1566" s="49">
        <f t="shared" si="49"/>
        <v>1875</v>
      </c>
      <c r="J1566" s="29">
        <f t="shared" si="48"/>
        <v>1249.9999999999998</v>
      </c>
      <c r="K1566" s="13"/>
      <c r="L1566" s="10"/>
    </row>
    <row r="1567" spans="1:12">
      <c r="A1567" s="13"/>
      <c r="B1567" s="48"/>
      <c r="C1567" s="13"/>
      <c r="D1567" s="49">
        <v>10000</v>
      </c>
      <c r="E1567" s="51">
        <v>7.0000000000000007E-2</v>
      </c>
      <c r="F1567" s="42" t="s">
        <v>4036</v>
      </c>
      <c r="G1567" s="50">
        <v>40994</v>
      </c>
      <c r="H1567" s="49">
        <v>10</v>
      </c>
      <c r="I1567" s="49">
        <f t="shared" si="49"/>
        <v>1750.0000000000005</v>
      </c>
      <c r="J1567" s="29">
        <f t="shared" si="48"/>
        <v>1125.0000000000002</v>
      </c>
      <c r="K1567" s="13"/>
      <c r="L1567" s="10"/>
    </row>
    <row r="1568" spans="1:12">
      <c r="A1568" s="13">
        <v>292</v>
      </c>
      <c r="B1568" s="48">
        <v>3450</v>
      </c>
      <c r="C1568" s="13" t="s">
        <v>1068</v>
      </c>
      <c r="D1568" s="49">
        <v>50000</v>
      </c>
      <c r="E1568" s="51">
        <v>7.0000000000000007E-2</v>
      </c>
      <c r="F1568" s="42" t="s">
        <v>4036</v>
      </c>
      <c r="G1568" s="50">
        <v>40925</v>
      </c>
      <c r="H1568" s="49">
        <v>10</v>
      </c>
      <c r="I1568" s="49">
        <f t="shared" si="49"/>
        <v>8750.0000000000018</v>
      </c>
      <c r="J1568" s="29">
        <f t="shared" si="48"/>
        <v>5625.0000000000009</v>
      </c>
      <c r="K1568" s="13" t="s">
        <v>2078</v>
      </c>
      <c r="L1568" s="10"/>
    </row>
    <row r="1569" spans="1:12">
      <c r="A1569" s="13">
        <v>293</v>
      </c>
      <c r="B1569" s="48">
        <v>3452</v>
      </c>
      <c r="C1569" s="13" t="s">
        <v>1803</v>
      </c>
      <c r="D1569" s="49">
        <v>20000</v>
      </c>
      <c r="E1569" s="51">
        <v>7.0000000000000007E-2</v>
      </c>
      <c r="F1569" s="42" t="s">
        <v>4036</v>
      </c>
      <c r="G1569" s="50">
        <v>40947</v>
      </c>
      <c r="H1569" s="49">
        <v>10</v>
      </c>
      <c r="I1569" s="49">
        <f t="shared" si="49"/>
        <v>3500.0000000000009</v>
      </c>
      <c r="J1569" s="29">
        <f t="shared" si="48"/>
        <v>2250.0000000000005</v>
      </c>
      <c r="K1569" s="13" t="s">
        <v>2079</v>
      </c>
      <c r="L1569" s="10"/>
    </row>
    <row r="1570" spans="1:12">
      <c r="A1570" s="13"/>
      <c r="B1570" s="48"/>
      <c r="C1570" s="13"/>
      <c r="D1570" s="49">
        <v>20000</v>
      </c>
      <c r="E1570" s="51">
        <v>7.0000000000000007E-2</v>
      </c>
      <c r="F1570" s="42" t="s">
        <v>4036</v>
      </c>
      <c r="G1570" s="50">
        <v>41016</v>
      </c>
      <c r="H1570" s="49">
        <v>10</v>
      </c>
      <c r="I1570" s="49">
        <f t="shared" si="49"/>
        <v>3500.0000000000009</v>
      </c>
      <c r="J1570" s="29">
        <f t="shared" si="48"/>
        <v>2250.0000000000005</v>
      </c>
      <c r="K1570" s="13"/>
      <c r="L1570" s="10"/>
    </row>
    <row r="1571" spans="1:12">
      <c r="A1571" s="13"/>
      <c r="B1571" s="48"/>
      <c r="C1571" s="13"/>
      <c r="D1571" s="49">
        <v>20000</v>
      </c>
      <c r="E1571" s="51">
        <v>7.0000000000000007E-2</v>
      </c>
      <c r="F1571" s="42" t="s">
        <v>4036</v>
      </c>
      <c r="G1571" s="50">
        <v>41071</v>
      </c>
      <c r="H1571" s="49">
        <v>10</v>
      </c>
      <c r="I1571" s="49">
        <f t="shared" si="49"/>
        <v>3500.0000000000009</v>
      </c>
      <c r="J1571" s="29">
        <f t="shared" ref="J1571:J1634" si="50">IF(F1571="分期",D1571*(E1571-0.025)*2.5*H1571/10,D1571*(E1571-0.025)*F1571/30*H1571)</f>
        <v>2250.0000000000005</v>
      </c>
      <c r="K1571" s="13"/>
      <c r="L1571" s="10"/>
    </row>
    <row r="1572" spans="1:12">
      <c r="A1572" s="13"/>
      <c r="B1572" s="48"/>
      <c r="C1572" s="13"/>
      <c r="D1572" s="49">
        <v>20000</v>
      </c>
      <c r="E1572" s="51">
        <v>7.4999999999999997E-2</v>
      </c>
      <c r="F1572" s="42">
        <v>15</v>
      </c>
      <c r="G1572" s="50">
        <v>41113</v>
      </c>
      <c r="H1572" s="49">
        <v>1</v>
      </c>
      <c r="I1572" s="49">
        <f t="shared" si="49"/>
        <v>750</v>
      </c>
      <c r="J1572" s="29">
        <f t="shared" si="50"/>
        <v>499.99999999999994</v>
      </c>
      <c r="K1572" s="13"/>
      <c r="L1572" s="10"/>
    </row>
    <row r="1573" spans="1:12">
      <c r="A1573" s="13">
        <v>294</v>
      </c>
      <c r="B1573" s="48">
        <v>3454</v>
      </c>
      <c r="C1573" s="13" t="s">
        <v>1398</v>
      </c>
      <c r="D1573" s="49">
        <v>100000</v>
      </c>
      <c r="E1573" s="51">
        <v>7.4999999999999997E-2</v>
      </c>
      <c r="F1573" s="42">
        <v>15</v>
      </c>
      <c r="G1573" s="50">
        <v>40968</v>
      </c>
      <c r="H1573" s="49">
        <v>22</v>
      </c>
      <c r="I1573" s="49">
        <f t="shared" si="49"/>
        <v>82500</v>
      </c>
      <c r="J1573" s="29">
        <f t="shared" si="50"/>
        <v>55000</v>
      </c>
      <c r="K1573" s="13" t="s">
        <v>2080</v>
      </c>
      <c r="L1573" s="10"/>
    </row>
    <row r="1574" spans="1:12">
      <c r="A1574" s="13"/>
      <c r="B1574" s="48"/>
      <c r="C1574" s="13"/>
      <c r="D1574" s="49">
        <v>30000</v>
      </c>
      <c r="E1574" s="51">
        <v>7.0000000000000007E-2</v>
      </c>
      <c r="F1574" s="42" t="s">
        <v>4036</v>
      </c>
      <c r="G1574" s="50">
        <v>41193</v>
      </c>
      <c r="H1574" s="49">
        <v>10</v>
      </c>
      <c r="I1574" s="49">
        <f t="shared" si="49"/>
        <v>5250</v>
      </c>
      <c r="J1574" s="29">
        <f t="shared" si="50"/>
        <v>3375.0000000000009</v>
      </c>
      <c r="K1574" s="13"/>
      <c r="L1574" s="10"/>
    </row>
    <row r="1575" spans="1:12">
      <c r="A1575" s="13"/>
      <c r="B1575" s="48"/>
      <c r="C1575" s="13"/>
      <c r="D1575" s="49">
        <v>30000</v>
      </c>
      <c r="E1575" s="51">
        <v>7.4999999999999997E-2</v>
      </c>
      <c r="F1575" s="42">
        <v>15</v>
      </c>
      <c r="G1575" s="50">
        <v>41201</v>
      </c>
      <c r="H1575" s="49">
        <v>7</v>
      </c>
      <c r="I1575" s="49">
        <f t="shared" si="49"/>
        <v>7875</v>
      </c>
      <c r="J1575" s="29">
        <f t="shared" si="50"/>
        <v>5249.9999999999991</v>
      </c>
      <c r="K1575" s="13"/>
      <c r="L1575" s="10"/>
    </row>
    <row r="1576" spans="1:12">
      <c r="A1576" s="13">
        <v>295</v>
      </c>
      <c r="B1576" s="48">
        <v>3456</v>
      </c>
      <c r="C1576" s="13" t="s">
        <v>1141</v>
      </c>
      <c r="D1576" s="49">
        <v>10000</v>
      </c>
      <c r="E1576" s="51">
        <v>7.0000000000000007E-2</v>
      </c>
      <c r="F1576" s="42" t="s">
        <v>4036</v>
      </c>
      <c r="G1576" s="50">
        <v>40980</v>
      </c>
      <c r="H1576" s="49">
        <v>10</v>
      </c>
      <c r="I1576" s="49">
        <f t="shared" si="49"/>
        <v>1750.0000000000005</v>
      </c>
      <c r="J1576" s="29">
        <f t="shared" si="50"/>
        <v>1125.0000000000002</v>
      </c>
      <c r="K1576" s="13" t="s">
        <v>2081</v>
      </c>
      <c r="L1576" s="10"/>
    </row>
    <row r="1577" spans="1:12">
      <c r="A1577" s="13"/>
      <c r="B1577" s="48"/>
      <c r="C1577" s="13"/>
      <c r="D1577" s="49">
        <v>20000</v>
      </c>
      <c r="E1577" s="51">
        <v>7.4999999999999997E-2</v>
      </c>
      <c r="F1577" s="42">
        <v>15</v>
      </c>
      <c r="G1577" s="50">
        <v>40988</v>
      </c>
      <c r="H1577" s="49">
        <v>5</v>
      </c>
      <c r="I1577" s="49">
        <f t="shared" si="49"/>
        <v>3750</v>
      </c>
      <c r="J1577" s="29">
        <f t="shared" si="50"/>
        <v>2499.9999999999995</v>
      </c>
      <c r="K1577" s="13"/>
      <c r="L1577" s="10"/>
    </row>
    <row r="1578" spans="1:12">
      <c r="A1578" s="13"/>
      <c r="B1578" s="48"/>
      <c r="C1578" s="13"/>
      <c r="D1578" s="49">
        <v>10000</v>
      </c>
      <c r="E1578" s="51">
        <v>7.0000000000000007E-2</v>
      </c>
      <c r="F1578" s="42" t="s">
        <v>4036</v>
      </c>
      <c r="G1578" s="50">
        <v>41037</v>
      </c>
      <c r="H1578" s="49">
        <v>10</v>
      </c>
      <c r="I1578" s="49">
        <f t="shared" si="49"/>
        <v>1750.0000000000005</v>
      </c>
      <c r="J1578" s="29">
        <f t="shared" si="50"/>
        <v>1125.0000000000002</v>
      </c>
      <c r="K1578" s="13"/>
      <c r="L1578" s="10"/>
    </row>
    <row r="1579" spans="1:12">
      <c r="A1579" s="13"/>
      <c r="B1579" s="48"/>
      <c r="C1579" s="13"/>
      <c r="D1579" s="49">
        <v>30000</v>
      </c>
      <c r="E1579" s="51">
        <v>7.4999999999999997E-2</v>
      </c>
      <c r="F1579" s="42">
        <v>15</v>
      </c>
      <c r="G1579" s="50">
        <v>41063</v>
      </c>
      <c r="H1579" s="49">
        <v>8</v>
      </c>
      <c r="I1579" s="49">
        <f t="shared" si="49"/>
        <v>9000</v>
      </c>
      <c r="J1579" s="29">
        <f t="shared" si="50"/>
        <v>5999.9999999999991</v>
      </c>
      <c r="K1579" s="13"/>
      <c r="L1579" s="10"/>
    </row>
    <row r="1580" spans="1:12">
      <c r="A1580" s="13"/>
      <c r="B1580" s="48"/>
      <c r="C1580" s="13"/>
      <c r="D1580" s="49">
        <v>10000</v>
      </c>
      <c r="E1580" s="51">
        <v>7.0000000000000007E-2</v>
      </c>
      <c r="F1580" s="42" t="s">
        <v>4036</v>
      </c>
      <c r="G1580" s="50">
        <v>41100</v>
      </c>
      <c r="H1580" s="49">
        <v>10</v>
      </c>
      <c r="I1580" s="49">
        <f t="shared" si="49"/>
        <v>1750.0000000000005</v>
      </c>
      <c r="J1580" s="29">
        <f t="shared" si="50"/>
        <v>1125.0000000000002</v>
      </c>
      <c r="K1580" s="13"/>
      <c r="L1580" s="10"/>
    </row>
    <row r="1581" spans="1:12">
      <c r="A1581" s="13"/>
      <c r="B1581" s="48"/>
      <c r="C1581" s="13"/>
      <c r="D1581" s="49">
        <v>10000</v>
      </c>
      <c r="E1581" s="51">
        <v>7.0000000000000007E-2</v>
      </c>
      <c r="F1581" s="42" t="s">
        <v>4036</v>
      </c>
      <c r="G1581" s="50">
        <v>41157</v>
      </c>
      <c r="H1581" s="49">
        <v>10</v>
      </c>
      <c r="I1581" s="49">
        <f t="shared" si="49"/>
        <v>1750.0000000000005</v>
      </c>
      <c r="J1581" s="29">
        <f t="shared" si="50"/>
        <v>1125.0000000000002</v>
      </c>
      <c r="K1581" s="13"/>
      <c r="L1581" s="10"/>
    </row>
    <row r="1582" spans="1:12">
      <c r="A1582" s="13"/>
      <c r="B1582" s="48"/>
      <c r="C1582" s="13"/>
      <c r="D1582" s="49">
        <v>40000</v>
      </c>
      <c r="E1582" s="51">
        <v>7.4999999999999997E-2</v>
      </c>
      <c r="F1582" s="42">
        <v>15</v>
      </c>
      <c r="G1582" s="50">
        <v>41183</v>
      </c>
      <c r="H1582" s="49">
        <v>8</v>
      </c>
      <c r="I1582" s="49">
        <f t="shared" si="49"/>
        <v>12000</v>
      </c>
      <c r="J1582" s="29">
        <f t="shared" si="50"/>
        <v>7999.9999999999991</v>
      </c>
      <c r="K1582" s="13"/>
      <c r="L1582" s="10"/>
    </row>
    <row r="1583" spans="1:12">
      <c r="A1583" s="13"/>
      <c r="B1583" s="48"/>
      <c r="C1583" s="13"/>
      <c r="D1583" s="49">
        <v>10000</v>
      </c>
      <c r="E1583" s="51">
        <v>7.0000000000000007E-2</v>
      </c>
      <c r="F1583" s="42" t="s">
        <v>4036</v>
      </c>
      <c r="G1583" s="50">
        <v>41207</v>
      </c>
      <c r="H1583" s="49">
        <v>10</v>
      </c>
      <c r="I1583" s="49">
        <f t="shared" si="49"/>
        <v>1750.0000000000005</v>
      </c>
      <c r="J1583" s="29">
        <f t="shared" si="50"/>
        <v>1125.0000000000002</v>
      </c>
      <c r="K1583" s="13"/>
      <c r="L1583" s="10"/>
    </row>
    <row r="1584" spans="1:12">
      <c r="A1584" s="13"/>
      <c r="B1584" s="48"/>
      <c r="C1584" s="13"/>
      <c r="D1584" s="49">
        <v>10000</v>
      </c>
      <c r="E1584" s="51">
        <v>7.0000000000000007E-2</v>
      </c>
      <c r="F1584" s="42" t="s">
        <v>4036</v>
      </c>
      <c r="G1584" s="50">
        <v>41255</v>
      </c>
      <c r="H1584" s="62">
        <v>7</v>
      </c>
      <c r="I1584" s="49">
        <f t="shared" si="49"/>
        <v>1225.0000000000002</v>
      </c>
      <c r="J1584" s="29">
        <f t="shared" si="50"/>
        <v>787.50000000000023</v>
      </c>
      <c r="K1584" s="13"/>
      <c r="L1584" s="10" t="s">
        <v>1508</v>
      </c>
    </row>
    <row r="1585" spans="1:12">
      <c r="A1585" s="13"/>
      <c r="B1585" s="48"/>
      <c r="C1585" s="13"/>
      <c r="D1585" s="49">
        <v>10000</v>
      </c>
      <c r="E1585" s="51">
        <v>7.0000000000000007E-2</v>
      </c>
      <c r="F1585" s="42" t="s">
        <v>4036</v>
      </c>
      <c r="G1585" s="50">
        <v>41269</v>
      </c>
      <c r="H1585" s="62">
        <v>5</v>
      </c>
      <c r="I1585" s="49">
        <f t="shared" si="49"/>
        <v>875.00000000000023</v>
      </c>
      <c r="J1585" s="29">
        <f t="shared" si="50"/>
        <v>562.50000000000011</v>
      </c>
      <c r="K1585" s="13"/>
      <c r="L1585" s="10" t="s">
        <v>1508</v>
      </c>
    </row>
    <row r="1586" spans="1:12">
      <c r="A1586" s="13">
        <v>296</v>
      </c>
      <c r="B1586" s="48">
        <v>3458</v>
      </c>
      <c r="C1586" s="13" t="s">
        <v>1092</v>
      </c>
      <c r="D1586" s="49">
        <v>50000</v>
      </c>
      <c r="E1586" s="51">
        <v>7.4999999999999997E-2</v>
      </c>
      <c r="F1586" s="42">
        <v>15</v>
      </c>
      <c r="G1586" s="50">
        <v>41000</v>
      </c>
      <c r="H1586" s="49">
        <v>20</v>
      </c>
      <c r="I1586" s="49">
        <f t="shared" si="49"/>
        <v>37500</v>
      </c>
      <c r="J1586" s="29">
        <f t="shared" si="50"/>
        <v>25000</v>
      </c>
      <c r="K1586" s="13" t="s">
        <v>2082</v>
      </c>
      <c r="L1586" s="10"/>
    </row>
    <row r="1587" spans="1:12">
      <c r="A1587" s="13">
        <v>297</v>
      </c>
      <c r="B1587" s="48">
        <v>3460</v>
      </c>
      <c r="C1587" s="13" t="s">
        <v>1142</v>
      </c>
      <c r="D1587" s="49">
        <v>20000</v>
      </c>
      <c r="E1587" s="51">
        <v>7.0000000000000007E-2</v>
      </c>
      <c r="F1587" s="42" t="s">
        <v>4036</v>
      </c>
      <c r="G1587" s="50">
        <v>40997</v>
      </c>
      <c r="H1587" s="49">
        <v>10</v>
      </c>
      <c r="I1587" s="49">
        <f t="shared" si="49"/>
        <v>3500.0000000000009</v>
      </c>
      <c r="J1587" s="29">
        <f t="shared" si="50"/>
        <v>2250.0000000000005</v>
      </c>
      <c r="K1587" s="13" t="s">
        <v>2083</v>
      </c>
      <c r="L1587" s="10"/>
    </row>
    <row r="1588" spans="1:12">
      <c r="A1588" s="13">
        <v>298</v>
      </c>
      <c r="B1588" s="48">
        <v>3462</v>
      </c>
      <c r="C1588" s="13" t="s">
        <v>3836</v>
      </c>
      <c r="D1588" s="49">
        <v>250000</v>
      </c>
      <c r="E1588" s="51">
        <v>7.4999999999999997E-2</v>
      </c>
      <c r="F1588" s="42">
        <v>15</v>
      </c>
      <c r="G1588" s="50">
        <v>41011</v>
      </c>
      <c r="H1588" s="49">
        <v>13</v>
      </c>
      <c r="I1588" s="49">
        <f t="shared" si="49"/>
        <v>121875</v>
      </c>
      <c r="J1588" s="29">
        <f t="shared" si="50"/>
        <v>81249.999999999985</v>
      </c>
      <c r="K1588" s="13" t="s">
        <v>2084</v>
      </c>
      <c r="L1588" s="10"/>
    </row>
    <row r="1589" spans="1:12">
      <c r="A1589" s="13">
        <v>299</v>
      </c>
      <c r="B1589" s="48">
        <v>3464</v>
      </c>
      <c r="C1589" s="13" t="s">
        <v>3879</v>
      </c>
      <c r="D1589" s="49">
        <v>15000</v>
      </c>
      <c r="E1589" s="51">
        <v>7.0000000000000007E-2</v>
      </c>
      <c r="F1589" s="42" t="s">
        <v>4036</v>
      </c>
      <c r="G1589" s="50">
        <v>41010</v>
      </c>
      <c r="H1589" s="49">
        <v>10</v>
      </c>
      <c r="I1589" s="49">
        <f t="shared" si="49"/>
        <v>2625</v>
      </c>
      <c r="J1589" s="29">
        <f t="shared" si="50"/>
        <v>1687.5000000000005</v>
      </c>
      <c r="K1589" s="13" t="s">
        <v>2085</v>
      </c>
      <c r="L1589" s="10"/>
    </row>
    <row r="1590" spans="1:12">
      <c r="A1590" s="13"/>
      <c r="B1590" s="48"/>
      <c r="C1590" s="13"/>
      <c r="D1590" s="49">
        <v>15000</v>
      </c>
      <c r="E1590" s="51">
        <v>7.4999999999999997E-2</v>
      </c>
      <c r="F1590" s="42">
        <v>15</v>
      </c>
      <c r="G1590" s="50">
        <v>41018</v>
      </c>
      <c r="H1590" s="49">
        <v>6</v>
      </c>
      <c r="I1590" s="49">
        <f t="shared" si="49"/>
        <v>3375</v>
      </c>
      <c r="J1590" s="29">
        <f t="shared" si="50"/>
        <v>2249.9999999999995</v>
      </c>
      <c r="K1590" s="13"/>
      <c r="L1590" s="10"/>
    </row>
    <row r="1591" spans="1:12">
      <c r="A1591" s="13"/>
      <c r="B1591" s="48"/>
      <c r="C1591" s="13"/>
      <c r="D1591" s="49">
        <v>15000</v>
      </c>
      <c r="E1591" s="51">
        <v>7.0000000000000007E-2</v>
      </c>
      <c r="F1591" s="42" t="s">
        <v>4036</v>
      </c>
      <c r="G1591" s="50">
        <v>41099</v>
      </c>
      <c r="H1591" s="49">
        <v>10</v>
      </c>
      <c r="I1591" s="49">
        <f t="shared" si="49"/>
        <v>2625</v>
      </c>
      <c r="J1591" s="29">
        <f t="shared" si="50"/>
        <v>1687.5000000000005</v>
      </c>
      <c r="K1591" s="13"/>
      <c r="L1591" s="10"/>
    </row>
    <row r="1592" spans="1:12">
      <c r="A1592" s="13"/>
      <c r="B1592" s="48"/>
      <c r="C1592" s="13"/>
      <c r="D1592" s="49">
        <v>15000</v>
      </c>
      <c r="E1592" s="51">
        <v>7.0000000000000007E-2</v>
      </c>
      <c r="F1592" s="42" t="s">
        <v>4036</v>
      </c>
      <c r="G1592" s="50">
        <v>41219</v>
      </c>
      <c r="H1592" s="49">
        <v>10</v>
      </c>
      <c r="I1592" s="49">
        <f t="shared" si="49"/>
        <v>2625</v>
      </c>
      <c r="J1592" s="29">
        <f t="shared" si="50"/>
        <v>1687.5000000000005</v>
      </c>
      <c r="K1592" s="13"/>
      <c r="L1592" s="10"/>
    </row>
    <row r="1593" spans="1:12">
      <c r="A1593" s="13"/>
      <c r="B1593" s="48"/>
      <c r="C1593" s="13"/>
      <c r="D1593" s="49">
        <v>15000</v>
      </c>
      <c r="E1593" s="51">
        <v>7.4999999999999997E-2</v>
      </c>
      <c r="F1593" s="42">
        <v>15</v>
      </c>
      <c r="G1593" s="50">
        <v>41227</v>
      </c>
      <c r="H1593" s="49">
        <v>5</v>
      </c>
      <c r="I1593" s="49">
        <f t="shared" si="49"/>
        <v>2812.5</v>
      </c>
      <c r="J1593" s="29">
        <f t="shared" si="50"/>
        <v>1874.9999999999998</v>
      </c>
      <c r="K1593" s="13"/>
      <c r="L1593" s="10"/>
    </row>
    <row r="1594" spans="1:12">
      <c r="A1594" s="13">
        <v>300</v>
      </c>
      <c r="B1594" s="48">
        <v>3466</v>
      </c>
      <c r="C1594" s="13" t="s">
        <v>2037</v>
      </c>
      <c r="D1594" s="49">
        <v>6000</v>
      </c>
      <c r="E1594" s="51">
        <v>7.4999999999999997E-2</v>
      </c>
      <c r="F1594" s="42">
        <v>15</v>
      </c>
      <c r="G1594" s="50">
        <v>41045</v>
      </c>
      <c r="H1594" s="49">
        <v>2</v>
      </c>
      <c r="I1594" s="49">
        <f t="shared" si="49"/>
        <v>450</v>
      </c>
      <c r="J1594" s="29">
        <f t="shared" si="50"/>
        <v>300</v>
      </c>
      <c r="K1594" s="13" t="s">
        <v>2086</v>
      </c>
      <c r="L1594" s="10"/>
    </row>
    <row r="1595" spans="1:12">
      <c r="A1595" s="13">
        <v>301</v>
      </c>
      <c r="B1595" s="48">
        <v>3468</v>
      </c>
      <c r="C1595" s="13" t="s">
        <v>2585</v>
      </c>
      <c r="D1595" s="49">
        <v>10000</v>
      </c>
      <c r="E1595" s="51">
        <v>7.4999999999999997E-2</v>
      </c>
      <c r="F1595" s="42">
        <v>15</v>
      </c>
      <c r="G1595" s="50">
        <v>41032</v>
      </c>
      <c r="H1595" s="49">
        <v>1</v>
      </c>
      <c r="I1595" s="49">
        <f t="shared" si="49"/>
        <v>375</v>
      </c>
      <c r="J1595" s="29">
        <f t="shared" si="50"/>
        <v>249.99999999999997</v>
      </c>
      <c r="K1595" s="13" t="s">
        <v>2087</v>
      </c>
      <c r="L1595" s="10"/>
    </row>
    <row r="1596" spans="1:12">
      <c r="A1596" s="13"/>
      <c r="B1596" s="48"/>
      <c r="C1596" s="13"/>
      <c r="D1596" s="49">
        <v>20000</v>
      </c>
      <c r="E1596" s="51">
        <v>7.4999999999999997E-2</v>
      </c>
      <c r="F1596" s="42">
        <v>15</v>
      </c>
      <c r="G1596" s="50">
        <v>41047</v>
      </c>
      <c r="H1596" s="49">
        <v>1</v>
      </c>
      <c r="I1596" s="49">
        <f t="shared" si="49"/>
        <v>750</v>
      </c>
      <c r="J1596" s="29">
        <f t="shared" si="50"/>
        <v>499.99999999999994</v>
      </c>
      <c r="K1596" s="13"/>
      <c r="L1596" s="10"/>
    </row>
    <row r="1597" spans="1:12">
      <c r="A1597" s="13"/>
      <c r="B1597" s="48"/>
      <c r="C1597" s="13"/>
      <c r="D1597" s="49">
        <v>10000</v>
      </c>
      <c r="E1597" s="51">
        <v>7.4999999999999997E-2</v>
      </c>
      <c r="F1597" s="42">
        <v>15</v>
      </c>
      <c r="G1597" s="50">
        <v>41067</v>
      </c>
      <c r="H1597" s="49">
        <v>1</v>
      </c>
      <c r="I1597" s="49">
        <f t="shared" si="49"/>
        <v>375</v>
      </c>
      <c r="J1597" s="29">
        <f t="shared" si="50"/>
        <v>249.99999999999997</v>
      </c>
      <c r="K1597" s="13"/>
      <c r="L1597" s="10"/>
    </row>
    <row r="1598" spans="1:12">
      <c r="A1598" s="13"/>
      <c r="B1598" s="48"/>
      <c r="C1598" s="13"/>
      <c r="D1598" s="49">
        <v>40000</v>
      </c>
      <c r="E1598" s="51">
        <v>7.4999999999999997E-2</v>
      </c>
      <c r="F1598" s="42">
        <v>15</v>
      </c>
      <c r="G1598" s="50">
        <v>41072</v>
      </c>
      <c r="H1598" s="49">
        <v>3</v>
      </c>
      <c r="I1598" s="49">
        <f t="shared" si="49"/>
        <v>4500</v>
      </c>
      <c r="J1598" s="29">
        <f t="shared" si="50"/>
        <v>2999.9999999999995</v>
      </c>
      <c r="K1598" s="13"/>
      <c r="L1598" s="10"/>
    </row>
    <row r="1599" spans="1:12">
      <c r="A1599" s="13"/>
      <c r="B1599" s="48"/>
      <c r="C1599" s="13"/>
      <c r="D1599" s="49">
        <v>30000</v>
      </c>
      <c r="E1599" s="51">
        <v>7.4999999999999997E-2</v>
      </c>
      <c r="F1599" s="42">
        <v>15</v>
      </c>
      <c r="G1599" s="50">
        <v>41097</v>
      </c>
      <c r="H1599" s="49">
        <v>1</v>
      </c>
      <c r="I1599" s="49">
        <f t="shared" si="49"/>
        <v>1125</v>
      </c>
      <c r="J1599" s="29">
        <f t="shared" si="50"/>
        <v>749.99999999999989</v>
      </c>
      <c r="K1599" s="13"/>
      <c r="L1599" s="10"/>
    </row>
    <row r="1600" spans="1:12">
      <c r="A1600" s="13"/>
      <c r="B1600" s="48"/>
      <c r="C1600" s="13"/>
      <c r="D1600" s="49">
        <v>50000</v>
      </c>
      <c r="E1600" s="51">
        <v>7.4999999999999997E-2</v>
      </c>
      <c r="F1600" s="42">
        <v>15</v>
      </c>
      <c r="G1600" s="50">
        <v>41100</v>
      </c>
      <c r="H1600" s="49">
        <v>13</v>
      </c>
      <c r="I1600" s="49">
        <f t="shared" si="49"/>
        <v>24375</v>
      </c>
      <c r="J1600" s="29">
        <f t="shared" si="50"/>
        <v>16250</v>
      </c>
      <c r="K1600" s="13"/>
      <c r="L1600" s="10"/>
    </row>
    <row r="1601" spans="1:12">
      <c r="A1601" s="13"/>
      <c r="B1601" s="48"/>
      <c r="C1601" s="13"/>
      <c r="D1601" s="49">
        <v>50000</v>
      </c>
      <c r="E1601" s="51">
        <v>7.4999999999999997E-2</v>
      </c>
      <c r="F1601" s="42">
        <v>15</v>
      </c>
      <c r="G1601" s="50">
        <v>41112</v>
      </c>
      <c r="H1601" s="49">
        <v>13</v>
      </c>
      <c r="I1601" s="49">
        <f t="shared" si="49"/>
        <v>24375</v>
      </c>
      <c r="J1601" s="29">
        <f t="shared" si="50"/>
        <v>16250</v>
      </c>
      <c r="K1601" s="13"/>
      <c r="L1601" s="10"/>
    </row>
    <row r="1602" spans="1:12">
      <c r="A1602" s="13"/>
      <c r="B1602" s="48"/>
      <c r="C1602" s="13"/>
      <c r="D1602" s="49">
        <v>10000</v>
      </c>
      <c r="E1602" s="51">
        <v>7.4999999999999997E-2</v>
      </c>
      <c r="F1602" s="42">
        <v>15</v>
      </c>
      <c r="G1602" s="50">
        <v>41123</v>
      </c>
      <c r="H1602" s="49">
        <v>2</v>
      </c>
      <c r="I1602" s="49">
        <f t="shared" si="49"/>
        <v>750</v>
      </c>
      <c r="J1602" s="29">
        <f t="shared" si="50"/>
        <v>499.99999999999994</v>
      </c>
      <c r="K1602" s="13"/>
      <c r="L1602" s="10"/>
    </row>
    <row r="1603" spans="1:12">
      <c r="A1603" s="13"/>
      <c r="B1603" s="48"/>
      <c r="C1603" s="13"/>
      <c r="D1603" s="49">
        <v>20000</v>
      </c>
      <c r="E1603" s="51">
        <v>7.4999999999999997E-2</v>
      </c>
      <c r="F1603" s="42">
        <v>15</v>
      </c>
      <c r="G1603" s="50">
        <v>41153</v>
      </c>
      <c r="H1603" s="49">
        <v>10</v>
      </c>
      <c r="I1603" s="49">
        <f t="shared" si="49"/>
        <v>7500</v>
      </c>
      <c r="J1603" s="29">
        <f t="shared" si="50"/>
        <v>4999.9999999999991</v>
      </c>
      <c r="K1603" s="13"/>
      <c r="L1603" s="10"/>
    </row>
    <row r="1604" spans="1:12">
      <c r="A1604" s="13">
        <v>302</v>
      </c>
      <c r="B1604" s="48">
        <v>3470</v>
      </c>
      <c r="C1604" s="13" t="s">
        <v>1150</v>
      </c>
      <c r="D1604" s="49">
        <v>20000</v>
      </c>
      <c r="E1604" s="51">
        <v>7.0000000000000007E-2</v>
      </c>
      <c r="F1604" s="42" t="s">
        <v>4036</v>
      </c>
      <c r="G1604" s="50">
        <v>41057</v>
      </c>
      <c r="H1604" s="49">
        <v>10</v>
      </c>
      <c r="I1604" s="49">
        <f t="shared" ref="I1604:I1666" si="51">IF(F1604="分期",D1604*E1604*2.5*H1604/10,D1604*E1604*F1604*H1604/30)</f>
        <v>3500.0000000000009</v>
      </c>
      <c r="J1604" s="29">
        <f t="shared" si="50"/>
        <v>2250.0000000000005</v>
      </c>
      <c r="K1604" s="13" t="s">
        <v>2088</v>
      </c>
      <c r="L1604" s="10"/>
    </row>
    <row r="1605" spans="1:12">
      <c r="A1605" s="13"/>
      <c r="B1605" s="48"/>
      <c r="C1605" s="13"/>
      <c r="D1605" s="49">
        <v>40000</v>
      </c>
      <c r="E1605" s="51">
        <v>7.0000000000000007E-2</v>
      </c>
      <c r="F1605" s="42" t="s">
        <v>4036</v>
      </c>
      <c r="G1605" s="50">
        <v>41117</v>
      </c>
      <c r="H1605" s="49">
        <v>10</v>
      </c>
      <c r="I1605" s="49">
        <f t="shared" si="51"/>
        <v>7000.0000000000018</v>
      </c>
      <c r="J1605" s="29">
        <f t="shared" si="50"/>
        <v>4500.0000000000009</v>
      </c>
      <c r="K1605" s="13"/>
      <c r="L1605" s="10"/>
    </row>
    <row r="1606" spans="1:12">
      <c r="A1606" s="13"/>
      <c r="B1606" s="48"/>
      <c r="C1606" s="13"/>
      <c r="D1606" s="49">
        <v>10000</v>
      </c>
      <c r="E1606" s="51">
        <v>7.4999999999999997E-2</v>
      </c>
      <c r="F1606" s="42">
        <v>15</v>
      </c>
      <c r="G1606" s="50">
        <v>41145</v>
      </c>
      <c r="H1606" s="49">
        <v>4</v>
      </c>
      <c r="I1606" s="49">
        <f t="shared" si="51"/>
        <v>1500</v>
      </c>
      <c r="J1606" s="29">
        <f t="shared" si="50"/>
        <v>999.99999999999989</v>
      </c>
      <c r="K1606" s="13"/>
      <c r="L1606" s="10"/>
    </row>
    <row r="1607" spans="1:12">
      <c r="A1607" s="13"/>
      <c r="B1607" s="48"/>
      <c r="C1607" s="13"/>
      <c r="D1607" s="49">
        <v>40000</v>
      </c>
      <c r="E1607" s="51">
        <v>7.0000000000000007E-2</v>
      </c>
      <c r="F1607" s="42" t="s">
        <v>4036</v>
      </c>
      <c r="G1607" s="50">
        <v>41190</v>
      </c>
      <c r="H1607" s="49">
        <v>10</v>
      </c>
      <c r="I1607" s="49">
        <f t="shared" si="51"/>
        <v>7000.0000000000018</v>
      </c>
      <c r="J1607" s="29">
        <f t="shared" si="50"/>
        <v>4500.0000000000009</v>
      </c>
      <c r="K1607" s="13"/>
      <c r="L1607" s="10"/>
    </row>
    <row r="1608" spans="1:12">
      <c r="A1608" s="13"/>
      <c r="B1608" s="48"/>
      <c r="C1608" s="13"/>
      <c r="D1608" s="49">
        <v>25000</v>
      </c>
      <c r="E1608" s="51">
        <v>7.4999999999999997E-2</v>
      </c>
      <c r="F1608" s="42">
        <v>15</v>
      </c>
      <c r="G1608" s="50">
        <v>41221</v>
      </c>
      <c r="H1608" s="49">
        <v>6</v>
      </c>
      <c r="I1608" s="49">
        <f t="shared" si="51"/>
        <v>5625</v>
      </c>
      <c r="J1608" s="29">
        <f t="shared" si="50"/>
        <v>3750</v>
      </c>
      <c r="K1608" s="13"/>
      <c r="L1608" s="10"/>
    </row>
    <row r="1609" spans="1:12">
      <c r="A1609" s="13"/>
      <c r="B1609" s="48"/>
      <c r="C1609" s="13"/>
      <c r="D1609" s="49">
        <v>35000</v>
      </c>
      <c r="E1609" s="51">
        <v>7.0000000000000007E-2</v>
      </c>
      <c r="F1609" s="42" t="s">
        <v>4036</v>
      </c>
      <c r="G1609" s="50">
        <v>41288</v>
      </c>
      <c r="H1609" s="62">
        <v>2</v>
      </c>
      <c r="I1609" s="49">
        <f t="shared" si="51"/>
        <v>1225.0000000000002</v>
      </c>
      <c r="J1609" s="29">
        <f t="shared" si="50"/>
        <v>787.50000000000011</v>
      </c>
      <c r="K1609" s="13"/>
      <c r="L1609" s="10" t="s">
        <v>1508</v>
      </c>
    </row>
    <row r="1610" spans="1:12">
      <c r="A1610" s="13">
        <v>303</v>
      </c>
      <c r="B1610" s="48">
        <v>3472</v>
      </c>
      <c r="C1610" s="13" t="s">
        <v>1047</v>
      </c>
      <c r="D1610" s="49">
        <v>10000</v>
      </c>
      <c r="E1610" s="51">
        <v>7.0000000000000007E-2</v>
      </c>
      <c r="F1610" s="42" t="s">
        <v>4036</v>
      </c>
      <c r="G1610" s="50">
        <v>41065</v>
      </c>
      <c r="H1610" s="49">
        <v>10</v>
      </c>
      <c r="I1610" s="49">
        <f t="shared" si="51"/>
        <v>1750.0000000000005</v>
      </c>
      <c r="J1610" s="29">
        <f t="shared" si="50"/>
        <v>1125.0000000000002</v>
      </c>
      <c r="K1610" s="13" t="s">
        <v>2089</v>
      </c>
      <c r="L1610" s="10"/>
    </row>
    <row r="1611" spans="1:12">
      <c r="A1611" s="13"/>
      <c r="B1611" s="48"/>
      <c r="C1611" s="13"/>
      <c r="D1611" s="49">
        <v>10000</v>
      </c>
      <c r="E1611" s="51">
        <v>7.4999999999999997E-2</v>
      </c>
      <c r="F1611" s="42">
        <v>15</v>
      </c>
      <c r="G1611" s="50">
        <v>41073</v>
      </c>
      <c r="H1611" s="49">
        <v>15</v>
      </c>
      <c r="I1611" s="49">
        <f t="shared" si="51"/>
        <v>5625</v>
      </c>
      <c r="J1611" s="29">
        <f t="shared" si="50"/>
        <v>3749.9999999999995</v>
      </c>
      <c r="K1611" s="13"/>
      <c r="L1611" s="10"/>
    </row>
    <row r="1612" spans="1:12">
      <c r="A1612" s="13"/>
      <c r="B1612" s="48"/>
      <c r="C1612" s="13"/>
      <c r="D1612" s="49">
        <v>10000</v>
      </c>
      <c r="E1612" s="51">
        <v>7.0000000000000007E-2</v>
      </c>
      <c r="F1612" s="42" t="s">
        <v>4036</v>
      </c>
      <c r="G1612" s="50">
        <v>41120</v>
      </c>
      <c r="H1612" s="49">
        <v>10</v>
      </c>
      <c r="I1612" s="49">
        <f t="shared" si="51"/>
        <v>1750.0000000000005</v>
      </c>
      <c r="J1612" s="29">
        <f t="shared" si="50"/>
        <v>1125.0000000000002</v>
      </c>
      <c r="K1612" s="13"/>
      <c r="L1612" s="10"/>
    </row>
    <row r="1613" spans="1:12">
      <c r="A1613" s="13"/>
      <c r="B1613" s="48"/>
      <c r="C1613" s="13"/>
      <c r="D1613" s="49">
        <v>10000</v>
      </c>
      <c r="E1613" s="51">
        <v>7.0000000000000007E-2</v>
      </c>
      <c r="F1613" s="42" t="s">
        <v>4036</v>
      </c>
      <c r="G1613" s="50">
        <v>41169</v>
      </c>
      <c r="H1613" s="49">
        <v>10</v>
      </c>
      <c r="I1613" s="49">
        <f t="shared" si="51"/>
        <v>1750.0000000000005</v>
      </c>
      <c r="J1613" s="29">
        <f t="shared" si="50"/>
        <v>1125.0000000000002</v>
      </c>
      <c r="K1613" s="13"/>
      <c r="L1613" s="10"/>
    </row>
    <row r="1614" spans="1:12">
      <c r="A1614" s="13"/>
      <c r="B1614" s="48"/>
      <c r="C1614" s="13"/>
      <c r="D1614" s="49">
        <v>10000</v>
      </c>
      <c r="E1614" s="51">
        <v>7.0000000000000007E-2</v>
      </c>
      <c r="F1614" s="42" t="s">
        <v>4036</v>
      </c>
      <c r="G1614" s="50">
        <v>41204</v>
      </c>
      <c r="H1614" s="49">
        <v>10</v>
      </c>
      <c r="I1614" s="49">
        <f t="shared" si="51"/>
        <v>1750.0000000000005</v>
      </c>
      <c r="J1614" s="29">
        <f t="shared" si="50"/>
        <v>1125.0000000000002</v>
      </c>
      <c r="K1614" s="13"/>
      <c r="L1614" s="10"/>
    </row>
    <row r="1615" spans="1:12">
      <c r="A1615" s="13"/>
      <c r="B1615" s="48"/>
      <c r="C1615" s="13"/>
      <c r="D1615" s="49">
        <v>10000</v>
      </c>
      <c r="E1615" s="51">
        <v>7.0000000000000007E-2</v>
      </c>
      <c r="F1615" s="42" t="s">
        <v>4036</v>
      </c>
      <c r="G1615" s="50">
        <v>41246</v>
      </c>
      <c r="H1615" s="49">
        <v>10</v>
      </c>
      <c r="I1615" s="49">
        <f t="shared" si="51"/>
        <v>1750.0000000000005</v>
      </c>
      <c r="J1615" s="29">
        <f t="shared" si="50"/>
        <v>1125.0000000000002</v>
      </c>
      <c r="K1615" s="13"/>
      <c r="L1615" s="10"/>
    </row>
    <row r="1616" spans="1:12">
      <c r="A1616" s="13"/>
      <c r="B1616" s="48"/>
      <c r="C1616" s="13"/>
      <c r="D1616" s="49">
        <v>10000</v>
      </c>
      <c r="E1616" s="51">
        <v>7.0000000000000007E-2</v>
      </c>
      <c r="F1616" s="42" t="s">
        <v>4036</v>
      </c>
      <c r="G1616" s="50">
        <v>41289</v>
      </c>
      <c r="H1616" s="49">
        <v>1</v>
      </c>
      <c r="I1616" s="49">
        <f t="shared" si="51"/>
        <v>175.00000000000003</v>
      </c>
      <c r="J1616" s="29">
        <f t="shared" si="50"/>
        <v>112.50000000000003</v>
      </c>
      <c r="K1616" s="13"/>
      <c r="L1616" s="10"/>
    </row>
    <row r="1617" spans="1:12">
      <c r="A1617" s="13">
        <v>304</v>
      </c>
      <c r="B1617" s="48">
        <v>3474</v>
      </c>
      <c r="C1617" s="13" t="s">
        <v>1078</v>
      </c>
      <c r="D1617" s="49">
        <v>25000</v>
      </c>
      <c r="E1617" s="51">
        <v>7.4999999999999997E-2</v>
      </c>
      <c r="F1617" s="42">
        <v>15</v>
      </c>
      <c r="G1617" s="50">
        <v>41089</v>
      </c>
      <c r="H1617" s="49">
        <v>15</v>
      </c>
      <c r="I1617" s="49">
        <f t="shared" si="51"/>
        <v>14062.5</v>
      </c>
      <c r="J1617" s="29">
        <f t="shared" si="50"/>
        <v>9375</v>
      </c>
      <c r="K1617" s="13" t="s">
        <v>2090</v>
      </c>
      <c r="L1617" s="10"/>
    </row>
    <row r="1618" spans="1:12">
      <c r="A1618" s="13">
        <v>305</v>
      </c>
      <c r="B1618" s="48">
        <v>3476</v>
      </c>
      <c r="C1618" s="13" t="s">
        <v>1132</v>
      </c>
      <c r="D1618" s="49">
        <v>20000</v>
      </c>
      <c r="E1618" s="51">
        <v>7.0000000000000007E-2</v>
      </c>
      <c r="F1618" s="42" t="s">
        <v>4036</v>
      </c>
      <c r="G1618" s="50">
        <v>41088</v>
      </c>
      <c r="H1618" s="49">
        <v>10</v>
      </c>
      <c r="I1618" s="49">
        <f t="shared" si="51"/>
        <v>3500.0000000000009</v>
      </c>
      <c r="J1618" s="29">
        <f t="shared" si="50"/>
        <v>2250.0000000000005</v>
      </c>
      <c r="K1618" s="13" t="s">
        <v>2091</v>
      </c>
      <c r="L1618" s="10"/>
    </row>
    <row r="1619" spans="1:12">
      <c r="A1619" s="13"/>
      <c r="B1619" s="48"/>
      <c r="C1619" s="13"/>
      <c r="D1619" s="49">
        <v>20000</v>
      </c>
      <c r="E1619" s="51">
        <v>7.4999999999999997E-2</v>
      </c>
      <c r="F1619" s="42">
        <v>15</v>
      </c>
      <c r="G1619" s="50">
        <v>41096</v>
      </c>
      <c r="H1619" s="49">
        <v>4</v>
      </c>
      <c r="I1619" s="49">
        <f t="shared" si="51"/>
        <v>3000</v>
      </c>
      <c r="J1619" s="29">
        <f t="shared" si="50"/>
        <v>1999.9999999999998</v>
      </c>
      <c r="K1619" s="13"/>
      <c r="L1619" s="10"/>
    </row>
    <row r="1620" spans="1:12">
      <c r="A1620" s="13"/>
      <c r="B1620" s="48"/>
      <c r="C1620" s="13"/>
      <c r="D1620" s="49">
        <v>20000</v>
      </c>
      <c r="E1620" s="51">
        <v>7.0000000000000007E-2</v>
      </c>
      <c r="F1620" s="42" t="s">
        <v>4036</v>
      </c>
      <c r="G1620" s="50">
        <v>41143</v>
      </c>
      <c r="H1620" s="49">
        <v>10</v>
      </c>
      <c r="I1620" s="49">
        <f t="shared" si="51"/>
        <v>3500.0000000000009</v>
      </c>
      <c r="J1620" s="29">
        <f t="shared" si="50"/>
        <v>2250.0000000000005</v>
      </c>
      <c r="K1620" s="13"/>
      <c r="L1620" s="10"/>
    </row>
    <row r="1621" spans="1:12">
      <c r="A1621" s="13"/>
      <c r="B1621" s="48"/>
      <c r="C1621" s="13"/>
      <c r="D1621" s="49">
        <v>30000</v>
      </c>
      <c r="E1621" s="51">
        <v>7.4999999999999997E-2</v>
      </c>
      <c r="F1621" s="42">
        <v>15</v>
      </c>
      <c r="G1621" s="50">
        <v>41156</v>
      </c>
      <c r="H1621" s="49">
        <v>5</v>
      </c>
      <c r="I1621" s="49">
        <f t="shared" si="51"/>
        <v>5625</v>
      </c>
      <c r="J1621" s="29">
        <f t="shared" si="50"/>
        <v>3749.9999999999995</v>
      </c>
      <c r="K1621" s="13"/>
      <c r="L1621" s="10"/>
    </row>
    <row r="1622" spans="1:12">
      <c r="A1622" s="13"/>
      <c r="B1622" s="48"/>
      <c r="C1622" s="13"/>
      <c r="D1622" s="49">
        <v>20000</v>
      </c>
      <c r="E1622" s="51">
        <v>7.0000000000000007E-2</v>
      </c>
      <c r="F1622" s="42" t="s">
        <v>4036</v>
      </c>
      <c r="G1622" s="50">
        <v>41197</v>
      </c>
      <c r="H1622" s="49">
        <v>10</v>
      </c>
      <c r="I1622" s="49">
        <f t="shared" si="51"/>
        <v>3500.0000000000009</v>
      </c>
      <c r="J1622" s="29">
        <f t="shared" si="50"/>
        <v>2250.0000000000005</v>
      </c>
      <c r="K1622" s="13"/>
      <c r="L1622" s="10"/>
    </row>
    <row r="1623" spans="1:12">
      <c r="A1623" s="13"/>
      <c r="B1623" s="48"/>
      <c r="C1623" s="13"/>
      <c r="D1623" s="49">
        <v>60000</v>
      </c>
      <c r="E1623" s="51">
        <v>7.4999999999999997E-2</v>
      </c>
      <c r="F1623" s="42">
        <v>15</v>
      </c>
      <c r="G1623" s="50">
        <v>41231</v>
      </c>
      <c r="H1623" s="49">
        <v>4</v>
      </c>
      <c r="I1623" s="49">
        <f t="shared" si="51"/>
        <v>9000</v>
      </c>
      <c r="J1623" s="29">
        <f t="shared" si="50"/>
        <v>5999.9999999999991</v>
      </c>
      <c r="K1623" s="13"/>
      <c r="L1623" s="10"/>
    </row>
    <row r="1624" spans="1:12">
      <c r="A1624" s="13"/>
      <c r="B1624" s="48"/>
      <c r="C1624" s="13"/>
      <c r="D1624" s="49">
        <v>20000</v>
      </c>
      <c r="E1624" s="51">
        <v>7.0000000000000007E-2</v>
      </c>
      <c r="F1624" s="42" t="s">
        <v>4036</v>
      </c>
      <c r="G1624" s="50">
        <v>41248</v>
      </c>
      <c r="H1624" s="49">
        <v>8</v>
      </c>
      <c r="I1624" s="49">
        <f t="shared" si="51"/>
        <v>2800.0000000000005</v>
      </c>
      <c r="J1624" s="29">
        <f t="shared" si="50"/>
        <v>1800.0000000000005</v>
      </c>
      <c r="K1624" s="13"/>
      <c r="L1624" s="10"/>
    </row>
    <row r="1625" spans="1:12">
      <c r="A1625" s="13"/>
      <c r="B1625" s="48"/>
      <c r="C1625" s="13"/>
      <c r="D1625" s="49">
        <v>30000</v>
      </c>
      <c r="E1625" s="51">
        <v>7.4999999999999997E-2</v>
      </c>
      <c r="F1625" s="42">
        <v>15</v>
      </c>
      <c r="G1625" s="50">
        <v>41291</v>
      </c>
      <c r="H1625" s="49">
        <v>1</v>
      </c>
      <c r="I1625" s="49">
        <f t="shared" si="51"/>
        <v>1125</v>
      </c>
      <c r="J1625" s="29">
        <f t="shared" si="50"/>
        <v>749.99999999999989</v>
      </c>
      <c r="K1625" s="13"/>
      <c r="L1625" s="10"/>
    </row>
    <row r="1626" spans="1:12">
      <c r="A1626" s="13">
        <v>306</v>
      </c>
      <c r="B1626" s="48">
        <v>3478</v>
      </c>
      <c r="C1626" s="13" t="s">
        <v>3837</v>
      </c>
      <c r="D1626" s="49">
        <v>10000</v>
      </c>
      <c r="E1626" s="51">
        <v>7.0000000000000007E-2</v>
      </c>
      <c r="F1626" s="42" t="s">
        <v>4036</v>
      </c>
      <c r="G1626" s="50">
        <v>41100</v>
      </c>
      <c r="H1626" s="49">
        <v>10</v>
      </c>
      <c r="I1626" s="49">
        <f t="shared" si="51"/>
        <v>1750.0000000000005</v>
      </c>
      <c r="J1626" s="29">
        <f t="shared" si="50"/>
        <v>1125.0000000000002</v>
      </c>
      <c r="K1626" s="13" t="s">
        <v>2092</v>
      </c>
      <c r="L1626" s="10"/>
    </row>
    <row r="1627" spans="1:12">
      <c r="A1627" s="13"/>
      <c r="B1627" s="48"/>
      <c r="C1627" s="13"/>
      <c r="D1627" s="49">
        <v>20000</v>
      </c>
      <c r="E1627" s="51">
        <v>7.4999999999999997E-2</v>
      </c>
      <c r="F1627" s="42">
        <v>15</v>
      </c>
      <c r="G1627" s="50">
        <v>41108</v>
      </c>
      <c r="H1627" s="49">
        <v>5</v>
      </c>
      <c r="I1627" s="49">
        <f t="shared" si="51"/>
        <v>3750</v>
      </c>
      <c r="J1627" s="29">
        <f t="shared" si="50"/>
        <v>2499.9999999999995</v>
      </c>
      <c r="K1627" s="13"/>
      <c r="L1627" s="10"/>
    </row>
    <row r="1628" spans="1:12">
      <c r="A1628" s="13"/>
      <c r="B1628" s="48"/>
      <c r="C1628" s="13"/>
      <c r="D1628" s="49">
        <v>10000</v>
      </c>
      <c r="E1628" s="51">
        <v>7.0000000000000007E-2</v>
      </c>
      <c r="F1628" s="42" t="s">
        <v>4036</v>
      </c>
      <c r="G1628" s="50">
        <v>41155</v>
      </c>
      <c r="H1628" s="49">
        <v>10</v>
      </c>
      <c r="I1628" s="49">
        <f t="shared" si="51"/>
        <v>1750.0000000000005</v>
      </c>
      <c r="J1628" s="29">
        <f t="shared" si="50"/>
        <v>1125.0000000000002</v>
      </c>
      <c r="K1628" s="13"/>
      <c r="L1628" s="10"/>
    </row>
    <row r="1629" spans="1:12">
      <c r="A1629" s="13">
        <v>307</v>
      </c>
      <c r="B1629" s="48">
        <v>3480</v>
      </c>
      <c r="C1629" s="13" t="s">
        <v>1110</v>
      </c>
      <c r="D1629" s="49">
        <v>30000</v>
      </c>
      <c r="E1629" s="51">
        <v>7.4999999999999997E-2</v>
      </c>
      <c r="F1629" s="42">
        <v>15</v>
      </c>
      <c r="G1629" s="50">
        <v>41117</v>
      </c>
      <c r="H1629" s="49">
        <v>1</v>
      </c>
      <c r="I1629" s="49">
        <f t="shared" si="51"/>
        <v>1125</v>
      </c>
      <c r="J1629" s="29">
        <f t="shared" si="50"/>
        <v>749.99999999999989</v>
      </c>
      <c r="K1629" s="13" t="s">
        <v>2093</v>
      </c>
      <c r="L1629" s="10"/>
    </row>
    <row r="1630" spans="1:12">
      <c r="A1630" s="13"/>
      <c r="B1630" s="48"/>
      <c r="C1630" s="13"/>
      <c r="D1630" s="49">
        <v>50000</v>
      </c>
      <c r="E1630" s="51">
        <v>7.4999999999999997E-2</v>
      </c>
      <c r="F1630" s="42">
        <v>15</v>
      </c>
      <c r="G1630" s="50">
        <v>41132</v>
      </c>
      <c r="H1630" s="49">
        <v>5</v>
      </c>
      <c r="I1630" s="49">
        <f t="shared" si="51"/>
        <v>9375</v>
      </c>
      <c r="J1630" s="29">
        <f t="shared" si="50"/>
        <v>6250</v>
      </c>
      <c r="K1630" s="13"/>
      <c r="L1630" s="10"/>
    </row>
    <row r="1631" spans="1:12">
      <c r="A1631" s="13">
        <v>308</v>
      </c>
      <c r="B1631" s="48">
        <v>3482</v>
      </c>
      <c r="C1631" s="13" t="s">
        <v>4047</v>
      </c>
      <c r="D1631" s="49">
        <v>20000</v>
      </c>
      <c r="E1631" s="51">
        <v>7.4999999999999997E-2</v>
      </c>
      <c r="F1631" s="42">
        <v>15</v>
      </c>
      <c r="G1631" s="50">
        <v>41128</v>
      </c>
      <c r="H1631" s="49">
        <v>14</v>
      </c>
      <c r="I1631" s="49">
        <f t="shared" si="51"/>
        <v>10500</v>
      </c>
      <c r="J1631" s="29">
        <f t="shared" si="50"/>
        <v>6999.9999999999991</v>
      </c>
      <c r="K1631" s="13" t="s">
        <v>2094</v>
      </c>
      <c r="L1631" s="10"/>
    </row>
    <row r="1632" spans="1:12">
      <c r="A1632" s="13">
        <v>309</v>
      </c>
      <c r="B1632" s="48">
        <v>3484</v>
      </c>
      <c r="C1632" s="13" t="s">
        <v>1170</v>
      </c>
      <c r="D1632" s="49">
        <v>30000</v>
      </c>
      <c r="E1632" s="51">
        <v>7.0000000000000007E-2</v>
      </c>
      <c r="F1632" s="42" t="s">
        <v>4036</v>
      </c>
      <c r="G1632" s="50">
        <v>41136</v>
      </c>
      <c r="H1632" s="49">
        <v>10</v>
      </c>
      <c r="I1632" s="49">
        <f t="shared" si="51"/>
        <v>5250</v>
      </c>
      <c r="J1632" s="29">
        <f t="shared" si="50"/>
        <v>3375.0000000000009</v>
      </c>
      <c r="K1632" s="13" t="s">
        <v>2095</v>
      </c>
      <c r="L1632" s="10"/>
    </row>
    <row r="1633" spans="1:12">
      <c r="A1633" s="13"/>
      <c r="B1633" s="48"/>
      <c r="C1633" s="13"/>
      <c r="D1633" s="49">
        <v>20000</v>
      </c>
      <c r="E1633" s="51">
        <v>7.4999999999999997E-2</v>
      </c>
      <c r="F1633" s="42">
        <v>15</v>
      </c>
      <c r="G1633" s="50">
        <v>41174</v>
      </c>
      <c r="H1633" s="49">
        <v>1</v>
      </c>
      <c r="I1633" s="49">
        <f t="shared" si="51"/>
        <v>750</v>
      </c>
      <c r="J1633" s="29">
        <f t="shared" si="50"/>
        <v>499.99999999999994</v>
      </c>
      <c r="K1633" s="13"/>
      <c r="L1633" s="10"/>
    </row>
    <row r="1634" spans="1:12">
      <c r="A1634" s="13">
        <v>310</v>
      </c>
      <c r="B1634" s="48">
        <v>3486</v>
      </c>
      <c r="C1634" s="13" t="s">
        <v>1418</v>
      </c>
      <c r="D1634" s="49">
        <v>70000</v>
      </c>
      <c r="E1634" s="51">
        <v>7.4999999999999997E-2</v>
      </c>
      <c r="F1634" s="42">
        <v>15</v>
      </c>
      <c r="G1634" s="50">
        <v>41151</v>
      </c>
      <c r="H1634" s="49">
        <v>3</v>
      </c>
      <c r="I1634" s="49">
        <f t="shared" si="51"/>
        <v>7875</v>
      </c>
      <c r="J1634" s="29">
        <f t="shared" si="50"/>
        <v>5249.9999999999991</v>
      </c>
      <c r="K1634" s="13" t="s">
        <v>2096</v>
      </c>
      <c r="L1634" s="10"/>
    </row>
    <row r="1635" spans="1:12">
      <c r="A1635" s="13"/>
      <c r="B1635" s="48"/>
      <c r="C1635" s="13"/>
      <c r="D1635" s="49">
        <v>60000</v>
      </c>
      <c r="E1635" s="51">
        <v>7.4999999999999997E-2</v>
      </c>
      <c r="F1635" s="42">
        <v>15</v>
      </c>
      <c r="G1635" s="50">
        <v>41196</v>
      </c>
      <c r="H1635" s="49">
        <v>2</v>
      </c>
      <c r="I1635" s="49">
        <f t="shared" si="51"/>
        <v>4500</v>
      </c>
      <c r="J1635" s="29">
        <f t="shared" ref="J1635:J1666" si="52">IF(F1635="分期",D1635*(E1635-0.025)*2.5*H1635/10,D1635*(E1635-0.025)*F1635/30*H1635)</f>
        <v>2999.9999999999995</v>
      </c>
      <c r="K1635" s="13"/>
      <c r="L1635" s="10"/>
    </row>
    <row r="1636" spans="1:12">
      <c r="A1636" s="13"/>
      <c r="B1636" s="48"/>
      <c r="C1636" s="13"/>
      <c r="D1636" s="49">
        <v>55000</v>
      </c>
      <c r="E1636" s="51">
        <v>7.4999999999999997E-2</v>
      </c>
      <c r="F1636" s="42">
        <v>15</v>
      </c>
      <c r="G1636" s="50">
        <v>41226</v>
      </c>
      <c r="H1636" s="49">
        <v>2</v>
      </c>
      <c r="I1636" s="49">
        <f t="shared" si="51"/>
        <v>4125</v>
      </c>
      <c r="J1636" s="29">
        <f t="shared" si="52"/>
        <v>2749.9999999999995</v>
      </c>
      <c r="K1636" s="13"/>
      <c r="L1636" s="10"/>
    </row>
    <row r="1637" spans="1:12">
      <c r="A1637" s="13">
        <v>311</v>
      </c>
      <c r="B1637" s="48">
        <v>3488</v>
      </c>
      <c r="C1637" s="13" t="s">
        <v>4042</v>
      </c>
      <c r="D1637" s="49">
        <v>80000</v>
      </c>
      <c r="E1637" s="51">
        <v>7.4999999999999997E-2</v>
      </c>
      <c r="F1637" s="42">
        <v>15</v>
      </c>
      <c r="G1637" s="50">
        <v>41154</v>
      </c>
      <c r="H1637" s="49">
        <v>4</v>
      </c>
      <c r="I1637" s="49">
        <f t="shared" si="51"/>
        <v>12000</v>
      </c>
      <c r="J1637" s="29">
        <f t="shared" si="52"/>
        <v>7999.9999999999991</v>
      </c>
      <c r="K1637" s="13" t="s">
        <v>2097</v>
      </c>
      <c r="L1637" s="10"/>
    </row>
    <row r="1638" spans="1:12">
      <c r="A1638" s="13"/>
      <c r="B1638" s="48"/>
      <c r="C1638" s="13"/>
      <c r="D1638" s="49">
        <v>70000</v>
      </c>
      <c r="E1638" s="51">
        <v>7.4999999999999997E-2</v>
      </c>
      <c r="F1638" s="42">
        <v>15</v>
      </c>
      <c r="G1638" s="50">
        <v>41214</v>
      </c>
      <c r="H1638" s="49">
        <v>3</v>
      </c>
      <c r="I1638" s="49">
        <f t="shared" si="51"/>
        <v>7875</v>
      </c>
      <c r="J1638" s="29">
        <f t="shared" si="52"/>
        <v>5249.9999999999991</v>
      </c>
      <c r="K1638" s="13"/>
      <c r="L1638" s="10"/>
    </row>
    <row r="1639" spans="1:12">
      <c r="A1639" s="13">
        <v>312</v>
      </c>
      <c r="B1639" s="48">
        <v>3490</v>
      </c>
      <c r="C1639" s="13" t="s">
        <v>3494</v>
      </c>
      <c r="D1639" s="49">
        <v>15000</v>
      </c>
      <c r="E1639" s="51">
        <v>7.0000000000000007E-2</v>
      </c>
      <c r="F1639" s="42" t="s">
        <v>4036</v>
      </c>
      <c r="G1639" s="50">
        <v>41155</v>
      </c>
      <c r="H1639" s="49">
        <v>10</v>
      </c>
      <c r="I1639" s="49">
        <f t="shared" si="51"/>
        <v>2625</v>
      </c>
      <c r="J1639" s="29">
        <f t="shared" si="52"/>
        <v>1687.5000000000005</v>
      </c>
      <c r="K1639" s="13" t="s">
        <v>2098</v>
      </c>
      <c r="L1639" s="10"/>
    </row>
    <row r="1640" spans="1:12">
      <c r="A1640" s="13"/>
      <c r="B1640" s="48"/>
      <c r="C1640" s="13"/>
      <c r="D1640" s="49">
        <v>15000</v>
      </c>
      <c r="E1640" s="51">
        <v>7.4999999999999997E-2</v>
      </c>
      <c r="F1640" s="42">
        <v>15</v>
      </c>
      <c r="G1640" s="50">
        <v>41162</v>
      </c>
      <c r="H1640" s="49">
        <v>8</v>
      </c>
      <c r="I1640" s="49">
        <f t="shared" si="51"/>
        <v>4500</v>
      </c>
      <c r="J1640" s="29">
        <f t="shared" si="52"/>
        <v>2999.9999999999995</v>
      </c>
      <c r="K1640" s="13"/>
      <c r="L1640" s="10"/>
    </row>
    <row r="1641" spans="1:12">
      <c r="A1641" s="13"/>
      <c r="B1641" s="48"/>
      <c r="C1641" s="13"/>
      <c r="D1641" s="49">
        <v>15000</v>
      </c>
      <c r="E1641" s="51">
        <v>7.0000000000000007E-2</v>
      </c>
      <c r="F1641" s="42" t="s">
        <v>4036</v>
      </c>
      <c r="G1641" s="50">
        <v>41226</v>
      </c>
      <c r="H1641" s="49">
        <v>10</v>
      </c>
      <c r="I1641" s="49">
        <f t="shared" si="51"/>
        <v>2625</v>
      </c>
      <c r="J1641" s="29">
        <f t="shared" si="52"/>
        <v>1687.5000000000005</v>
      </c>
      <c r="K1641" s="13"/>
      <c r="L1641" s="10"/>
    </row>
    <row r="1642" spans="1:12">
      <c r="A1642" s="13">
        <v>313</v>
      </c>
      <c r="B1642" s="48">
        <v>3492</v>
      </c>
      <c r="C1642" s="13" t="s">
        <v>3831</v>
      </c>
      <c r="D1642" s="49">
        <v>100000</v>
      </c>
      <c r="E1642" s="51">
        <v>7.4999999999999997E-2</v>
      </c>
      <c r="F1642" s="42">
        <v>15</v>
      </c>
      <c r="G1642" s="50">
        <v>41166</v>
      </c>
      <c r="H1642" s="49">
        <v>5</v>
      </c>
      <c r="I1642" s="49">
        <f t="shared" si="51"/>
        <v>18750</v>
      </c>
      <c r="J1642" s="29">
        <f t="shared" si="52"/>
        <v>12500</v>
      </c>
      <c r="K1642" s="13" t="s">
        <v>2099</v>
      </c>
      <c r="L1642" s="10"/>
    </row>
    <row r="1643" spans="1:12">
      <c r="A1643" s="13"/>
      <c r="B1643" s="48"/>
      <c r="C1643" s="13"/>
      <c r="D1643" s="49">
        <v>20000</v>
      </c>
      <c r="E1643" s="51">
        <v>7.0000000000000007E-2</v>
      </c>
      <c r="F1643" s="42" t="s">
        <v>4036</v>
      </c>
      <c r="G1643" s="50">
        <v>41204</v>
      </c>
      <c r="H1643" s="49">
        <v>10</v>
      </c>
      <c r="I1643" s="49">
        <f t="shared" si="51"/>
        <v>3500.0000000000009</v>
      </c>
      <c r="J1643" s="29">
        <f t="shared" si="52"/>
        <v>2250.0000000000005</v>
      </c>
      <c r="K1643" s="13"/>
      <c r="L1643" s="10"/>
    </row>
    <row r="1644" spans="1:12">
      <c r="A1644" s="13">
        <v>314</v>
      </c>
      <c r="B1644" s="48">
        <v>3494</v>
      </c>
      <c r="C1644" s="13" t="s">
        <v>3832</v>
      </c>
      <c r="D1644" s="49">
        <v>10000</v>
      </c>
      <c r="E1644" s="51">
        <v>7.0000000000000007E-2</v>
      </c>
      <c r="F1644" s="42" t="s">
        <v>4036</v>
      </c>
      <c r="G1644" s="50">
        <v>41164</v>
      </c>
      <c r="H1644" s="49">
        <v>10</v>
      </c>
      <c r="I1644" s="49">
        <f t="shared" si="51"/>
        <v>1750.0000000000005</v>
      </c>
      <c r="J1644" s="29">
        <f t="shared" si="52"/>
        <v>1125.0000000000002</v>
      </c>
      <c r="K1644" s="13" t="s">
        <v>2100</v>
      </c>
      <c r="L1644" s="10"/>
    </row>
    <row r="1645" spans="1:12">
      <c r="A1645" s="13"/>
      <c r="B1645" s="48"/>
      <c r="C1645" s="13"/>
      <c r="D1645" s="49">
        <v>10000</v>
      </c>
      <c r="E1645" s="51">
        <v>7.4999999999999997E-2</v>
      </c>
      <c r="F1645" s="42">
        <v>15</v>
      </c>
      <c r="G1645" s="50">
        <v>41172</v>
      </c>
      <c r="H1645" s="49">
        <v>7</v>
      </c>
      <c r="I1645" s="49">
        <f t="shared" si="51"/>
        <v>2625</v>
      </c>
      <c r="J1645" s="29">
        <f t="shared" si="52"/>
        <v>1749.9999999999998</v>
      </c>
      <c r="K1645" s="13"/>
      <c r="L1645" s="10"/>
    </row>
    <row r="1646" spans="1:12">
      <c r="A1646" s="13">
        <v>315</v>
      </c>
      <c r="B1646" s="48">
        <v>3496</v>
      </c>
      <c r="C1646" s="13" t="s">
        <v>4039</v>
      </c>
      <c r="D1646" s="49">
        <v>10000</v>
      </c>
      <c r="E1646" s="51">
        <v>7.0000000000000007E-2</v>
      </c>
      <c r="F1646" s="42" t="s">
        <v>4036</v>
      </c>
      <c r="G1646" s="50">
        <v>41175</v>
      </c>
      <c r="H1646" s="49">
        <v>10</v>
      </c>
      <c r="I1646" s="49">
        <f t="shared" si="51"/>
        <v>1750.0000000000005</v>
      </c>
      <c r="J1646" s="29">
        <f t="shared" si="52"/>
        <v>1125.0000000000002</v>
      </c>
      <c r="K1646" s="13" t="s">
        <v>2101</v>
      </c>
      <c r="L1646" s="10"/>
    </row>
    <row r="1647" spans="1:12">
      <c r="A1647" s="13"/>
      <c r="B1647" s="48"/>
      <c r="C1647" s="13"/>
      <c r="D1647" s="49">
        <v>10000</v>
      </c>
      <c r="E1647" s="51">
        <v>7.4999999999999997E-2</v>
      </c>
      <c r="F1647" s="42">
        <v>15</v>
      </c>
      <c r="G1647" s="50">
        <v>41184</v>
      </c>
      <c r="H1647" s="49">
        <v>8</v>
      </c>
      <c r="I1647" s="49">
        <f t="shared" si="51"/>
        <v>3000</v>
      </c>
      <c r="J1647" s="29">
        <f t="shared" si="52"/>
        <v>1999.9999999999998</v>
      </c>
      <c r="K1647" s="13"/>
      <c r="L1647" s="10"/>
    </row>
    <row r="1648" spans="1:12">
      <c r="A1648" s="13"/>
      <c r="B1648" s="48"/>
      <c r="C1648" s="13"/>
      <c r="D1648" s="49">
        <v>10000</v>
      </c>
      <c r="E1648" s="51">
        <v>7.0000000000000007E-2</v>
      </c>
      <c r="F1648" s="42" t="s">
        <v>4036</v>
      </c>
      <c r="G1648" s="50">
        <v>41244</v>
      </c>
      <c r="H1648" s="49">
        <v>8</v>
      </c>
      <c r="I1648" s="49">
        <f t="shared" si="51"/>
        <v>1400.0000000000002</v>
      </c>
      <c r="J1648" s="29">
        <f t="shared" si="52"/>
        <v>900.00000000000023</v>
      </c>
      <c r="K1648" s="13"/>
      <c r="L1648" s="10"/>
    </row>
    <row r="1649" spans="1:12">
      <c r="A1649" s="13">
        <v>316</v>
      </c>
      <c r="B1649" s="48">
        <v>3498</v>
      </c>
      <c r="C1649" s="13" t="s">
        <v>1046</v>
      </c>
      <c r="D1649" s="49">
        <v>30000</v>
      </c>
      <c r="E1649" s="51">
        <v>7.4999999999999997E-2</v>
      </c>
      <c r="F1649" s="42">
        <v>15</v>
      </c>
      <c r="G1649" s="50">
        <v>41205</v>
      </c>
      <c r="H1649" s="49">
        <v>3</v>
      </c>
      <c r="I1649" s="49">
        <f t="shared" si="51"/>
        <v>3375</v>
      </c>
      <c r="J1649" s="29">
        <f t="shared" si="52"/>
        <v>2249.9999999999995</v>
      </c>
      <c r="K1649" s="13" t="s">
        <v>2102</v>
      </c>
      <c r="L1649" s="10"/>
    </row>
    <row r="1650" spans="1:12">
      <c r="A1650" s="13"/>
      <c r="B1650" s="48"/>
      <c r="C1650" s="13"/>
      <c r="D1650" s="49">
        <v>30000</v>
      </c>
      <c r="E1650" s="51">
        <v>7.0000000000000007E-2</v>
      </c>
      <c r="F1650" s="42" t="s">
        <v>4036</v>
      </c>
      <c r="G1650" s="50">
        <v>41241</v>
      </c>
      <c r="H1650" s="49">
        <v>10</v>
      </c>
      <c r="I1650" s="49">
        <f t="shared" si="51"/>
        <v>5250</v>
      </c>
      <c r="J1650" s="29">
        <f t="shared" si="52"/>
        <v>3375.0000000000009</v>
      </c>
      <c r="K1650" s="13"/>
      <c r="L1650" s="10"/>
    </row>
    <row r="1651" spans="1:12">
      <c r="A1651" s="13">
        <v>317</v>
      </c>
      <c r="B1651" s="48">
        <v>3500</v>
      </c>
      <c r="C1651" s="13" t="s">
        <v>1111</v>
      </c>
      <c r="D1651" s="49">
        <v>20000</v>
      </c>
      <c r="E1651" s="51">
        <v>7.0000000000000007E-2</v>
      </c>
      <c r="F1651" s="42" t="s">
        <v>4036</v>
      </c>
      <c r="G1651" s="50">
        <v>41204</v>
      </c>
      <c r="H1651" s="49">
        <v>10</v>
      </c>
      <c r="I1651" s="49">
        <f t="shared" si="51"/>
        <v>3500.0000000000009</v>
      </c>
      <c r="J1651" s="29">
        <f t="shared" si="52"/>
        <v>2250.0000000000005</v>
      </c>
      <c r="K1651" s="13" t="s">
        <v>2103</v>
      </c>
      <c r="L1651" s="10"/>
    </row>
    <row r="1652" spans="1:12">
      <c r="A1652" s="13"/>
      <c r="B1652" s="48"/>
      <c r="C1652" s="13"/>
      <c r="D1652" s="49">
        <v>20000</v>
      </c>
      <c r="E1652" s="51">
        <v>7.4999999999999997E-2</v>
      </c>
      <c r="F1652" s="42">
        <v>15</v>
      </c>
      <c r="G1652" s="50">
        <v>41212</v>
      </c>
      <c r="H1652" s="49">
        <v>6</v>
      </c>
      <c r="I1652" s="49">
        <f t="shared" si="51"/>
        <v>4500</v>
      </c>
      <c r="J1652" s="29">
        <f t="shared" si="52"/>
        <v>2999.9999999999995</v>
      </c>
      <c r="K1652" s="13"/>
      <c r="L1652" s="10"/>
    </row>
    <row r="1653" spans="1:12">
      <c r="A1653" s="13"/>
      <c r="B1653" s="48"/>
      <c r="C1653" s="13"/>
      <c r="D1653" s="49">
        <v>20000</v>
      </c>
      <c r="E1653" s="51">
        <v>7.0000000000000007E-2</v>
      </c>
      <c r="F1653" s="42" t="s">
        <v>4036</v>
      </c>
      <c r="G1653" s="50">
        <v>41260</v>
      </c>
      <c r="H1653" s="49">
        <v>6</v>
      </c>
      <c r="I1653" s="49">
        <f t="shared" si="51"/>
        <v>2100.0000000000005</v>
      </c>
      <c r="J1653" s="29">
        <f t="shared" si="52"/>
        <v>1350.0000000000005</v>
      </c>
      <c r="K1653" s="13"/>
      <c r="L1653" s="10"/>
    </row>
    <row r="1654" spans="1:12">
      <c r="A1654" s="13">
        <v>318</v>
      </c>
      <c r="B1654" s="48">
        <v>3502</v>
      </c>
      <c r="C1654" s="13" t="s">
        <v>3851</v>
      </c>
      <c r="D1654" s="49">
        <v>20000</v>
      </c>
      <c r="E1654" s="51">
        <v>7.0000000000000007E-2</v>
      </c>
      <c r="F1654" s="42" t="s">
        <v>4036</v>
      </c>
      <c r="G1654" s="50">
        <v>41218</v>
      </c>
      <c r="H1654" s="49">
        <v>10</v>
      </c>
      <c r="I1654" s="49">
        <f t="shared" si="51"/>
        <v>3500.0000000000009</v>
      </c>
      <c r="J1654" s="29">
        <f t="shared" si="52"/>
        <v>2250.0000000000005</v>
      </c>
      <c r="K1654" s="13" t="s">
        <v>2104</v>
      </c>
      <c r="L1654" s="10"/>
    </row>
    <row r="1655" spans="1:12">
      <c r="A1655" s="13"/>
      <c r="B1655" s="48"/>
      <c r="C1655" s="13"/>
      <c r="D1655" s="49">
        <v>20000</v>
      </c>
      <c r="E1655" s="51">
        <v>7.4999999999999997E-2</v>
      </c>
      <c r="F1655" s="42">
        <v>15</v>
      </c>
      <c r="G1655" s="50">
        <v>41226</v>
      </c>
      <c r="H1655" s="49">
        <v>1</v>
      </c>
      <c r="I1655" s="49">
        <f t="shared" si="51"/>
        <v>750</v>
      </c>
      <c r="J1655" s="29">
        <f t="shared" si="52"/>
        <v>499.99999999999994</v>
      </c>
      <c r="K1655" s="13"/>
      <c r="L1655" s="10"/>
    </row>
    <row r="1656" spans="1:12">
      <c r="A1656" s="13"/>
      <c r="B1656" s="48"/>
      <c r="C1656" s="13"/>
      <c r="D1656" s="49">
        <v>40000</v>
      </c>
      <c r="E1656" s="51">
        <v>7.4999999999999997E-2</v>
      </c>
      <c r="F1656" s="42">
        <v>15</v>
      </c>
      <c r="G1656" s="50">
        <v>41241</v>
      </c>
      <c r="H1656" s="49">
        <v>4</v>
      </c>
      <c r="I1656" s="49">
        <f t="shared" si="51"/>
        <v>6000</v>
      </c>
      <c r="J1656" s="29">
        <f t="shared" si="52"/>
        <v>3999.9999999999995</v>
      </c>
      <c r="K1656" s="13"/>
      <c r="L1656" s="10"/>
    </row>
    <row r="1657" spans="1:12">
      <c r="A1657" s="13"/>
      <c r="B1657" s="48"/>
      <c r="C1657" s="13"/>
      <c r="D1657" s="49">
        <v>20000</v>
      </c>
      <c r="E1657" s="51">
        <v>7.0000000000000007E-2</v>
      </c>
      <c r="F1657" s="42" t="s">
        <v>4036</v>
      </c>
      <c r="G1657" s="50">
        <v>41262</v>
      </c>
      <c r="H1657" s="49">
        <v>5</v>
      </c>
      <c r="I1657" s="49">
        <f t="shared" si="51"/>
        <v>1750.0000000000005</v>
      </c>
      <c r="J1657" s="29">
        <f t="shared" si="52"/>
        <v>1125.0000000000002</v>
      </c>
      <c r="K1657" s="13"/>
      <c r="L1657" s="10"/>
    </row>
    <row r="1658" spans="1:12">
      <c r="A1658" s="13">
        <v>319</v>
      </c>
      <c r="B1658" s="48">
        <v>3504</v>
      </c>
      <c r="C1658" s="13" t="s">
        <v>1113</v>
      </c>
      <c r="D1658" s="49">
        <v>30000</v>
      </c>
      <c r="E1658" s="51">
        <v>7.0000000000000007E-2</v>
      </c>
      <c r="F1658" s="42" t="s">
        <v>4036</v>
      </c>
      <c r="G1658" s="50">
        <v>41232</v>
      </c>
      <c r="H1658" s="49">
        <v>10</v>
      </c>
      <c r="I1658" s="49">
        <f t="shared" si="51"/>
        <v>5250</v>
      </c>
      <c r="J1658" s="29">
        <f t="shared" si="52"/>
        <v>3375.0000000000009</v>
      </c>
      <c r="K1658" s="13" t="s">
        <v>2105</v>
      </c>
      <c r="L1658" s="10"/>
    </row>
    <row r="1659" spans="1:12">
      <c r="A1659" s="13"/>
      <c r="B1659" s="48"/>
      <c r="C1659" s="13"/>
      <c r="D1659" s="49">
        <v>10000</v>
      </c>
      <c r="E1659" s="51">
        <v>7.0000000000000007E-2</v>
      </c>
      <c r="F1659" s="42" t="s">
        <v>4036</v>
      </c>
      <c r="G1659" s="50">
        <v>41253</v>
      </c>
      <c r="H1659" s="49">
        <v>6</v>
      </c>
      <c r="I1659" s="49">
        <f t="shared" si="51"/>
        <v>1050.0000000000002</v>
      </c>
      <c r="J1659" s="29">
        <f t="shared" si="52"/>
        <v>675.00000000000023</v>
      </c>
      <c r="K1659" s="13"/>
      <c r="L1659" s="10"/>
    </row>
    <row r="1660" spans="1:12">
      <c r="A1660" s="13"/>
      <c r="B1660" s="48"/>
      <c r="C1660" s="13"/>
      <c r="D1660" s="49">
        <v>30000</v>
      </c>
      <c r="E1660" s="51">
        <v>7.0000000000000007E-2</v>
      </c>
      <c r="F1660" s="42" t="s">
        <v>4036</v>
      </c>
      <c r="G1660" s="50">
        <v>41271</v>
      </c>
      <c r="H1660" s="49">
        <v>4</v>
      </c>
      <c r="I1660" s="49">
        <f t="shared" si="51"/>
        <v>2100</v>
      </c>
      <c r="J1660" s="29">
        <f t="shared" si="52"/>
        <v>1350.0000000000002</v>
      </c>
      <c r="K1660" s="13"/>
      <c r="L1660" s="10"/>
    </row>
    <row r="1661" spans="1:12">
      <c r="A1661" s="13">
        <v>320</v>
      </c>
      <c r="B1661" s="48">
        <v>3506</v>
      </c>
      <c r="C1661" s="13" t="s">
        <v>1159</v>
      </c>
      <c r="D1661" s="49">
        <v>15000</v>
      </c>
      <c r="E1661" s="51">
        <v>7.0000000000000007E-2</v>
      </c>
      <c r="F1661" s="42" t="s">
        <v>4036</v>
      </c>
      <c r="G1661" s="50">
        <v>41250</v>
      </c>
      <c r="H1661" s="49">
        <v>4</v>
      </c>
      <c r="I1661" s="49">
        <f t="shared" si="51"/>
        <v>1050</v>
      </c>
      <c r="J1661" s="29">
        <f t="shared" si="52"/>
        <v>675.00000000000011</v>
      </c>
      <c r="K1661" s="13" t="s">
        <v>2106</v>
      </c>
      <c r="L1661" s="10"/>
    </row>
    <row r="1662" spans="1:12">
      <c r="A1662" s="13"/>
      <c r="B1662" s="48"/>
      <c r="C1662" s="13"/>
      <c r="D1662" s="49">
        <v>15000</v>
      </c>
      <c r="E1662" s="51">
        <v>7.4999999999999997E-2</v>
      </c>
      <c r="F1662" s="42">
        <v>15</v>
      </c>
      <c r="G1662" s="50">
        <v>41258</v>
      </c>
      <c r="H1662" s="49">
        <v>2</v>
      </c>
      <c r="I1662" s="49">
        <f t="shared" si="51"/>
        <v>1125</v>
      </c>
      <c r="J1662" s="29">
        <f t="shared" si="52"/>
        <v>749.99999999999989</v>
      </c>
      <c r="K1662" s="13"/>
      <c r="L1662" s="10"/>
    </row>
    <row r="1663" spans="1:12" ht="32.4">
      <c r="A1663" s="13">
        <v>321</v>
      </c>
      <c r="B1663" s="48">
        <v>3508</v>
      </c>
      <c r="C1663" s="13" t="s">
        <v>2787</v>
      </c>
      <c r="D1663" s="49">
        <v>90000</v>
      </c>
      <c r="E1663" s="51">
        <v>7.4999999999999997E-2</v>
      </c>
      <c r="F1663" s="42">
        <v>15</v>
      </c>
      <c r="G1663" s="50">
        <v>41265</v>
      </c>
      <c r="H1663" s="49">
        <v>3</v>
      </c>
      <c r="I1663" s="49">
        <f t="shared" si="51"/>
        <v>10125</v>
      </c>
      <c r="J1663" s="29">
        <f t="shared" si="52"/>
        <v>6750</v>
      </c>
      <c r="K1663" s="13" t="s">
        <v>2107</v>
      </c>
      <c r="L1663" s="10" t="s">
        <v>2038</v>
      </c>
    </row>
    <row r="1664" spans="1:12">
      <c r="A1664" s="13">
        <v>322</v>
      </c>
      <c r="B1664" s="48">
        <v>3510</v>
      </c>
      <c r="C1664" s="13" t="s">
        <v>1411</v>
      </c>
      <c r="D1664" s="49">
        <v>10000</v>
      </c>
      <c r="E1664" s="51">
        <v>7.0000000000000007E-2</v>
      </c>
      <c r="F1664" s="42" t="s">
        <v>4036</v>
      </c>
      <c r="G1664" s="50">
        <v>41281</v>
      </c>
      <c r="H1664" s="49">
        <v>3</v>
      </c>
      <c r="I1664" s="49">
        <f t="shared" si="51"/>
        <v>525.00000000000011</v>
      </c>
      <c r="J1664" s="29">
        <f t="shared" si="52"/>
        <v>337.50000000000011</v>
      </c>
      <c r="K1664" s="13" t="s">
        <v>2108</v>
      </c>
      <c r="L1664" s="10"/>
    </row>
    <row r="1665" spans="1:13">
      <c r="A1665" s="13"/>
      <c r="B1665" s="48"/>
      <c r="C1665" s="13"/>
      <c r="D1665" s="49">
        <v>20000</v>
      </c>
      <c r="E1665" s="51">
        <v>7.4999999999999997E-2</v>
      </c>
      <c r="F1665" s="42">
        <v>15</v>
      </c>
      <c r="G1665" s="50">
        <v>41289</v>
      </c>
      <c r="H1665" s="49">
        <v>1</v>
      </c>
      <c r="I1665" s="49">
        <f t="shared" si="51"/>
        <v>750</v>
      </c>
      <c r="J1665" s="29">
        <f t="shared" si="52"/>
        <v>499.99999999999994</v>
      </c>
      <c r="K1665" s="13"/>
      <c r="L1665" s="10"/>
    </row>
    <row r="1666" spans="1:13">
      <c r="A1666" s="13">
        <v>323</v>
      </c>
      <c r="B1666" s="48">
        <v>3512</v>
      </c>
      <c r="C1666" s="13" t="s">
        <v>1826</v>
      </c>
      <c r="D1666" s="49">
        <v>30000</v>
      </c>
      <c r="E1666" s="51">
        <v>7.0000000000000007E-2</v>
      </c>
      <c r="F1666" s="42" t="s">
        <v>4036</v>
      </c>
      <c r="G1666" s="50">
        <v>41292</v>
      </c>
      <c r="H1666" s="49">
        <v>1</v>
      </c>
      <c r="I1666" s="49">
        <f t="shared" si="51"/>
        <v>525</v>
      </c>
      <c r="J1666" s="29">
        <f t="shared" si="52"/>
        <v>337.50000000000006</v>
      </c>
      <c r="K1666" s="13" t="s">
        <v>2109</v>
      </c>
      <c r="L1666" s="10"/>
    </row>
    <row r="1667" spans="1:13">
      <c r="A1667" s="13"/>
      <c r="B1667" s="48" t="s">
        <v>3498</v>
      </c>
      <c r="C1667" s="13"/>
      <c r="D1667" s="49"/>
      <c r="E1667" s="51"/>
      <c r="F1667" s="42"/>
      <c r="G1667" s="50"/>
      <c r="H1667" s="49"/>
      <c r="I1667" s="62">
        <f>SUM(I2:I1666)</f>
        <v>20120852</v>
      </c>
      <c r="J1667" s="62">
        <f>SUM(J2:J1666)</f>
        <v>13172268.75</v>
      </c>
      <c r="K1667" s="13"/>
      <c r="L1667" s="10"/>
    </row>
    <row r="1668" spans="1:13" ht="34.200000000000003" customHeight="1">
      <c r="A1668" s="57" t="s">
        <v>192</v>
      </c>
      <c r="B1668" s="285" t="s">
        <v>4084</v>
      </c>
      <c r="C1668" s="285"/>
      <c r="D1668" s="285"/>
      <c r="E1668" s="285"/>
      <c r="F1668" s="285"/>
      <c r="G1668" s="285"/>
      <c r="H1668" s="285"/>
      <c r="I1668" s="285"/>
      <c r="J1668" s="285"/>
      <c r="K1668" s="285"/>
      <c r="L1668" s="285"/>
    </row>
    <row r="1669" spans="1:13" ht="52.2" customHeight="1">
      <c r="A1669" s="57" t="s">
        <v>1810</v>
      </c>
      <c r="B1669" s="283" t="s">
        <v>4085</v>
      </c>
      <c r="C1669" s="283"/>
      <c r="D1669" s="283"/>
      <c r="E1669" s="283"/>
      <c r="F1669" s="283"/>
      <c r="G1669" s="283"/>
      <c r="H1669" s="283"/>
      <c r="I1669" s="283"/>
      <c r="J1669" s="283"/>
      <c r="K1669" s="283"/>
      <c r="L1669" s="283"/>
    </row>
    <row r="1670" spans="1:13" ht="115.8" customHeight="1">
      <c r="A1670" s="57" t="s">
        <v>1818</v>
      </c>
      <c r="B1670" s="283" t="s">
        <v>1194</v>
      </c>
      <c r="C1670" s="283"/>
      <c r="D1670" s="283"/>
      <c r="E1670" s="283"/>
      <c r="F1670" s="283"/>
      <c r="G1670" s="283"/>
      <c r="H1670" s="283"/>
      <c r="I1670" s="283"/>
      <c r="J1670" s="283"/>
      <c r="K1670" s="283"/>
      <c r="L1670" s="283"/>
    </row>
    <row r="1671" spans="1:13" ht="52.8" customHeight="1">
      <c r="A1671" s="57" t="s">
        <v>1675</v>
      </c>
      <c r="B1671" s="283" t="s">
        <v>1682</v>
      </c>
      <c r="C1671" s="283"/>
      <c r="D1671" s="283"/>
      <c r="E1671" s="283"/>
      <c r="F1671" s="283"/>
      <c r="G1671" s="283"/>
      <c r="H1671" s="283"/>
      <c r="I1671" s="283"/>
      <c r="J1671" s="283"/>
      <c r="K1671" s="283"/>
      <c r="L1671" s="283"/>
    </row>
    <row r="1672" spans="1:13" ht="49.2" customHeight="1">
      <c r="A1672" s="57" t="s">
        <v>1681</v>
      </c>
      <c r="B1672" s="283" t="s">
        <v>1465</v>
      </c>
      <c r="C1672" s="284"/>
      <c r="D1672" s="284"/>
      <c r="E1672" s="284"/>
      <c r="F1672" s="284"/>
      <c r="G1672" s="284"/>
      <c r="H1672" s="284"/>
      <c r="I1672" s="284"/>
      <c r="J1672" s="284"/>
      <c r="K1672" s="284"/>
      <c r="L1672" s="284"/>
      <c r="M1672" s="76"/>
    </row>
    <row r="1673" spans="1:13" ht="33" customHeight="1">
      <c r="A1673" s="57" t="s">
        <v>2888</v>
      </c>
      <c r="B1673" s="282" t="s">
        <v>313</v>
      </c>
      <c r="C1673" s="282"/>
      <c r="D1673" s="282"/>
      <c r="E1673" s="282"/>
      <c r="F1673" s="282"/>
      <c r="G1673" s="282"/>
      <c r="H1673" s="282"/>
      <c r="I1673" s="282"/>
      <c r="J1673" s="282"/>
      <c r="K1673" s="282"/>
      <c r="L1673" s="282"/>
    </row>
  </sheetData>
  <mergeCells count="6">
    <mergeCell ref="B1673:L1673"/>
    <mergeCell ref="B1672:L1672"/>
    <mergeCell ref="B1668:L1668"/>
    <mergeCell ref="B1669:L1669"/>
    <mergeCell ref="B1670:L1670"/>
    <mergeCell ref="B1671:L1671"/>
  </mergeCells>
  <phoneticPr fontId="2" type="noConversion"/>
  <pageMargins left="0.31496062992125984" right="0.23622047244094491" top="0.82" bottom="0.69" header="0.45" footer="0.44"/>
  <pageSetup paperSize="9" scale="70" fitToHeight="50" orientation="portrait" r:id="rId1"/>
  <headerFooter>
    <oddHeader>&amp;C附表一之1：&amp;A</oddHeader>
    <oddFooter>&amp;C&amp;P</oddFooter>
  </headerFooter>
</worksheet>
</file>

<file path=xl/worksheets/sheet3.xml><?xml version="1.0" encoding="utf-8"?>
<worksheet xmlns="http://schemas.openxmlformats.org/spreadsheetml/2006/main" xmlns:r="http://schemas.openxmlformats.org/officeDocument/2006/relationships">
  <dimension ref="A1:F1314"/>
  <sheetViews>
    <sheetView workbookViewId="0">
      <pane ySplit="1" topLeftCell="A2" activePane="bottomLeft" state="frozen"/>
      <selection pane="bottomLeft" activeCell="D6" sqref="D6"/>
    </sheetView>
  </sheetViews>
  <sheetFormatPr defaultRowHeight="16.2"/>
  <cols>
    <col min="1" max="1" width="6" bestFit="1" customWidth="1"/>
    <col min="3" max="3" width="9.6640625" style="7" bestFit="1" customWidth="1"/>
    <col min="4" max="4" width="10.77734375" style="3" customWidth="1"/>
    <col min="5" max="5" width="29.6640625" bestFit="1" customWidth="1"/>
    <col min="6" max="6" width="22.77734375" bestFit="1" customWidth="1"/>
  </cols>
  <sheetData>
    <row r="1" spans="1:6" s="1" customFormat="1" ht="32.4">
      <c r="A1" s="2" t="s">
        <v>1364</v>
      </c>
      <c r="B1" s="2" t="s">
        <v>4030</v>
      </c>
      <c r="C1" s="8" t="s">
        <v>3805</v>
      </c>
      <c r="D1" s="9" t="s">
        <v>3806</v>
      </c>
      <c r="E1" s="66" t="s">
        <v>1507</v>
      </c>
      <c r="F1" s="2" t="s">
        <v>2471</v>
      </c>
    </row>
    <row r="2" spans="1:6">
      <c r="A2" s="4">
        <v>1</v>
      </c>
      <c r="B2" s="4" t="s">
        <v>3757</v>
      </c>
      <c r="C2" s="6">
        <v>41096</v>
      </c>
      <c r="D2" s="5">
        <f>6940+755</f>
        <v>7695</v>
      </c>
      <c r="E2" s="4" t="s">
        <v>3257</v>
      </c>
      <c r="F2" s="4"/>
    </row>
    <row r="3" spans="1:6">
      <c r="A3" s="4"/>
      <c r="B3" s="4"/>
      <c r="C3" s="6">
        <v>41102</v>
      </c>
      <c r="D3" s="5">
        <f>1690+190</f>
        <v>1880</v>
      </c>
      <c r="E3" s="4" t="s">
        <v>3257</v>
      </c>
      <c r="F3" s="4"/>
    </row>
    <row r="4" spans="1:6">
      <c r="A4" s="4"/>
      <c r="B4" s="4"/>
      <c r="C4" s="6">
        <v>41112</v>
      </c>
      <c r="D4" s="5">
        <v>5265</v>
      </c>
      <c r="E4" s="4" t="s">
        <v>3257</v>
      </c>
      <c r="F4" s="4"/>
    </row>
    <row r="5" spans="1:6">
      <c r="A5" s="4"/>
      <c r="B5" s="4"/>
      <c r="C5" s="6">
        <v>41120</v>
      </c>
      <c r="D5" s="5">
        <f>190+375</f>
        <v>565</v>
      </c>
      <c r="E5" s="4" t="s">
        <v>3257</v>
      </c>
      <c r="F5" s="4"/>
    </row>
    <row r="6" spans="1:6">
      <c r="A6" s="4"/>
      <c r="B6" s="4"/>
      <c r="C6" s="6">
        <v>41123</v>
      </c>
      <c r="D6" s="5">
        <v>1875</v>
      </c>
      <c r="E6" s="4" t="s">
        <v>1358</v>
      </c>
      <c r="F6" s="4"/>
    </row>
    <row r="7" spans="1:6">
      <c r="A7" s="4"/>
      <c r="B7" s="4"/>
      <c r="C7" s="6">
        <v>41125</v>
      </c>
      <c r="D7" s="5">
        <v>945</v>
      </c>
      <c r="E7" s="4" t="s">
        <v>1358</v>
      </c>
      <c r="F7" s="4"/>
    </row>
    <row r="8" spans="1:6">
      <c r="A8" s="4"/>
      <c r="B8" s="4"/>
      <c r="C8" s="6">
        <v>41129</v>
      </c>
      <c r="D8" s="5">
        <v>1690</v>
      </c>
      <c r="E8" s="4" t="s">
        <v>1358</v>
      </c>
      <c r="F8" s="4"/>
    </row>
    <row r="9" spans="1:6">
      <c r="A9" s="4"/>
      <c r="B9" s="4"/>
      <c r="C9" s="6">
        <v>41134</v>
      </c>
      <c r="D9" s="5">
        <v>755</v>
      </c>
      <c r="E9" s="4" t="s">
        <v>1358</v>
      </c>
      <c r="F9" s="4"/>
    </row>
    <row r="10" spans="1:6">
      <c r="A10" s="4"/>
      <c r="B10" s="4"/>
      <c r="C10" s="6">
        <v>41137</v>
      </c>
      <c r="D10" s="5">
        <v>1875</v>
      </c>
      <c r="E10" s="4" t="s">
        <v>1358</v>
      </c>
      <c r="F10" s="4"/>
    </row>
    <row r="11" spans="1:6">
      <c r="A11" s="4"/>
      <c r="B11" s="4"/>
      <c r="C11" s="6">
        <v>41141</v>
      </c>
      <c r="D11" s="5">
        <v>945</v>
      </c>
      <c r="E11" s="4" t="s">
        <v>1358</v>
      </c>
      <c r="F11" s="4"/>
    </row>
    <row r="12" spans="1:6">
      <c r="A12" s="4"/>
      <c r="B12" s="4"/>
      <c r="C12" s="6">
        <v>41145</v>
      </c>
      <c r="D12" s="5">
        <v>1690</v>
      </c>
      <c r="E12" s="4" t="s">
        <v>1358</v>
      </c>
      <c r="F12" s="4"/>
    </row>
    <row r="13" spans="1:6">
      <c r="A13" s="4"/>
      <c r="B13" s="4"/>
      <c r="C13" s="6">
        <v>41148</v>
      </c>
      <c r="D13" s="5">
        <v>190</v>
      </c>
      <c r="E13" s="4" t="s">
        <v>1358</v>
      </c>
      <c r="F13" s="4"/>
    </row>
    <row r="14" spans="1:6">
      <c r="A14" s="4"/>
      <c r="B14" s="4"/>
      <c r="C14" s="6">
        <v>41150</v>
      </c>
      <c r="D14" s="5">
        <v>2440</v>
      </c>
      <c r="E14" s="4" t="s">
        <v>1358</v>
      </c>
      <c r="F14" s="4"/>
    </row>
    <row r="15" spans="1:6">
      <c r="A15" s="4"/>
      <c r="B15" s="4"/>
      <c r="C15" s="6">
        <v>41155</v>
      </c>
      <c r="D15" s="5">
        <f>190+755+1690</f>
        <v>2635</v>
      </c>
      <c r="E15" s="4" t="s">
        <v>1357</v>
      </c>
      <c r="F15" s="4"/>
    </row>
    <row r="16" spans="1:6">
      <c r="A16" s="4"/>
      <c r="B16" s="4"/>
      <c r="C16" s="6">
        <v>41163</v>
      </c>
      <c r="D16" s="5">
        <v>190</v>
      </c>
      <c r="E16" s="4" t="s">
        <v>1357</v>
      </c>
      <c r="F16" s="4"/>
    </row>
    <row r="17" spans="1:6">
      <c r="A17" s="4"/>
      <c r="B17" s="4"/>
      <c r="C17" s="6">
        <v>41164</v>
      </c>
      <c r="D17" s="5">
        <v>375</v>
      </c>
      <c r="E17" s="4" t="s">
        <v>1357</v>
      </c>
      <c r="F17" s="4"/>
    </row>
    <row r="18" spans="1:6">
      <c r="A18" s="4"/>
      <c r="B18" s="4"/>
      <c r="C18" s="6">
        <v>41165</v>
      </c>
      <c r="D18" s="5">
        <v>190</v>
      </c>
      <c r="E18" s="4" t="s">
        <v>1357</v>
      </c>
      <c r="F18" s="4"/>
    </row>
    <row r="19" spans="1:6">
      <c r="A19" s="4"/>
      <c r="B19" s="4"/>
      <c r="C19" s="6">
        <v>41169</v>
      </c>
      <c r="D19" s="5">
        <v>1875</v>
      </c>
      <c r="E19" s="4" t="s">
        <v>1357</v>
      </c>
      <c r="F19" s="4"/>
    </row>
    <row r="20" spans="1:6">
      <c r="A20" s="4"/>
      <c r="B20" s="4"/>
      <c r="C20" s="6">
        <v>41170</v>
      </c>
      <c r="D20" s="5">
        <v>190</v>
      </c>
      <c r="E20" s="4" t="s">
        <v>1357</v>
      </c>
      <c r="F20" s="4"/>
    </row>
    <row r="21" spans="1:6">
      <c r="A21" s="4"/>
      <c r="B21" s="4"/>
      <c r="C21" s="6">
        <v>41172</v>
      </c>
      <c r="D21" s="5">
        <f>755+1690</f>
        <v>2445</v>
      </c>
      <c r="E21" s="4" t="s">
        <v>1357</v>
      </c>
      <c r="F21" s="4"/>
    </row>
    <row r="22" spans="1:6">
      <c r="A22" s="4"/>
      <c r="B22" s="4"/>
      <c r="C22" s="6">
        <v>41179</v>
      </c>
      <c r="D22" s="5">
        <f>565+190</f>
        <v>755</v>
      </c>
      <c r="E22" s="4" t="s">
        <v>1357</v>
      </c>
      <c r="F22" s="4"/>
    </row>
    <row r="23" spans="1:6">
      <c r="A23" s="4"/>
      <c r="B23" s="4"/>
      <c r="C23" s="6">
        <v>41186</v>
      </c>
      <c r="D23" s="5">
        <v>2820</v>
      </c>
      <c r="E23" s="4" t="s">
        <v>1357</v>
      </c>
      <c r="F23" s="4"/>
    </row>
    <row r="24" spans="1:6">
      <c r="A24" s="4"/>
      <c r="B24" s="4"/>
      <c r="C24" s="6">
        <v>41191</v>
      </c>
      <c r="D24" s="5">
        <v>1690</v>
      </c>
      <c r="E24" s="4" t="s">
        <v>1357</v>
      </c>
      <c r="F24" s="4"/>
    </row>
    <row r="25" spans="1:6">
      <c r="A25" s="4"/>
      <c r="B25" s="4"/>
      <c r="C25" s="6">
        <v>41193</v>
      </c>
      <c r="D25" s="5">
        <v>190</v>
      </c>
      <c r="E25" s="4" t="s">
        <v>1357</v>
      </c>
      <c r="F25" s="4"/>
    </row>
    <row r="26" spans="1:6">
      <c r="A26" s="4"/>
      <c r="B26" s="4"/>
      <c r="C26" s="6">
        <v>41194</v>
      </c>
      <c r="D26" s="5">
        <v>375</v>
      </c>
      <c r="E26" s="4" t="s">
        <v>1357</v>
      </c>
      <c r="F26" s="4"/>
    </row>
    <row r="27" spans="1:6">
      <c r="A27" s="4"/>
      <c r="B27" s="4"/>
      <c r="C27" s="6">
        <v>41195</v>
      </c>
      <c r="D27" s="5">
        <v>190</v>
      </c>
      <c r="E27" s="4" t="s">
        <v>1357</v>
      </c>
      <c r="F27" s="4"/>
    </row>
    <row r="28" spans="1:6">
      <c r="A28" s="4"/>
      <c r="B28" s="4"/>
      <c r="C28" s="6">
        <v>41197</v>
      </c>
      <c r="D28" s="5">
        <v>1875</v>
      </c>
      <c r="E28" s="4" t="s">
        <v>1357</v>
      </c>
      <c r="F28" s="4"/>
    </row>
    <row r="29" spans="1:6">
      <c r="A29" s="4"/>
      <c r="B29" s="4"/>
      <c r="C29" s="6">
        <v>41200</v>
      </c>
      <c r="D29" s="5">
        <f>190+755+1690+565</f>
        <v>3200</v>
      </c>
      <c r="E29" s="4" t="s">
        <v>1357</v>
      </c>
      <c r="F29" s="4"/>
    </row>
    <row r="30" spans="1:6">
      <c r="A30" s="4"/>
      <c r="B30" s="4"/>
      <c r="C30" s="6">
        <v>41211</v>
      </c>
      <c r="D30" s="5">
        <v>2065</v>
      </c>
      <c r="E30" s="4" t="s">
        <v>1357</v>
      </c>
      <c r="F30" s="4"/>
    </row>
    <row r="31" spans="1:6">
      <c r="A31" s="4"/>
      <c r="B31" s="4"/>
      <c r="C31" s="6">
        <v>41215</v>
      </c>
      <c r="D31" s="5">
        <v>190</v>
      </c>
      <c r="E31" s="4" t="s">
        <v>1356</v>
      </c>
      <c r="F31" s="4"/>
    </row>
    <row r="32" spans="1:6">
      <c r="A32" s="4"/>
      <c r="B32" s="4"/>
      <c r="C32" s="6">
        <v>41232</v>
      </c>
      <c r="D32" s="5">
        <v>575</v>
      </c>
      <c r="E32" s="4" t="s">
        <v>1356</v>
      </c>
      <c r="F32" s="4"/>
    </row>
    <row r="33" spans="1:6">
      <c r="A33" s="4"/>
      <c r="B33" s="4"/>
      <c r="C33" s="6">
        <v>41284</v>
      </c>
      <c r="D33" s="5">
        <v>1125</v>
      </c>
      <c r="E33" s="4" t="s">
        <v>3824</v>
      </c>
      <c r="F33" s="4"/>
    </row>
    <row r="34" spans="1:6">
      <c r="A34" s="4"/>
      <c r="B34" s="4"/>
      <c r="C34" s="6">
        <v>41285</v>
      </c>
      <c r="D34" s="5">
        <v>1690</v>
      </c>
      <c r="E34" s="4" t="s">
        <v>3828</v>
      </c>
      <c r="F34" s="4"/>
    </row>
    <row r="35" spans="1:6">
      <c r="A35" s="4"/>
      <c r="B35" s="4"/>
      <c r="C35" s="6">
        <v>41285</v>
      </c>
      <c r="D35" s="5">
        <v>190</v>
      </c>
      <c r="E35" s="4" t="s">
        <v>3828</v>
      </c>
      <c r="F35" s="4"/>
    </row>
    <row r="36" spans="1:6">
      <c r="A36" s="4"/>
      <c r="B36" s="4"/>
      <c r="C36" s="6">
        <v>41285</v>
      </c>
      <c r="D36" s="5">
        <v>375</v>
      </c>
      <c r="E36" s="4" t="s">
        <v>3828</v>
      </c>
      <c r="F36" s="4"/>
    </row>
    <row r="37" spans="1:6">
      <c r="A37" s="4"/>
      <c r="B37" s="4"/>
      <c r="C37" s="6">
        <v>41285</v>
      </c>
      <c r="D37" s="5">
        <v>190</v>
      </c>
      <c r="E37" s="4" t="s">
        <v>3828</v>
      </c>
      <c r="F37" s="4"/>
    </row>
    <row r="38" spans="1:6">
      <c r="A38" s="4"/>
      <c r="B38" s="4"/>
      <c r="C38" s="6">
        <v>41285</v>
      </c>
      <c r="D38" s="5">
        <v>1875</v>
      </c>
      <c r="E38" s="4" t="s">
        <v>3828</v>
      </c>
      <c r="F38" s="4"/>
    </row>
    <row r="39" spans="1:6">
      <c r="A39" s="4">
        <v>2</v>
      </c>
      <c r="B39" s="4" t="s">
        <v>3788</v>
      </c>
      <c r="C39" s="6">
        <v>41159</v>
      </c>
      <c r="D39" s="5">
        <v>11250</v>
      </c>
      <c r="E39" s="4" t="s">
        <v>3258</v>
      </c>
      <c r="F39" s="4"/>
    </row>
    <row r="40" spans="1:6">
      <c r="A40" s="4"/>
      <c r="B40" s="4"/>
      <c r="C40" s="6">
        <v>41275</v>
      </c>
      <c r="D40" s="5">
        <v>28125</v>
      </c>
      <c r="E40" s="4" t="s">
        <v>3675</v>
      </c>
      <c r="F40" s="4"/>
    </row>
    <row r="41" spans="1:6">
      <c r="A41" s="4"/>
      <c r="B41" s="4"/>
      <c r="C41" s="6">
        <v>41286</v>
      </c>
      <c r="D41" s="5">
        <v>11250</v>
      </c>
      <c r="E41" s="4" t="s">
        <v>3685</v>
      </c>
      <c r="F41" s="4"/>
    </row>
    <row r="42" spans="1:6">
      <c r="A42" s="4">
        <v>3</v>
      </c>
      <c r="B42" s="4" t="s">
        <v>3527</v>
      </c>
      <c r="C42" s="6">
        <v>41103</v>
      </c>
      <c r="D42" s="5">
        <v>3565</v>
      </c>
      <c r="E42" s="4" t="s">
        <v>3263</v>
      </c>
      <c r="F42" s="4"/>
    </row>
    <row r="43" spans="1:6">
      <c r="A43" s="4"/>
      <c r="B43" s="4"/>
      <c r="C43" s="6">
        <v>41114</v>
      </c>
      <c r="D43" s="5">
        <v>3565</v>
      </c>
      <c r="E43" s="4" t="s">
        <v>3263</v>
      </c>
      <c r="F43" s="4"/>
    </row>
    <row r="44" spans="1:6">
      <c r="A44" s="4"/>
      <c r="B44" s="4"/>
      <c r="C44" s="6">
        <v>41130</v>
      </c>
      <c r="D44" s="5">
        <v>3565</v>
      </c>
      <c r="E44" s="4" t="s">
        <v>2476</v>
      </c>
      <c r="F44" s="4"/>
    </row>
    <row r="45" spans="1:6">
      <c r="A45" s="4"/>
      <c r="B45" s="4"/>
      <c r="C45" s="6">
        <v>41146</v>
      </c>
      <c r="D45" s="5">
        <v>3565</v>
      </c>
      <c r="E45" s="4" t="s">
        <v>2476</v>
      </c>
      <c r="F45" s="4"/>
    </row>
    <row r="46" spans="1:6">
      <c r="A46" s="4"/>
      <c r="B46" s="4"/>
      <c r="C46" s="6">
        <v>41162</v>
      </c>
      <c r="D46" s="5">
        <v>3565</v>
      </c>
      <c r="E46" s="4" t="s">
        <v>2783</v>
      </c>
      <c r="F46" s="4"/>
    </row>
    <row r="47" spans="1:6">
      <c r="A47" s="4"/>
      <c r="B47" s="4"/>
      <c r="C47" s="6">
        <v>41169</v>
      </c>
      <c r="D47" s="5">
        <v>1315</v>
      </c>
      <c r="E47" s="4" t="s">
        <v>2783</v>
      </c>
      <c r="F47" s="4"/>
    </row>
    <row r="48" spans="1:6">
      <c r="A48" s="4"/>
      <c r="B48" s="4"/>
      <c r="C48" s="6">
        <v>41177</v>
      </c>
      <c r="D48" s="5">
        <v>3565</v>
      </c>
      <c r="E48" s="4" t="s">
        <v>2783</v>
      </c>
      <c r="F48" s="4"/>
    </row>
    <row r="49" spans="1:6">
      <c r="A49" s="4"/>
      <c r="B49" s="4"/>
      <c r="C49" s="6">
        <v>41184</v>
      </c>
      <c r="D49" s="5">
        <v>750</v>
      </c>
      <c r="E49" s="4" t="s">
        <v>884</v>
      </c>
      <c r="F49" s="4"/>
    </row>
    <row r="50" spans="1:6">
      <c r="A50" s="4"/>
      <c r="B50" s="4"/>
      <c r="C50" s="6">
        <v>41193</v>
      </c>
      <c r="D50" s="5">
        <v>3565</v>
      </c>
      <c r="E50" s="4" t="s">
        <v>884</v>
      </c>
      <c r="F50" s="4"/>
    </row>
    <row r="51" spans="1:6">
      <c r="A51" s="4"/>
      <c r="B51" s="4"/>
      <c r="C51" s="6">
        <v>41197</v>
      </c>
      <c r="D51" s="5">
        <v>750</v>
      </c>
      <c r="E51" s="4" t="s">
        <v>884</v>
      </c>
      <c r="F51" s="4"/>
    </row>
    <row r="52" spans="1:6">
      <c r="A52" s="4"/>
      <c r="B52" s="4"/>
      <c r="C52" s="6">
        <v>41205</v>
      </c>
      <c r="D52" s="5">
        <v>3565</v>
      </c>
      <c r="E52" s="4" t="s">
        <v>884</v>
      </c>
      <c r="F52" s="4"/>
    </row>
    <row r="53" spans="1:6">
      <c r="A53" s="4"/>
      <c r="B53" s="4"/>
      <c r="C53" s="6">
        <v>41212</v>
      </c>
      <c r="D53" s="5">
        <f>375+750</f>
        <v>1125</v>
      </c>
      <c r="E53" s="4" t="s">
        <v>884</v>
      </c>
      <c r="F53" s="4"/>
    </row>
    <row r="54" spans="1:6">
      <c r="A54" s="4"/>
      <c r="B54" s="4"/>
      <c r="C54" s="6">
        <v>41220</v>
      </c>
      <c r="D54" s="5">
        <v>3565</v>
      </c>
      <c r="E54" s="4" t="s">
        <v>2567</v>
      </c>
      <c r="F54" s="4"/>
    </row>
    <row r="55" spans="1:6">
      <c r="A55" s="4"/>
      <c r="B55" s="4"/>
      <c r="C55" s="6">
        <v>41229</v>
      </c>
      <c r="D55" s="5">
        <v>1125</v>
      </c>
      <c r="E55" s="4" t="s">
        <v>2567</v>
      </c>
      <c r="F55" s="4"/>
    </row>
    <row r="56" spans="1:6">
      <c r="A56" s="4"/>
      <c r="B56" s="4"/>
      <c r="C56" s="6">
        <v>41238</v>
      </c>
      <c r="D56" s="5">
        <v>3565</v>
      </c>
      <c r="E56" s="4" t="s">
        <v>2567</v>
      </c>
      <c r="F56" s="4"/>
    </row>
    <row r="57" spans="1:6">
      <c r="A57" s="4"/>
      <c r="B57" s="4"/>
      <c r="C57" s="6">
        <v>41242</v>
      </c>
      <c r="D57" s="5">
        <v>1125</v>
      </c>
      <c r="E57" s="4" t="s">
        <v>2567</v>
      </c>
      <c r="F57" s="4"/>
    </row>
    <row r="58" spans="1:6">
      <c r="A58" s="4"/>
      <c r="B58" s="4"/>
      <c r="C58" s="6">
        <v>41276</v>
      </c>
      <c r="D58" s="5">
        <v>3565</v>
      </c>
      <c r="E58" s="4" t="s">
        <v>1367</v>
      </c>
      <c r="F58" s="4"/>
    </row>
    <row r="59" spans="1:6">
      <c r="A59" s="4"/>
      <c r="B59" s="4"/>
      <c r="C59" s="6">
        <v>41276</v>
      </c>
      <c r="D59" s="5">
        <v>375</v>
      </c>
      <c r="E59" s="4" t="s">
        <v>1367</v>
      </c>
      <c r="F59" s="4"/>
    </row>
    <row r="60" spans="1:6">
      <c r="A60" s="4"/>
      <c r="B60" s="4"/>
      <c r="C60" s="6">
        <v>41276</v>
      </c>
      <c r="D60" s="5">
        <v>750</v>
      </c>
      <c r="E60" s="4" t="s">
        <v>1367</v>
      </c>
      <c r="F60" s="4"/>
    </row>
    <row r="61" spans="1:6">
      <c r="A61" s="4"/>
      <c r="B61" s="4"/>
      <c r="C61" s="6">
        <v>41283</v>
      </c>
      <c r="D61" s="5">
        <v>3565</v>
      </c>
      <c r="E61" s="4" t="s">
        <v>1377</v>
      </c>
      <c r="F61" s="4"/>
    </row>
    <row r="62" spans="1:6">
      <c r="A62" s="4"/>
      <c r="B62" s="4"/>
      <c r="C62" s="6">
        <v>41288</v>
      </c>
      <c r="D62" s="5">
        <v>375</v>
      </c>
      <c r="E62" s="4" t="s">
        <v>3662</v>
      </c>
      <c r="F62" s="4"/>
    </row>
    <row r="63" spans="1:6">
      <c r="A63" s="4"/>
      <c r="B63" s="4"/>
      <c r="C63" s="6">
        <v>41288</v>
      </c>
      <c r="D63" s="5">
        <v>750</v>
      </c>
      <c r="E63" s="4" t="s">
        <v>3662</v>
      </c>
      <c r="F63" s="4"/>
    </row>
    <row r="64" spans="1:6">
      <c r="A64" s="4">
        <v>4</v>
      </c>
      <c r="B64" s="4" t="s">
        <v>3766</v>
      </c>
      <c r="C64" s="6">
        <v>41112</v>
      </c>
      <c r="D64" s="5">
        <v>10500</v>
      </c>
      <c r="E64" s="4" t="s">
        <v>227</v>
      </c>
      <c r="F64" s="4"/>
    </row>
    <row r="65" spans="1:6">
      <c r="A65" s="4"/>
      <c r="B65" s="4"/>
      <c r="C65" s="6">
        <v>41131</v>
      </c>
      <c r="D65" s="5">
        <v>15000</v>
      </c>
      <c r="E65" s="4" t="s">
        <v>3659</v>
      </c>
      <c r="F65" s="4"/>
    </row>
    <row r="66" spans="1:6">
      <c r="A66" s="4"/>
      <c r="B66" s="4"/>
      <c r="C66" s="6">
        <v>41150</v>
      </c>
      <c r="D66" s="5">
        <v>12000</v>
      </c>
      <c r="E66" s="4" t="s">
        <v>3659</v>
      </c>
      <c r="F66" s="4"/>
    </row>
    <row r="67" spans="1:6">
      <c r="A67" s="4"/>
      <c r="B67" s="4"/>
      <c r="C67" s="6">
        <v>41170</v>
      </c>
      <c r="D67" s="5">
        <v>7500</v>
      </c>
      <c r="E67" s="4" t="s">
        <v>2484</v>
      </c>
      <c r="F67" s="4"/>
    </row>
    <row r="68" spans="1:6">
      <c r="A68" s="4"/>
      <c r="B68" s="4"/>
      <c r="C68" s="6">
        <v>41180</v>
      </c>
      <c r="D68" s="5">
        <v>7500</v>
      </c>
      <c r="E68" s="4" t="s">
        <v>2484</v>
      </c>
      <c r="F68" s="4"/>
    </row>
    <row r="69" spans="1:6">
      <c r="A69" s="4"/>
      <c r="B69" s="4"/>
      <c r="C69" s="6">
        <v>41193</v>
      </c>
      <c r="D69" s="5">
        <v>7500</v>
      </c>
      <c r="E69" s="4" t="s">
        <v>877</v>
      </c>
      <c r="F69" s="4"/>
    </row>
    <row r="70" spans="1:6">
      <c r="A70" s="4"/>
      <c r="B70" s="4"/>
      <c r="C70" s="6">
        <v>41206</v>
      </c>
      <c r="D70" s="5">
        <v>7500</v>
      </c>
      <c r="E70" s="4" t="s">
        <v>877</v>
      </c>
      <c r="F70" s="4"/>
    </row>
    <row r="71" spans="1:6">
      <c r="A71" s="4"/>
      <c r="B71" s="4"/>
      <c r="C71" s="6">
        <v>41212</v>
      </c>
      <c r="D71" s="5">
        <v>7500</v>
      </c>
      <c r="E71" s="4" t="s">
        <v>877</v>
      </c>
      <c r="F71" s="4"/>
    </row>
    <row r="72" spans="1:6">
      <c r="A72" s="4"/>
      <c r="B72" s="4"/>
      <c r="C72" s="6">
        <v>41274</v>
      </c>
      <c r="D72" s="5">
        <v>7500</v>
      </c>
      <c r="E72" s="4" t="s">
        <v>1348</v>
      </c>
      <c r="F72" s="4"/>
    </row>
    <row r="73" spans="1:6">
      <c r="A73" s="4"/>
      <c r="B73" s="4"/>
      <c r="C73" s="6">
        <v>41285</v>
      </c>
      <c r="D73" s="5">
        <v>4500</v>
      </c>
      <c r="E73" s="4" t="s">
        <v>3826</v>
      </c>
      <c r="F73" s="4"/>
    </row>
    <row r="74" spans="1:6">
      <c r="A74" s="4">
        <v>5</v>
      </c>
      <c r="B74" s="4" t="s">
        <v>3764</v>
      </c>
      <c r="C74" s="6">
        <v>41122</v>
      </c>
      <c r="D74" s="5">
        <v>15195</v>
      </c>
      <c r="E74" s="4" t="s">
        <v>1351</v>
      </c>
      <c r="F74" s="4"/>
    </row>
    <row r="75" spans="1:6">
      <c r="A75" s="4"/>
      <c r="B75" s="4"/>
      <c r="C75" s="6">
        <v>41285</v>
      </c>
      <c r="D75" s="5">
        <v>5065</v>
      </c>
      <c r="E75" s="4" t="s">
        <v>3826</v>
      </c>
      <c r="F75" s="4"/>
    </row>
    <row r="76" spans="1:6">
      <c r="A76" s="4"/>
      <c r="B76" s="4"/>
      <c r="C76" s="6">
        <v>41285</v>
      </c>
      <c r="D76" s="5">
        <v>1125</v>
      </c>
      <c r="E76" s="4" t="s">
        <v>3826</v>
      </c>
      <c r="F76" s="4"/>
    </row>
    <row r="77" spans="1:6">
      <c r="A77" s="4">
        <v>6</v>
      </c>
      <c r="B77" s="4" t="s">
        <v>3810</v>
      </c>
      <c r="C77" s="6">
        <v>41103</v>
      </c>
      <c r="D77" s="5">
        <f>565+565</f>
        <v>1130</v>
      </c>
      <c r="E77" s="4" t="s">
        <v>221</v>
      </c>
      <c r="F77" s="4"/>
    </row>
    <row r="78" spans="1:6">
      <c r="A78" s="4"/>
      <c r="B78" s="4"/>
      <c r="C78" s="6">
        <v>41107</v>
      </c>
      <c r="D78" s="5">
        <v>1315</v>
      </c>
      <c r="E78" s="4" t="s">
        <v>221</v>
      </c>
      <c r="F78" s="4"/>
    </row>
    <row r="79" spans="1:6">
      <c r="A79" s="4"/>
      <c r="B79" s="4"/>
      <c r="C79" s="6">
        <v>41113</v>
      </c>
      <c r="D79" s="5">
        <v>190</v>
      </c>
      <c r="E79" s="4" t="s">
        <v>221</v>
      </c>
      <c r="F79" s="4"/>
    </row>
    <row r="80" spans="1:6">
      <c r="A80" s="4"/>
      <c r="B80" s="4"/>
      <c r="C80" s="6">
        <v>41117</v>
      </c>
      <c r="D80" s="5">
        <v>565</v>
      </c>
      <c r="E80" s="4" t="s">
        <v>221</v>
      </c>
      <c r="F80" s="4"/>
    </row>
    <row r="81" spans="1:6">
      <c r="A81" s="4"/>
      <c r="B81" s="4"/>
      <c r="C81" s="6">
        <v>41121</v>
      </c>
      <c r="D81" s="5">
        <v>750</v>
      </c>
      <c r="E81" s="4" t="s">
        <v>221</v>
      </c>
      <c r="F81" s="4"/>
    </row>
    <row r="82" spans="1:6">
      <c r="A82" s="4"/>
      <c r="B82" s="4"/>
      <c r="C82" s="6">
        <v>41135</v>
      </c>
      <c r="D82" s="5">
        <v>1505</v>
      </c>
      <c r="E82" s="4" t="s">
        <v>3652</v>
      </c>
      <c r="F82" s="4"/>
    </row>
    <row r="83" spans="1:6">
      <c r="A83" s="4"/>
      <c r="B83" s="4"/>
      <c r="C83" s="6">
        <v>41145</v>
      </c>
      <c r="D83" s="5">
        <v>755</v>
      </c>
      <c r="E83" s="4" t="s">
        <v>3652</v>
      </c>
      <c r="F83" s="4"/>
    </row>
    <row r="84" spans="1:6">
      <c r="A84" s="4"/>
      <c r="B84" s="4"/>
      <c r="C84" s="6">
        <v>41151</v>
      </c>
      <c r="D84" s="5">
        <v>750</v>
      </c>
      <c r="E84" s="4" t="s">
        <v>3652</v>
      </c>
      <c r="F84" s="4"/>
    </row>
    <row r="85" spans="1:6">
      <c r="A85" s="4"/>
      <c r="B85" s="4"/>
      <c r="C85" s="6">
        <v>41159</v>
      </c>
      <c r="D85" s="5">
        <v>755</v>
      </c>
      <c r="E85" s="4" t="s">
        <v>2786</v>
      </c>
      <c r="F85" s="4"/>
    </row>
    <row r="86" spans="1:6">
      <c r="A86" s="4">
        <v>7</v>
      </c>
      <c r="B86" s="4" t="s">
        <v>3781</v>
      </c>
      <c r="C86" s="6">
        <v>41163</v>
      </c>
      <c r="D86" s="5">
        <v>5625</v>
      </c>
      <c r="E86" s="4" t="s">
        <v>2767</v>
      </c>
      <c r="F86" s="4"/>
    </row>
    <row r="87" spans="1:6">
      <c r="A87" s="4"/>
      <c r="B87" s="4"/>
      <c r="C87" s="6">
        <v>41172</v>
      </c>
      <c r="D87" s="5">
        <v>7125</v>
      </c>
      <c r="E87" s="4" t="s">
        <v>2767</v>
      </c>
      <c r="F87" s="4"/>
    </row>
    <row r="88" spans="1:6">
      <c r="A88" s="4"/>
      <c r="B88" s="4"/>
      <c r="C88" s="6">
        <v>41178</v>
      </c>
      <c r="D88" s="5">
        <v>5625</v>
      </c>
      <c r="E88" s="4" t="s">
        <v>2767</v>
      </c>
      <c r="F88" s="4"/>
    </row>
    <row r="89" spans="1:6">
      <c r="A89" s="4"/>
      <c r="B89" s="4"/>
      <c r="C89" s="6">
        <v>41188</v>
      </c>
      <c r="D89" s="5">
        <v>7125</v>
      </c>
      <c r="E89" s="4" t="s">
        <v>2578</v>
      </c>
      <c r="F89" s="4"/>
    </row>
    <row r="90" spans="1:6">
      <c r="A90" s="4"/>
      <c r="B90" s="4"/>
      <c r="C90" s="6">
        <v>41189</v>
      </c>
      <c r="D90" s="5">
        <v>1125</v>
      </c>
      <c r="E90" s="4" t="s">
        <v>2578</v>
      </c>
      <c r="F90" s="4"/>
    </row>
    <row r="91" spans="1:6">
      <c r="A91" s="4"/>
      <c r="B91" s="4"/>
      <c r="C91" s="6">
        <v>41191</v>
      </c>
      <c r="D91" s="5">
        <v>1500</v>
      </c>
      <c r="E91" s="4" t="s">
        <v>2578</v>
      </c>
      <c r="F91" s="4"/>
    </row>
    <row r="92" spans="1:6">
      <c r="A92" s="4"/>
      <c r="B92" s="4"/>
      <c r="C92" s="6">
        <v>41195</v>
      </c>
      <c r="D92" s="5">
        <v>3000</v>
      </c>
      <c r="E92" s="4" t="s">
        <v>2578</v>
      </c>
      <c r="F92" s="4"/>
    </row>
    <row r="93" spans="1:6">
      <c r="A93" s="4"/>
      <c r="B93" s="4"/>
      <c r="C93" s="6">
        <v>41198</v>
      </c>
      <c r="D93" s="5">
        <v>375</v>
      </c>
      <c r="E93" s="4" t="s">
        <v>2578</v>
      </c>
      <c r="F93" s="4"/>
    </row>
    <row r="94" spans="1:6">
      <c r="A94" s="4"/>
      <c r="B94" s="4"/>
      <c r="C94" s="6">
        <v>41200</v>
      </c>
      <c r="D94" s="5">
        <v>375</v>
      </c>
      <c r="E94" s="4" t="s">
        <v>2578</v>
      </c>
      <c r="F94" s="4" t="s">
        <v>2470</v>
      </c>
    </row>
    <row r="95" spans="1:6">
      <c r="A95" s="4"/>
      <c r="B95" s="4"/>
      <c r="C95" s="6">
        <v>41202</v>
      </c>
      <c r="D95" s="5">
        <v>1875</v>
      </c>
      <c r="E95" s="4" t="s">
        <v>2578</v>
      </c>
      <c r="F95" s="4"/>
    </row>
    <row r="96" spans="1:6">
      <c r="A96" s="4"/>
      <c r="B96" s="4"/>
      <c r="C96" s="6">
        <v>41207</v>
      </c>
      <c r="D96" s="5">
        <v>4125</v>
      </c>
      <c r="E96" s="4" t="s">
        <v>2578</v>
      </c>
      <c r="F96" s="4"/>
    </row>
    <row r="97" spans="1:6">
      <c r="A97" s="4"/>
      <c r="B97" s="4"/>
      <c r="C97" s="6">
        <v>41212</v>
      </c>
      <c r="D97" s="5">
        <v>375</v>
      </c>
      <c r="E97" s="4" t="s">
        <v>2578</v>
      </c>
      <c r="F97" s="4"/>
    </row>
    <row r="98" spans="1:6">
      <c r="A98" s="4"/>
      <c r="B98" s="15"/>
      <c r="C98" s="6">
        <v>41281</v>
      </c>
      <c r="D98" s="5">
        <v>1125</v>
      </c>
      <c r="E98" s="4" t="s">
        <v>1373</v>
      </c>
      <c r="F98" s="4"/>
    </row>
    <row r="99" spans="1:6">
      <c r="A99" s="4"/>
      <c r="B99" s="15"/>
      <c r="C99" s="6">
        <v>41281</v>
      </c>
      <c r="D99" s="5">
        <v>375</v>
      </c>
      <c r="E99" s="4" t="s">
        <v>1373</v>
      </c>
      <c r="F99" s="4"/>
    </row>
    <row r="100" spans="1:6">
      <c r="A100" s="4"/>
      <c r="B100" s="15"/>
      <c r="C100" s="6">
        <v>41284</v>
      </c>
      <c r="D100" s="5">
        <v>750</v>
      </c>
      <c r="E100" s="4" t="s">
        <v>3825</v>
      </c>
      <c r="F100" s="4"/>
    </row>
    <row r="101" spans="1:6">
      <c r="A101" s="4"/>
      <c r="B101" s="15"/>
      <c r="C101" s="6">
        <v>41284</v>
      </c>
      <c r="D101" s="5">
        <v>375</v>
      </c>
      <c r="E101" s="4" t="s">
        <v>3825</v>
      </c>
      <c r="F101" s="4"/>
    </row>
    <row r="102" spans="1:6">
      <c r="A102" s="4"/>
      <c r="B102" s="15"/>
      <c r="C102" s="6">
        <v>41284</v>
      </c>
      <c r="D102" s="5">
        <v>1875</v>
      </c>
      <c r="E102" s="4" t="s">
        <v>3825</v>
      </c>
      <c r="F102" s="4"/>
    </row>
    <row r="103" spans="1:6">
      <c r="A103" s="4"/>
      <c r="B103" s="4"/>
      <c r="C103" s="6">
        <v>41289</v>
      </c>
      <c r="D103" s="5">
        <v>375</v>
      </c>
      <c r="E103" s="4" t="s">
        <v>3665</v>
      </c>
      <c r="F103" s="4"/>
    </row>
    <row r="104" spans="1:6">
      <c r="A104" s="4"/>
      <c r="B104" s="4"/>
      <c r="C104" s="6">
        <v>41289</v>
      </c>
      <c r="D104" s="5">
        <v>375</v>
      </c>
      <c r="E104" s="4" t="s">
        <v>3665</v>
      </c>
      <c r="F104" s="4"/>
    </row>
    <row r="105" spans="1:6">
      <c r="A105" s="4"/>
      <c r="B105" s="4"/>
      <c r="C105" s="6">
        <v>41289</v>
      </c>
      <c r="D105" s="5">
        <v>375</v>
      </c>
      <c r="E105" s="4" t="s">
        <v>3665</v>
      </c>
      <c r="F105" s="4"/>
    </row>
    <row r="106" spans="1:6">
      <c r="A106" s="4"/>
      <c r="B106" s="4"/>
      <c r="C106" s="6">
        <v>41289</v>
      </c>
      <c r="D106" s="5">
        <v>375</v>
      </c>
      <c r="E106" s="4" t="s">
        <v>3665</v>
      </c>
      <c r="F106" s="4"/>
    </row>
    <row r="107" spans="1:6">
      <c r="A107" s="4"/>
      <c r="B107" s="15"/>
      <c r="C107" s="6">
        <v>41295</v>
      </c>
      <c r="D107" s="5">
        <v>1125</v>
      </c>
      <c r="E107" s="4" t="s">
        <v>3673</v>
      </c>
      <c r="F107" s="4"/>
    </row>
    <row r="108" spans="1:6">
      <c r="A108" s="4"/>
      <c r="B108" s="15"/>
      <c r="C108" s="6">
        <v>41295</v>
      </c>
      <c r="D108" s="5">
        <v>375</v>
      </c>
      <c r="E108" s="4" t="s">
        <v>3673</v>
      </c>
      <c r="F108" s="4"/>
    </row>
    <row r="109" spans="1:6">
      <c r="A109" s="4">
        <v>8</v>
      </c>
      <c r="B109" s="4" t="s">
        <v>3798</v>
      </c>
      <c r="C109" s="6">
        <v>41157</v>
      </c>
      <c r="D109" s="5">
        <v>6940</v>
      </c>
      <c r="E109" s="4" t="s">
        <v>3648</v>
      </c>
      <c r="F109" s="4"/>
    </row>
    <row r="110" spans="1:6">
      <c r="A110" s="4"/>
      <c r="B110" s="4"/>
      <c r="C110" s="6">
        <v>41178</v>
      </c>
      <c r="D110" s="5">
        <v>3000</v>
      </c>
      <c r="E110" s="4" t="s">
        <v>3648</v>
      </c>
      <c r="F110" s="4"/>
    </row>
    <row r="111" spans="1:6">
      <c r="A111" s="4"/>
      <c r="B111" s="4"/>
      <c r="C111" s="6">
        <v>41285</v>
      </c>
      <c r="D111" s="5">
        <v>5440</v>
      </c>
      <c r="E111" s="4" t="s">
        <v>3684</v>
      </c>
      <c r="F111" s="4"/>
    </row>
    <row r="112" spans="1:6">
      <c r="A112" s="4"/>
      <c r="B112" s="4"/>
      <c r="C112" s="6">
        <v>41285</v>
      </c>
      <c r="D112" s="5">
        <v>375</v>
      </c>
      <c r="E112" s="4" t="s">
        <v>3684</v>
      </c>
      <c r="F112" s="4"/>
    </row>
    <row r="113" spans="1:6">
      <c r="A113" s="4"/>
      <c r="B113" s="4"/>
      <c r="C113" s="6">
        <v>41285</v>
      </c>
      <c r="D113" s="5">
        <v>1125</v>
      </c>
      <c r="E113" s="4" t="s">
        <v>3684</v>
      </c>
      <c r="F113" s="4"/>
    </row>
    <row r="114" spans="1:6">
      <c r="A114" s="4">
        <v>9</v>
      </c>
      <c r="B114" s="4" t="s">
        <v>3758</v>
      </c>
      <c r="C114" s="6">
        <v>41115</v>
      </c>
      <c r="D114" s="5">
        <v>11075</v>
      </c>
      <c r="E114" s="4" t="s">
        <v>3643</v>
      </c>
      <c r="F114" s="4"/>
    </row>
    <row r="115" spans="1:6">
      <c r="A115" s="4"/>
      <c r="B115" s="4"/>
      <c r="C115" s="6">
        <v>41284</v>
      </c>
      <c r="D115" s="5">
        <v>190</v>
      </c>
      <c r="E115" s="4" t="s">
        <v>3824</v>
      </c>
      <c r="F115" s="4"/>
    </row>
    <row r="116" spans="1:6">
      <c r="A116" s="4"/>
      <c r="B116" s="4"/>
      <c r="C116" s="6">
        <v>41285</v>
      </c>
      <c r="D116" s="5">
        <v>1880</v>
      </c>
      <c r="E116" s="4" t="s">
        <v>3826</v>
      </c>
      <c r="F116" s="4"/>
    </row>
    <row r="117" spans="1:6">
      <c r="A117" s="4"/>
      <c r="B117" s="4"/>
      <c r="C117" s="6">
        <v>41285</v>
      </c>
      <c r="D117" s="5">
        <v>3750</v>
      </c>
      <c r="E117" s="4" t="s">
        <v>3826</v>
      </c>
      <c r="F117" s="4"/>
    </row>
    <row r="118" spans="1:6">
      <c r="A118" s="4"/>
      <c r="B118" s="4"/>
      <c r="C118" s="6">
        <v>41285</v>
      </c>
      <c r="D118" s="5">
        <v>750</v>
      </c>
      <c r="E118" s="4" t="s">
        <v>3826</v>
      </c>
      <c r="F118" s="4"/>
    </row>
    <row r="119" spans="1:6">
      <c r="A119" s="4">
        <v>10</v>
      </c>
      <c r="B119" s="4" t="s">
        <v>3787</v>
      </c>
      <c r="C119" s="6">
        <v>41154</v>
      </c>
      <c r="D119" s="5">
        <v>4515</v>
      </c>
      <c r="E119" s="4" t="s">
        <v>2466</v>
      </c>
      <c r="F119" s="4" t="s">
        <v>2480</v>
      </c>
    </row>
    <row r="120" spans="1:6">
      <c r="A120" s="4"/>
      <c r="B120" s="4"/>
      <c r="C120" s="6">
        <v>41165</v>
      </c>
      <c r="D120" s="5">
        <v>3385</v>
      </c>
      <c r="E120" s="4" t="s">
        <v>2774</v>
      </c>
      <c r="F120" s="4"/>
    </row>
    <row r="121" spans="1:6">
      <c r="A121" s="4"/>
      <c r="B121" s="4"/>
      <c r="C121" s="6">
        <v>41191</v>
      </c>
      <c r="D121" s="5">
        <v>3385</v>
      </c>
      <c r="E121" s="4" t="s">
        <v>2559</v>
      </c>
      <c r="F121" s="4"/>
    </row>
    <row r="122" spans="1:6">
      <c r="A122" s="4"/>
      <c r="B122" s="4"/>
      <c r="C122" s="6">
        <v>41200</v>
      </c>
      <c r="D122" s="5">
        <v>2065</v>
      </c>
      <c r="E122" s="4" t="s">
        <v>2559</v>
      </c>
      <c r="F122" s="4"/>
    </row>
    <row r="123" spans="1:6">
      <c r="A123" s="4"/>
      <c r="B123" s="4"/>
      <c r="C123" s="6">
        <v>41274</v>
      </c>
      <c r="D123" s="5">
        <v>2075</v>
      </c>
      <c r="E123" s="4" t="s">
        <v>888</v>
      </c>
      <c r="F123" s="4"/>
    </row>
    <row r="124" spans="1:6">
      <c r="A124" s="4"/>
      <c r="B124" s="4"/>
      <c r="C124" s="6">
        <v>41275</v>
      </c>
      <c r="D124" s="5">
        <v>375</v>
      </c>
      <c r="E124" s="4" t="s">
        <v>3675</v>
      </c>
      <c r="F124" s="4"/>
    </row>
    <row r="125" spans="1:6">
      <c r="A125" s="4"/>
      <c r="B125" s="4"/>
      <c r="C125" s="6">
        <v>41275</v>
      </c>
      <c r="D125" s="5">
        <v>380</v>
      </c>
      <c r="E125" s="4" t="s">
        <v>3675</v>
      </c>
      <c r="F125" s="4"/>
    </row>
    <row r="126" spans="1:6">
      <c r="A126" s="4"/>
      <c r="B126" s="4"/>
      <c r="C126" s="6">
        <v>41275</v>
      </c>
      <c r="D126" s="5">
        <v>940</v>
      </c>
      <c r="E126" s="4" t="s">
        <v>3675</v>
      </c>
      <c r="F126" s="4"/>
    </row>
    <row r="127" spans="1:6">
      <c r="A127" s="4"/>
      <c r="B127" s="4"/>
      <c r="C127" s="6">
        <v>41275</v>
      </c>
      <c r="D127" s="5">
        <v>380</v>
      </c>
      <c r="E127" s="4" t="s">
        <v>3675</v>
      </c>
      <c r="F127" s="4"/>
    </row>
    <row r="128" spans="1:6">
      <c r="A128" s="4"/>
      <c r="B128" s="4"/>
      <c r="C128" s="6">
        <v>41285</v>
      </c>
      <c r="D128" s="5">
        <v>2065</v>
      </c>
      <c r="E128" s="4" t="s">
        <v>3684</v>
      </c>
      <c r="F128" s="4"/>
    </row>
    <row r="129" spans="1:6">
      <c r="A129" s="4"/>
      <c r="B129" s="4"/>
      <c r="C129" s="6">
        <v>41285</v>
      </c>
      <c r="D129" s="5">
        <v>1880</v>
      </c>
      <c r="E129" s="4" t="s">
        <v>3684</v>
      </c>
      <c r="F129" s="4"/>
    </row>
    <row r="130" spans="1:6">
      <c r="A130" s="4"/>
      <c r="B130" s="4"/>
      <c r="C130" s="6">
        <v>41285</v>
      </c>
      <c r="D130" s="5">
        <v>190</v>
      </c>
      <c r="E130" s="4" t="s">
        <v>3684</v>
      </c>
      <c r="F130" s="4"/>
    </row>
    <row r="131" spans="1:6">
      <c r="A131" s="4"/>
      <c r="B131" s="4"/>
      <c r="C131" s="6">
        <v>41285</v>
      </c>
      <c r="D131" s="5">
        <v>1125</v>
      </c>
      <c r="E131" s="4" t="s">
        <v>3684</v>
      </c>
      <c r="F131" s="4"/>
    </row>
    <row r="132" spans="1:6">
      <c r="A132" s="4">
        <v>11</v>
      </c>
      <c r="B132" s="4" t="s">
        <v>1191</v>
      </c>
      <c r="C132" s="6">
        <v>41109</v>
      </c>
      <c r="D132" s="5">
        <v>13125</v>
      </c>
      <c r="E132" s="4" t="s">
        <v>3645</v>
      </c>
      <c r="F132" s="4"/>
    </row>
    <row r="133" spans="1:6">
      <c r="A133" s="4"/>
      <c r="B133" s="4"/>
      <c r="C133" s="6">
        <v>41124</v>
      </c>
      <c r="D133" s="5">
        <v>8250</v>
      </c>
      <c r="E133" s="4" t="s">
        <v>3658</v>
      </c>
      <c r="F133" s="4"/>
    </row>
    <row r="134" spans="1:6">
      <c r="A134" s="4"/>
      <c r="B134" s="4"/>
      <c r="C134" s="6">
        <v>41138</v>
      </c>
      <c r="D134" s="5">
        <v>8250</v>
      </c>
      <c r="E134" s="4" t="s">
        <v>3658</v>
      </c>
      <c r="F134" s="4"/>
    </row>
    <row r="135" spans="1:6">
      <c r="A135" s="4"/>
      <c r="B135" s="4"/>
      <c r="C135" s="6">
        <v>41150</v>
      </c>
      <c r="D135" s="5">
        <v>8250</v>
      </c>
      <c r="E135" s="4" t="s">
        <v>3658</v>
      </c>
      <c r="F135" s="4"/>
    </row>
    <row r="136" spans="1:6">
      <c r="A136" s="4"/>
      <c r="B136" s="4"/>
      <c r="C136" s="6">
        <v>41155</v>
      </c>
      <c r="D136" s="5">
        <v>4500</v>
      </c>
      <c r="E136" s="4" t="s">
        <v>2766</v>
      </c>
      <c r="F136" s="4"/>
    </row>
    <row r="137" spans="1:6">
      <c r="A137" s="4"/>
      <c r="B137" s="4"/>
      <c r="C137" s="6">
        <v>41170</v>
      </c>
      <c r="D137" s="5">
        <v>5625</v>
      </c>
      <c r="E137" s="4" t="s">
        <v>2766</v>
      </c>
      <c r="F137" s="4"/>
    </row>
    <row r="138" spans="1:6">
      <c r="A138" s="4"/>
      <c r="B138" s="4"/>
      <c r="C138" s="6">
        <v>41180</v>
      </c>
      <c r="D138" s="5">
        <v>3750</v>
      </c>
      <c r="E138" s="4" t="s">
        <v>2766</v>
      </c>
      <c r="F138" s="4"/>
    </row>
    <row r="139" spans="1:6">
      <c r="A139" s="4"/>
      <c r="B139" s="4"/>
      <c r="C139" s="6">
        <v>41199</v>
      </c>
      <c r="D139" s="5">
        <v>8250</v>
      </c>
      <c r="E139" s="4" t="s">
        <v>875</v>
      </c>
      <c r="F139" s="4"/>
    </row>
    <row r="140" spans="1:6">
      <c r="A140" s="4"/>
      <c r="B140" s="4"/>
      <c r="C140" s="6">
        <v>41223</v>
      </c>
      <c r="D140" s="5">
        <v>8250</v>
      </c>
      <c r="E140" s="4" t="s">
        <v>2569</v>
      </c>
      <c r="F140" s="4"/>
    </row>
    <row r="141" spans="1:6">
      <c r="A141" s="4"/>
      <c r="B141" s="4"/>
      <c r="C141" s="6">
        <v>41235</v>
      </c>
      <c r="D141" s="5">
        <v>8250</v>
      </c>
      <c r="E141" s="4" t="s">
        <v>2569</v>
      </c>
      <c r="F141" s="4"/>
    </row>
    <row r="142" spans="1:6">
      <c r="A142" s="4"/>
      <c r="B142" s="4"/>
      <c r="C142" s="6">
        <v>41248</v>
      </c>
      <c r="D142" s="5">
        <v>3750</v>
      </c>
      <c r="E142" s="4" t="s">
        <v>1347</v>
      </c>
      <c r="F142" s="4"/>
    </row>
    <row r="143" spans="1:6">
      <c r="A143" s="4"/>
      <c r="B143" s="4"/>
      <c r="C143" s="6">
        <v>41255</v>
      </c>
      <c r="D143" s="5">
        <v>8250</v>
      </c>
      <c r="E143" s="4" t="s">
        <v>1347</v>
      </c>
      <c r="F143" s="4"/>
    </row>
    <row r="144" spans="1:6">
      <c r="A144" s="4"/>
      <c r="B144" s="4"/>
      <c r="C144" s="6">
        <v>41262</v>
      </c>
      <c r="D144" s="5">
        <v>8250</v>
      </c>
      <c r="E144" s="4" t="s">
        <v>1347</v>
      </c>
      <c r="F144" s="4"/>
    </row>
    <row r="145" spans="1:6">
      <c r="A145" s="4"/>
      <c r="B145" s="4"/>
      <c r="C145" s="6">
        <v>41271</v>
      </c>
      <c r="D145" s="5">
        <v>8250</v>
      </c>
      <c r="E145" s="4" t="s">
        <v>1347</v>
      </c>
      <c r="F145" s="4"/>
    </row>
    <row r="146" spans="1:6">
      <c r="A146" s="4"/>
      <c r="B146" s="4"/>
      <c r="C146" s="6">
        <v>41283</v>
      </c>
      <c r="D146" s="5">
        <v>750</v>
      </c>
      <c r="E146" s="4" t="s">
        <v>1377</v>
      </c>
      <c r="F146" s="4"/>
    </row>
    <row r="147" spans="1:6">
      <c r="A147" s="4"/>
      <c r="B147" s="4"/>
      <c r="C147" s="6">
        <v>41283</v>
      </c>
      <c r="D147" s="5">
        <v>1500</v>
      </c>
      <c r="E147" s="4" t="s">
        <v>1377</v>
      </c>
      <c r="F147" s="4"/>
    </row>
    <row r="148" spans="1:6">
      <c r="A148" s="4"/>
      <c r="B148" s="4"/>
      <c r="C148" s="6">
        <v>41283</v>
      </c>
      <c r="D148" s="5">
        <v>1125</v>
      </c>
      <c r="E148" s="4" t="s">
        <v>1377</v>
      </c>
      <c r="F148" s="4"/>
    </row>
    <row r="149" spans="1:6">
      <c r="A149" s="4"/>
      <c r="B149" s="4"/>
      <c r="C149" s="6">
        <v>41283</v>
      </c>
      <c r="D149" s="5">
        <v>1875</v>
      </c>
      <c r="E149" s="4" t="s">
        <v>1377</v>
      </c>
      <c r="F149" s="4"/>
    </row>
    <row r="150" spans="1:6">
      <c r="A150" s="4"/>
      <c r="B150" s="4"/>
      <c r="C150" s="6">
        <v>41283</v>
      </c>
      <c r="D150" s="5">
        <v>750</v>
      </c>
      <c r="E150" s="4" t="s">
        <v>1377</v>
      </c>
      <c r="F150" s="4"/>
    </row>
    <row r="151" spans="1:6">
      <c r="A151" s="4"/>
      <c r="B151" s="4"/>
      <c r="C151" s="6">
        <v>41283</v>
      </c>
      <c r="D151" s="5">
        <v>750</v>
      </c>
      <c r="E151" s="4" t="s">
        <v>1377</v>
      </c>
      <c r="F151" s="4"/>
    </row>
    <row r="152" spans="1:6">
      <c r="A152" s="4"/>
      <c r="B152" s="4"/>
      <c r="C152" s="6">
        <v>41283</v>
      </c>
      <c r="D152" s="5">
        <v>375</v>
      </c>
      <c r="E152" s="4" t="s">
        <v>1377</v>
      </c>
      <c r="F152" s="4"/>
    </row>
    <row r="153" spans="1:6">
      <c r="A153" s="4"/>
      <c r="B153" s="4"/>
      <c r="C153" s="6">
        <v>41283</v>
      </c>
      <c r="D153" s="5">
        <v>1125</v>
      </c>
      <c r="E153" s="4" t="s">
        <v>1377</v>
      </c>
      <c r="F153" s="4"/>
    </row>
    <row r="154" spans="1:6">
      <c r="A154" s="4"/>
      <c r="B154" s="4"/>
      <c r="C154" s="6">
        <v>41293</v>
      </c>
      <c r="D154" s="5">
        <v>750</v>
      </c>
      <c r="E154" s="4" t="s">
        <v>3671</v>
      </c>
      <c r="F154" s="4"/>
    </row>
    <row r="155" spans="1:6">
      <c r="A155" s="4"/>
      <c r="B155" s="4"/>
      <c r="C155" s="6">
        <v>41293</v>
      </c>
      <c r="D155" s="5">
        <v>1500</v>
      </c>
      <c r="E155" s="4" t="s">
        <v>3671</v>
      </c>
      <c r="F155" s="4"/>
    </row>
    <row r="156" spans="1:6">
      <c r="A156" s="4"/>
      <c r="B156" s="4"/>
      <c r="C156" s="6">
        <v>41293</v>
      </c>
      <c r="D156" s="5">
        <v>1125</v>
      </c>
      <c r="E156" s="4" t="s">
        <v>3671</v>
      </c>
      <c r="F156" s="4"/>
    </row>
    <row r="157" spans="1:6">
      <c r="A157" s="4"/>
      <c r="B157" s="4"/>
      <c r="C157" s="6">
        <v>41293</v>
      </c>
      <c r="D157" s="5">
        <v>1875</v>
      </c>
      <c r="E157" s="4" t="s">
        <v>3671</v>
      </c>
      <c r="F157" s="4"/>
    </row>
    <row r="158" spans="1:6">
      <c r="A158" s="4"/>
      <c r="B158" s="4"/>
      <c r="C158" s="6">
        <v>41293</v>
      </c>
      <c r="D158" s="5">
        <v>750</v>
      </c>
      <c r="E158" s="4" t="s">
        <v>3671</v>
      </c>
      <c r="F158" s="4"/>
    </row>
    <row r="159" spans="1:6">
      <c r="A159" s="4"/>
      <c r="B159" s="4"/>
      <c r="C159" s="6">
        <v>41293</v>
      </c>
      <c r="D159" s="5">
        <v>750</v>
      </c>
      <c r="E159" s="4" t="s">
        <v>3671</v>
      </c>
      <c r="F159" s="4"/>
    </row>
    <row r="160" spans="1:6">
      <c r="A160" s="4"/>
      <c r="B160" s="4"/>
      <c r="C160" s="6">
        <v>41293</v>
      </c>
      <c r="D160" s="5">
        <v>375</v>
      </c>
      <c r="E160" s="4" t="s">
        <v>3671</v>
      </c>
      <c r="F160" s="4"/>
    </row>
    <row r="161" spans="1:6">
      <c r="A161" s="4"/>
      <c r="B161" s="4"/>
      <c r="C161" s="6">
        <v>41293</v>
      </c>
      <c r="D161" s="5">
        <v>1125</v>
      </c>
      <c r="E161" s="4" t="s">
        <v>3671</v>
      </c>
      <c r="F161" s="4"/>
    </row>
    <row r="162" spans="1:6">
      <c r="A162" s="4">
        <v>12</v>
      </c>
      <c r="B162" s="4" t="s">
        <v>3807</v>
      </c>
      <c r="C162" s="6">
        <v>41095</v>
      </c>
      <c r="D162" s="5">
        <v>1125</v>
      </c>
      <c r="E162" s="4" t="s">
        <v>220</v>
      </c>
      <c r="F162" s="4"/>
    </row>
    <row r="163" spans="1:6">
      <c r="A163" s="4"/>
      <c r="B163" s="4"/>
      <c r="C163" s="6">
        <v>41097</v>
      </c>
      <c r="D163" s="5">
        <v>375</v>
      </c>
      <c r="E163" s="4" t="s">
        <v>220</v>
      </c>
      <c r="F163" s="4"/>
    </row>
    <row r="164" spans="1:6">
      <c r="A164" s="4"/>
      <c r="B164" s="4"/>
      <c r="C164" s="6">
        <v>41099</v>
      </c>
      <c r="D164" s="5">
        <v>750</v>
      </c>
      <c r="E164" s="4" t="s">
        <v>220</v>
      </c>
      <c r="F164" s="4"/>
    </row>
    <row r="165" spans="1:6">
      <c r="A165" s="4"/>
      <c r="B165" s="4"/>
      <c r="C165" s="6">
        <v>41100</v>
      </c>
      <c r="D165" s="5">
        <v>750</v>
      </c>
      <c r="E165" s="4" t="s">
        <v>220</v>
      </c>
      <c r="F165" s="4"/>
    </row>
    <row r="166" spans="1:6">
      <c r="A166" s="4"/>
      <c r="B166" s="4"/>
      <c r="C166" s="6">
        <v>41101</v>
      </c>
      <c r="D166" s="5">
        <v>375</v>
      </c>
      <c r="E166" s="4" t="s">
        <v>220</v>
      </c>
      <c r="F166" s="4"/>
    </row>
    <row r="167" spans="1:6">
      <c r="A167" s="4"/>
      <c r="B167" s="4"/>
      <c r="C167" s="6">
        <v>41105</v>
      </c>
      <c r="D167" s="5">
        <v>750</v>
      </c>
      <c r="E167" s="4" t="s">
        <v>220</v>
      </c>
      <c r="F167" s="4"/>
    </row>
    <row r="168" spans="1:6">
      <c r="A168" s="4"/>
      <c r="B168" s="4"/>
      <c r="C168" s="6">
        <v>41106</v>
      </c>
      <c r="D168" s="5">
        <v>750</v>
      </c>
      <c r="E168" s="4" t="s">
        <v>220</v>
      </c>
      <c r="F168" s="4"/>
    </row>
    <row r="169" spans="1:6">
      <c r="A169" s="4"/>
      <c r="B169" s="4"/>
      <c r="C169" s="6">
        <v>41107</v>
      </c>
      <c r="D169" s="5">
        <v>1500</v>
      </c>
      <c r="E169" s="4" t="s">
        <v>220</v>
      </c>
      <c r="F169" s="4"/>
    </row>
    <row r="170" spans="1:6">
      <c r="A170" s="4"/>
      <c r="B170" s="4"/>
      <c r="C170" s="6">
        <v>41110</v>
      </c>
      <c r="D170" s="5">
        <v>1125</v>
      </c>
      <c r="E170" s="4" t="s">
        <v>220</v>
      </c>
      <c r="F170" s="4"/>
    </row>
    <row r="171" spans="1:6">
      <c r="A171" s="4"/>
      <c r="B171" s="4"/>
      <c r="C171" s="6">
        <v>41113</v>
      </c>
      <c r="D171" s="5">
        <v>375</v>
      </c>
      <c r="E171" s="4" t="s">
        <v>220</v>
      </c>
      <c r="F171" s="4"/>
    </row>
    <row r="172" spans="1:6">
      <c r="A172" s="4"/>
      <c r="B172" s="4"/>
      <c r="C172" s="6">
        <v>41114</v>
      </c>
      <c r="D172" s="5">
        <v>750</v>
      </c>
      <c r="E172" s="4" t="s">
        <v>220</v>
      </c>
      <c r="F172" s="4"/>
    </row>
    <row r="173" spans="1:6">
      <c r="A173" s="4"/>
      <c r="B173" s="4"/>
      <c r="C173" s="6">
        <v>41115</v>
      </c>
      <c r="D173" s="5">
        <v>750</v>
      </c>
      <c r="E173" s="4" t="s">
        <v>220</v>
      </c>
      <c r="F173" s="4"/>
    </row>
    <row r="174" spans="1:6">
      <c r="A174" s="4"/>
      <c r="B174" s="4"/>
      <c r="C174" s="6">
        <v>41116</v>
      </c>
      <c r="D174" s="5">
        <v>375</v>
      </c>
      <c r="E174" s="4" t="s">
        <v>220</v>
      </c>
      <c r="F174" s="4"/>
    </row>
    <row r="175" spans="1:6">
      <c r="A175" s="4"/>
      <c r="B175" s="4"/>
      <c r="C175" s="6">
        <v>41120</v>
      </c>
      <c r="D175" s="5">
        <v>750</v>
      </c>
      <c r="E175" s="4" t="s">
        <v>220</v>
      </c>
      <c r="F175" s="4"/>
    </row>
    <row r="176" spans="1:6">
      <c r="A176" s="4"/>
      <c r="B176" s="4"/>
      <c r="C176" s="6">
        <v>41121</v>
      </c>
      <c r="D176" s="5">
        <v>750</v>
      </c>
      <c r="E176" s="4" t="s">
        <v>220</v>
      </c>
      <c r="F176" s="4"/>
    </row>
    <row r="177" spans="1:6">
      <c r="A177" s="4"/>
      <c r="B177" s="4"/>
      <c r="C177" s="6">
        <v>41122</v>
      </c>
      <c r="D177" s="5">
        <v>1500</v>
      </c>
      <c r="E177" s="4" t="s">
        <v>3650</v>
      </c>
      <c r="F177" s="4"/>
    </row>
    <row r="178" spans="1:6">
      <c r="A178" s="4"/>
      <c r="B178" s="4"/>
      <c r="C178" s="6">
        <v>41125</v>
      </c>
      <c r="D178" s="5">
        <v>1125</v>
      </c>
      <c r="E178" s="4" t="s">
        <v>3650</v>
      </c>
      <c r="F178" s="4"/>
    </row>
    <row r="179" spans="1:6">
      <c r="A179" s="4"/>
      <c r="B179" s="4"/>
      <c r="C179" s="6">
        <v>41127</v>
      </c>
      <c r="D179" s="5">
        <v>375</v>
      </c>
      <c r="E179" s="4" t="s">
        <v>3650</v>
      </c>
      <c r="F179" s="4"/>
    </row>
    <row r="180" spans="1:6">
      <c r="A180" s="4"/>
      <c r="B180" s="4"/>
      <c r="C180" s="6">
        <v>41129</v>
      </c>
      <c r="D180" s="5">
        <v>750</v>
      </c>
      <c r="E180" s="4" t="s">
        <v>3650</v>
      </c>
      <c r="F180" s="4"/>
    </row>
    <row r="181" spans="1:6">
      <c r="A181" s="4"/>
      <c r="B181" s="4"/>
      <c r="C181" s="6">
        <v>41130</v>
      </c>
      <c r="D181" s="5">
        <v>750</v>
      </c>
      <c r="E181" s="4" t="s">
        <v>3650</v>
      </c>
      <c r="F181" s="4"/>
    </row>
    <row r="182" spans="1:6">
      <c r="A182" s="4"/>
      <c r="B182" s="4"/>
      <c r="C182" s="6">
        <v>41131</v>
      </c>
      <c r="D182" s="5">
        <v>375</v>
      </c>
      <c r="E182" s="4" t="s">
        <v>3650</v>
      </c>
      <c r="F182" s="4"/>
    </row>
    <row r="183" spans="1:6">
      <c r="A183" s="4"/>
      <c r="B183" s="4"/>
      <c r="C183" s="6">
        <v>41135</v>
      </c>
      <c r="D183" s="5">
        <v>750</v>
      </c>
      <c r="E183" s="4" t="s">
        <v>3650</v>
      </c>
      <c r="F183" s="4"/>
    </row>
    <row r="184" spans="1:6">
      <c r="A184" s="4">
        <v>13</v>
      </c>
      <c r="B184" s="4" t="s">
        <v>3752</v>
      </c>
      <c r="C184" s="6">
        <v>41101</v>
      </c>
      <c r="D184" s="5">
        <v>5070</v>
      </c>
      <c r="E184" s="4" t="s">
        <v>3642</v>
      </c>
      <c r="F184" s="4"/>
    </row>
    <row r="185" spans="1:6">
      <c r="A185" s="4"/>
      <c r="B185" s="4"/>
      <c r="C185" s="6">
        <v>41115</v>
      </c>
      <c r="D185" s="5">
        <v>2065</v>
      </c>
      <c r="E185" s="4" t="s">
        <v>3642</v>
      </c>
      <c r="F185" s="4"/>
    </row>
    <row r="186" spans="1:6">
      <c r="A186" s="4"/>
      <c r="B186" s="4"/>
      <c r="C186" s="6">
        <v>41117</v>
      </c>
      <c r="D186" s="5">
        <v>375</v>
      </c>
      <c r="E186" s="4" t="s">
        <v>3642</v>
      </c>
      <c r="F186" s="4"/>
    </row>
    <row r="187" spans="1:6">
      <c r="A187" s="4"/>
      <c r="B187" s="4"/>
      <c r="C187" s="6">
        <v>41123</v>
      </c>
      <c r="D187" s="5">
        <v>3565</v>
      </c>
      <c r="E187" s="4" t="s">
        <v>3660</v>
      </c>
      <c r="F187" s="4"/>
    </row>
    <row r="188" spans="1:6">
      <c r="A188" s="4"/>
      <c r="B188" s="4"/>
      <c r="C188" s="6">
        <v>41128</v>
      </c>
      <c r="D188" s="5">
        <v>2625</v>
      </c>
      <c r="E188" s="4" t="s">
        <v>3660</v>
      </c>
      <c r="F188" s="4"/>
    </row>
    <row r="189" spans="1:6">
      <c r="A189" s="4"/>
      <c r="B189" s="4"/>
      <c r="C189" s="6">
        <v>41135</v>
      </c>
      <c r="D189" s="5">
        <v>2255</v>
      </c>
      <c r="E189" s="4" t="s">
        <v>3660</v>
      </c>
      <c r="F189" s="4"/>
    </row>
    <row r="190" spans="1:6">
      <c r="A190" s="4"/>
      <c r="B190" s="4"/>
      <c r="C190" s="6">
        <v>41138</v>
      </c>
      <c r="D190" s="5">
        <v>750</v>
      </c>
      <c r="E190" s="4" t="s">
        <v>3660</v>
      </c>
      <c r="F190" s="4"/>
    </row>
    <row r="191" spans="1:6">
      <c r="A191" s="4"/>
      <c r="B191" s="4"/>
      <c r="C191" s="6">
        <v>41145</v>
      </c>
      <c r="D191" s="5">
        <v>3940</v>
      </c>
      <c r="E191" s="4" t="s">
        <v>3660</v>
      </c>
      <c r="F191" s="4"/>
    </row>
    <row r="192" spans="1:6">
      <c r="A192" s="4"/>
      <c r="B192" s="4"/>
      <c r="C192" s="6">
        <v>41150</v>
      </c>
      <c r="D192" s="5">
        <v>1315</v>
      </c>
      <c r="E192" s="4" t="s">
        <v>3660</v>
      </c>
      <c r="F192" s="4"/>
    </row>
    <row r="193" spans="1:6">
      <c r="A193" s="4"/>
      <c r="B193" s="4"/>
      <c r="C193" s="6">
        <v>41161</v>
      </c>
      <c r="D193" s="5">
        <v>3940</v>
      </c>
      <c r="E193" s="4" t="s">
        <v>2765</v>
      </c>
      <c r="F193" s="4"/>
    </row>
    <row r="194" spans="1:6">
      <c r="A194" s="4"/>
      <c r="B194" s="4"/>
      <c r="C194" s="6">
        <v>41163</v>
      </c>
      <c r="D194" s="5">
        <v>190</v>
      </c>
      <c r="E194" s="4" t="s">
        <v>2765</v>
      </c>
      <c r="F194" s="4"/>
    </row>
    <row r="195" spans="1:6">
      <c r="A195" s="4"/>
      <c r="B195" s="4"/>
      <c r="C195" s="6">
        <v>41167</v>
      </c>
      <c r="D195" s="5">
        <v>1125</v>
      </c>
      <c r="E195" s="4" t="s">
        <v>2765</v>
      </c>
      <c r="F195" s="4"/>
    </row>
    <row r="196" spans="1:6">
      <c r="A196" s="4"/>
      <c r="B196" s="4"/>
      <c r="C196" s="6">
        <v>41172</v>
      </c>
      <c r="D196" s="5">
        <v>3000</v>
      </c>
      <c r="E196" s="4" t="s">
        <v>2765</v>
      </c>
      <c r="F196" s="4"/>
    </row>
    <row r="197" spans="1:6">
      <c r="A197" s="4"/>
      <c r="B197" s="4"/>
      <c r="C197" s="6">
        <v>41176</v>
      </c>
      <c r="D197" s="5">
        <v>940</v>
      </c>
      <c r="E197" s="4" t="s">
        <v>2765</v>
      </c>
      <c r="F197" s="4"/>
    </row>
    <row r="198" spans="1:6">
      <c r="A198" s="4"/>
      <c r="B198" s="4"/>
      <c r="C198" s="6">
        <v>41184</v>
      </c>
      <c r="D198" s="5">
        <v>1315</v>
      </c>
      <c r="E198" s="4" t="s">
        <v>878</v>
      </c>
      <c r="F198" s="4"/>
    </row>
    <row r="199" spans="1:6">
      <c r="A199" s="4"/>
      <c r="B199" s="4"/>
      <c r="C199" s="6">
        <v>41188</v>
      </c>
      <c r="D199" s="5">
        <v>3000</v>
      </c>
      <c r="E199" s="4" t="s">
        <v>878</v>
      </c>
      <c r="F199" s="4"/>
    </row>
    <row r="200" spans="1:6">
      <c r="A200" s="4"/>
      <c r="B200" s="4"/>
      <c r="C200" s="6">
        <v>41191</v>
      </c>
      <c r="D200" s="5">
        <v>940</v>
      </c>
      <c r="E200" s="4" t="s">
        <v>878</v>
      </c>
      <c r="F200" s="4"/>
    </row>
    <row r="201" spans="1:6">
      <c r="A201" s="4"/>
      <c r="B201" s="4"/>
      <c r="C201" s="6">
        <v>41196</v>
      </c>
      <c r="D201" s="5">
        <v>565</v>
      </c>
      <c r="E201" s="4" t="s">
        <v>878</v>
      </c>
      <c r="F201" s="4"/>
    </row>
    <row r="202" spans="1:6">
      <c r="A202" s="4"/>
      <c r="B202" s="4"/>
      <c r="C202" s="6">
        <v>41197</v>
      </c>
      <c r="D202" s="5">
        <v>750</v>
      </c>
      <c r="E202" s="4" t="s">
        <v>878</v>
      </c>
      <c r="F202" s="4"/>
    </row>
    <row r="203" spans="1:6">
      <c r="A203" s="4"/>
      <c r="B203" s="4"/>
      <c r="C203" s="6">
        <v>41203</v>
      </c>
      <c r="D203" s="5">
        <v>3000</v>
      </c>
      <c r="E203" s="4" t="s">
        <v>878</v>
      </c>
      <c r="F203" s="4"/>
    </row>
    <row r="204" spans="1:6">
      <c r="A204" s="4"/>
      <c r="B204" s="4"/>
      <c r="C204" s="6">
        <v>41206</v>
      </c>
      <c r="D204" s="5">
        <v>940</v>
      </c>
      <c r="E204" s="4" t="s">
        <v>878</v>
      </c>
      <c r="F204" s="4"/>
    </row>
    <row r="205" spans="1:6">
      <c r="A205" s="4"/>
      <c r="B205" s="4"/>
      <c r="C205" s="6">
        <v>41208</v>
      </c>
      <c r="D205" s="5">
        <v>190</v>
      </c>
      <c r="E205" s="4" t="s">
        <v>878</v>
      </c>
      <c r="F205" s="4"/>
    </row>
    <row r="206" spans="1:6">
      <c r="A206" s="4"/>
      <c r="B206" s="4"/>
      <c r="C206" s="6">
        <v>41211</v>
      </c>
      <c r="D206" s="5">
        <v>1125</v>
      </c>
      <c r="E206" s="4" t="s">
        <v>878</v>
      </c>
      <c r="F206" s="4"/>
    </row>
    <row r="207" spans="1:6">
      <c r="A207" s="4"/>
      <c r="B207" s="4"/>
      <c r="C207" s="6">
        <v>41218</v>
      </c>
      <c r="D207" s="5">
        <v>3000</v>
      </c>
      <c r="E207" s="4" t="s">
        <v>2550</v>
      </c>
      <c r="F207" s="4"/>
    </row>
    <row r="208" spans="1:6">
      <c r="A208" s="4"/>
      <c r="B208" s="4"/>
      <c r="C208" s="6">
        <v>41225</v>
      </c>
      <c r="D208" s="5">
        <v>190</v>
      </c>
      <c r="E208" s="4" t="s">
        <v>2550</v>
      </c>
      <c r="F208" s="4"/>
    </row>
    <row r="209" spans="1:6">
      <c r="A209" s="4"/>
      <c r="B209" s="4"/>
      <c r="C209" s="6">
        <v>41226</v>
      </c>
      <c r="D209" s="5">
        <v>1315</v>
      </c>
      <c r="E209" s="4" t="s">
        <v>2550</v>
      </c>
      <c r="F209" s="4"/>
    </row>
    <row r="210" spans="1:6">
      <c r="A210" s="4"/>
      <c r="B210" s="4"/>
      <c r="C210" s="6">
        <v>41227</v>
      </c>
      <c r="D210" s="5">
        <v>750</v>
      </c>
      <c r="E210" s="4" t="s">
        <v>2550</v>
      </c>
      <c r="F210" s="4"/>
    </row>
    <row r="211" spans="1:6">
      <c r="A211" s="4"/>
      <c r="B211" s="4"/>
      <c r="C211" s="6">
        <v>41232</v>
      </c>
      <c r="D211" s="5">
        <v>375</v>
      </c>
      <c r="E211" s="4" t="s">
        <v>2550</v>
      </c>
      <c r="F211" s="4"/>
    </row>
    <row r="212" spans="1:6">
      <c r="A212" s="4"/>
      <c r="B212" s="4"/>
      <c r="C212" s="6">
        <v>41236</v>
      </c>
      <c r="D212" s="5">
        <v>3940</v>
      </c>
      <c r="E212" s="4" t="s">
        <v>2550</v>
      </c>
      <c r="F212" s="4"/>
    </row>
    <row r="213" spans="1:6">
      <c r="A213" s="4"/>
      <c r="B213" s="4"/>
      <c r="C213" s="6">
        <v>41284</v>
      </c>
      <c r="D213" s="5">
        <v>375</v>
      </c>
      <c r="E213" s="4" t="s">
        <v>3824</v>
      </c>
      <c r="F213" s="4"/>
    </row>
    <row r="214" spans="1:6">
      <c r="A214" s="4"/>
      <c r="B214" s="4"/>
      <c r="C214" s="6">
        <v>41285</v>
      </c>
      <c r="D214" s="5">
        <v>190</v>
      </c>
      <c r="E214" s="4" t="s">
        <v>3828</v>
      </c>
      <c r="F214" s="4"/>
    </row>
    <row r="215" spans="1:6">
      <c r="A215" s="4"/>
      <c r="B215" s="4"/>
      <c r="C215" s="6">
        <v>41285</v>
      </c>
      <c r="D215" s="5">
        <v>375</v>
      </c>
      <c r="E215" s="4" t="s">
        <v>3828</v>
      </c>
      <c r="F215" s="4"/>
    </row>
    <row r="216" spans="1:6">
      <c r="A216" s="4"/>
      <c r="B216" s="4"/>
      <c r="C216" s="6">
        <v>41285</v>
      </c>
      <c r="D216" s="5">
        <v>750</v>
      </c>
      <c r="E216" s="4" t="s">
        <v>3828</v>
      </c>
      <c r="F216" s="4"/>
    </row>
    <row r="217" spans="1:6">
      <c r="A217" s="4"/>
      <c r="B217" s="4"/>
      <c r="C217" s="6">
        <v>41285</v>
      </c>
      <c r="D217" s="5">
        <v>375</v>
      </c>
      <c r="E217" s="4" t="s">
        <v>3828</v>
      </c>
      <c r="F217" s="4"/>
    </row>
    <row r="218" spans="1:6">
      <c r="A218" s="4"/>
      <c r="B218" s="4"/>
      <c r="C218" s="6">
        <v>41285</v>
      </c>
      <c r="D218" s="5">
        <v>2625</v>
      </c>
      <c r="E218" s="4" t="s">
        <v>3828</v>
      </c>
      <c r="F218" s="4"/>
    </row>
    <row r="219" spans="1:6">
      <c r="A219" s="4"/>
      <c r="B219" s="4"/>
      <c r="C219" s="6">
        <v>41285</v>
      </c>
      <c r="D219" s="5">
        <v>375</v>
      </c>
      <c r="E219" s="4" t="s">
        <v>3828</v>
      </c>
      <c r="F219" s="4"/>
    </row>
    <row r="220" spans="1:6">
      <c r="A220" s="4">
        <v>14</v>
      </c>
      <c r="B220" s="4" t="s">
        <v>3815</v>
      </c>
      <c r="C220" s="6">
        <v>41178</v>
      </c>
      <c r="D220" s="5">
        <v>1500</v>
      </c>
      <c r="E220" s="4" t="s">
        <v>2572</v>
      </c>
      <c r="F220" s="4"/>
    </row>
    <row r="221" spans="1:6">
      <c r="A221" s="4"/>
      <c r="B221" s="4"/>
      <c r="C221" s="6">
        <v>41194</v>
      </c>
      <c r="D221" s="5">
        <v>1500</v>
      </c>
      <c r="E221" s="4" t="s">
        <v>2572</v>
      </c>
      <c r="F221" s="4"/>
    </row>
    <row r="222" spans="1:6">
      <c r="A222" s="4"/>
      <c r="B222" s="4"/>
      <c r="C222" s="6">
        <v>41220</v>
      </c>
      <c r="D222" s="5">
        <v>1500</v>
      </c>
      <c r="E222" s="4" t="s">
        <v>2547</v>
      </c>
      <c r="F222" s="4"/>
    </row>
    <row r="223" spans="1:6">
      <c r="A223" s="4"/>
      <c r="B223" s="4"/>
      <c r="C223" s="6">
        <v>41227</v>
      </c>
      <c r="D223" s="5">
        <v>1500</v>
      </c>
      <c r="E223" s="4" t="s">
        <v>2547</v>
      </c>
      <c r="F223" s="4"/>
    </row>
    <row r="224" spans="1:6">
      <c r="A224" s="4"/>
      <c r="B224" s="4"/>
      <c r="C224" s="6">
        <v>41238</v>
      </c>
      <c r="D224" s="5">
        <v>1500</v>
      </c>
      <c r="E224" s="4" t="s">
        <v>2547</v>
      </c>
      <c r="F224" s="4"/>
    </row>
    <row r="225" spans="1:6">
      <c r="A225" s="4">
        <v>15</v>
      </c>
      <c r="B225" s="4" t="s">
        <v>3505</v>
      </c>
      <c r="C225" s="6">
        <v>41095</v>
      </c>
      <c r="D225" s="5">
        <v>375</v>
      </c>
      <c r="E225" s="4" t="s">
        <v>3647</v>
      </c>
      <c r="F225" s="4"/>
    </row>
    <row r="226" spans="1:6">
      <c r="A226" s="4"/>
      <c r="B226" s="4"/>
      <c r="C226" s="6">
        <v>41099</v>
      </c>
      <c r="D226" s="5">
        <v>1875</v>
      </c>
      <c r="E226" s="4" t="s">
        <v>3647</v>
      </c>
      <c r="F226" s="4"/>
    </row>
    <row r="227" spans="1:6">
      <c r="A227" s="4"/>
      <c r="B227" s="4"/>
      <c r="C227" s="6">
        <v>41111</v>
      </c>
      <c r="D227" s="5">
        <v>375</v>
      </c>
      <c r="E227" s="4" t="s">
        <v>3647</v>
      </c>
      <c r="F227" s="4"/>
    </row>
    <row r="228" spans="1:6">
      <c r="A228" s="4"/>
      <c r="B228" s="4"/>
      <c r="C228" s="6">
        <v>41114</v>
      </c>
      <c r="D228" s="5">
        <v>1875</v>
      </c>
      <c r="E228" s="4" t="s">
        <v>3647</v>
      </c>
      <c r="F228" s="4"/>
    </row>
    <row r="229" spans="1:6">
      <c r="A229" s="4"/>
      <c r="B229" s="4"/>
      <c r="C229" s="6">
        <v>41126</v>
      </c>
      <c r="D229" s="5">
        <v>375</v>
      </c>
      <c r="E229" s="4" t="s">
        <v>3649</v>
      </c>
      <c r="F229" s="4"/>
    </row>
    <row r="230" spans="1:6">
      <c r="A230" s="4"/>
      <c r="B230" s="4"/>
      <c r="C230" s="6">
        <v>41130</v>
      </c>
      <c r="D230" s="5">
        <v>1875</v>
      </c>
      <c r="E230" s="4" t="s">
        <v>3649</v>
      </c>
      <c r="F230" s="4"/>
    </row>
    <row r="231" spans="1:6">
      <c r="A231" s="4"/>
      <c r="B231" s="4"/>
      <c r="C231" s="6">
        <v>41159</v>
      </c>
      <c r="D231" s="5">
        <v>1875</v>
      </c>
      <c r="E231" s="4" t="s">
        <v>3649</v>
      </c>
      <c r="F231" s="4"/>
    </row>
    <row r="232" spans="1:6">
      <c r="A232" s="4"/>
      <c r="B232" s="4"/>
      <c r="C232" s="6">
        <v>41170</v>
      </c>
      <c r="D232" s="5">
        <v>375</v>
      </c>
      <c r="E232" s="4" t="s">
        <v>3649</v>
      </c>
      <c r="F232" s="4"/>
    </row>
    <row r="233" spans="1:6">
      <c r="A233" s="4"/>
      <c r="B233" s="4"/>
      <c r="C233" s="6">
        <v>41176</v>
      </c>
      <c r="D233" s="5">
        <v>1875</v>
      </c>
      <c r="E233" s="4" t="s">
        <v>3649</v>
      </c>
      <c r="F233" s="4"/>
    </row>
    <row r="234" spans="1:6">
      <c r="A234" s="4"/>
      <c r="B234" s="4"/>
      <c r="C234" s="6">
        <v>41185</v>
      </c>
      <c r="D234" s="5">
        <v>375</v>
      </c>
      <c r="E234" s="4" t="s">
        <v>2581</v>
      </c>
      <c r="F234" s="4"/>
    </row>
    <row r="235" spans="1:6">
      <c r="A235" s="4"/>
      <c r="B235" s="4"/>
      <c r="C235" s="6">
        <v>41189</v>
      </c>
      <c r="D235" s="5">
        <v>1875</v>
      </c>
      <c r="E235" s="4" t="s">
        <v>2581</v>
      </c>
      <c r="F235" s="4"/>
    </row>
    <row r="236" spans="1:6">
      <c r="A236" s="4"/>
      <c r="B236" s="4"/>
      <c r="C236" s="6">
        <v>41201</v>
      </c>
      <c r="D236" s="5">
        <v>375</v>
      </c>
      <c r="E236" s="4" t="s">
        <v>2581</v>
      </c>
      <c r="F236" s="4"/>
    </row>
    <row r="237" spans="1:6">
      <c r="A237" s="4"/>
      <c r="B237" s="4"/>
      <c r="C237" s="6">
        <v>41205</v>
      </c>
      <c r="D237" s="5">
        <v>1875</v>
      </c>
      <c r="E237" s="4" t="s">
        <v>2581</v>
      </c>
      <c r="F237" s="4"/>
    </row>
    <row r="238" spans="1:6">
      <c r="A238" s="4"/>
      <c r="B238" s="4"/>
      <c r="C238" s="6">
        <v>41215</v>
      </c>
      <c r="D238" s="5">
        <v>375</v>
      </c>
      <c r="E238" s="4" t="s">
        <v>2548</v>
      </c>
      <c r="F238" s="4"/>
    </row>
    <row r="239" spans="1:6">
      <c r="A239" s="4"/>
      <c r="B239" s="4"/>
      <c r="C239" s="6">
        <v>41219</v>
      </c>
      <c r="D239" s="5">
        <v>1875</v>
      </c>
      <c r="E239" s="4" t="s">
        <v>2548</v>
      </c>
      <c r="F239" s="4"/>
    </row>
    <row r="240" spans="1:6">
      <c r="A240" s="4"/>
      <c r="B240" s="4"/>
      <c r="C240" s="6">
        <v>41230</v>
      </c>
      <c r="D240" s="5">
        <v>375</v>
      </c>
      <c r="E240" s="4" t="s">
        <v>2548</v>
      </c>
      <c r="F240" s="4"/>
    </row>
    <row r="241" spans="1:6">
      <c r="A241" s="4"/>
      <c r="B241" s="4"/>
      <c r="C241" s="6">
        <v>41234</v>
      </c>
      <c r="D241" s="5">
        <v>1875</v>
      </c>
      <c r="E241" s="4" t="s">
        <v>2548</v>
      </c>
      <c r="F241" s="4"/>
    </row>
    <row r="242" spans="1:6">
      <c r="A242" s="4"/>
      <c r="B242" s="4"/>
      <c r="C242" s="6">
        <v>41246</v>
      </c>
      <c r="D242" s="5">
        <v>375</v>
      </c>
      <c r="E242" s="4" t="s">
        <v>1349</v>
      </c>
      <c r="F242" s="4"/>
    </row>
    <row r="243" spans="1:6">
      <c r="A243" s="4"/>
      <c r="B243" s="4"/>
      <c r="C243" s="6">
        <v>41251</v>
      </c>
      <c r="D243" s="5">
        <v>1875</v>
      </c>
      <c r="E243" s="4" t="s">
        <v>1349</v>
      </c>
      <c r="F243" s="4"/>
    </row>
    <row r="244" spans="1:6">
      <c r="A244" s="4"/>
      <c r="B244" s="4"/>
      <c r="C244" s="6">
        <v>41260</v>
      </c>
      <c r="D244" s="5">
        <v>375</v>
      </c>
      <c r="E244" s="4" t="s">
        <v>1349</v>
      </c>
      <c r="F244" s="4"/>
    </row>
    <row r="245" spans="1:6">
      <c r="A245" s="4"/>
      <c r="B245" s="4"/>
      <c r="C245" s="6">
        <v>41264</v>
      </c>
      <c r="D245" s="5">
        <v>1875</v>
      </c>
      <c r="E245" s="4" t="s">
        <v>1349</v>
      </c>
      <c r="F245" s="4"/>
    </row>
    <row r="246" spans="1:6">
      <c r="A246" s="4"/>
      <c r="B246" s="4"/>
      <c r="C246" s="6">
        <v>41275</v>
      </c>
      <c r="D246" s="5">
        <v>375</v>
      </c>
      <c r="E246" s="4" t="s">
        <v>1365</v>
      </c>
      <c r="F246" s="4"/>
    </row>
    <row r="247" spans="1:6">
      <c r="A247" s="4"/>
      <c r="B247" s="4"/>
      <c r="C247" s="6">
        <v>41279</v>
      </c>
      <c r="D247" s="5">
        <v>1875</v>
      </c>
      <c r="E247" s="4" t="s">
        <v>1372</v>
      </c>
      <c r="F247" s="4"/>
    </row>
    <row r="248" spans="1:6">
      <c r="A248" s="4"/>
      <c r="B248" s="4"/>
      <c r="C248" s="6">
        <v>41291</v>
      </c>
      <c r="D248" s="5">
        <v>375</v>
      </c>
      <c r="E248" s="4" t="s">
        <v>3668</v>
      </c>
      <c r="F248" s="4"/>
    </row>
    <row r="249" spans="1:6">
      <c r="A249" s="4"/>
      <c r="B249" s="4"/>
      <c r="C249" s="6">
        <v>41295</v>
      </c>
      <c r="D249" s="5">
        <v>1875</v>
      </c>
      <c r="E249" s="4" t="s">
        <v>3672</v>
      </c>
      <c r="F249" s="4"/>
    </row>
    <row r="250" spans="1:6">
      <c r="A250" s="4">
        <v>16</v>
      </c>
      <c r="B250" s="4" t="s">
        <v>3786</v>
      </c>
      <c r="C250" s="6">
        <v>41108</v>
      </c>
      <c r="D250" s="5">
        <v>7315</v>
      </c>
      <c r="E250" s="4" t="s">
        <v>218</v>
      </c>
      <c r="F250" s="4"/>
    </row>
    <row r="251" spans="1:6">
      <c r="A251" s="4"/>
      <c r="B251" s="4"/>
      <c r="C251" s="6">
        <v>41141</v>
      </c>
      <c r="D251" s="5">
        <v>1500</v>
      </c>
      <c r="E251" s="4" t="s">
        <v>2469</v>
      </c>
      <c r="F251" s="4" t="s">
        <v>2470</v>
      </c>
    </row>
    <row r="252" spans="1:6">
      <c r="A252" s="4"/>
      <c r="B252" s="4"/>
      <c r="C252" s="6">
        <v>41180</v>
      </c>
      <c r="D252" s="5">
        <v>7315</v>
      </c>
      <c r="E252" s="4" t="s">
        <v>2785</v>
      </c>
      <c r="F252" s="4"/>
    </row>
    <row r="253" spans="1:6">
      <c r="A253" s="4"/>
      <c r="B253" s="4"/>
      <c r="C253" s="6">
        <v>41191</v>
      </c>
      <c r="D253" s="5">
        <v>1500</v>
      </c>
      <c r="E253" s="4" t="s">
        <v>870</v>
      </c>
      <c r="F253" s="4"/>
    </row>
    <row r="254" spans="1:6">
      <c r="A254" s="4"/>
      <c r="B254" s="4"/>
      <c r="C254" s="6">
        <v>41205</v>
      </c>
      <c r="D254" s="5">
        <v>7315</v>
      </c>
      <c r="E254" s="4" t="s">
        <v>870</v>
      </c>
      <c r="F254" s="4"/>
    </row>
    <row r="255" spans="1:6">
      <c r="A255" s="4"/>
      <c r="B255" s="4"/>
      <c r="C255" s="6">
        <v>41274</v>
      </c>
      <c r="D255" s="5">
        <v>750</v>
      </c>
      <c r="E255" s="4" t="s">
        <v>890</v>
      </c>
      <c r="F255" s="4"/>
    </row>
    <row r="256" spans="1:6">
      <c r="A256" s="4"/>
      <c r="B256" s="4"/>
      <c r="C256" s="6">
        <v>41275</v>
      </c>
      <c r="D256" s="5">
        <v>750</v>
      </c>
      <c r="E256" s="4" t="s">
        <v>3675</v>
      </c>
      <c r="F256" s="4"/>
    </row>
    <row r="257" spans="1:6">
      <c r="A257" s="4"/>
      <c r="B257" s="4"/>
      <c r="C257" s="6">
        <v>41279</v>
      </c>
      <c r="D257" s="5">
        <v>10500</v>
      </c>
      <c r="E257" s="4" t="s">
        <v>3679</v>
      </c>
      <c r="F257" s="4"/>
    </row>
    <row r="258" spans="1:6">
      <c r="A258" s="4"/>
      <c r="B258" s="4"/>
      <c r="C258" s="6">
        <v>41279</v>
      </c>
      <c r="D258" s="5">
        <v>4875</v>
      </c>
      <c r="E258" s="4" t="s">
        <v>3679</v>
      </c>
      <c r="F258" s="4"/>
    </row>
    <row r="259" spans="1:6">
      <c r="A259" s="4"/>
      <c r="B259" s="4"/>
      <c r="C259" s="6">
        <v>41285</v>
      </c>
      <c r="D259" s="5">
        <v>1125</v>
      </c>
      <c r="E259" s="4" t="s">
        <v>3684</v>
      </c>
      <c r="F259" s="4"/>
    </row>
    <row r="260" spans="1:6">
      <c r="A260" s="4"/>
      <c r="B260" s="4"/>
      <c r="C260" s="6">
        <v>41285</v>
      </c>
      <c r="D260" s="5">
        <v>1500</v>
      </c>
      <c r="E260" s="4" t="s">
        <v>3684</v>
      </c>
      <c r="F260" s="4"/>
    </row>
    <row r="261" spans="1:6">
      <c r="A261" s="4">
        <v>17</v>
      </c>
      <c r="B261" s="4" t="s">
        <v>3812</v>
      </c>
      <c r="C261" s="6">
        <v>41112</v>
      </c>
      <c r="D261" s="5">
        <v>20250</v>
      </c>
      <c r="E261" s="4" t="s">
        <v>216</v>
      </c>
      <c r="F261" s="4"/>
    </row>
    <row r="262" spans="1:6">
      <c r="A262" s="4"/>
      <c r="B262" s="4"/>
      <c r="C262" s="6">
        <v>41155</v>
      </c>
      <c r="D262" s="5">
        <v>20250</v>
      </c>
      <c r="E262" s="4" t="s">
        <v>2777</v>
      </c>
      <c r="F262" s="4"/>
    </row>
    <row r="263" spans="1:6">
      <c r="A263" s="4"/>
      <c r="B263" s="4"/>
      <c r="C263" s="6">
        <v>41173</v>
      </c>
      <c r="D263" s="5">
        <v>10125</v>
      </c>
      <c r="E263" s="4" t="s">
        <v>2777</v>
      </c>
      <c r="F263" s="4"/>
    </row>
    <row r="264" spans="1:6">
      <c r="A264" s="4"/>
      <c r="B264" s="4"/>
      <c r="C264" s="6">
        <v>41201</v>
      </c>
      <c r="D264" s="5">
        <v>10125</v>
      </c>
      <c r="E264" s="4" t="s">
        <v>2576</v>
      </c>
      <c r="F264" s="4"/>
    </row>
    <row r="265" spans="1:6">
      <c r="A265" s="4"/>
      <c r="B265" s="4"/>
      <c r="C265" s="6">
        <v>41215</v>
      </c>
      <c r="D265" s="5">
        <v>10125</v>
      </c>
      <c r="E265" s="4" t="s">
        <v>2565</v>
      </c>
      <c r="F265" s="4"/>
    </row>
    <row r="266" spans="1:6">
      <c r="A266" s="4"/>
      <c r="B266" s="4"/>
      <c r="C266" s="6">
        <v>41233</v>
      </c>
      <c r="D266" s="5">
        <v>10125</v>
      </c>
      <c r="E266" s="4" t="s">
        <v>2565</v>
      </c>
      <c r="F266" s="4"/>
    </row>
    <row r="267" spans="1:6">
      <c r="A267" s="4"/>
      <c r="B267" s="4"/>
      <c r="C267" s="6">
        <v>41254</v>
      </c>
      <c r="D267" s="5">
        <v>10125</v>
      </c>
      <c r="E267" s="4" t="s">
        <v>1355</v>
      </c>
      <c r="F267" s="4"/>
    </row>
    <row r="268" spans="1:6">
      <c r="A268" s="4"/>
      <c r="B268" s="4"/>
      <c r="C268" s="6">
        <v>41284</v>
      </c>
      <c r="D268" s="5">
        <v>10125</v>
      </c>
      <c r="E268" s="4" t="s">
        <v>3683</v>
      </c>
      <c r="F268" s="4"/>
    </row>
    <row r="269" spans="1:6">
      <c r="A269" s="4">
        <v>18</v>
      </c>
      <c r="B269" s="4" t="s">
        <v>3768</v>
      </c>
      <c r="C269" s="6">
        <v>41163</v>
      </c>
      <c r="D269" s="5">
        <v>7125</v>
      </c>
      <c r="E269" s="4" t="s">
        <v>1362</v>
      </c>
      <c r="F269" s="4"/>
    </row>
    <row r="270" spans="1:6">
      <c r="A270" s="4"/>
      <c r="B270" s="4"/>
      <c r="C270" s="6">
        <v>41169</v>
      </c>
      <c r="D270" s="5">
        <v>3000</v>
      </c>
      <c r="E270" s="4" t="s">
        <v>1362</v>
      </c>
      <c r="F270" s="4"/>
    </row>
    <row r="271" spans="1:6">
      <c r="A271" s="4"/>
      <c r="B271" s="4"/>
      <c r="C271" s="6">
        <v>41191</v>
      </c>
      <c r="D271" s="5">
        <v>7125</v>
      </c>
      <c r="E271" s="4" t="s">
        <v>1362</v>
      </c>
      <c r="F271" s="4"/>
    </row>
    <row r="272" spans="1:6">
      <c r="A272" s="4"/>
      <c r="B272" s="4"/>
      <c r="C272" s="6">
        <v>41198</v>
      </c>
      <c r="D272" s="5">
        <v>1875</v>
      </c>
      <c r="E272" s="4" t="s">
        <v>1362</v>
      </c>
      <c r="F272" s="4"/>
    </row>
    <row r="273" spans="1:6">
      <c r="A273" s="4"/>
      <c r="B273" s="4"/>
      <c r="C273" s="6">
        <v>41215</v>
      </c>
      <c r="D273" s="5">
        <v>4875</v>
      </c>
      <c r="E273" s="4" t="s">
        <v>1362</v>
      </c>
      <c r="F273" s="4"/>
    </row>
    <row r="274" spans="1:6">
      <c r="A274" s="4"/>
      <c r="B274" s="4"/>
      <c r="C274" s="6">
        <v>41219</v>
      </c>
      <c r="D274" s="5">
        <v>1125</v>
      </c>
      <c r="E274" s="4" t="s">
        <v>1362</v>
      </c>
      <c r="F274" s="4"/>
    </row>
    <row r="275" spans="1:6">
      <c r="A275" s="4"/>
      <c r="B275" s="4"/>
      <c r="C275" s="6">
        <v>41285</v>
      </c>
      <c r="D275" s="5">
        <v>3750</v>
      </c>
      <c r="E275" s="4" t="s">
        <v>1362</v>
      </c>
      <c r="F275" s="4" t="s">
        <v>869</v>
      </c>
    </row>
    <row r="276" spans="1:6">
      <c r="A276" s="4"/>
      <c r="B276" s="4"/>
      <c r="C276" s="6">
        <v>41285</v>
      </c>
      <c r="D276" s="5">
        <v>750</v>
      </c>
      <c r="E276" s="4" t="s">
        <v>3826</v>
      </c>
      <c r="F276" s="4"/>
    </row>
    <row r="277" spans="1:6">
      <c r="A277" s="4"/>
      <c r="B277" s="4"/>
      <c r="C277" s="6">
        <v>41285</v>
      </c>
      <c r="D277" s="5">
        <v>1125</v>
      </c>
      <c r="E277" s="4" t="s">
        <v>3826</v>
      </c>
      <c r="F277" s="4"/>
    </row>
    <row r="278" spans="1:6">
      <c r="A278" s="4"/>
      <c r="B278" s="4"/>
      <c r="C278" s="6">
        <v>41285</v>
      </c>
      <c r="D278" s="5">
        <v>1875</v>
      </c>
      <c r="E278" s="4" t="s">
        <v>3826</v>
      </c>
      <c r="F278" s="4"/>
    </row>
    <row r="279" spans="1:6">
      <c r="A279" s="4"/>
      <c r="B279" s="4"/>
      <c r="C279" s="6">
        <v>41290</v>
      </c>
      <c r="D279" s="5">
        <v>2250</v>
      </c>
      <c r="E279" s="4" t="s">
        <v>3666</v>
      </c>
      <c r="F279" s="4"/>
    </row>
    <row r="280" spans="1:6">
      <c r="A280" s="4"/>
      <c r="B280" s="4"/>
      <c r="C280" s="6">
        <v>41290</v>
      </c>
      <c r="D280" s="5">
        <v>3375</v>
      </c>
      <c r="E280" s="4" t="s">
        <v>3666</v>
      </c>
      <c r="F280" s="4"/>
    </row>
    <row r="281" spans="1:6">
      <c r="A281" s="4"/>
      <c r="B281" s="4"/>
      <c r="C281" s="6">
        <v>41290</v>
      </c>
      <c r="D281" s="5">
        <v>3375</v>
      </c>
      <c r="E281" s="4" t="s">
        <v>3667</v>
      </c>
      <c r="F281" s="4"/>
    </row>
    <row r="282" spans="1:6">
      <c r="A282" s="4"/>
      <c r="B282" s="4"/>
      <c r="C282" s="6">
        <v>41290</v>
      </c>
      <c r="D282" s="5">
        <v>5625</v>
      </c>
      <c r="E282" s="4" t="s">
        <v>3667</v>
      </c>
      <c r="F282" s="4"/>
    </row>
    <row r="283" spans="1:6">
      <c r="A283" s="4">
        <v>19</v>
      </c>
      <c r="B283" s="4" t="s">
        <v>3777</v>
      </c>
      <c r="C283" s="6">
        <v>41103</v>
      </c>
      <c r="D283" s="5">
        <v>7125</v>
      </c>
      <c r="E283" s="4" t="s">
        <v>214</v>
      </c>
      <c r="F283" s="4"/>
    </row>
    <row r="284" spans="1:6">
      <c r="A284" s="4"/>
      <c r="B284" s="4"/>
      <c r="C284" s="6">
        <v>41115</v>
      </c>
      <c r="D284" s="5">
        <v>7875</v>
      </c>
      <c r="E284" s="4" t="s">
        <v>214</v>
      </c>
      <c r="F284" s="4"/>
    </row>
    <row r="285" spans="1:6">
      <c r="A285" s="4"/>
      <c r="B285" s="4"/>
      <c r="C285" s="6">
        <v>41132</v>
      </c>
      <c r="D285" s="5">
        <v>7125</v>
      </c>
      <c r="E285" s="4" t="s">
        <v>2472</v>
      </c>
      <c r="F285" s="4"/>
    </row>
    <row r="286" spans="1:6">
      <c r="A286" s="4"/>
      <c r="B286" s="4"/>
      <c r="C286" s="6">
        <v>41139</v>
      </c>
      <c r="D286" s="5">
        <v>6375</v>
      </c>
      <c r="E286" s="4" t="s">
        <v>2472</v>
      </c>
      <c r="F286" s="4"/>
    </row>
    <row r="287" spans="1:6">
      <c r="A287" s="4"/>
      <c r="B287" s="4"/>
      <c r="C287" s="6">
        <v>41145</v>
      </c>
      <c r="D287" s="5">
        <v>1875</v>
      </c>
      <c r="E287" s="4" t="s">
        <v>2472</v>
      </c>
      <c r="F287" s="4"/>
    </row>
    <row r="288" spans="1:6">
      <c r="A288" s="4"/>
      <c r="B288" s="4"/>
      <c r="C288" s="6">
        <v>41146</v>
      </c>
      <c r="D288" s="5">
        <v>3375</v>
      </c>
      <c r="E288" s="4" t="s">
        <v>2472</v>
      </c>
      <c r="F288" s="4"/>
    </row>
    <row r="289" spans="1:6">
      <c r="A289" s="4"/>
      <c r="B289" s="4"/>
      <c r="C289" s="6">
        <v>41147</v>
      </c>
      <c r="D289" s="5">
        <v>750</v>
      </c>
      <c r="E289" s="4" t="s">
        <v>2472</v>
      </c>
      <c r="F289" s="4"/>
    </row>
    <row r="290" spans="1:6">
      <c r="A290" s="4"/>
      <c r="B290" s="4"/>
      <c r="C290" s="6">
        <v>41150</v>
      </c>
      <c r="D290" s="5">
        <v>1125</v>
      </c>
      <c r="E290" s="4" t="s">
        <v>2472</v>
      </c>
      <c r="F290" s="4"/>
    </row>
    <row r="291" spans="1:6">
      <c r="A291" s="4"/>
      <c r="B291" s="4"/>
      <c r="C291" s="6">
        <v>41156</v>
      </c>
      <c r="D291" s="5">
        <v>375</v>
      </c>
      <c r="E291" s="4" t="s">
        <v>2778</v>
      </c>
      <c r="F291" s="4"/>
    </row>
    <row r="292" spans="1:6">
      <c r="A292" s="4"/>
      <c r="B292" s="4"/>
      <c r="C292" s="6">
        <v>41159</v>
      </c>
      <c r="D292" s="5">
        <v>4500</v>
      </c>
      <c r="E292" s="4" t="s">
        <v>2778</v>
      </c>
      <c r="F292" s="4"/>
    </row>
    <row r="293" spans="1:6">
      <c r="A293" s="4"/>
      <c r="B293" s="4"/>
      <c r="C293" s="6">
        <v>41164</v>
      </c>
      <c r="D293" s="5">
        <v>1125</v>
      </c>
      <c r="E293" s="4" t="s">
        <v>2778</v>
      </c>
      <c r="F293" s="4"/>
    </row>
    <row r="294" spans="1:6">
      <c r="A294" s="4"/>
      <c r="B294" s="4"/>
      <c r="C294" s="6">
        <v>41165</v>
      </c>
      <c r="D294" s="5">
        <v>1125</v>
      </c>
      <c r="E294" s="4" t="s">
        <v>2778</v>
      </c>
      <c r="F294" s="4"/>
    </row>
    <row r="295" spans="1:6">
      <c r="A295" s="4"/>
      <c r="B295" s="4"/>
      <c r="C295" s="6">
        <v>41170</v>
      </c>
      <c r="D295" s="5">
        <v>375</v>
      </c>
      <c r="E295" s="4" t="s">
        <v>2778</v>
      </c>
      <c r="F295" s="4"/>
    </row>
    <row r="296" spans="1:6">
      <c r="A296" s="4"/>
      <c r="B296" s="4"/>
      <c r="C296" s="6">
        <v>41177</v>
      </c>
      <c r="D296" s="5">
        <f>750+4500</f>
        <v>5250</v>
      </c>
      <c r="E296" s="4" t="s">
        <v>2778</v>
      </c>
      <c r="F296" s="4"/>
    </row>
    <row r="297" spans="1:6">
      <c r="A297" s="4"/>
      <c r="B297" s="4"/>
      <c r="C297" s="6">
        <v>41179</v>
      </c>
      <c r="D297" s="5">
        <v>375</v>
      </c>
      <c r="E297" s="4" t="s">
        <v>2778</v>
      </c>
      <c r="F297" s="4"/>
    </row>
    <row r="298" spans="1:6">
      <c r="A298" s="4"/>
      <c r="B298" s="4"/>
      <c r="C298" s="6">
        <v>41180</v>
      </c>
      <c r="D298" s="5">
        <v>1125</v>
      </c>
      <c r="E298" s="4" t="s">
        <v>2778</v>
      </c>
      <c r="F298" s="4"/>
    </row>
    <row r="299" spans="1:6">
      <c r="A299" s="4"/>
      <c r="B299" s="4"/>
      <c r="C299" s="6">
        <v>41190</v>
      </c>
      <c r="D299" s="5">
        <v>5250</v>
      </c>
      <c r="E299" s="4" t="s">
        <v>868</v>
      </c>
      <c r="F299" s="4"/>
    </row>
    <row r="300" spans="1:6">
      <c r="A300" s="4"/>
      <c r="B300" s="4"/>
      <c r="C300" s="6">
        <v>41193</v>
      </c>
      <c r="D300" s="5">
        <v>750</v>
      </c>
      <c r="E300" s="4" t="s">
        <v>868</v>
      </c>
      <c r="F300" s="4"/>
    </row>
    <row r="301" spans="1:6">
      <c r="A301" s="4"/>
      <c r="B301" s="4"/>
      <c r="C301" s="6">
        <v>41196</v>
      </c>
      <c r="D301" s="5">
        <v>1125</v>
      </c>
      <c r="E301" s="4" t="s">
        <v>868</v>
      </c>
      <c r="F301" s="4"/>
    </row>
    <row r="302" spans="1:6">
      <c r="A302" s="4"/>
      <c r="B302" s="4"/>
      <c r="C302" s="6">
        <v>41200</v>
      </c>
      <c r="D302" s="5">
        <v>375</v>
      </c>
      <c r="E302" s="4" t="s">
        <v>868</v>
      </c>
      <c r="F302" s="4"/>
    </row>
    <row r="303" spans="1:6">
      <c r="A303" s="4"/>
      <c r="B303" s="4"/>
      <c r="C303" s="6">
        <v>41204</v>
      </c>
      <c r="D303" s="5">
        <v>4875</v>
      </c>
      <c r="E303" s="4" t="s">
        <v>868</v>
      </c>
      <c r="F303" s="4"/>
    </row>
    <row r="304" spans="1:6">
      <c r="A304" s="4"/>
      <c r="B304" s="4"/>
      <c r="C304" s="6">
        <v>41207</v>
      </c>
      <c r="D304" s="5">
        <v>750</v>
      </c>
      <c r="E304" s="4" t="s">
        <v>868</v>
      </c>
      <c r="F304" s="4" t="s">
        <v>869</v>
      </c>
    </row>
    <row r="305" spans="1:6">
      <c r="A305" s="4"/>
      <c r="B305" s="4"/>
      <c r="C305" s="6">
        <v>41211</v>
      </c>
      <c r="D305" s="5">
        <v>1125</v>
      </c>
      <c r="E305" s="4" t="s">
        <v>868</v>
      </c>
      <c r="F305" s="4"/>
    </row>
    <row r="306" spans="1:6">
      <c r="A306" s="4"/>
      <c r="B306" s="4"/>
      <c r="C306" s="6">
        <v>41215</v>
      </c>
      <c r="D306" s="5">
        <v>375</v>
      </c>
      <c r="E306" s="4" t="s">
        <v>2560</v>
      </c>
      <c r="F306" s="4"/>
    </row>
    <row r="307" spans="1:6">
      <c r="A307" s="4"/>
      <c r="B307" s="4"/>
      <c r="C307" s="6">
        <v>41219</v>
      </c>
      <c r="D307" s="5">
        <v>4125</v>
      </c>
      <c r="E307" s="4" t="s">
        <v>2560</v>
      </c>
      <c r="F307" s="4"/>
    </row>
    <row r="308" spans="1:6">
      <c r="A308" s="4"/>
      <c r="B308" s="4"/>
      <c r="C308" s="6">
        <v>41223</v>
      </c>
      <c r="D308" s="5">
        <v>750</v>
      </c>
      <c r="E308" s="4" t="s">
        <v>2560</v>
      </c>
      <c r="F308" s="4"/>
    </row>
    <row r="309" spans="1:6">
      <c r="A309" s="4"/>
      <c r="B309" s="4"/>
      <c r="C309" s="6">
        <v>41225</v>
      </c>
      <c r="D309" s="5">
        <v>1125</v>
      </c>
      <c r="E309" s="4" t="s">
        <v>2560</v>
      </c>
      <c r="F309" s="4"/>
    </row>
    <row r="310" spans="1:6">
      <c r="A310" s="4"/>
      <c r="B310" s="4"/>
      <c r="C310" s="6">
        <v>41230</v>
      </c>
      <c r="D310" s="5">
        <v>375</v>
      </c>
      <c r="E310" s="4" t="s">
        <v>2560</v>
      </c>
      <c r="F310" s="4"/>
    </row>
    <row r="311" spans="1:6">
      <c r="A311" s="4"/>
      <c r="B311" s="4"/>
      <c r="C311" s="6">
        <v>41236</v>
      </c>
      <c r="D311" s="5">
        <v>4125</v>
      </c>
      <c r="E311" s="4" t="s">
        <v>2560</v>
      </c>
      <c r="F311" s="4"/>
    </row>
    <row r="312" spans="1:6">
      <c r="A312" s="4"/>
      <c r="B312" s="4"/>
      <c r="C312" s="6">
        <v>41239</v>
      </c>
      <c r="D312" s="5">
        <v>750</v>
      </c>
      <c r="E312" s="4" t="s">
        <v>2560</v>
      </c>
      <c r="F312" s="4"/>
    </row>
    <row r="313" spans="1:6">
      <c r="A313" s="4"/>
      <c r="B313" s="4"/>
      <c r="C313" s="6">
        <v>41240</v>
      </c>
      <c r="D313" s="5">
        <v>1125</v>
      </c>
      <c r="E313" s="4" t="s">
        <v>2560</v>
      </c>
      <c r="F313" s="4"/>
    </row>
    <row r="314" spans="1:6">
      <c r="A314" s="4"/>
      <c r="B314" s="4"/>
      <c r="C314" s="6">
        <v>41247</v>
      </c>
      <c r="D314" s="5">
        <v>375</v>
      </c>
      <c r="E314" s="4" t="s">
        <v>1353</v>
      </c>
      <c r="F314" s="4"/>
    </row>
    <row r="315" spans="1:6">
      <c r="A315" s="4"/>
      <c r="B315" s="4"/>
      <c r="C315" s="6">
        <v>41256</v>
      </c>
      <c r="D315" s="5">
        <v>5250</v>
      </c>
      <c r="E315" s="4" t="s">
        <v>1353</v>
      </c>
      <c r="F315" s="4"/>
    </row>
    <row r="316" spans="1:6">
      <c r="A316" s="4"/>
      <c r="B316" s="4"/>
      <c r="C316" s="6">
        <v>41261</v>
      </c>
      <c r="D316" s="5">
        <v>750</v>
      </c>
      <c r="E316" s="4" t="s">
        <v>1353</v>
      </c>
      <c r="F316" s="4"/>
    </row>
    <row r="317" spans="1:6">
      <c r="A317" s="4"/>
      <c r="B317" s="4"/>
      <c r="C317" s="6">
        <v>41271</v>
      </c>
      <c r="D317" s="5">
        <v>4500</v>
      </c>
      <c r="E317" s="4" t="s">
        <v>1353</v>
      </c>
      <c r="F317" s="4"/>
    </row>
    <row r="318" spans="1:6">
      <c r="A318" s="4"/>
      <c r="B318" s="4"/>
      <c r="C318" s="6">
        <v>41274</v>
      </c>
      <c r="D318" s="5">
        <v>750</v>
      </c>
      <c r="E318" s="4" t="s">
        <v>1353</v>
      </c>
      <c r="F318" s="4"/>
    </row>
    <row r="319" spans="1:6">
      <c r="A319" s="4"/>
      <c r="B319" s="4"/>
      <c r="C319" s="6">
        <v>41285</v>
      </c>
      <c r="D319" s="5">
        <v>375</v>
      </c>
      <c r="E319" s="4" t="s">
        <v>3829</v>
      </c>
      <c r="F319" s="4"/>
    </row>
    <row r="320" spans="1:6">
      <c r="A320" s="4"/>
      <c r="B320" s="4"/>
      <c r="C320" s="6">
        <v>41285</v>
      </c>
      <c r="D320" s="5">
        <v>750</v>
      </c>
      <c r="E320" s="4" t="s">
        <v>3829</v>
      </c>
      <c r="F320" s="4"/>
    </row>
    <row r="321" spans="1:6">
      <c r="A321" s="4"/>
      <c r="B321" s="4"/>
      <c r="C321" s="6">
        <v>41285</v>
      </c>
      <c r="D321" s="5">
        <v>3375</v>
      </c>
      <c r="E321" s="4" t="s">
        <v>3829</v>
      </c>
      <c r="F321" s="4"/>
    </row>
    <row r="322" spans="1:6">
      <c r="A322" s="4">
        <v>20</v>
      </c>
      <c r="B322" s="4" t="s">
        <v>3763</v>
      </c>
      <c r="C322" s="6">
        <v>41178</v>
      </c>
      <c r="D322" s="5">
        <v>8065</v>
      </c>
      <c r="E322" s="4" t="s">
        <v>2482</v>
      </c>
      <c r="F322" s="4"/>
    </row>
    <row r="323" spans="1:6">
      <c r="A323" s="4"/>
      <c r="B323" s="4"/>
      <c r="C323" s="6">
        <v>41285</v>
      </c>
      <c r="D323" s="5">
        <v>1875</v>
      </c>
      <c r="E323" s="4" t="s">
        <v>3826</v>
      </c>
      <c r="F323" s="4"/>
    </row>
    <row r="324" spans="1:6">
      <c r="A324" s="4"/>
      <c r="B324" s="4"/>
      <c r="C324" s="6">
        <v>41285</v>
      </c>
      <c r="D324" s="5">
        <v>940</v>
      </c>
      <c r="E324" s="4" t="s">
        <v>3826</v>
      </c>
      <c r="F324" s="4"/>
    </row>
    <row r="325" spans="1:6">
      <c r="A325" s="4"/>
      <c r="B325" s="4"/>
      <c r="C325" s="6">
        <v>41285</v>
      </c>
      <c r="D325" s="5">
        <v>1125</v>
      </c>
      <c r="E325" s="4" t="s">
        <v>3826</v>
      </c>
      <c r="F325" s="4"/>
    </row>
    <row r="326" spans="1:6">
      <c r="A326" s="4">
        <v>21</v>
      </c>
      <c r="B326" s="4" t="s">
        <v>3801</v>
      </c>
      <c r="C326" s="6">
        <v>41177</v>
      </c>
      <c r="D326" s="5">
        <v>11250</v>
      </c>
      <c r="E326" s="4" t="s">
        <v>2574</v>
      </c>
      <c r="F326" s="4"/>
    </row>
    <row r="327" spans="1:6">
      <c r="A327" s="4"/>
      <c r="B327" s="4"/>
      <c r="C327" s="6">
        <v>41191</v>
      </c>
      <c r="D327" s="5">
        <v>5250</v>
      </c>
      <c r="E327" s="4" t="s">
        <v>2574</v>
      </c>
      <c r="F327" s="4"/>
    </row>
    <row r="328" spans="1:6">
      <c r="A328" s="4"/>
      <c r="B328" s="4"/>
      <c r="C328" s="6">
        <v>41197</v>
      </c>
      <c r="D328" s="5">
        <v>5250</v>
      </c>
      <c r="E328" s="4" t="s">
        <v>2574</v>
      </c>
      <c r="F328" s="4"/>
    </row>
    <row r="329" spans="1:6">
      <c r="A329" s="4"/>
      <c r="B329" s="4"/>
      <c r="C329" s="6">
        <v>41211</v>
      </c>
      <c r="D329" s="5">
        <v>4500</v>
      </c>
      <c r="E329" s="4" t="s">
        <v>2574</v>
      </c>
      <c r="F329" s="4"/>
    </row>
    <row r="330" spans="1:6">
      <c r="A330" s="4"/>
      <c r="B330" s="4"/>
      <c r="C330" s="6">
        <v>41285</v>
      </c>
      <c r="D330" s="5">
        <v>750</v>
      </c>
      <c r="E330" s="4" t="s">
        <v>3684</v>
      </c>
      <c r="F330" s="4"/>
    </row>
    <row r="331" spans="1:6">
      <c r="A331" s="4"/>
      <c r="B331" s="4"/>
      <c r="C331" s="6">
        <v>41285</v>
      </c>
      <c r="D331" s="5">
        <v>750</v>
      </c>
      <c r="E331" s="4" t="s">
        <v>3684</v>
      </c>
      <c r="F331" s="4"/>
    </row>
    <row r="332" spans="1:6">
      <c r="A332" s="4"/>
      <c r="B332" s="4"/>
      <c r="C332" s="6">
        <v>41285</v>
      </c>
      <c r="D332" s="5">
        <v>3000</v>
      </c>
      <c r="E332" s="4" t="s">
        <v>3684</v>
      </c>
      <c r="F332" s="4"/>
    </row>
    <row r="333" spans="1:6">
      <c r="A333" s="4">
        <v>22</v>
      </c>
      <c r="B333" s="4" t="s">
        <v>322</v>
      </c>
      <c r="C333" s="6">
        <v>41154</v>
      </c>
      <c r="D333" s="5">
        <v>1500</v>
      </c>
      <c r="E333" s="4" t="s">
        <v>2220</v>
      </c>
      <c r="F333" s="4"/>
    </row>
    <row r="334" spans="1:6">
      <c r="A334" s="4"/>
      <c r="B334" s="4"/>
      <c r="C334" s="6">
        <v>41276</v>
      </c>
      <c r="D334" s="5">
        <v>375</v>
      </c>
      <c r="E334" s="4" t="s">
        <v>1366</v>
      </c>
      <c r="F334" s="4"/>
    </row>
    <row r="335" spans="1:6">
      <c r="A335" s="4"/>
      <c r="B335" s="4"/>
      <c r="C335" s="6">
        <v>41276</v>
      </c>
      <c r="D335" s="5">
        <v>750</v>
      </c>
      <c r="E335" s="4" t="s">
        <v>1366</v>
      </c>
      <c r="F335" s="4"/>
    </row>
    <row r="336" spans="1:6">
      <c r="A336" s="4"/>
      <c r="B336" s="4"/>
      <c r="C336" s="6">
        <v>41281</v>
      </c>
      <c r="D336" s="5">
        <v>3750</v>
      </c>
      <c r="E336" s="4" t="s">
        <v>3680</v>
      </c>
      <c r="F336" s="4"/>
    </row>
    <row r="337" spans="1:6">
      <c r="A337" s="4"/>
      <c r="B337" s="4"/>
      <c r="C337" s="6">
        <v>41284</v>
      </c>
      <c r="D337" s="5">
        <v>375</v>
      </c>
      <c r="E337" s="4" t="s">
        <v>3825</v>
      </c>
      <c r="F337" s="4"/>
    </row>
    <row r="338" spans="1:6">
      <c r="A338" s="4"/>
      <c r="B338" s="4"/>
      <c r="C338" s="6">
        <v>41286</v>
      </c>
      <c r="D338" s="5">
        <v>3750</v>
      </c>
      <c r="E338" s="4" t="s">
        <v>3685</v>
      </c>
      <c r="F338" s="4"/>
    </row>
    <row r="339" spans="1:6">
      <c r="A339" s="4"/>
      <c r="B339" s="4"/>
      <c r="C339" s="6">
        <v>41289</v>
      </c>
      <c r="D339" s="5">
        <v>1125</v>
      </c>
      <c r="E339" s="4" t="s">
        <v>3664</v>
      </c>
      <c r="F339" s="4"/>
    </row>
    <row r="340" spans="1:6">
      <c r="A340" s="4"/>
      <c r="B340" s="4"/>
      <c r="C340" s="6">
        <v>41289</v>
      </c>
      <c r="D340" s="5">
        <v>375</v>
      </c>
      <c r="E340" s="4" t="s">
        <v>3664</v>
      </c>
      <c r="F340" s="4"/>
    </row>
    <row r="341" spans="1:6">
      <c r="A341" s="4"/>
      <c r="B341" s="4"/>
      <c r="C341" s="6">
        <v>41291</v>
      </c>
      <c r="D341" s="5">
        <v>375</v>
      </c>
      <c r="E341" s="4" t="s">
        <v>3668</v>
      </c>
      <c r="F341" s="4"/>
    </row>
    <row r="342" spans="1:6">
      <c r="A342" s="4"/>
      <c r="B342" s="4"/>
      <c r="C342" s="6">
        <v>41291</v>
      </c>
      <c r="D342" s="5">
        <v>750</v>
      </c>
      <c r="E342" s="4" t="s">
        <v>3668</v>
      </c>
      <c r="F342" s="4"/>
    </row>
    <row r="343" spans="1:6">
      <c r="A343" s="4">
        <v>23</v>
      </c>
      <c r="B343" s="4" t="s">
        <v>3799</v>
      </c>
      <c r="C343" s="6">
        <v>41098</v>
      </c>
      <c r="D343" s="5">
        <v>3525</v>
      </c>
      <c r="E343" s="4" t="s">
        <v>3259</v>
      </c>
      <c r="F343" s="4"/>
    </row>
    <row r="344" spans="1:6">
      <c r="A344" s="4"/>
      <c r="B344" s="4"/>
      <c r="C344" s="6">
        <v>41107</v>
      </c>
      <c r="D344" s="5">
        <v>7050</v>
      </c>
      <c r="E344" s="4" t="s">
        <v>3259</v>
      </c>
      <c r="F344" s="4"/>
    </row>
    <row r="345" spans="1:6">
      <c r="A345" s="4"/>
      <c r="B345" s="4"/>
      <c r="C345" s="6">
        <v>41181</v>
      </c>
      <c r="D345" s="5">
        <v>9000</v>
      </c>
      <c r="E345" s="4" t="s">
        <v>2781</v>
      </c>
      <c r="F345" s="4"/>
    </row>
    <row r="346" spans="1:6">
      <c r="A346" s="4"/>
      <c r="B346" s="4"/>
      <c r="C346" s="6">
        <v>41194</v>
      </c>
      <c r="D346" s="5">
        <v>7125</v>
      </c>
      <c r="E346" s="4" t="s">
        <v>887</v>
      </c>
      <c r="F346" s="4"/>
    </row>
    <row r="347" spans="1:6">
      <c r="A347" s="4"/>
      <c r="B347" s="4"/>
      <c r="C347" s="6">
        <v>41199</v>
      </c>
      <c r="D347" s="5">
        <v>4500</v>
      </c>
      <c r="E347" s="4" t="s">
        <v>887</v>
      </c>
      <c r="F347" s="4"/>
    </row>
    <row r="348" spans="1:6">
      <c r="A348" s="4"/>
      <c r="B348" s="4"/>
      <c r="C348" s="6">
        <v>41285</v>
      </c>
      <c r="D348" s="5">
        <v>9000</v>
      </c>
      <c r="E348" s="4" t="s">
        <v>3684</v>
      </c>
      <c r="F348" s="4"/>
    </row>
    <row r="349" spans="1:6">
      <c r="A349" s="4"/>
      <c r="B349" s="4"/>
      <c r="C349" s="6">
        <v>41285</v>
      </c>
      <c r="D349" s="5">
        <v>750</v>
      </c>
      <c r="E349" s="4" t="s">
        <v>3684</v>
      </c>
      <c r="F349" s="4"/>
    </row>
    <row r="350" spans="1:6">
      <c r="A350" s="4"/>
      <c r="B350" s="4"/>
      <c r="C350" s="6">
        <v>41285</v>
      </c>
      <c r="D350" s="5">
        <v>375</v>
      </c>
      <c r="E350" s="4" t="s">
        <v>3684</v>
      </c>
      <c r="F350" s="4"/>
    </row>
    <row r="351" spans="1:6">
      <c r="A351" s="4">
        <v>24</v>
      </c>
      <c r="B351" s="4" t="s">
        <v>3503</v>
      </c>
      <c r="C351" s="6">
        <v>41095</v>
      </c>
      <c r="D351" s="5">
        <f>190+190</f>
        <v>380</v>
      </c>
      <c r="E351" s="4" t="s">
        <v>219</v>
      </c>
      <c r="F351" s="4"/>
    </row>
    <row r="352" spans="1:6">
      <c r="A352" s="4"/>
      <c r="B352" s="4"/>
      <c r="C352" s="6">
        <v>41096</v>
      </c>
      <c r="D352" s="5">
        <v>2625</v>
      </c>
      <c r="E352" s="4" t="s">
        <v>219</v>
      </c>
      <c r="F352" s="4"/>
    </row>
    <row r="353" spans="1:6">
      <c r="A353" s="4"/>
      <c r="B353" s="4"/>
      <c r="C353" s="6">
        <v>41097</v>
      </c>
      <c r="D353" s="5">
        <v>190</v>
      </c>
      <c r="E353" s="4" t="s">
        <v>219</v>
      </c>
      <c r="F353" s="4"/>
    </row>
    <row r="354" spans="1:6">
      <c r="A354" s="4"/>
      <c r="B354" s="4"/>
      <c r="C354" s="6">
        <v>41100</v>
      </c>
      <c r="D354" s="5">
        <v>565</v>
      </c>
      <c r="E354" s="4" t="s">
        <v>219</v>
      </c>
      <c r="F354" s="4"/>
    </row>
    <row r="355" spans="1:6">
      <c r="A355" s="4"/>
      <c r="B355" s="4"/>
      <c r="C355" s="6">
        <v>41103</v>
      </c>
      <c r="D355" s="5">
        <v>1125</v>
      </c>
      <c r="E355" s="4" t="s">
        <v>219</v>
      </c>
      <c r="F355" s="4"/>
    </row>
    <row r="356" spans="1:6">
      <c r="A356" s="4"/>
      <c r="B356" s="4"/>
      <c r="C356" s="6">
        <v>41105</v>
      </c>
      <c r="D356" s="5">
        <v>1690</v>
      </c>
      <c r="E356" s="4" t="s">
        <v>219</v>
      </c>
      <c r="F356" s="4"/>
    </row>
    <row r="357" spans="1:6">
      <c r="A357" s="4"/>
      <c r="B357" s="4"/>
      <c r="C357" s="6">
        <v>41107</v>
      </c>
      <c r="D357" s="5">
        <v>375</v>
      </c>
      <c r="E357" s="4" t="s">
        <v>219</v>
      </c>
      <c r="F357" s="4"/>
    </row>
    <row r="358" spans="1:6">
      <c r="A358" s="4"/>
      <c r="B358" s="4"/>
      <c r="C358" s="6">
        <v>41110</v>
      </c>
      <c r="D358" s="5">
        <v>380</v>
      </c>
      <c r="E358" s="4" t="s">
        <v>219</v>
      </c>
      <c r="F358" s="4"/>
    </row>
    <row r="359" spans="1:6">
      <c r="A359" s="4"/>
      <c r="B359" s="4"/>
      <c r="C359" s="6">
        <v>41111</v>
      </c>
      <c r="D359" s="5">
        <v>2625</v>
      </c>
      <c r="E359" s="4" t="s">
        <v>219</v>
      </c>
      <c r="F359" s="4"/>
    </row>
    <row r="360" spans="1:6">
      <c r="A360" s="4"/>
      <c r="B360" s="4"/>
      <c r="C360" s="6">
        <v>41112</v>
      </c>
      <c r="D360" s="5">
        <v>190</v>
      </c>
      <c r="E360" s="4" t="s">
        <v>219</v>
      </c>
      <c r="F360" s="4"/>
    </row>
    <row r="361" spans="1:6">
      <c r="A361" s="4"/>
      <c r="B361" s="4"/>
      <c r="C361" s="6">
        <v>41115</v>
      </c>
      <c r="D361" s="5">
        <v>565</v>
      </c>
      <c r="E361" s="4" t="s">
        <v>219</v>
      </c>
      <c r="F361" s="4"/>
    </row>
    <row r="362" spans="1:6">
      <c r="A362" s="4"/>
      <c r="B362" s="4"/>
      <c r="C362" s="6">
        <v>41118</v>
      </c>
      <c r="D362" s="5">
        <v>1125</v>
      </c>
      <c r="E362" s="4" t="s">
        <v>219</v>
      </c>
      <c r="F362" s="4"/>
    </row>
    <row r="363" spans="1:6">
      <c r="A363" s="4"/>
      <c r="B363" s="4"/>
      <c r="C363" s="6">
        <v>41121</v>
      </c>
      <c r="D363" s="5">
        <v>1690</v>
      </c>
      <c r="E363" s="4" t="s">
        <v>219</v>
      </c>
      <c r="F363" s="4"/>
    </row>
    <row r="364" spans="1:6">
      <c r="A364" s="4"/>
      <c r="B364" s="4"/>
      <c r="C364" s="6">
        <v>41122</v>
      </c>
      <c r="D364" s="5">
        <v>375</v>
      </c>
      <c r="E364" s="4" t="s">
        <v>3651</v>
      </c>
      <c r="F364" s="4"/>
    </row>
    <row r="365" spans="1:6">
      <c r="A365" s="4"/>
      <c r="B365" s="4"/>
      <c r="C365" s="6">
        <v>41125</v>
      </c>
      <c r="D365" s="5">
        <v>380</v>
      </c>
      <c r="E365" s="4" t="s">
        <v>3651</v>
      </c>
      <c r="F365" s="4"/>
    </row>
    <row r="366" spans="1:6">
      <c r="A366" s="4"/>
      <c r="B366" s="4"/>
      <c r="C366" s="6">
        <v>41126</v>
      </c>
      <c r="D366" s="5">
        <v>2625</v>
      </c>
      <c r="E366" s="4" t="s">
        <v>3651</v>
      </c>
      <c r="F366" s="4"/>
    </row>
    <row r="367" spans="1:6">
      <c r="A367" s="4"/>
      <c r="B367" s="4"/>
      <c r="C367" s="6">
        <v>41127</v>
      </c>
      <c r="D367" s="5">
        <v>190</v>
      </c>
      <c r="E367" s="4" t="s">
        <v>3651</v>
      </c>
      <c r="F367" s="4"/>
    </row>
    <row r="368" spans="1:6">
      <c r="A368" s="4"/>
      <c r="B368" s="4"/>
      <c r="C368" s="6">
        <v>41130</v>
      </c>
      <c r="D368" s="5">
        <v>565</v>
      </c>
      <c r="E368" s="4" t="s">
        <v>3651</v>
      </c>
      <c r="F368" s="4"/>
    </row>
    <row r="369" spans="1:6">
      <c r="A369" s="4"/>
      <c r="B369" s="4"/>
      <c r="C369" s="6">
        <v>41133</v>
      </c>
      <c r="D369" s="5">
        <v>1875</v>
      </c>
      <c r="E369" s="4" t="s">
        <v>3651</v>
      </c>
      <c r="F369" s="4"/>
    </row>
    <row r="370" spans="1:6">
      <c r="A370" s="4"/>
      <c r="B370" s="4"/>
      <c r="C370" s="6">
        <v>41135</v>
      </c>
      <c r="D370" s="5">
        <v>1690</v>
      </c>
      <c r="E370" s="4" t="s">
        <v>3651</v>
      </c>
      <c r="F370" s="4"/>
    </row>
    <row r="371" spans="1:6">
      <c r="A371" s="4"/>
      <c r="B371" s="4"/>
      <c r="C371" s="6">
        <v>41137</v>
      </c>
      <c r="D371" s="5">
        <v>375</v>
      </c>
      <c r="E371" s="4" t="s">
        <v>3651</v>
      </c>
      <c r="F371" s="4"/>
    </row>
    <row r="372" spans="1:6">
      <c r="A372" s="4"/>
      <c r="B372" s="4"/>
      <c r="C372" s="6">
        <v>41141</v>
      </c>
      <c r="D372" s="5">
        <v>3005</v>
      </c>
      <c r="E372" s="4" t="s">
        <v>3651</v>
      </c>
      <c r="F372" s="4"/>
    </row>
    <row r="373" spans="1:6">
      <c r="A373" s="4"/>
      <c r="B373" s="4"/>
      <c r="C373" s="6">
        <v>41142</v>
      </c>
      <c r="D373" s="5">
        <v>190</v>
      </c>
      <c r="E373" s="4" t="s">
        <v>3651</v>
      </c>
      <c r="F373" s="4"/>
    </row>
    <row r="374" spans="1:6">
      <c r="A374" s="4"/>
      <c r="B374" s="4"/>
      <c r="C374" s="6">
        <v>41145</v>
      </c>
      <c r="D374" s="5">
        <v>565</v>
      </c>
      <c r="E374" s="4" t="s">
        <v>3651</v>
      </c>
      <c r="F374" s="4"/>
    </row>
    <row r="375" spans="1:6">
      <c r="A375" s="4"/>
      <c r="B375" s="4"/>
      <c r="C375" s="6">
        <v>41148</v>
      </c>
      <c r="D375" s="5">
        <v>1875</v>
      </c>
      <c r="E375" s="4" t="s">
        <v>3651</v>
      </c>
      <c r="F375" s="4"/>
    </row>
    <row r="376" spans="1:6">
      <c r="A376" s="4"/>
      <c r="B376" s="4"/>
      <c r="C376" s="6">
        <v>41149</v>
      </c>
      <c r="D376" s="5">
        <v>1690</v>
      </c>
      <c r="E376" s="4" t="s">
        <v>3651</v>
      </c>
      <c r="F376" s="4"/>
    </row>
    <row r="377" spans="1:6">
      <c r="A377" s="4"/>
      <c r="B377" s="4"/>
      <c r="C377" s="6">
        <v>41152</v>
      </c>
      <c r="D377" s="5">
        <v>375</v>
      </c>
      <c r="E377" s="4" t="s">
        <v>3651</v>
      </c>
      <c r="F377" s="4"/>
    </row>
    <row r="378" spans="1:6">
      <c r="A378" s="4"/>
      <c r="B378" s="4"/>
      <c r="C378" s="6">
        <v>41155</v>
      </c>
      <c r="D378" s="5">
        <v>380</v>
      </c>
      <c r="E378" s="4" t="s">
        <v>2477</v>
      </c>
      <c r="F378" s="4"/>
    </row>
    <row r="379" spans="1:6">
      <c r="A379" s="4"/>
      <c r="B379" s="4"/>
      <c r="C379" s="6">
        <v>41156</v>
      </c>
      <c r="D379" s="5">
        <v>2625</v>
      </c>
      <c r="E379" s="4" t="s">
        <v>2477</v>
      </c>
      <c r="F379" s="4"/>
    </row>
    <row r="380" spans="1:6">
      <c r="A380" s="4"/>
      <c r="B380" s="4"/>
      <c r="C380" s="6">
        <v>41157</v>
      </c>
      <c r="D380" s="5">
        <v>190</v>
      </c>
      <c r="E380" s="4" t="s">
        <v>2477</v>
      </c>
      <c r="F380" s="4"/>
    </row>
    <row r="381" spans="1:6">
      <c r="A381" s="4"/>
      <c r="B381" s="4"/>
      <c r="C381" s="6">
        <v>41160</v>
      </c>
      <c r="D381" s="5">
        <v>565</v>
      </c>
      <c r="E381" s="4" t="s">
        <v>2477</v>
      </c>
      <c r="F381" s="4"/>
    </row>
    <row r="382" spans="1:6">
      <c r="A382" s="4"/>
      <c r="B382" s="4"/>
      <c r="C382" s="6">
        <v>41164</v>
      </c>
      <c r="D382" s="5">
        <v>1875</v>
      </c>
      <c r="E382" s="4" t="s">
        <v>2477</v>
      </c>
      <c r="F382" s="4"/>
    </row>
    <row r="383" spans="1:6">
      <c r="A383" s="4"/>
      <c r="B383" s="4"/>
      <c r="C383" s="6">
        <v>41165</v>
      </c>
      <c r="D383" s="5">
        <v>1690</v>
      </c>
      <c r="E383" s="4" t="s">
        <v>2477</v>
      </c>
      <c r="F383" s="4"/>
    </row>
    <row r="384" spans="1:6">
      <c r="A384" s="4"/>
      <c r="B384" s="4"/>
      <c r="C384" s="6">
        <v>41167</v>
      </c>
      <c r="D384" s="5">
        <v>375</v>
      </c>
      <c r="E384" s="4" t="s">
        <v>2477</v>
      </c>
      <c r="F384" s="4"/>
    </row>
    <row r="385" spans="1:6">
      <c r="A385" s="4"/>
      <c r="B385" s="4"/>
      <c r="C385" s="6">
        <v>41169</v>
      </c>
      <c r="D385" s="5">
        <v>380</v>
      </c>
      <c r="E385" s="4" t="s">
        <v>2477</v>
      </c>
      <c r="F385" s="4"/>
    </row>
    <row r="386" spans="1:6">
      <c r="A386" s="4"/>
      <c r="B386" s="4"/>
      <c r="C386" s="6">
        <v>41171</v>
      </c>
      <c r="D386" s="5">
        <v>2625</v>
      </c>
      <c r="E386" s="4" t="s">
        <v>2477</v>
      </c>
      <c r="F386" s="4"/>
    </row>
    <row r="387" spans="1:6">
      <c r="A387" s="4"/>
      <c r="B387" s="4"/>
      <c r="C387" s="6">
        <v>41172</v>
      </c>
      <c r="D387" s="5">
        <v>190</v>
      </c>
      <c r="E387" s="4" t="s">
        <v>2477</v>
      </c>
      <c r="F387" s="4"/>
    </row>
    <row r="388" spans="1:6">
      <c r="A388" s="4"/>
      <c r="B388" s="4"/>
      <c r="C388" s="6">
        <v>41175</v>
      </c>
      <c r="D388" s="5">
        <v>565</v>
      </c>
      <c r="E388" s="4" t="s">
        <v>2477</v>
      </c>
      <c r="F388" s="4"/>
    </row>
    <row r="389" spans="1:6">
      <c r="A389" s="4"/>
      <c r="B389" s="4"/>
      <c r="C389" s="6">
        <v>41178</v>
      </c>
      <c r="D389" s="5">
        <v>1875</v>
      </c>
      <c r="E389" s="4" t="s">
        <v>2477</v>
      </c>
      <c r="F389" s="4"/>
    </row>
    <row r="390" spans="1:6">
      <c r="A390" s="4"/>
      <c r="B390" s="4"/>
      <c r="C390" s="6">
        <v>41180</v>
      </c>
      <c r="D390" s="5">
        <v>1690</v>
      </c>
      <c r="E390" s="4" t="s">
        <v>2477</v>
      </c>
      <c r="F390" s="4"/>
    </row>
    <row r="391" spans="1:6">
      <c r="A391" s="4"/>
      <c r="B391" s="4"/>
      <c r="C391" s="6">
        <v>41181</v>
      </c>
      <c r="D391" s="5">
        <v>375</v>
      </c>
      <c r="E391" s="4" t="s">
        <v>2477</v>
      </c>
      <c r="F391" s="4"/>
    </row>
    <row r="392" spans="1:6">
      <c r="A392" s="4"/>
      <c r="B392" s="4"/>
      <c r="C392" s="6">
        <v>41184</v>
      </c>
      <c r="D392" s="5">
        <v>375</v>
      </c>
      <c r="E392" s="4" t="s">
        <v>2545</v>
      </c>
      <c r="F392" s="4"/>
    </row>
    <row r="393" spans="1:6">
      <c r="A393" s="4"/>
      <c r="B393" s="4"/>
      <c r="C393" s="6">
        <v>41185</v>
      </c>
      <c r="D393" s="5">
        <v>2625</v>
      </c>
      <c r="E393" s="4" t="s">
        <v>2545</v>
      </c>
      <c r="F393" s="4"/>
    </row>
    <row r="394" spans="1:6">
      <c r="A394" s="4"/>
      <c r="B394" s="4"/>
      <c r="C394" s="6">
        <v>41185</v>
      </c>
      <c r="D394" s="5">
        <v>380</v>
      </c>
      <c r="E394" s="4" t="s">
        <v>871</v>
      </c>
      <c r="F394" s="4"/>
    </row>
    <row r="395" spans="1:6">
      <c r="A395" s="4"/>
      <c r="B395" s="4"/>
      <c r="C395" s="6">
        <v>41186</v>
      </c>
      <c r="D395" s="5">
        <v>190</v>
      </c>
      <c r="E395" s="4" t="s">
        <v>2545</v>
      </c>
      <c r="F395" s="4"/>
    </row>
    <row r="396" spans="1:6">
      <c r="A396" s="4"/>
      <c r="B396" s="4"/>
      <c r="C396" s="6">
        <v>41186</v>
      </c>
      <c r="D396" s="5">
        <v>2625</v>
      </c>
      <c r="E396" s="4" t="s">
        <v>871</v>
      </c>
      <c r="F396" s="4"/>
    </row>
    <row r="397" spans="1:6">
      <c r="A397" s="4"/>
      <c r="B397" s="4"/>
      <c r="C397" s="6">
        <v>41187</v>
      </c>
      <c r="D397" s="5">
        <v>190</v>
      </c>
      <c r="E397" s="4" t="s">
        <v>871</v>
      </c>
      <c r="F397" s="4"/>
    </row>
    <row r="398" spans="1:6">
      <c r="A398" s="4"/>
      <c r="B398" s="4"/>
      <c r="C398" s="6">
        <v>41189</v>
      </c>
      <c r="D398" s="5">
        <v>565</v>
      </c>
      <c r="E398" s="4" t="s">
        <v>2545</v>
      </c>
      <c r="F398" s="4"/>
    </row>
    <row r="399" spans="1:6">
      <c r="A399" s="4"/>
      <c r="B399" s="4"/>
      <c r="C399" s="6">
        <v>41190</v>
      </c>
      <c r="D399" s="5">
        <v>565</v>
      </c>
      <c r="E399" s="4" t="s">
        <v>871</v>
      </c>
      <c r="F399" s="4"/>
    </row>
    <row r="400" spans="1:6">
      <c r="A400" s="4"/>
      <c r="B400" s="4"/>
      <c r="C400" s="6">
        <v>41192</v>
      </c>
      <c r="D400" s="5">
        <v>1875</v>
      </c>
      <c r="E400" s="4" t="s">
        <v>2545</v>
      </c>
      <c r="F400" s="4"/>
    </row>
    <row r="401" spans="1:6">
      <c r="A401" s="4"/>
      <c r="B401" s="4"/>
      <c r="C401" s="6">
        <v>41193</v>
      </c>
      <c r="D401" s="5">
        <v>1875</v>
      </c>
      <c r="E401" s="4" t="s">
        <v>871</v>
      </c>
      <c r="F401" s="4"/>
    </row>
    <row r="402" spans="1:6">
      <c r="A402" s="4"/>
      <c r="B402" s="4"/>
      <c r="C402" s="6">
        <v>41195</v>
      </c>
      <c r="D402" s="5">
        <v>1690</v>
      </c>
      <c r="E402" s="4" t="s">
        <v>871</v>
      </c>
      <c r="F402" s="4"/>
    </row>
    <row r="403" spans="1:6">
      <c r="A403" s="4"/>
      <c r="B403" s="4"/>
      <c r="C403" s="6">
        <v>41196</v>
      </c>
      <c r="D403" s="5">
        <f>375+1690</f>
        <v>2065</v>
      </c>
      <c r="E403" s="4" t="s">
        <v>2545</v>
      </c>
      <c r="F403" s="4"/>
    </row>
    <row r="404" spans="1:6">
      <c r="A404" s="4"/>
      <c r="B404" s="4"/>
      <c r="C404" s="6">
        <v>41197</v>
      </c>
      <c r="D404" s="5">
        <v>375</v>
      </c>
      <c r="E404" s="4" t="s">
        <v>871</v>
      </c>
      <c r="F404" s="4"/>
    </row>
    <row r="405" spans="1:6">
      <c r="A405" s="4"/>
      <c r="B405" s="4"/>
      <c r="C405" s="6">
        <v>41199</v>
      </c>
      <c r="D405" s="5">
        <v>375</v>
      </c>
      <c r="E405" s="4" t="s">
        <v>2545</v>
      </c>
      <c r="F405" s="4"/>
    </row>
    <row r="406" spans="1:6">
      <c r="A406" s="4"/>
      <c r="B406" s="4"/>
      <c r="C406" s="6">
        <v>41200</v>
      </c>
      <c r="D406" s="5">
        <v>380</v>
      </c>
      <c r="E406" s="4" t="s">
        <v>871</v>
      </c>
      <c r="F406" s="4"/>
    </row>
    <row r="407" spans="1:6">
      <c r="A407" s="4"/>
      <c r="B407" s="4"/>
      <c r="C407" s="6">
        <v>41201</v>
      </c>
      <c r="D407" s="5">
        <v>2815</v>
      </c>
      <c r="E407" s="4" t="s">
        <v>2545</v>
      </c>
      <c r="F407" s="4"/>
    </row>
    <row r="408" spans="1:6">
      <c r="A408" s="4"/>
      <c r="B408" s="4"/>
      <c r="C408" s="6">
        <v>41201</v>
      </c>
      <c r="D408" s="5">
        <v>2625</v>
      </c>
      <c r="E408" s="4" t="s">
        <v>871</v>
      </c>
      <c r="F408" s="4"/>
    </row>
    <row r="409" spans="1:6">
      <c r="A409" s="4"/>
      <c r="B409" s="4"/>
      <c r="C409" s="6">
        <v>41204</v>
      </c>
      <c r="D409" s="5">
        <v>565</v>
      </c>
      <c r="E409" s="4" t="s">
        <v>2545</v>
      </c>
      <c r="F409" s="4"/>
    </row>
    <row r="410" spans="1:6">
      <c r="A410" s="4"/>
      <c r="B410" s="4"/>
      <c r="C410" s="6">
        <v>41204</v>
      </c>
      <c r="D410" s="5">
        <v>190</v>
      </c>
      <c r="E410" s="4" t="s">
        <v>871</v>
      </c>
      <c r="F410" s="4"/>
    </row>
    <row r="411" spans="1:6">
      <c r="A411" s="4"/>
      <c r="B411" s="4"/>
      <c r="C411" s="6">
        <v>41205</v>
      </c>
      <c r="D411" s="5">
        <v>565</v>
      </c>
      <c r="E411" s="4" t="s">
        <v>871</v>
      </c>
      <c r="F411" s="4"/>
    </row>
    <row r="412" spans="1:6">
      <c r="A412" s="4"/>
      <c r="B412" s="4"/>
      <c r="C412" s="6">
        <v>41207</v>
      </c>
      <c r="D412" s="5">
        <v>1875</v>
      </c>
      <c r="E412" s="4" t="s">
        <v>2545</v>
      </c>
      <c r="F412" s="4"/>
    </row>
    <row r="413" spans="1:6">
      <c r="A413" s="4"/>
      <c r="B413" s="4"/>
      <c r="C413" s="6">
        <v>41208</v>
      </c>
      <c r="D413" s="5">
        <v>1875</v>
      </c>
      <c r="E413" s="4" t="s">
        <v>871</v>
      </c>
      <c r="F413" s="4"/>
    </row>
    <row r="414" spans="1:6">
      <c r="A414" s="4"/>
      <c r="B414" s="4"/>
      <c r="C414" s="6">
        <v>41210</v>
      </c>
      <c r="D414" s="5">
        <v>1690</v>
      </c>
      <c r="E414" s="4" t="s">
        <v>2545</v>
      </c>
      <c r="F414" s="4"/>
    </row>
    <row r="415" spans="1:6">
      <c r="A415" s="4"/>
      <c r="B415" s="4"/>
      <c r="C415" s="6">
        <v>41211</v>
      </c>
      <c r="D415" s="5">
        <v>375</v>
      </c>
      <c r="E415" s="4" t="s">
        <v>2545</v>
      </c>
      <c r="F415" s="4"/>
    </row>
    <row r="416" spans="1:6">
      <c r="A416" s="4"/>
      <c r="B416" s="4"/>
      <c r="C416" s="6">
        <v>41212</v>
      </c>
      <c r="D416" s="5">
        <v>2065</v>
      </c>
      <c r="E416" s="4" t="s">
        <v>871</v>
      </c>
      <c r="F416" s="4"/>
    </row>
    <row r="417" spans="1:6">
      <c r="A417" s="4"/>
      <c r="B417" s="4"/>
      <c r="C417" s="6">
        <v>41246</v>
      </c>
      <c r="D417" s="5">
        <v>3000</v>
      </c>
      <c r="E417" s="4" t="s">
        <v>1344</v>
      </c>
      <c r="F417" s="4"/>
    </row>
    <row r="418" spans="1:6">
      <c r="A418" s="4"/>
      <c r="B418" s="4"/>
      <c r="C418" s="6">
        <v>41247</v>
      </c>
      <c r="D418" s="5">
        <v>190</v>
      </c>
      <c r="E418" s="4" t="s">
        <v>1344</v>
      </c>
      <c r="F418" s="4"/>
    </row>
    <row r="419" spans="1:6">
      <c r="A419" s="4"/>
      <c r="B419" s="4"/>
      <c r="C419" s="6">
        <v>41250</v>
      </c>
      <c r="D419" s="5">
        <v>565</v>
      </c>
      <c r="E419" s="4" t="s">
        <v>1344</v>
      </c>
      <c r="F419" s="4"/>
    </row>
    <row r="420" spans="1:6">
      <c r="A420" s="4"/>
      <c r="B420" s="4"/>
      <c r="C420" s="6">
        <v>41253</v>
      </c>
      <c r="D420" s="5">
        <v>1875</v>
      </c>
      <c r="E420" s="4" t="s">
        <v>1344</v>
      </c>
      <c r="F420" s="4"/>
    </row>
    <row r="421" spans="1:6">
      <c r="A421" s="4"/>
      <c r="B421" s="4"/>
      <c r="C421" s="6">
        <v>41255</v>
      </c>
      <c r="D421" s="5">
        <v>1690</v>
      </c>
      <c r="E421" s="4" t="s">
        <v>1344</v>
      </c>
      <c r="F421" s="4"/>
    </row>
    <row r="422" spans="1:6">
      <c r="A422" s="4"/>
      <c r="B422" s="4"/>
      <c r="C422" s="6">
        <v>41256</v>
      </c>
      <c r="D422" s="5">
        <v>375</v>
      </c>
      <c r="E422" s="4" t="s">
        <v>1344</v>
      </c>
      <c r="F422" s="4"/>
    </row>
    <row r="423" spans="1:6">
      <c r="A423" s="4"/>
      <c r="B423" s="4"/>
      <c r="C423" s="6">
        <v>41257</v>
      </c>
      <c r="D423" s="5">
        <v>375</v>
      </c>
      <c r="E423" s="4" t="s">
        <v>1344</v>
      </c>
      <c r="F423" s="4"/>
    </row>
    <row r="424" spans="1:6">
      <c r="A424" s="4"/>
      <c r="B424" s="4"/>
      <c r="C424" s="6">
        <v>41260</v>
      </c>
      <c r="D424" s="5">
        <v>375</v>
      </c>
      <c r="E424" s="4" t="s">
        <v>1344</v>
      </c>
      <c r="F424" s="4"/>
    </row>
    <row r="425" spans="1:6">
      <c r="A425" s="4"/>
      <c r="B425" s="4"/>
      <c r="C425" s="6">
        <v>41261</v>
      </c>
      <c r="D425" s="5">
        <v>2625</v>
      </c>
      <c r="E425" s="4" t="s">
        <v>1344</v>
      </c>
      <c r="F425" s="4"/>
    </row>
    <row r="426" spans="1:6">
      <c r="A426" s="4"/>
      <c r="B426" s="4"/>
      <c r="C426" s="6">
        <v>41262</v>
      </c>
      <c r="D426" s="5">
        <v>2065</v>
      </c>
      <c r="E426" s="4" t="s">
        <v>1344</v>
      </c>
      <c r="F426" s="4"/>
    </row>
    <row r="427" spans="1:6">
      <c r="A427" s="4"/>
      <c r="B427" s="4"/>
      <c r="C427" s="6">
        <v>41263</v>
      </c>
      <c r="D427" s="5">
        <v>1875</v>
      </c>
      <c r="E427" s="4" t="s">
        <v>1344</v>
      </c>
      <c r="F427" s="4"/>
    </row>
    <row r="428" spans="1:6">
      <c r="A428" s="4"/>
      <c r="B428" s="4"/>
      <c r="C428" s="6">
        <v>41265</v>
      </c>
      <c r="D428" s="5">
        <v>565</v>
      </c>
      <c r="E428" s="4" t="s">
        <v>1344</v>
      </c>
      <c r="F428" s="4"/>
    </row>
    <row r="429" spans="1:6">
      <c r="A429" s="4"/>
      <c r="B429" s="4"/>
      <c r="C429" s="6">
        <v>41268</v>
      </c>
      <c r="D429" s="5">
        <v>1875</v>
      </c>
      <c r="E429" s="4" t="s">
        <v>1344</v>
      </c>
      <c r="F429" s="4"/>
    </row>
    <row r="430" spans="1:6">
      <c r="A430" s="4"/>
      <c r="B430" s="4"/>
      <c r="C430" s="6">
        <v>41270</v>
      </c>
      <c r="D430" s="5">
        <v>1690</v>
      </c>
      <c r="E430" s="4" t="s">
        <v>1344</v>
      </c>
      <c r="F430" s="4"/>
    </row>
    <row r="431" spans="1:6">
      <c r="A431" s="4"/>
      <c r="B431" s="4"/>
      <c r="C431" s="6">
        <v>41271</v>
      </c>
      <c r="D431" s="5">
        <v>375</v>
      </c>
      <c r="E431" s="4" t="s">
        <v>1344</v>
      </c>
      <c r="F431" s="4"/>
    </row>
    <row r="432" spans="1:6">
      <c r="A432" s="4"/>
      <c r="B432" s="4"/>
      <c r="C432" s="6">
        <v>41272</v>
      </c>
      <c r="D432" s="5">
        <v>375</v>
      </c>
      <c r="E432" s="4" t="s">
        <v>1344</v>
      </c>
      <c r="F432" s="4"/>
    </row>
    <row r="433" spans="1:6">
      <c r="A433" s="4"/>
      <c r="B433" s="4"/>
      <c r="C433" s="6">
        <v>41275</v>
      </c>
      <c r="D433" s="5">
        <v>375</v>
      </c>
      <c r="E433" s="4" t="s">
        <v>1365</v>
      </c>
      <c r="F433" s="4"/>
    </row>
    <row r="434" spans="1:6">
      <c r="A434" s="4"/>
      <c r="B434" s="4"/>
      <c r="C434" s="6">
        <v>41277</v>
      </c>
      <c r="D434" s="5">
        <v>375</v>
      </c>
      <c r="E434" s="4" t="s">
        <v>1368</v>
      </c>
      <c r="F434" s="4"/>
    </row>
    <row r="435" spans="1:6">
      <c r="A435" s="4"/>
      <c r="B435" s="4"/>
      <c r="C435" s="6">
        <v>41277</v>
      </c>
      <c r="D435" s="5">
        <v>375</v>
      </c>
      <c r="E435" s="4" t="s">
        <v>1368</v>
      </c>
      <c r="F435" s="4"/>
    </row>
    <row r="436" spans="1:6">
      <c r="A436" s="4"/>
      <c r="B436" s="4"/>
      <c r="C436" s="6">
        <v>41277</v>
      </c>
      <c r="D436" s="5">
        <v>1875</v>
      </c>
      <c r="E436" s="4" t="s">
        <v>1368</v>
      </c>
      <c r="F436" s="4"/>
    </row>
    <row r="437" spans="1:6">
      <c r="A437" s="4"/>
      <c r="B437" s="4"/>
      <c r="C437" s="6">
        <v>41277</v>
      </c>
      <c r="D437" s="5">
        <v>190</v>
      </c>
      <c r="E437" s="4" t="s">
        <v>1368</v>
      </c>
      <c r="F437" s="4"/>
    </row>
    <row r="438" spans="1:6">
      <c r="A438" s="4"/>
      <c r="B438" s="4"/>
      <c r="C438" s="6">
        <v>41279</v>
      </c>
      <c r="D438" s="5">
        <v>1875</v>
      </c>
      <c r="E438" s="4" t="s">
        <v>1372</v>
      </c>
      <c r="F438" s="4"/>
    </row>
    <row r="439" spans="1:6">
      <c r="A439" s="4"/>
      <c r="B439" s="4"/>
      <c r="C439" s="6">
        <v>41281</v>
      </c>
      <c r="D439" s="5">
        <v>190</v>
      </c>
      <c r="E439" s="4" t="s">
        <v>1374</v>
      </c>
      <c r="F439" s="4"/>
    </row>
    <row r="440" spans="1:6">
      <c r="A440" s="4"/>
      <c r="B440" s="4"/>
      <c r="C440" s="6">
        <v>41281</v>
      </c>
      <c r="D440" s="5">
        <v>375</v>
      </c>
      <c r="E440" s="4" t="s">
        <v>1374</v>
      </c>
      <c r="F440" s="4"/>
    </row>
    <row r="441" spans="1:6">
      <c r="A441" s="4"/>
      <c r="B441" s="4"/>
      <c r="C441" s="6">
        <v>41283</v>
      </c>
      <c r="D441" s="5">
        <v>1875</v>
      </c>
      <c r="E441" s="4" t="s">
        <v>1378</v>
      </c>
      <c r="F441" s="4"/>
    </row>
    <row r="442" spans="1:6">
      <c r="A442" s="4"/>
      <c r="B442" s="4"/>
      <c r="C442" s="6">
        <v>41285</v>
      </c>
      <c r="D442" s="5">
        <v>1690</v>
      </c>
      <c r="E442" s="4" t="s">
        <v>3827</v>
      </c>
      <c r="F442" s="4"/>
    </row>
    <row r="443" spans="1:6">
      <c r="A443" s="4"/>
      <c r="B443" s="4"/>
      <c r="C443" s="6">
        <v>41286</v>
      </c>
      <c r="D443" s="5">
        <v>375</v>
      </c>
      <c r="E443" s="4" t="s">
        <v>3830</v>
      </c>
      <c r="F443" s="4"/>
    </row>
    <row r="444" spans="1:6">
      <c r="A444" s="4"/>
      <c r="B444" s="4"/>
      <c r="C444" s="6">
        <v>41288</v>
      </c>
      <c r="D444" s="5">
        <v>375</v>
      </c>
      <c r="E444" s="4" t="s">
        <v>3662</v>
      </c>
      <c r="F444" s="4"/>
    </row>
    <row r="445" spans="1:6">
      <c r="A445" s="4"/>
      <c r="B445" s="4"/>
      <c r="C445" s="6">
        <v>41291</v>
      </c>
      <c r="D445" s="5">
        <v>375</v>
      </c>
      <c r="E445" s="4" t="s">
        <v>3668</v>
      </c>
      <c r="F445" s="4"/>
    </row>
    <row r="446" spans="1:6">
      <c r="A446" s="4"/>
      <c r="B446" s="4"/>
      <c r="C446" s="6">
        <v>41292</v>
      </c>
      <c r="D446" s="5">
        <v>375</v>
      </c>
      <c r="E446" s="4" t="s">
        <v>3670</v>
      </c>
      <c r="F446" s="4"/>
    </row>
    <row r="447" spans="1:6">
      <c r="A447" s="4"/>
      <c r="B447" s="4"/>
      <c r="C447" s="6">
        <v>41292</v>
      </c>
      <c r="D447" s="5">
        <v>375</v>
      </c>
      <c r="E447" s="4" t="s">
        <v>3670</v>
      </c>
      <c r="F447" s="4"/>
    </row>
    <row r="448" spans="1:6">
      <c r="A448" s="4"/>
      <c r="B448" s="4"/>
      <c r="C448" s="6">
        <v>41292</v>
      </c>
      <c r="D448" s="5">
        <v>1875</v>
      </c>
      <c r="E448" s="4" t="s">
        <v>3670</v>
      </c>
      <c r="F448" s="4"/>
    </row>
    <row r="449" spans="1:6">
      <c r="A449" s="4"/>
      <c r="B449" s="4"/>
      <c r="C449" s="6">
        <v>41292</v>
      </c>
      <c r="D449" s="5">
        <v>190</v>
      </c>
      <c r="E449" s="4" t="s">
        <v>3670</v>
      </c>
      <c r="F449" s="4"/>
    </row>
    <row r="450" spans="1:6">
      <c r="A450" s="4"/>
      <c r="B450" s="4"/>
      <c r="C450" s="6">
        <v>41293</v>
      </c>
      <c r="D450" s="5">
        <v>1875</v>
      </c>
      <c r="E450" s="4" t="s">
        <v>3671</v>
      </c>
      <c r="F450" s="4"/>
    </row>
    <row r="451" spans="1:6">
      <c r="A451" s="4"/>
      <c r="B451" s="4"/>
      <c r="C451" s="6">
        <v>41295</v>
      </c>
      <c r="D451" s="5">
        <v>190</v>
      </c>
      <c r="E451" s="4" t="s">
        <v>3673</v>
      </c>
      <c r="F451" s="4"/>
    </row>
    <row r="452" spans="1:6">
      <c r="A452" s="4"/>
      <c r="B452" s="4"/>
      <c r="C452" s="6">
        <v>41295</v>
      </c>
      <c r="D452" s="5">
        <v>375</v>
      </c>
      <c r="E452" s="4" t="s">
        <v>3673</v>
      </c>
      <c r="F452" s="4"/>
    </row>
    <row r="453" spans="1:6">
      <c r="A453" s="4">
        <v>25</v>
      </c>
      <c r="B453" s="4" t="s">
        <v>3765</v>
      </c>
      <c r="C453" s="6">
        <v>41128</v>
      </c>
      <c r="D453" s="5">
        <v>1875</v>
      </c>
      <c r="E453" s="4" t="s">
        <v>3656</v>
      </c>
      <c r="F453" s="4"/>
    </row>
    <row r="454" spans="1:6">
      <c r="A454" s="4"/>
      <c r="B454" s="4"/>
      <c r="C454" s="6">
        <v>41150</v>
      </c>
      <c r="D454" s="5">
        <v>16500</v>
      </c>
      <c r="E454" s="4" t="s">
        <v>3656</v>
      </c>
      <c r="F454" s="4"/>
    </row>
    <row r="455" spans="1:6">
      <c r="A455" s="4"/>
      <c r="B455" s="4"/>
      <c r="C455" s="6">
        <v>41172</v>
      </c>
      <c r="D455" s="5">
        <v>11250</v>
      </c>
      <c r="E455" s="4" t="s">
        <v>2478</v>
      </c>
      <c r="F455" s="4"/>
    </row>
    <row r="456" spans="1:6">
      <c r="A456" s="4"/>
      <c r="B456" s="4"/>
      <c r="C456" s="6">
        <v>41219</v>
      </c>
      <c r="D456" s="5">
        <v>11250</v>
      </c>
      <c r="E456" s="4" t="s">
        <v>2551</v>
      </c>
      <c r="F456" s="4"/>
    </row>
    <row r="457" spans="1:6">
      <c r="A457" s="4"/>
      <c r="B457" s="4"/>
      <c r="C457" s="6">
        <v>41234</v>
      </c>
      <c r="D457" s="5">
        <v>6000</v>
      </c>
      <c r="E457" s="4" t="s">
        <v>2551</v>
      </c>
      <c r="F457" s="4"/>
    </row>
    <row r="458" spans="1:6">
      <c r="A458" s="4"/>
      <c r="B458" s="4"/>
      <c r="C458" s="6">
        <v>41274</v>
      </c>
      <c r="D458" s="5">
        <v>3000</v>
      </c>
      <c r="E458" s="4" t="s">
        <v>1346</v>
      </c>
      <c r="F458" s="4"/>
    </row>
    <row r="459" spans="1:6">
      <c r="A459" s="4"/>
      <c r="B459" s="4"/>
      <c r="C459" s="6">
        <v>41285</v>
      </c>
      <c r="D459" s="5">
        <v>375</v>
      </c>
      <c r="E459" s="4" t="s">
        <v>3826</v>
      </c>
      <c r="F459" s="4"/>
    </row>
    <row r="460" spans="1:6">
      <c r="A460" s="4"/>
      <c r="B460" s="4"/>
      <c r="C460" s="6">
        <v>41285</v>
      </c>
      <c r="D460" s="5">
        <v>375</v>
      </c>
      <c r="E460" s="4" t="s">
        <v>3826</v>
      </c>
      <c r="F460" s="4"/>
    </row>
    <row r="461" spans="1:6">
      <c r="A461" s="4"/>
      <c r="B461" s="4"/>
      <c r="C461" s="6">
        <v>41285</v>
      </c>
      <c r="D461" s="5">
        <v>1500</v>
      </c>
      <c r="E461" s="4" t="s">
        <v>3826</v>
      </c>
      <c r="F461" s="4"/>
    </row>
    <row r="462" spans="1:6">
      <c r="A462" s="4"/>
      <c r="B462" s="4"/>
      <c r="C462" s="6">
        <v>41285</v>
      </c>
      <c r="D462" s="5">
        <v>4125</v>
      </c>
      <c r="E462" s="4" t="s">
        <v>3826</v>
      </c>
      <c r="F462" s="4"/>
    </row>
    <row r="463" spans="1:6">
      <c r="A463" s="4">
        <v>26</v>
      </c>
      <c r="B463" s="4" t="s">
        <v>3811</v>
      </c>
      <c r="C463" s="6">
        <v>41106</v>
      </c>
      <c r="D463" s="5">
        <v>8065</v>
      </c>
      <c r="E463" s="4" t="s">
        <v>3264</v>
      </c>
      <c r="F463" s="4"/>
    </row>
    <row r="464" spans="1:6">
      <c r="A464" s="4"/>
      <c r="B464" s="4"/>
      <c r="C464" s="6">
        <v>41112</v>
      </c>
      <c r="D464" s="5">
        <v>6190</v>
      </c>
      <c r="E464" s="4" t="s">
        <v>3264</v>
      </c>
      <c r="F464" s="4"/>
    </row>
    <row r="465" spans="1:6">
      <c r="A465" s="4"/>
      <c r="B465" s="4"/>
      <c r="C465" s="6">
        <v>41129</v>
      </c>
      <c r="D465" s="5">
        <f>10880+750</f>
        <v>11630</v>
      </c>
      <c r="E465" s="4" t="s">
        <v>2222</v>
      </c>
      <c r="F465" s="4"/>
    </row>
    <row r="466" spans="1:6">
      <c r="A466" s="4"/>
      <c r="B466" s="4"/>
      <c r="C466" s="6">
        <v>41139</v>
      </c>
      <c r="D466" s="5">
        <v>7315</v>
      </c>
      <c r="E466" s="4" t="s">
        <v>2222</v>
      </c>
      <c r="F466" s="4"/>
    </row>
    <row r="467" spans="1:6">
      <c r="A467" s="4"/>
      <c r="B467" s="4"/>
      <c r="C467" s="6">
        <v>41145</v>
      </c>
      <c r="D467" s="5">
        <v>4315</v>
      </c>
      <c r="E467" s="4" t="s">
        <v>2222</v>
      </c>
      <c r="F467" s="4"/>
    </row>
    <row r="468" spans="1:6">
      <c r="A468" s="4"/>
      <c r="B468" s="4"/>
      <c r="C468" s="6">
        <v>41156</v>
      </c>
      <c r="D468" s="5">
        <v>1875</v>
      </c>
      <c r="E468" s="4" t="s">
        <v>2769</v>
      </c>
      <c r="F468" s="4"/>
    </row>
    <row r="469" spans="1:6">
      <c r="A469" s="4"/>
      <c r="B469" s="4"/>
      <c r="C469" s="6">
        <v>41157</v>
      </c>
      <c r="D469" s="5">
        <f>3565+750</f>
        <v>4315</v>
      </c>
      <c r="E469" s="4" t="s">
        <v>2769</v>
      </c>
      <c r="F469" s="4"/>
    </row>
    <row r="470" spans="1:6">
      <c r="A470" s="4"/>
      <c r="B470" s="4"/>
      <c r="C470" s="6">
        <v>41171</v>
      </c>
      <c r="D470" s="5">
        <v>1875</v>
      </c>
      <c r="E470" s="4" t="s">
        <v>2769</v>
      </c>
      <c r="F470" s="4"/>
    </row>
    <row r="471" spans="1:6">
      <c r="A471" s="4"/>
      <c r="B471" s="4"/>
      <c r="C471" s="6">
        <v>41172</v>
      </c>
      <c r="D471" s="5">
        <v>3565</v>
      </c>
      <c r="E471" s="4" t="s">
        <v>2769</v>
      </c>
      <c r="F471" s="4"/>
    </row>
    <row r="472" spans="1:6">
      <c r="A472" s="4"/>
      <c r="B472" s="4"/>
      <c r="C472" s="6">
        <v>41176</v>
      </c>
      <c r="D472" s="5">
        <v>375</v>
      </c>
      <c r="E472" s="4" t="s">
        <v>2769</v>
      </c>
      <c r="F472" s="4"/>
    </row>
    <row r="473" spans="1:6">
      <c r="A473" s="4"/>
      <c r="B473" s="4"/>
      <c r="C473" s="6">
        <v>41177</v>
      </c>
      <c r="D473" s="5">
        <v>375</v>
      </c>
      <c r="E473" s="4" t="s">
        <v>2769</v>
      </c>
      <c r="F473" s="4"/>
    </row>
    <row r="474" spans="1:6">
      <c r="A474" s="4"/>
      <c r="B474" s="4"/>
      <c r="C474" s="6">
        <v>41187</v>
      </c>
      <c r="D474" s="5">
        <f>3565+1875</f>
        <v>5440</v>
      </c>
      <c r="E474" s="4" t="s">
        <v>879</v>
      </c>
      <c r="F474" s="4"/>
    </row>
    <row r="475" spans="1:6">
      <c r="A475" s="4"/>
      <c r="B475" s="4"/>
      <c r="C475" s="6">
        <v>41192</v>
      </c>
      <c r="D475" s="5">
        <v>750</v>
      </c>
      <c r="E475" s="4" t="s">
        <v>879</v>
      </c>
      <c r="F475" s="4"/>
    </row>
    <row r="476" spans="1:6">
      <c r="A476" s="4"/>
      <c r="B476" s="4"/>
      <c r="C476" s="6">
        <v>41200</v>
      </c>
      <c r="D476" s="5">
        <v>1875</v>
      </c>
      <c r="E476" s="4" t="s">
        <v>879</v>
      </c>
      <c r="F476" s="4"/>
    </row>
    <row r="477" spans="1:6">
      <c r="A477" s="4"/>
      <c r="B477" s="4"/>
      <c r="C477" s="6">
        <v>41204</v>
      </c>
      <c r="D477" s="5">
        <v>3940</v>
      </c>
      <c r="E477" s="4" t="s">
        <v>879</v>
      </c>
      <c r="F477" s="4"/>
    </row>
    <row r="478" spans="1:6">
      <c r="A478" s="4"/>
      <c r="B478" s="4"/>
      <c r="C478" s="6">
        <v>41205</v>
      </c>
      <c r="D478" s="5">
        <v>375</v>
      </c>
      <c r="E478" s="4" t="s">
        <v>879</v>
      </c>
      <c r="F478" s="4"/>
    </row>
    <row r="479" spans="1:6">
      <c r="A479" s="4"/>
      <c r="B479" s="4"/>
      <c r="C479" s="6">
        <v>41206</v>
      </c>
      <c r="D479" s="5">
        <v>190</v>
      </c>
      <c r="E479" s="4" t="s">
        <v>879</v>
      </c>
      <c r="F479" s="4"/>
    </row>
    <row r="480" spans="1:6">
      <c r="A480" s="4"/>
      <c r="B480" s="4"/>
      <c r="C480" s="6">
        <v>41215</v>
      </c>
      <c r="D480" s="5">
        <v>1875</v>
      </c>
      <c r="E480" s="4" t="s">
        <v>2557</v>
      </c>
      <c r="F480" s="4"/>
    </row>
    <row r="481" spans="1:6">
      <c r="A481" s="4"/>
      <c r="B481" s="4"/>
      <c r="C481" s="6">
        <v>41218</v>
      </c>
      <c r="D481" s="5">
        <v>3565</v>
      </c>
      <c r="E481" s="4" t="s">
        <v>2557</v>
      </c>
      <c r="F481" s="4" t="s">
        <v>2558</v>
      </c>
    </row>
    <row r="482" spans="1:6">
      <c r="A482" s="4"/>
      <c r="B482" s="4"/>
      <c r="C482" s="6">
        <v>41219</v>
      </c>
      <c r="D482" s="5">
        <v>375</v>
      </c>
      <c r="E482" s="4" t="s">
        <v>2557</v>
      </c>
      <c r="F482" s="4"/>
    </row>
    <row r="483" spans="1:6">
      <c r="A483" s="4"/>
      <c r="B483" s="4"/>
      <c r="C483" s="6">
        <v>41220</v>
      </c>
      <c r="D483" s="5">
        <v>375</v>
      </c>
      <c r="E483" s="4" t="s">
        <v>2557</v>
      </c>
      <c r="F483" s="4"/>
    </row>
    <row r="484" spans="1:6">
      <c r="A484" s="4"/>
      <c r="B484" s="4"/>
      <c r="C484" s="6">
        <v>41222</v>
      </c>
      <c r="D484" s="5">
        <v>190</v>
      </c>
      <c r="E484" s="4" t="s">
        <v>2557</v>
      </c>
      <c r="F484" s="4"/>
    </row>
    <row r="485" spans="1:6">
      <c r="A485" s="4"/>
      <c r="B485" s="4"/>
      <c r="C485" s="6">
        <v>41227</v>
      </c>
      <c r="D485" s="5">
        <v>6380</v>
      </c>
      <c r="E485" s="4" t="s">
        <v>2557</v>
      </c>
      <c r="F485" s="4"/>
    </row>
    <row r="486" spans="1:6">
      <c r="A486" s="4">
        <v>27</v>
      </c>
      <c r="B486" s="4" t="s">
        <v>3796</v>
      </c>
      <c r="C486" s="6">
        <v>41097</v>
      </c>
      <c r="D486" s="5">
        <v>6000</v>
      </c>
      <c r="E486" s="4" t="s">
        <v>217</v>
      </c>
      <c r="F486" s="4"/>
    </row>
    <row r="487" spans="1:6">
      <c r="A487" s="4"/>
      <c r="B487" s="4"/>
      <c r="C487" s="6">
        <v>41115</v>
      </c>
      <c r="D487" s="5">
        <v>3000</v>
      </c>
      <c r="E487" s="4" t="s">
        <v>217</v>
      </c>
      <c r="F487" s="4"/>
    </row>
    <row r="488" spans="1:6">
      <c r="A488" s="4"/>
      <c r="B488" s="4"/>
      <c r="C488" s="6">
        <v>41130</v>
      </c>
      <c r="D488" s="5">
        <v>3000</v>
      </c>
      <c r="E488" s="4" t="s">
        <v>2468</v>
      </c>
      <c r="F488" s="4"/>
    </row>
    <row r="489" spans="1:6">
      <c r="A489" s="4"/>
      <c r="B489" s="4"/>
      <c r="C489" s="6">
        <v>41145</v>
      </c>
      <c r="D489" s="5">
        <v>3000</v>
      </c>
      <c r="E489" s="4" t="s">
        <v>2468</v>
      </c>
      <c r="F489" s="4"/>
    </row>
    <row r="490" spans="1:6">
      <c r="A490" s="4"/>
      <c r="B490" s="4"/>
      <c r="C490" s="6">
        <v>41159</v>
      </c>
      <c r="D490" s="5">
        <v>3000</v>
      </c>
      <c r="E490" s="4" t="s">
        <v>2775</v>
      </c>
      <c r="F490" s="4"/>
    </row>
    <row r="491" spans="1:6">
      <c r="A491" s="4"/>
      <c r="B491" s="4"/>
      <c r="C491" s="6">
        <v>41174</v>
      </c>
      <c r="D491" s="5">
        <v>3000</v>
      </c>
      <c r="E491" s="4" t="s">
        <v>2775</v>
      </c>
      <c r="F491" s="4"/>
    </row>
    <row r="492" spans="1:6">
      <c r="A492" s="4"/>
      <c r="B492" s="4"/>
      <c r="C492" s="6">
        <v>41191</v>
      </c>
      <c r="D492" s="5">
        <v>3000</v>
      </c>
      <c r="E492" s="4" t="s">
        <v>2580</v>
      </c>
      <c r="F492" s="4"/>
    </row>
    <row r="493" spans="1:6">
      <c r="A493" s="4"/>
      <c r="B493" s="4"/>
      <c r="C493" s="6">
        <v>41204</v>
      </c>
      <c r="D493" s="5">
        <v>3000</v>
      </c>
      <c r="E493" s="4" t="s">
        <v>2580</v>
      </c>
      <c r="F493" s="4"/>
    </row>
    <row r="494" spans="1:6">
      <c r="A494" s="4"/>
      <c r="B494" s="4"/>
      <c r="C494" s="6">
        <v>41222</v>
      </c>
      <c r="D494" s="5">
        <v>3000</v>
      </c>
      <c r="E494" s="4" t="s">
        <v>2563</v>
      </c>
      <c r="F494" s="4"/>
    </row>
    <row r="495" spans="1:6">
      <c r="A495" s="4"/>
      <c r="B495" s="4"/>
      <c r="C495" s="6">
        <v>41239</v>
      </c>
      <c r="D495" s="5">
        <v>3000</v>
      </c>
      <c r="E495" s="4" t="s">
        <v>2563</v>
      </c>
      <c r="F495" s="4"/>
    </row>
    <row r="496" spans="1:6">
      <c r="A496" s="4"/>
      <c r="B496" s="4"/>
      <c r="C496" s="6">
        <v>41255</v>
      </c>
      <c r="D496" s="5">
        <v>190</v>
      </c>
      <c r="E496" s="4" t="s">
        <v>1363</v>
      </c>
      <c r="F496" s="4"/>
    </row>
    <row r="497" spans="1:6">
      <c r="A497" s="4"/>
      <c r="B497" s="4"/>
      <c r="C497" s="6">
        <v>41270</v>
      </c>
      <c r="D497" s="5">
        <v>6190</v>
      </c>
      <c r="E497" s="4" t="s">
        <v>1363</v>
      </c>
      <c r="F497" s="4"/>
    </row>
    <row r="498" spans="1:6">
      <c r="A498" s="4"/>
      <c r="B498" s="4"/>
      <c r="C498" s="6">
        <v>41283</v>
      </c>
      <c r="D498" s="5">
        <v>3000</v>
      </c>
      <c r="E498" s="4" t="s">
        <v>3682</v>
      </c>
      <c r="F498" s="4"/>
    </row>
    <row r="499" spans="1:6">
      <c r="A499" s="4"/>
      <c r="B499" s="4"/>
      <c r="C499" s="6">
        <v>41283</v>
      </c>
      <c r="D499" s="5">
        <v>190</v>
      </c>
      <c r="E499" s="4" t="s">
        <v>3682</v>
      </c>
      <c r="F499" s="4"/>
    </row>
    <row r="500" spans="1:6">
      <c r="A500" s="4"/>
      <c r="B500" s="4"/>
      <c r="C500" s="6">
        <v>41296</v>
      </c>
      <c r="D500" s="5">
        <v>190</v>
      </c>
      <c r="E500" s="4" t="s">
        <v>3692</v>
      </c>
      <c r="F500" s="4"/>
    </row>
    <row r="501" spans="1:6">
      <c r="A501" s="4"/>
      <c r="B501" s="4"/>
      <c r="C501" s="6">
        <v>41296</v>
      </c>
      <c r="D501" s="5">
        <v>3000</v>
      </c>
      <c r="E501" s="4" t="s">
        <v>3692</v>
      </c>
      <c r="F501" s="4"/>
    </row>
    <row r="502" spans="1:6">
      <c r="A502" s="4">
        <v>28</v>
      </c>
      <c r="B502" s="4" t="s">
        <v>3800</v>
      </c>
      <c r="C502" s="6">
        <v>41095</v>
      </c>
      <c r="D502" s="5">
        <v>13125</v>
      </c>
      <c r="E502" s="4" t="s">
        <v>3261</v>
      </c>
      <c r="F502" s="4"/>
    </row>
    <row r="503" spans="1:6">
      <c r="A503" s="4"/>
      <c r="B503" s="4"/>
      <c r="C503" s="6">
        <v>41119</v>
      </c>
      <c r="D503" s="5">
        <v>1500</v>
      </c>
      <c r="E503" s="4" t="s">
        <v>3261</v>
      </c>
      <c r="F503" s="4"/>
    </row>
    <row r="504" spans="1:6">
      <c r="A504" s="4"/>
      <c r="B504" s="4"/>
      <c r="C504" s="6">
        <v>41127</v>
      </c>
      <c r="D504" s="5">
        <f>375+15750</f>
        <v>16125</v>
      </c>
      <c r="E504" s="4" t="s">
        <v>2369</v>
      </c>
      <c r="F504" s="4"/>
    </row>
    <row r="505" spans="1:6">
      <c r="A505" s="4"/>
      <c r="B505" s="4"/>
      <c r="C505" s="6">
        <v>41132</v>
      </c>
      <c r="D505" s="5">
        <v>375</v>
      </c>
      <c r="E505" s="4" t="s">
        <v>2369</v>
      </c>
      <c r="F505" s="4"/>
    </row>
    <row r="506" spans="1:6">
      <c r="A506" s="4"/>
      <c r="B506" s="4"/>
      <c r="C506" s="6">
        <v>41134</v>
      </c>
      <c r="D506" s="5">
        <v>375</v>
      </c>
      <c r="E506" s="4" t="s">
        <v>2369</v>
      </c>
      <c r="F506" s="4"/>
    </row>
    <row r="507" spans="1:6">
      <c r="A507" s="4"/>
      <c r="B507" s="4"/>
      <c r="C507" s="6">
        <v>41138</v>
      </c>
      <c r="D507" s="5">
        <v>1125</v>
      </c>
      <c r="E507" s="4" t="s">
        <v>2369</v>
      </c>
      <c r="F507" s="4"/>
    </row>
    <row r="508" spans="1:6">
      <c r="A508" s="4"/>
      <c r="B508" s="4"/>
      <c r="C508" s="6">
        <v>41157</v>
      </c>
      <c r="D508" s="5">
        <v>1500</v>
      </c>
      <c r="E508" s="4" t="s">
        <v>2784</v>
      </c>
      <c r="F508" s="4"/>
    </row>
    <row r="509" spans="1:6">
      <c r="A509" s="4"/>
      <c r="B509" s="4"/>
      <c r="C509" s="6">
        <v>41176</v>
      </c>
      <c r="D509" s="5">
        <v>9375</v>
      </c>
      <c r="E509" s="4" t="s">
        <v>2784</v>
      </c>
      <c r="F509" s="4"/>
    </row>
    <row r="510" spans="1:6">
      <c r="A510" s="4"/>
      <c r="B510" s="4"/>
      <c r="C510" s="6">
        <v>41191</v>
      </c>
      <c r="D510" s="5">
        <v>9750</v>
      </c>
      <c r="E510" s="4" t="s">
        <v>886</v>
      </c>
      <c r="F510" s="4"/>
    </row>
    <row r="511" spans="1:6">
      <c r="A511" s="4"/>
      <c r="B511" s="4"/>
      <c r="C511" s="6">
        <v>41200</v>
      </c>
      <c r="D511" s="5">
        <v>7875</v>
      </c>
      <c r="E511" s="4" t="s">
        <v>886</v>
      </c>
      <c r="F511" s="4"/>
    </row>
    <row r="512" spans="1:6">
      <c r="A512" s="4"/>
      <c r="B512" s="4"/>
      <c r="C512" s="6">
        <v>41205</v>
      </c>
      <c r="D512" s="5">
        <v>7875</v>
      </c>
      <c r="E512" s="4" t="s">
        <v>886</v>
      </c>
      <c r="F512" s="4"/>
    </row>
    <row r="513" spans="1:6">
      <c r="A513" s="4"/>
      <c r="B513" s="4"/>
      <c r="C513" s="6">
        <v>41219</v>
      </c>
      <c r="D513" s="5">
        <v>7875</v>
      </c>
      <c r="E513" s="4" t="s">
        <v>2568</v>
      </c>
      <c r="F513" s="4"/>
    </row>
    <row r="514" spans="1:6">
      <c r="A514" s="4"/>
      <c r="B514" s="4"/>
      <c r="C514" s="6">
        <v>41232</v>
      </c>
      <c r="D514" s="5">
        <v>7875</v>
      </c>
      <c r="E514" s="4" t="s">
        <v>2568</v>
      </c>
      <c r="F514" s="4"/>
    </row>
    <row r="515" spans="1:6">
      <c r="A515" s="4"/>
      <c r="B515" s="4"/>
      <c r="C515" s="6">
        <v>41285</v>
      </c>
      <c r="D515" s="5">
        <v>1500</v>
      </c>
      <c r="E515" s="4" t="s">
        <v>3684</v>
      </c>
      <c r="F515" s="4"/>
    </row>
    <row r="516" spans="1:6">
      <c r="A516" s="4"/>
      <c r="B516" s="4"/>
      <c r="C516" s="6">
        <v>41285</v>
      </c>
      <c r="D516" s="5">
        <v>3375</v>
      </c>
      <c r="E516" s="4" t="s">
        <v>3684</v>
      </c>
      <c r="F516" s="4"/>
    </row>
    <row r="517" spans="1:6">
      <c r="A517" s="4">
        <v>29</v>
      </c>
      <c r="B517" s="4" t="s">
        <v>3808</v>
      </c>
      <c r="C517" s="6">
        <v>41097</v>
      </c>
      <c r="D517" s="5">
        <v>4315</v>
      </c>
      <c r="E517" s="4" t="s">
        <v>3646</v>
      </c>
      <c r="F517" s="4"/>
    </row>
    <row r="518" spans="1:6">
      <c r="A518" s="4"/>
      <c r="B518" s="4"/>
      <c r="C518" s="6">
        <v>41112</v>
      </c>
      <c r="D518" s="5">
        <v>5065</v>
      </c>
      <c r="E518" s="4" t="s">
        <v>3646</v>
      </c>
      <c r="F518" s="4"/>
    </row>
    <row r="519" spans="1:6">
      <c r="A519" s="4">
        <v>30</v>
      </c>
      <c r="B519" s="4" t="s">
        <v>3773</v>
      </c>
      <c r="C519" s="6">
        <v>41106</v>
      </c>
      <c r="D519" s="5">
        <v>12970</v>
      </c>
      <c r="E519" s="4" t="s">
        <v>223</v>
      </c>
      <c r="F519" s="4"/>
    </row>
    <row r="520" spans="1:6">
      <c r="A520" s="4"/>
      <c r="B520" s="4"/>
      <c r="C520" s="6">
        <v>41112</v>
      </c>
      <c r="D520" s="5">
        <v>11650</v>
      </c>
      <c r="E520" s="4" t="s">
        <v>223</v>
      </c>
      <c r="F520" s="4"/>
    </row>
    <row r="521" spans="1:6">
      <c r="A521" s="4"/>
      <c r="B521" s="4"/>
      <c r="C521" s="6">
        <v>41127</v>
      </c>
      <c r="D521" s="5">
        <v>9020</v>
      </c>
      <c r="E521" s="4" t="s">
        <v>3654</v>
      </c>
      <c r="F521" s="4"/>
    </row>
    <row r="522" spans="1:6">
      <c r="A522" s="4"/>
      <c r="B522" s="4"/>
      <c r="C522" s="6">
        <v>41134</v>
      </c>
      <c r="D522" s="5">
        <v>755</v>
      </c>
      <c r="E522" s="4" t="s">
        <v>3654</v>
      </c>
      <c r="F522" s="4"/>
    </row>
    <row r="523" spans="1:6">
      <c r="A523" s="4"/>
      <c r="B523" s="4"/>
      <c r="C523" s="6">
        <v>41146</v>
      </c>
      <c r="D523" s="5">
        <v>6200</v>
      </c>
      <c r="E523" s="4" t="s">
        <v>3654</v>
      </c>
      <c r="F523" s="4"/>
    </row>
    <row r="524" spans="1:6">
      <c r="A524" s="4"/>
      <c r="B524" s="4"/>
      <c r="C524" s="6">
        <v>41150</v>
      </c>
      <c r="D524" s="5">
        <v>565</v>
      </c>
      <c r="E524" s="4" t="s">
        <v>3654</v>
      </c>
      <c r="F524" s="4"/>
    </row>
    <row r="525" spans="1:6">
      <c r="A525" s="4"/>
      <c r="B525" s="4"/>
      <c r="C525" s="6">
        <v>41153</v>
      </c>
      <c r="D525" s="5">
        <v>1880</v>
      </c>
      <c r="E525" s="4" t="s">
        <v>3654</v>
      </c>
      <c r="F525" s="4" t="s">
        <v>2480</v>
      </c>
    </row>
    <row r="526" spans="1:6">
      <c r="A526" s="4"/>
      <c r="B526" s="4"/>
      <c r="C526" s="6">
        <v>41157</v>
      </c>
      <c r="D526" s="5">
        <v>2625</v>
      </c>
      <c r="E526" s="4" t="s">
        <v>2479</v>
      </c>
      <c r="F526" s="4"/>
    </row>
    <row r="527" spans="1:6">
      <c r="A527" s="4"/>
      <c r="B527" s="4"/>
      <c r="C527" s="6">
        <v>41159</v>
      </c>
      <c r="D527" s="5">
        <v>755</v>
      </c>
      <c r="E527" s="4" t="s">
        <v>2479</v>
      </c>
      <c r="F527" s="4"/>
    </row>
    <row r="528" spans="1:6">
      <c r="A528" s="4"/>
      <c r="B528" s="4"/>
      <c r="C528" s="6">
        <v>41162</v>
      </c>
      <c r="D528" s="5">
        <v>565</v>
      </c>
      <c r="E528" s="4" t="s">
        <v>2479</v>
      </c>
      <c r="F528" s="4"/>
    </row>
    <row r="529" spans="1:6">
      <c r="A529" s="4"/>
      <c r="B529" s="4"/>
      <c r="C529" s="6">
        <v>41167</v>
      </c>
      <c r="D529" s="5">
        <v>1880</v>
      </c>
      <c r="E529" s="4" t="s">
        <v>2479</v>
      </c>
      <c r="F529" s="4"/>
    </row>
    <row r="530" spans="1:6">
      <c r="A530" s="4"/>
      <c r="B530" s="4"/>
      <c r="C530" s="6">
        <v>41169</v>
      </c>
      <c r="D530" s="5">
        <v>565</v>
      </c>
      <c r="E530" s="4" t="s">
        <v>2479</v>
      </c>
      <c r="F530" s="4"/>
    </row>
    <row r="531" spans="1:6">
      <c r="A531" s="4"/>
      <c r="B531" s="4"/>
      <c r="C531" s="6">
        <v>41172</v>
      </c>
      <c r="D531" s="5">
        <v>2625</v>
      </c>
      <c r="E531" s="4" t="s">
        <v>2479</v>
      </c>
      <c r="F531" s="4"/>
    </row>
    <row r="532" spans="1:6">
      <c r="A532" s="4"/>
      <c r="B532" s="4"/>
      <c r="C532" s="6">
        <v>41176</v>
      </c>
      <c r="D532" s="5">
        <v>1320</v>
      </c>
      <c r="E532" s="4" t="s">
        <v>2479</v>
      </c>
      <c r="F532" s="4"/>
    </row>
    <row r="533" spans="1:6">
      <c r="A533" s="4"/>
      <c r="B533" s="4"/>
      <c r="C533" s="6">
        <v>41183</v>
      </c>
      <c r="D533" s="5">
        <v>2445</v>
      </c>
      <c r="E533" s="4" t="s">
        <v>873</v>
      </c>
      <c r="F533" s="4"/>
    </row>
    <row r="534" spans="1:6">
      <c r="A534" s="4"/>
      <c r="B534" s="4"/>
      <c r="C534" s="6">
        <v>41186</v>
      </c>
      <c r="D534" s="5">
        <v>1125</v>
      </c>
      <c r="E534" s="4" t="s">
        <v>873</v>
      </c>
      <c r="F534" s="4"/>
    </row>
    <row r="535" spans="1:6">
      <c r="A535" s="4"/>
      <c r="B535" s="4"/>
      <c r="C535" s="6">
        <v>41188</v>
      </c>
      <c r="D535" s="5">
        <v>1500</v>
      </c>
      <c r="E535" s="4" t="s">
        <v>873</v>
      </c>
      <c r="F535" s="4"/>
    </row>
    <row r="536" spans="1:6">
      <c r="A536" s="4"/>
      <c r="B536" s="4"/>
      <c r="C536" s="6">
        <v>41191</v>
      </c>
      <c r="D536" s="5">
        <v>755</v>
      </c>
      <c r="E536" s="4" t="s">
        <v>873</v>
      </c>
      <c r="F536" s="4"/>
    </row>
    <row r="537" spans="1:6">
      <c r="A537" s="4"/>
      <c r="B537" s="4"/>
      <c r="C537" s="6">
        <v>41193</v>
      </c>
      <c r="D537" s="5">
        <v>565</v>
      </c>
      <c r="E537" s="4" t="s">
        <v>873</v>
      </c>
      <c r="F537" s="4"/>
    </row>
    <row r="538" spans="1:6">
      <c r="A538" s="4"/>
      <c r="B538" s="4"/>
      <c r="C538" s="6">
        <v>41196</v>
      </c>
      <c r="D538" s="5">
        <v>190</v>
      </c>
      <c r="E538" s="4" t="s">
        <v>873</v>
      </c>
      <c r="F538" s="4"/>
    </row>
    <row r="539" spans="1:6">
      <c r="A539" s="4"/>
      <c r="B539" s="4"/>
      <c r="C539" s="6">
        <v>41197</v>
      </c>
      <c r="D539" s="5">
        <v>375</v>
      </c>
      <c r="E539" s="4" t="s">
        <v>873</v>
      </c>
      <c r="F539" s="4"/>
    </row>
    <row r="540" spans="1:6">
      <c r="A540" s="4"/>
      <c r="B540" s="4"/>
      <c r="C540" s="6">
        <v>41198</v>
      </c>
      <c r="D540" s="5">
        <f>565+1315</f>
        <v>1880</v>
      </c>
      <c r="E540" s="4" t="s">
        <v>873</v>
      </c>
      <c r="F540" s="4"/>
    </row>
    <row r="541" spans="1:6">
      <c r="A541" s="4"/>
      <c r="B541" s="4"/>
      <c r="C541" s="6">
        <v>41204</v>
      </c>
      <c r="D541" s="5">
        <v>3380</v>
      </c>
      <c r="E541" s="4" t="s">
        <v>873</v>
      </c>
      <c r="F541" s="4"/>
    </row>
    <row r="542" spans="1:6">
      <c r="A542" s="4"/>
      <c r="B542" s="4"/>
      <c r="C542" s="6">
        <v>41207</v>
      </c>
      <c r="D542" s="5">
        <v>565</v>
      </c>
      <c r="E542" s="4" t="s">
        <v>873</v>
      </c>
      <c r="F542" s="4"/>
    </row>
    <row r="543" spans="1:6">
      <c r="A543" s="4"/>
      <c r="B543" s="4"/>
      <c r="C543" s="6">
        <v>41211</v>
      </c>
      <c r="D543" s="5">
        <v>190</v>
      </c>
      <c r="E543" s="4" t="s">
        <v>873</v>
      </c>
      <c r="F543" s="4"/>
    </row>
    <row r="544" spans="1:6">
      <c r="A544" s="4"/>
      <c r="B544" s="4"/>
      <c r="C544" s="6">
        <v>41213</v>
      </c>
      <c r="D544" s="5">
        <v>1690</v>
      </c>
      <c r="E544" s="4" t="s">
        <v>2552</v>
      </c>
      <c r="F544" s="4"/>
    </row>
    <row r="545" spans="1:6">
      <c r="A545" s="4"/>
      <c r="B545" s="4"/>
      <c r="C545" s="6">
        <v>41216</v>
      </c>
      <c r="D545" s="5">
        <v>3190</v>
      </c>
      <c r="E545" s="4" t="s">
        <v>2552</v>
      </c>
      <c r="F545" s="4"/>
    </row>
    <row r="546" spans="1:6">
      <c r="A546" s="4"/>
      <c r="B546" s="4"/>
      <c r="C546" s="6">
        <v>41219</v>
      </c>
      <c r="D546" s="5">
        <v>755</v>
      </c>
      <c r="E546" s="4" t="s">
        <v>2552</v>
      </c>
      <c r="F546" s="4"/>
    </row>
    <row r="547" spans="1:6">
      <c r="A547" s="4"/>
      <c r="B547" s="4"/>
      <c r="C547" s="6">
        <v>41222</v>
      </c>
      <c r="D547" s="5">
        <v>565</v>
      </c>
      <c r="E547" s="4" t="s">
        <v>2552</v>
      </c>
      <c r="F547" s="4"/>
    </row>
    <row r="548" spans="1:6">
      <c r="A548" s="4"/>
      <c r="B548" s="4"/>
      <c r="C548" s="6">
        <v>41225</v>
      </c>
      <c r="D548" s="5">
        <v>190</v>
      </c>
      <c r="E548" s="4" t="s">
        <v>2552</v>
      </c>
      <c r="F548" s="4"/>
    </row>
    <row r="549" spans="1:6">
      <c r="A549" s="4"/>
      <c r="B549" s="4"/>
      <c r="C549" s="6">
        <v>41230</v>
      </c>
      <c r="D549" s="5">
        <v>850</v>
      </c>
      <c r="E549" s="4" t="s">
        <v>2552</v>
      </c>
      <c r="F549" s="4"/>
    </row>
    <row r="550" spans="1:6">
      <c r="A550" s="4"/>
      <c r="B550" s="4"/>
      <c r="C550" s="6">
        <v>41232</v>
      </c>
      <c r="D550" s="5">
        <v>1875</v>
      </c>
      <c r="E550" s="4" t="s">
        <v>2552</v>
      </c>
      <c r="F550" s="4"/>
    </row>
    <row r="551" spans="1:6">
      <c r="A551" s="4"/>
      <c r="B551" s="4"/>
      <c r="C551" s="6">
        <v>41234</v>
      </c>
      <c r="D551" s="5">
        <v>755</v>
      </c>
      <c r="E551" s="4" t="s">
        <v>2552</v>
      </c>
      <c r="F551" s="4"/>
    </row>
    <row r="552" spans="1:6">
      <c r="A552" s="4"/>
      <c r="B552" s="4"/>
      <c r="C552" s="6">
        <v>41237</v>
      </c>
      <c r="D552" s="5">
        <v>565</v>
      </c>
      <c r="E552" s="4" t="s">
        <v>2552</v>
      </c>
      <c r="F552" s="4"/>
    </row>
    <row r="553" spans="1:6">
      <c r="A553" s="4"/>
      <c r="B553" s="4"/>
      <c r="C553" s="6">
        <v>41241</v>
      </c>
      <c r="D553" s="5">
        <v>190</v>
      </c>
      <c r="E553" s="4" t="s">
        <v>2552</v>
      </c>
      <c r="F553" s="4"/>
    </row>
    <row r="554" spans="1:6">
      <c r="A554" s="4"/>
      <c r="B554" s="4"/>
      <c r="C554" s="6">
        <v>41243</v>
      </c>
      <c r="D554" s="5">
        <f>375+1315</f>
        <v>1690</v>
      </c>
      <c r="E554" s="4" t="s">
        <v>2552</v>
      </c>
      <c r="F554" s="4"/>
    </row>
    <row r="555" spans="1:6">
      <c r="A555" s="4"/>
      <c r="B555" s="4"/>
      <c r="C555" s="6">
        <v>41285</v>
      </c>
      <c r="D555" s="5">
        <v>565</v>
      </c>
      <c r="E555" s="4" t="s">
        <v>3828</v>
      </c>
      <c r="F555" s="4"/>
    </row>
    <row r="556" spans="1:6">
      <c r="A556" s="4"/>
      <c r="B556" s="4"/>
      <c r="C556" s="6">
        <v>41285</v>
      </c>
      <c r="D556" s="5">
        <v>750</v>
      </c>
      <c r="E556" s="4" t="s">
        <v>3828</v>
      </c>
      <c r="F556" s="4"/>
    </row>
    <row r="557" spans="1:6">
      <c r="A557" s="4"/>
      <c r="B557" s="4"/>
      <c r="C557" s="6">
        <v>41285</v>
      </c>
      <c r="D557" s="5">
        <v>375</v>
      </c>
      <c r="E557" s="4" t="s">
        <v>3828</v>
      </c>
      <c r="F557" s="4"/>
    </row>
    <row r="558" spans="1:6">
      <c r="A558" s="4"/>
      <c r="B558" s="4"/>
      <c r="C558" s="6">
        <v>41285</v>
      </c>
      <c r="D558" s="5">
        <v>1500</v>
      </c>
      <c r="E558" s="4" t="s">
        <v>3828</v>
      </c>
      <c r="F558" s="4"/>
    </row>
    <row r="559" spans="1:6">
      <c r="A559" s="4">
        <v>31</v>
      </c>
      <c r="B559" s="4" t="s">
        <v>3772</v>
      </c>
      <c r="C559" s="6">
        <v>41138</v>
      </c>
      <c r="D559" s="5">
        <v>8065</v>
      </c>
      <c r="E559" s="4" t="s">
        <v>2221</v>
      </c>
      <c r="F559" s="4"/>
    </row>
    <row r="560" spans="1:6">
      <c r="A560" s="4"/>
      <c r="B560" s="4"/>
      <c r="C560" s="6">
        <v>41148</v>
      </c>
      <c r="D560" s="5">
        <v>1875</v>
      </c>
      <c r="E560" s="4" t="s">
        <v>2221</v>
      </c>
      <c r="F560" s="4"/>
    </row>
    <row r="561" spans="1:6">
      <c r="A561" s="4"/>
      <c r="B561" s="4"/>
      <c r="C561" s="6">
        <v>41153</v>
      </c>
      <c r="D561" s="5">
        <v>565</v>
      </c>
      <c r="E561" s="4" t="s">
        <v>2221</v>
      </c>
      <c r="F561" s="4" t="s">
        <v>2480</v>
      </c>
    </row>
    <row r="562" spans="1:6">
      <c r="A562" s="4"/>
      <c r="B562" s="4"/>
      <c r="C562" s="6">
        <v>41159</v>
      </c>
      <c r="D562" s="5">
        <v>1875</v>
      </c>
      <c r="E562" s="4" t="s">
        <v>2768</v>
      </c>
      <c r="F562" s="4"/>
    </row>
    <row r="563" spans="1:6">
      <c r="A563" s="4"/>
      <c r="B563" s="4"/>
      <c r="C563" s="6">
        <v>41167</v>
      </c>
      <c r="D563" s="5">
        <v>565</v>
      </c>
      <c r="E563" s="4" t="s">
        <v>2768</v>
      </c>
      <c r="F563" s="4"/>
    </row>
    <row r="564" spans="1:6">
      <c r="A564" s="4"/>
      <c r="B564" s="4"/>
      <c r="C564" s="6">
        <v>41176</v>
      </c>
      <c r="D564" s="5">
        <v>1875</v>
      </c>
      <c r="E564" s="4" t="s">
        <v>2768</v>
      </c>
      <c r="F564" s="4"/>
    </row>
    <row r="565" spans="1:6">
      <c r="A565" s="4"/>
      <c r="B565" s="4"/>
      <c r="C565" s="6">
        <v>41184</v>
      </c>
      <c r="D565" s="5">
        <v>565</v>
      </c>
      <c r="E565" s="4" t="s">
        <v>2579</v>
      </c>
      <c r="F565" s="4"/>
    </row>
    <row r="566" spans="1:6">
      <c r="A566" s="4"/>
      <c r="B566" s="4"/>
      <c r="C566" s="6">
        <v>41191</v>
      </c>
      <c r="D566" s="5">
        <v>1875</v>
      </c>
      <c r="E566" s="4" t="s">
        <v>2579</v>
      </c>
      <c r="F566" s="4"/>
    </row>
    <row r="567" spans="1:6">
      <c r="A567" s="4"/>
      <c r="B567" s="4"/>
      <c r="C567" s="6">
        <v>41197</v>
      </c>
      <c r="D567" s="5">
        <v>565</v>
      </c>
      <c r="E567" s="4" t="s">
        <v>2579</v>
      </c>
      <c r="F567" s="4"/>
    </row>
    <row r="568" spans="1:6">
      <c r="A568" s="4"/>
      <c r="B568" s="4"/>
      <c r="C568" s="6">
        <v>41204</v>
      </c>
      <c r="D568" s="5">
        <v>1875</v>
      </c>
      <c r="E568" s="4" t="s">
        <v>2579</v>
      </c>
      <c r="F568" s="4"/>
    </row>
    <row r="569" spans="1:6">
      <c r="A569" s="4"/>
      <c r="B569" s="4"/>
      <c r="C569" s="6">
        <v>41215</v>
      </c>
      <c r="D569" s="5">
        <v>565</v>
      </c>
      <c r="E569" s="4" t="s">
        <v>1350</v>
      </c>
      <c r="F569" s="4"/>
    </row>
    <row r="570" spans="1:6">
      <c r="A570" s="4"/>
      <c r="B570" s="4"/>
      <c r="C570" s="6">
        <v>41220</v>
      </c>
      <c r="D570" s="5">
        <v>1875</v>
      </c>
      <c r="E570" s="4" t="s">
        <v>1350</v>
      </c>
      <c r="F570" s="4"/>
    </row>
    <row r="571" spans="1:6">
      <c r="A571" s="4"/>
      <c r="B571" s="4"/>
      <c r="C571" s="6">
        <v>41227</v>
      </c>
      <c r="D571" s="5">
        <v>565</v>
      </c>
      <c r="E571" s="4" t="s">
        <v>1350</v>
      </c>
      <c r="F571" s="4"/>
    </row>
    <row r="572" spans="1:6">
      <c r="A572" s="4"/>
      <c r="B572" s="4"/>
      <c r="C572" s="6">
        <v>41234</v>
      </c>
      <c r="D572" s="5">
        <v>1875</v>
      </c>
      <c r="E572" s="4" t="s">
        <v>1350</v>
      </c>
      <c r="F572" s="4"/>
    </row>
    <row r="573" spans="1:6">
      <c r="A573" s="4"/>
      <c r="B573" s="4"/>
      <c r="C573" s="6">
        <v>41285</v>
      </c>
      <c r="D573" s="5">
        <v>1130</v>
      </c>
      <c r="E573" s="4" t="s">
        <v>3828</v>
      </c>
      <c r="F573" s="4"/>
    </row>
    <row r="574" spans="1:6">
      <c r="A574" s="4"/>
      <c r="B574" s="4"/>
      <c r="C574" s="6">
        <v>41285</v>
      </c>
      <c r="D574" s="5">
        <v>1500</v>
      </c>
      <c r="E574" s="4" t="s">
        <v>3828</v>
      </c>
      <c r="F574" s="4"/>
    </row>
    <row r="575" spans="1:6">
      <c r="A575" s="4"/>
      <c r="B575" s="4"/>
      <c r="C575" s="6">
        <v>41285</v>
      </c>
      <c r="D575" s="5">
        <v>2250</v>
      </c>
      <c r="E575" s="4" t="s">
        <v>3828</v>
      </c>
      <c r="F575" s="4"/>
    </row>
    <row r="576" spans="1:6">
      <c r="A576" s="4">
        <v>32</v>
      </c>
      <c r="B576" s="4" t="s">
        <v>3784</v>
      </c>
      <c r="C576" s="6">
        <v>41094</v>
      </c>
      <c r="D576" s="5">
        <f>750+750</f>
        <v>1500</v>
      </c>
      <c r="E576" s="4" t="s">
        <v>213</v>
      </c>
      <c r="F576" s="4"/>
    </row>
    <row r="577" spans="1:6">
      <c r="A577" s="4"/>
      <c r="B577" s="4"/>
      <c r="C577" s="6">
        <v>41101</v>
      </c>
      <c r="D577" s="5">
        <v>6000</v>
      </c>
      <c r="E577" s="4" t="s">
        <v>213</v>
      </c>
      <c r="F577" s="4"/>
    </row>
    <row r="578" spans="1:6">
      <c r="A578" s="4"/>
      <c r="B578" s="4"/>
      <c r="C578" s="6">
        <v>41111</v>
      </c>
      <c r="D578" s="5">
        <v>6000</v>
      </c>
      <c r="E578" s="4" t="s">
        <v>213</v>
      </c>
      <c r="F578" s="4"/>
    </row>
    <row r="579" spans="1:6">
      <c r="A579" s="4"/>
      <c r="B579" s="4"/>
      <c r="C579" s="6">
        <v>41115</v>
      </c>
      <c r="D579" s="5">
        <v>750</v>
      </c>
      <c r="E579" s="4" t="s">
        <v>213</v>
      </c>
      <c r="F579" s="4"/>
    </row>
    <row r="580" spans="1:6">
      <c r="A580" s="4"/>
      <c r="B580" s="4"/>
      <c r="C580" s="6">
        <v>41122</v>
      </c>
      <c r="D580" s="5">
        <v>6000</v>
      </c>
      <c r="E580" s="4" t="s">
        <v>2467</v>
      </c>
      <c r="F580" s="4"/>
    </row>
    <row r="581" spans="1:6">
      <c r="A581" s="4"/>
      <c r="B581" s="4"/>
      <c r="C581" s="6">
        <v>41129</v>
      </c>
      <c r="D581" s="5">
        <v>750</v>
      </c>
      <c r="E581" s="4" t="s">
        <v>2467</v>
      </c>
      <c r="F581" s="4"/>
    </row>
    <row r="582" spans="1:6">
      <c r="A582" s="4"/>
      <c r="B582" s="4"/>
      <c r="C582" s="6">
        <v>41136</v>
      </c>
      <c r="D582" s="5">
        <v>6000</v>
      </c>
      <c r="E582" s="4" t="s">
        <v>2467</v>
      </c>
      <c r="F582" s="4"/>
    </row>
    <row r="583" spans="1:6">
      <c r="A583" s="4"/>
      <c r="B583" s="4"/>
      <c r="C583" s="6">
        <v>41144</v>
      </c>
      <c r="D583" s="5">
        <v>750</v>
      </c>
      <c r="E583" s="4" t="s">
        <v>2467</v>
      </c>
      <c r="F583" s="4"/>
    </row>
    <row r="584" spans="1:6">
      <c r="A584" s="4"/>
      <c r="B584" s="4"/>
      <c r="C584" s="6">
        <v>41153</v>
      </c>
      <c r="D584" s="5">
        <v>6000</v>
      </c>
      <c r="E584" s="4" t="s">
        <v>2467</v>
      </c>
      <c r="F584" s="4" t="s">
        <v>2480</v>
      </c>
    </row>
    <row r="585" spans="1:6">
      <c r="A585" s="4"/>
      <c r="B585" s="4"/>
      <c r="C585" s="6">
        <v>41159</v>
      </c>
      <c r="D585" s="5">
        <v>750</v>
      </c>
      <c r="E585" s="4" t="s">
        <v>2780</v>
      </c>
      <c r="F585" s="4"/>
    </row>
    <row r="586" spans="1:6">
      <c r="A586" s="4"/>
      <c r="B586" s="4"/>
      <c r="C586" s="6">
        <v>41168</v>
      </c>
      <c r="D586" s="5">
        <v>6000</v>
      </c>
      <c r="E586" s="4" t="s">
        <v>2780</v>
      </c>
      <c r="F586" s="4"/>
    </row>
    <row r="587" spans="1:6">
      <c r="A587" s="4"/>
      <c r="B587" s="4"/>
      <c r="C587" s="6">
        <v>41180</v>
      </c>
      <c r="D587" s="5">
        <v>750</v>
      </c>
      <c r="E587" s="4" t="s">
        <v>2780</v>
      </c>
      <c r="F587" s="4"/>
    </row>
    <row r="588" spans="1:6">
      <c r="A588" s="4"/>
      <c r="B588" s="4"/>
      <c r="C588" s="6">
        <v>41183</v>
      </c>
      <c r="D588" s="5">
        <v>6000</v>
      </c>
      <c r="E588" s="4" t="s">
        <v>867</v>
      </c>
      <c r="F588" s="4"/>
    </row>
    <row r="589" spans="1:6">
      <c r="A589" s="4"/>
      <c r="B589" s="4"/>
      <c r="C589" s="6">
        <v>41191</v>
      </c>
      <c r="D589" s="5">
        <v>1125</v>
      </c>
      <c r="E589" s="4" t="s">
        <v>867</v>
      </c>
      <c r="F589" s="4"/>
    </row>
    <row r="590" spans="1:6">
      <c r="A590" s="4"/>
      <c r="B590" s="4"/>
      <c r="C590" s="6">
        <v>41204</v>
      </c>
      <c r="D590" s="5">
        <v>6000</v>
      </c>
      <c r="E590" s="4" t="s">
        <v>867</v>
      </c>
      <c r="F590" s="4"/>
    </row>
    <row r="591" spans="1:6">
      <c r="A591" s="4"/>
      <c r="B591" s="4"/>
      <c r="C591" s="6">
        <v>41205</v>
      </c>
      <c r="D591" s="5">
        <v>750</v>
      </c>
      <c r="E591" s="4" t="s">
        <v>867</v>
      </c>
      <c r="F591" s="4"/>
    </row>
    <row r="592" spans="1:6">
      <c r="A592" s="4"/>
      <c r="B592" s="4"/>
      <c r="C592" s="6">
        <v>41207</v>
      </c>
      <c r="D592" s="5">
        <v>375</v>
      </c>
      <c r="E592" s="4" t="s">
        <v>867</v>
      </c>
      <c r="F592" s="4"/>
    </row>
    <row r="593" spans="1:6">
      <c r="A593" s="4"/>
      <c r="B593" s="4"/>
      <c r="C593" s="6">
        <v>41215</v>
      </c>
      <c r="D593" s="5">
        <v>6000</v>
      </c>
      <c r="E593" s="4" t="s">
        <v>2561</v>
      </c>
      <c r="F593" s="4"/>
    </row>
    <row r="594" spans="1:6">
      <c r="A594" s="4"/>
      <c r="B594" s="4"/>
      <c r="C594" s="6">
        <v>41219</v>
      </c>
      <c r="D594" s="5">
        <v>750</v>
      </c>
      <c r="E594" s="4" t="s">
        <v>2561</v>
      </c>
      <c r="F594" s="4"/>
    </row>
    <row r="595" spans="1:6">
      <c r="A595" s="4"/>
      <c r="B595" s="4"/>
      <c r="C595" s="6">
        <v>41222</v>
      </c>
      <c r="D595" s="5">
        <v>375</v>
      </c>
      <c r="E595" s="4" t="s">
        <v>2561</v>
      </c>
      <c r="F595" s="4"/>
    </row>
    <row r="596" spans="1:6">
      <c r="A596" s="4"/>
      <c r="B596" s="4"/>
      <c r="C596" s="6">
        <v>41228</v>
      </c>
      <c r="D596" s="5">
        <v>6000</v>
      </c>
      <c r="E596" s="4" t="s">
        <v>2561</v>
      </c>
      <c r="F596" s="4"/>
    </row>
    <row r="597" spans="1:6">
      <c r="A597" s="4"/>
      <c r="B597" s="4"/>
      <c r="C597" s="6">
        <v>41235</v>
      </c>
      <c r="D597" s="5">
        <v>750</v>
      </c>
      <c r="E597" s="4" t="s">
        <v>2561</v>
      </c>
      <c r="F597" s="4"/>
    </row>
    <row r="598" spans="1:6">
      <c r="A598" s="4"/>
      <c r="B598" s="4"/>
      <c r="C598" s="6">
        <v>41236</v>
      </c>
      <c r="D598" s="5">
        <v>375</v>
      </c>
      <c r="E598" s="4" t="s">
        <v>2561</v>
      </c>
      <c r="F598" s="4"/>
    </row>
    <row r="599" spans="1:6">
      <c r="A599" s="4"/>
      <c r="B599" s="4"/>
      <c r="C599" s="6">
        <v>41244</v>
      </c>
      <c r="D599" s="5">
        <v>6000</v>
      </c>
      <c r="E599" s="4" t="s">
        <v>889</v>
      </c>
      <c r="F599" s="4"/>
    </row>
    <row r="600" spans="1:6">
      <c r="A600" s="4"/>
      <c r="B600" s="4"/>
      <c r="C600" s="6">
        <v>41254</v>
      </c>
      <c r="D600" s="5">
        <v>1125</v>
      </c>
      <c r="E600" s="4" t="s">
        <v>889</v>
      </c>
      <c r="F600" s="4"/>
    </row>
    <row r="601" spans="1:6">
      <c r="A601" s="4"/>
      <c r="B601" s="4"/>
      <c r="C601" s="6">
        <v>41258</v>
      </c>
      <c r="D601" s="5">
        <v>6000</v>
      </c>
      <c r="E601" s="4" t="s">
        <v>889</v>
      </c>
      <c r="F601" s="4"/>
    </row>
    <row r="602" spans="1:6">
      <c r="A602" s="4"/>
      <c r="B602" s="4"/>
      <c r="C602" s="6">
        <v>41267</v>
      </c>
      <c r="D602" s="5">
        <v>1125</v>
      </c>
      <c r="E602" s="4" t="s">
        <v>889</v>
      </c>
      <c r="F602" s="4"/>
    </row>
    <row r="603" spans="1:6">
      <c r="A603" s="4"/>
      <c r="B603" s="4"/>
      <c r="C603" s="6">
        <v>41272</v>
      </c>
      <c r="D603" s="5">
        <v>6000</v>
      </c>
      <c r="E603" s="4" t="s">
        <v>889</v>
      </c>
      <c r="F603" s="4"/>
    </row>
    <row r="604" spans="1:6">
      <c r="A604" s="4"/>
      <c r="B604" s="4"/>
      <c r="C604" s="6">
        <v>41275</v>
      </c>
      <c r="D604" s="5">
        <v>1125</v>
      </c>
      <c r="E604" s="4" t="s">
        <v>3675</v>
      </c>
      <c r="F604" s="4"/>
    </row>
    <row r="605" spans="1:6">
      <c r="A605" s="4"/>
      <c r="B605" s="4"/>
      <c r="C605" s="6">
        <v>41275</v>
      </c>
      <c r="D605" s="5">
        <v>4875</v>
      </c>
      <c r="E605" s="4" t="s">
        <v>3675</v>
      </c>
      <c r="F605" s="4"/>
    </row>
    <row r="606" spans="1:6">
      <c r="A606" s="4"/>
      <c r="B606" s="4"/>
      <c r="C606" s="6">
        <v>41281</v>
      </c>
      <c r="D606" s="5">
        <v>750</v>
      </c>
      <c r="E606" s="4" t="s">
        <v>3680</v>
      </c>
      <c r="F606" s="4"/>
    </row>
    <row r="607" spans="1:6">
      <c r="A607" s="4"/>
      <c r="B607" s="4"/>
      <c r="C607" s="6">
        <v>41283</v>
      </c>
      <c r="D607" s="5">
        <v>375</v>
      </c>
      <c r="E607" s="4" t="s">
        <v>3682</v>
      </c>
      <c r="F607" s="4"/>
    </row>
    <row r="608" spans="1:6">
      <c r="A608" s="4"/>
      <c r="B608" s="4"/>
      <c r="C608" s="6">
        <v>41290</v>
      </c>
      <c r="D608" s="5">
        <v>1125</v>
      </c>
      <c r="E608" s="4" t="s">
        <v>3688</v>
      </c>
      <c r="F608" s="4"/>
    </row>
    <row r="609" spans="1:6">
      <c r="A609" s="4"/>
      <c r="B609" s="4"/>
      <c r="C609" s="6">
        <v>41290</v>
      </c>
      <c r="D609" s="5">
        <v>4875</v>
      </c>
      <c r="E609" s="4" t="s">
        <v>3688</v>
      </c>
      <c r="F609" s="4"/>
    </row>
    <row r="610" spans="1:6">
      <c r="A610" s="4">
        <v>33</v>
      </c>
      <c r="B610" s="4" t="s">
        <v>3220</v>
      </c>
      <c r="C610" s="6">
        <v>41112</v>
      </c>
      <c r="D610" s="5">
        <v>1875</v>
      </c>
      <c r="E610" s="4" t="s">
        <v>3644</v>
      </c>
      <c r="F610" s="4"/>
    </row>
    <row r="611" spans="1:6">
      <c r="A611" s="4"/>
      <c r="B611" s="4"/>
      <c r="C611" s="6">
        <v>41113</v>
      </c>
      <c r="D611" s="5">
        <v>1500</v>
      </c>
      <c r="E611" s="4" t="s">
        <v>3644</v>
      </c>
      <c r="F611" s="4"/>
    </row>
    <row r="612" spans="1:6">
      <c r="A612" s="4"/>
      <c r="B612" s="4"/>
      <c r="C612" s="6">
        <v>41114</v>
      </c>
      <c r="D612" s="5">
        <v>1125</v>
      </c>
      <c r="E612" s="4" t="s">
        <v>3644</v>
      </c>
      <c r="F612" s="4"/>
    </row>
    <row r="613" spans="1:6">
      <c r="A613" s="4"/>
      <c r="B613" s="4"/>
      <c r="C613" s="6">
        <v>41115</v>
      </c>
      <c r="D613" s="5">
        <v>1125</v>
      </c>
      <c r="E613" s="4" t="s">
        <v>3644</v>
      </c>
      <c r="F613" s="4"/>
    </row>
    <row r="614" spans="1:6">
      <c r="A614" s="4"/>
      <c r="B614" s="4"/>
      <c r="C614" s="6">
        <v>41116</v>
      </c>
      <c r="D614" s="5">
        <v>1125</v>
      </c>
      <c r="E614" s="4" t="s">
        <v>3644</v>
      </c>
      <c r="F614" s="4"/>
    </row>
    <row r="615" spans="1:6">
      <c r="A615" s="4"/>
      <c r="B615" s="4"/>
      <c r="C615" s="6">
        <v>41118</v>
      </c>
      <c r="D615" s="5">
        <v>1500</v>
      </c>
      <c r="E615" s="4" t="s">
        <v>3644</v>
      </c>
      <c r="F615" s="4"/>
    </row>
    <row r="616" spans="1:6">
      <c r="A616" s="4"/>
      <c r="B616" s="4"/>
      <c r="C616" s="6">
        <v>41130</v>
      </c>
      <c r="D616" s="5">
        <v>1125</v>
      </c>
      <c r="E616" s="4" t="s">
        <v>3661</v>
      </c>
      <c r="F616" s="4"/>
    </row>
    <row r="617" spans="1:6">
      <c r="A617" s="4"/>
      <c r="B617" s="4"/>
      <c r="C617" s="6">
        <v>41135</v>
      </c>
      <c r="D617" s="5">
        <v>3000</v>
      </c>
      <c r="E617" s="4" t="s">
        <v>3661</v>
      </c>
      <c r="F617" s="4"/>
    </row>
    <row r="618" spans="1:6">
      <c r="A618" s="4"/>
      <c r="B618" s="4"/>
      <c r="C618" s="6">
        <v>41137</v>
      </c>
      <c r="D618" s="5">
        <v>1125</v>
      </c>
      <c r="E618" s="4" t="s">
        <v>3661</v>
      </c>
      <c r="F618" s="4"/>
    </row>
    <row r="619" spans="1:6">
      <c r="A619" s="4"/>
      <c r="B619" s="4"/>
      <c r="C619" s="6">
        <v>41145</v>
      </c>
      <c r="D619" s="5">
        <v>1500</v>
      </c>
      <c r="E619" s="4" t="s">
        <v>3661</v>
      </c>
      <c r="F619" s="4"/>
    </row>
    <row r="620" spans="1:6">
      <c r="A620" s="4"/>
      <c r="B620" s="4"/>
      <c r="C620" s="6">
        <v>41151</v>
      </c>
      <c r="D620" s="5">
        <v>2625</v>
      </c>
      <c r="E620" s="4" t="s">
        <v>3661</v>
      </c>
      <c r="F620" s="4"/>
    </row>
    <row r="621" spans="1:6">
      <c r="A621" s="4"/>
      <c r="B621" s="4"/>
      <c r="C621" s="6">
        <v>41153</v>
      </c>
      <c r="D621" s="5">
        <v>1125</v>
      </c>
      <c r="E621" s="4" t="s">
        <v>2575</v>
      </c>
      <c r="F621" s="4"/>
    </row>
    <row r="622" spans="1:6">
      <c r="A622" s="4"/>
      <c r="B622" s="4"/>
      <c r="C622" s="6">
        <v>41162</v>
      </c>
      <c r="D622" s="5">
        <v>1875</v>
      </c>
      <c r="E622" s="4" t="s">
        <v>2575</v>
      </c>
      <c r="F622" s="4"/>
    </row>
    <row r="623" spans="1:6">
      <c r="A623" s="4"/>
      <c r="B623" s="4"/>
      <c r="C623" s="6">
        <v>41278</v>
      </c>
      <c r="D623" s="5">
        <v>375</v>
      </c>
      <c r="E623" s="4" t="s">
        <v>1370</v>
      </c>
      <c r="F623" s="4"/>
    </row>
    <row r="624" spans="1:6">
      <c r="A624" s="4"/>
      <c r="B624" s="4"/>
      <c r="C624" s="6">
        <v>41278</v>
      </c>
      <c r="D624" s="5">
        <v>1125</v>
      </c>
      <c r="E624" s="4" t="s">
        <v>1370</v>
      </c>
      <c r="F624" s="4"/>
    </row>
    <row r="625" spans="1:6">
      <c r="A625" s="4"/>
      <c r="B625" s="4"/>
      <c r="C625" s="6">
        <v>41278</v>
      </c>
      <c r="D625" s="5">
        <v>1125</v>
      </c>
      <c r="E625" s="4" t="s">
        <v>1370</v>
      </c>
      <c r="F625" s="4"/>
    </row>
    <row r="626" spans="1:6">
      <c r="A626" s="4"/>
      <c r="B626" s="4"/>
      <c r="C626" s="6">
        <v>41278</v>
      </c>
      <c r="D626" s="5">
        <v>1500</v>
      </c>
      <c r="E626" s="4" t="s">
        <v>1370</v>
      </c>
      <c r="F626" s="4"/>
    </row>
    <row r="627" spans="1:6">
      <c r="A627" s="4"/>
      <c r="B627" s="4"/>
      <c r="C627" s="6">
        <v>41286</v>
      </c>
      <c r="D627" s="5">
        <v>2250</v>
      </c>
      <c r="E627" s="4" t="s">
        <v>3830</v>
      </c>
      <c r="F627" s="4"/>
    </row>
    <row r="628" spans="1:6">
      <c r="A628" s="4"/>
      <c r="B628" s="4"/>
      <c r="C628" s="6">
        <v>41286</v>
      </c>
      <c r="D628" s="5">
        <v>3375</v>
      </c>
      <c r="E628" s="4" t="s">
        <v>3830</v>
      </c>
      <c r="F628" s="4"/>
    </row>
    <row r="629" spans="1:6">
      <c r="A629" s="4"/>
      <c r="B629" s="4"/>
      <c r="C629" s="6">
        <v>41286</v>
      </c>
      <c r="D629" s="5">
        <v>3000</v>
      </c>
      <c r="E629" s="4" t="s">
        <v>3830</v>
      </c>
      <c r="F629" s="4"/>
    </row>
    <row r="630" spans="1:6">
      <c r="A630" s="4">
        <v>34</v>
      </c>
      <c r="B630" s="4" t="s">
        <v>3753</v>
      </c>
      <c r="C630" s="6">
        <v>41112</v>
      </c>
      <c r="D630" s="5">
        <v>2250</v>
      </c>
      <c r="E630" s="4" t="s">
        <v>212</v>
      </c>
      <c r="F630" s="4"/>
    </row>
    <row r="631" spans="1:6">
      <c r="A631" s="4"/>
      <c r="B631" s="4"/>
      <c r="C631" s="6">
        <v>41116</v>
      </c>
      <c r="D631" s="5">
        <v>1500</v>
      </c>
      <c r="E631" s="4" t="s">
        <v>212</v>
      </c>
      <c r="F631" s="4"/>
    </row>
    <row r="632" spans="1:6">
      <c r="A632" s="4"/>
      <c r="B632" s="4"/>
      <c r="C632" s="6">
        <v>41131</v>
      </c>
      <c r="D632" s="5">
        <v>1500</v>
      </c>
      <c r="E632" s="4" t="s">
        <v>2224</v>
      </c>
      <c r="F632" s="4"/>
    </row>
    <row r="633" spans="1:6">
      <c r="A633" s="4"/>
      <c r="B633" s="4"/>
      <c r="C633" s="6">
        <v>41136</v>
      </c>
      <c r="D633" s="5">
        <v>1315</v>
      </c>
      <c r="E633" s="4" t="s">
        <v>2224</v>
      </c>
      <c r="F633" s="4"/>
    </row>
    <row r="634" spans="1:6">
      <c r="A634" s="4"/>
      <c r="B634" s="4"/>
      <c r="C634" s="6">
        <v>41139</v>
      </c>
      <c r="D634" s="5">
        <v>1500</v>
      </c>
      <c r="E634" s="4" t="s">
        <v>2224</v>
      </c>
      <c r="F634" s="4"/>
    </row>
    <row r="635" spans="1:6">
      <c r="A635" s="4"/>
      <c r="B635" s="4"/>
      <c r="C635" s="6">
        <v>41144</v>
      </c>
      <c r="D635" s="5">
        <v>750</v>
      </c>
      <c r="E635" s="4" t="s">
        <v>2224</v>
      </c>
      <c r="F635" s="4"/>
    </row>
    <row r="636" spans="1:6">
      <c r="A636" s="4"/>
      <c r="B636" s="4"/>
      <c r="C636" s="6">
        <v>41146</v>
      </c>
      <c r="D636" s="5">
        <v>190</v>
      </c>
      <c r="E636" s="4" t="s">
        <v>2224</v>
      </c>
      <c r="F636" s="4"/>
    </row>
    <row r="637" spans="1:6">
      <c r="A637" s="4"/>
      <c r="B637" s="4"/>
      <c r="C637" s="6">
        <v>41150</v>
      </c>
      <c r="D637" s="5">
        <v>1875</v>
      </c>
      <c r="E637" s="4" t="s">
        <v>2224</v>
      </c>
      <c r="F637" s="4"/>
    </row>
    <row r="638" spans="1:6">
      <c r="A638" s="4"/>
      <c r="B638" s="4"/>
      <c r="C638" s="6">
        <v>41157</v>
      </c>
      <c r="D638" s="5">
        <v>750</v>
      </c>
      <c r="E638" s="4" t="s">
        <v>2771</v>
      </c>
      <c r="F638" s="4"/>
    </row>
    <row r="639" spans="1:6">
      <c r="A639" s="4"/>
      <c r="B639" s="4"/>
      <c r="C639" s="6">
        <v>41161</v>
      </c>
      <c r="D639" s="5">
        <v>190</v>
      </c>
      <c r="E639" s="4" t="s">
        <v>2771</v>
      </c>
      <c r="F639" s="4"/>
    </row>
    <row r="640" spans="1:6">
      <c r="A640" s="4"/>
      <c r="B640" s="4"/>
      <c r="C640" s="6">
        <v>41164</v>
      </c>
      <c r="D640" s="5">
        <v>375</v>
      </c>
      <c r="E640" s="4" t="s">
        <v>2771</v>
      </c>
      <c r="F640" s="4"/>
    </row>
    <row r="641" spans="1:6">
      <c r="A641" s="4"/>
      <c r="B641" s="4"/>
      <c r="C641" s="6">
        <v>41167</v>
      </c>
      <c r="D641" s="5">
        <v>1500</v>
      </c>
      <c r="E641" s="4" t="s">
        <v>2771</v>
      </c>
      <c r="F641" s="4"/>
    </row>
    <row r="642" spans="1:6">
      <c r="A642" s="4"/>
      <c r="B642" s="4"/>
      <c r="C642" s="6">
        <v>41172</v>
      </c>
      <c r="D642" s="5">
        <v>750</v>
      </c>
      <c r="E642" s="4" t="s">
        <v>2771</v>
      </c>
      <c r="F642" s="4"/>
    </row>
    <row r="643" spans="1:6">
      <c r="A643" s="4"/>
      <c r="B643" s="4"/>
      <c r="C643" s="6">
        <v>41176</v>
      </c>
      <c r="D643" s="5">
        <v>190</v>
      </c>
      <c r="E643" s="4" t="s">
        <v>2771</v>
      </c>
      <c r="F643" s="4"/>
    </row>
    <row r="644" spans="1:6">
      <c r="A644" s="4"/>
      <c r="B644" s="4"/>
      <c r="C644" s="6">
        <v>41180</v>
      </c>
      <c r="D644" s="5">
        <v>375</v>
      </c>
      <c r="E644" s="4" t="s">
        <v>2771</v>
      </c>
      <c r="F644" s="4"/>
    </row>
    <row r="645" spans="1:6">
      <c r="A645" s="4"/>
      <c r="B645" s="4"/>
      <c r="C645" s="6">
        <v>41181</v>
      </c>
      <c r="D645" s="5">
        <v>1500</v>
      </c>
      <c r="E645" s="4" t="s">
        <v>882</v>
      </c>
      <c r="F645" s="4"/>
    </row>
    <row r="646" spans="1:6">
      <c r="A646" s="4"/>
      <c r="B646" s="4"/>
      <c r="C646" s="6">
        <v>41187</v>
      </c>
      <c r="D646" s="5">
        <v>750</v>
      </c>
      <c r="E646" s="4" t="s">
        <v>882</v>
      </c>
      <c r="F646" s="4"/>
    </row>
    <row r="647" spans="1:6">
      <c r="A647" s="4"/>
      <c r="B647" s="4"/>
      <c r="C647" s="6">
        <v>41191</v>
      </c>
      <c r="D647" s="5">
        <v>190</v>
      </c>
      <c r="E647" s="4" t="s">
        <v>882</v>
      </c>
      <c r="F647" s="4"/>
    </row>
    <row r="648" spans="1:6">
      <c r="A648" s="4"/>
      <c r="B648" s="4"/>
      <c r="C648" s="6">
        <v>41194</v>
      </c>
      <c r="D648" s="5">
        <v>375</v>
      </c>
      <c r="E648" s="4" t="s">
        <v>882</v>
      </c>
      <c r="F648" s="4"/>
    </row>
    <row r="649" spans="1:6">
      <c r="A649" s="4"/>
      <c r="B649" s="4"/>
      <c r="C649" s="6">
        <v>41196</v>
      </c>
      <c r="D649" s="5">
        <v>1500</v>
      </c>
      <c r="E649" s="4" t="s">
        <v>882</v>
      </c>
      <c r="F649" s="4"/>
    </row>
    <row r="650" spans="1:6">
      <c r="A650" s="4"/>
      <c r="B650" s="4"/>
      <c r="C650" s="6">
        <v>41204</v>
      </c>
      <c r="D650" s="5">
        <v>750</v>
      </c>
      <c r="E650" s="4" t="s">
        <v>882</v>
      </c>
      <c r="F650" s="4"/>
    </row>
    <row r="651" spans="1:6">
      <c r="A651" s="4"/>
      <c r="B651" s="4"/>
      <c r="C651" s="6">
        <v>41206</v>
      </c>
      <c r="D651" s="5">
        <v>190</v>
      </c>
      <c r="E651" s="4" t="s">
        <v>882</v>
      </c>
      <c r="F651" s="4"/>
    </row>
    <row r="652" spans="1:6">
      <c r="A652" s="4"/>
      <c r="B652" s="4"/>
      <c r="C652" s="6">
        <v>41209</v>
      </c>
      <c r="D652" s="5">
        <v>375</v>
      </c>
      <c r="E652" s="4" t="s">
        <v>882</v>
      </c>
      <c r="F652" s="4"/>
    </row>
    <row r="653" spans="1:6">
      <c r="A653" s="4"/>
      <c r="B653" s="4"/>
      <c r="C653" s="6">
        <v>41212</v>
      </c>
      <c r="D653" s="5">
        <v>1500</v>
      </c>
      <c r="E653" s="4" t="s">
        <v>882</v>
      </c>
      <c r="F653" s="4"/>
    </row>
    <row r="654" spans="1:6">
      <c r="A654" s="4"/>
      <c r="B654" s="4"/>
      <c r="C654" s="6">
        <v>41218</v>
      </c>
      <c r="D654" s="5">
        <v>750</v>
      </c>
      <c r="E654" s="4" t="s">
        <v>2554</v>
      </c>
      <c r="F654" s="4"/>
    </row>
    <row r="655" spans="1:6">
      <c r="A655" s="4"/>
      <c r="B655" s="4"/>
      <c r="C655" s="6">
        <v>41222</v>
      </c>
      <c r="D655" s="5">
        <v>190</v>
      </c>
      <c r="E655" s="4" t="s">
        <v>2554</v>
      </c>
      <c r="F655" s="4"/>
    </row>
    <row r="656" spans="1:6">
      <c r="A656" s="4"/>
      <c r="B656" s="4"/>
      <c r="C656" s="6">
        <v>41225</v>
      </c>
      <c r="D656" s="5">
        <v>375</v>
      </c>
      <c r="E656" s="4" t="s">
        <v>2554</v>
      </c>
      <c r="F656" s="4"/>
    </row>
    <row r="657" spans="1:6">
      <c r="A657" s="4"/>
      <c r="B657" s="4"/>
      <c r="C657" s="6">
        <v>41228</v>
      </c>
      <c r="D657" s="5">
        <v>1500</v>
      </c>
      <c r="E657" s="4" t="s">
        <v>2554</v>
      </c>
      <c r="F657" s="4"/>
    </row>
    <row r="658" spans="1:6">
      <c r="A658" s="4"/>
      <c r="B658" s="4"/>
      <c r="C658" s="6">
        <v>41232</v>
      </c>
      <c r="D658" s="5">
        <v>750</v>
      </c>
      <c r="E658" s="4" t="s">
        <v>2554</v>
      </c>
      <c r="F658" s="4"/>
    </row>
    <row r="659" spans="1:6">
      <c r="A659" s="4"/>
      <c r="B659" s="4"/>
      <c r="C659" s="6">
        <v>41239</v>
      </c>
      <c r="D659" s="5">
        <v>565</v>
      </c>
      <c r="E659" s="4" t="s">
        <v>2554</v>
      </c>
      <c r="F659" s="4"/>
    </row>
    <row r="660" spans="1:6">
      <c r="A660" s="4"/>
      <c r="B660" s="4"/>
      <c r="C660" s="6">
        <v>41241</v>
      </c>
      <c r="D660" s="5">
        <v>1500</v>
      </c>
      <c r="E660" s="4" t="s">
        <v>2554</v>
      </c>
      <c r="F660" s="4"/>
    </row>
    <row r="661" spans="1:6">
      <c r="A661" s="4"/>
      <c r="B661" s="4"/>
      <c r="C661" s="6">
        <v>41284</v>
      </c>
      <c r="D661" s="5">
        <v>940</v>
      </c>
      <c r="E661" s="4" t="s">
        <v>3824</v>
      </c>
      <c r="F661" s="4"/>
    </row>
    <row r="662" spans="1:6">
      <c r="A662" s="4"/>
      <c r="B662" s="4"/>
      <c r="C662" s="6">
        <v>41285</v>
      </c>
      <c r="D662" s="5">
        <v>940</v>
      </c>
      <c r="E662" s="4" t="s">
        <v>3827</v>
      </c>
      <c r="F662" s="4"/>
    </row>
    <row r="663" spans="1:6">
      <c r="A663" s="4"/>
      <c r="B663" s="4"/>
      <c r="C663" s="6">
        <v>41285</v>
      </c>
      <c r="D663" s="5">
        <v>1500</v>
      </c>
      <c r="E663" s="4" t="s">
        <v>3828</v>
      </c>
      <c r="F663" s="4"/>
    </row>
    <row r="664" spans="1:6">
      <c r="A664" s="4"/>
      <c r="B664" s="4"/>
      <c r="C664" s="6">
        <v>41285</v>
      </c>
      <c r="D664" s="5">
        <v>380</v>
      </c>
      <c r="E664" s="4" t="s">
        <v>3828</v>
      </c>
      <c r="F664" s="4"/>
    </row>
    <row r="665" spans="1:6">
      <c r="A665" s="4"/>
      <c r="B665" s="4"/>
      <c r="C665" s="6">
        <v>41285</v>
      </c>
      <c r="D665" s="5">
        <v>750</v>
      </c>
      <c r="E665" s="4" t="s">
        <v>3829</v>
      </c>
      <c r="F665" s="4"/>
    </row>
    <row r="666" spans="1:6">
      <c r="A666" s="4">
        <v>35</v>
      </c>
      <c r="B666" s="4" t="s">
        <v>3531</v>
      </c>
      <c r="C666" s="6">
        <v>41098</v>
      </c>
      <c r="D666" s="5">
        <v>5540</v>
      </c>
      <c r="E666" s="4" t="s">
        <v>215</v>
      </c>
      <c r="F666" s="4"/>
    </row>
    <row r="667" spans="1:6">
      <c r="A667" s="4"/>
      <c r="B667" s="4"/>
      <c r="C667" s="6">
        <v>41106</v>
      </c>
      <c r="D667" s="5">
        <v>2250</v>
      </c>
      <c r="E667" s="4" t="s">
        <v>215</v>
      </c>
      <c r="F667" s="4"/>
    </row>
    <row r="668" spans="1:6">
      <c r="A668" s="4"/>
      <c r="B668" s="4"/>
      <c r="C668" s="6">
        <v>41113</v>
      </c>
      <c r="D668" s="5">
        <v>3190</v>
      </c>
      <c r="E668" s="4" t="s">
        <v>215</v>
      </c>
      <c r="F668" s="4"/>
    </row>
    <row r="669" spans="1:6">
      <c r="A669" s="4"/>
      <c r="B669" s="4"/>
      <c r="C669" s="6">
        <v>41115</v>
      </c>
      <c r="D669" s="5">
        <v>1875</v>
      </c>
      <c r="E669" s="4" t="s">
        <v>215</v>
      </c>
      <c r="F669" s="4"/>
    </row>
    <row r="670" spans="1:6">
      <c r="A670" s="4"/>
      <c r="B670" s="4"/>
      <c r="C670" s="6">
        <v>41117</v>
      </c>
      <c r="D670" s="5">
        <v>750</v>
      </c>
      <c r="E670" s="4" t="s">
        <v>215</v>
      </c>
      <c r="F670" s="4"/>
    </row>
    <row r="671" spans="1:6">
      <c r="A671" s="4"/>
      <c r="B671" s="4"/>
      <c r="C671" s="6">
        <v>41120</v>
      </c>
      <c r="D671" s="5">
        <v>1500</v>
      </c>
      <c r="E671" s="4" t="s">
        <v>215</v>
      </c>
      <c r="F671" s="4"/>
    </row>
    <row r="672" spans="1:6">
      <c r="A672" s="4"/>
      <c r="B672" s="4"/>
      <c r="C672" s="6">
        <v>41128</v>
      </c>
      <c r="D672" s="5">
        <v>3190</v>
      </c>
      <c r="E672" s="4" t="s">
        <v>2475</v>
      </c>
      <c r="F672" s="4"/>
    </row>
    <row r="673" spans="1:6">
      <c r="A673" s="4"/>
      <c r="B673" s="4"/>
      <c r="C673" s="6">
        <v>41130</v>
      </c>
      <c r="D673" s="5">
        <v>1875</v>
      </c>
      <c r="E673" s="4" t="s">
        <v>2475</v>
      </c>
      <c r="F673" s="4"/>
    </row>
    <row r="674" spans="1:6">
      <c r="A674" s="4"/>
      <c r="B674" s="4"/>
      <c r="C674" s="6">
        <v>41132</v>
      </c>
      <c r="D674" s="5">
        <v>750</v>
      </c>
      <c r="E674" s="4" t="s">
        <v>2475</v>
      </c>
      <c r="F674" s="4"/>
    </row>
    <row r="675" spans="1:6">
      <c r="A675" s="4"/>
      <c r="B675" s="4"/>
      <c r="C675" s="6">
        <v>41134</v>
      </c>
      <c r="D675" s="5">
        <v>1125</v>
      </c>
      <c r="E675" s="4" t="s">
        <v>2475</v>
      </c>
      <c r="F675" s="4"/>
    </row>
    <row r="676" spans="1:6">
      <c r="A676" s="4"/>
      <c r="B676" s="4"/>
      <c r="C676" s="6">
        <v>41135</v>
      </c>
      <c r="D676" s="5">
        <v>375</v>
      </c>
      <c r="E676" s="4" t="s">
        <v>2475</v>
      </c>
      <c r="F676" s="4"/>
    </row>
    <row r="677" spans="1:6">
      <c r="A677" s="4"/>
      <c r="B677" s="4"/>
      <c r="C677" s="6">
        <v>41144</v>
      </c>
      <c r="D677" s="5">
        <v>5065</v>
      </c>
      <c r="E677" s="4" t="s">
        <v>2475</v>
      </c>
      <c r="F677" s="4"/>
    </row>
    <row r="678" spans="1:6">
      <c r="A678" s="4"/>
      <c r="B678" s="4"/>
      <c r="C678" s="6">
        <v>41148</v>
      </c>
      <c r="D678" s="5">
        <v>2250</v>
      </c>
      <c r="E678" s="4" t="s">
        <v>2475</v>
      </c>
      <c r="F678" s="4"/>
    </row>
    <row r="679" spans="1:6">
      <c r="A679" s="4"/>
      <c r="B679" s="4"/>
      <c r="C679" s="6">
        <v>41159</v>
      </c>
      <c r="D679" s="5">
        <v>3190</v>
      </c>
      <c r="E679" s="4" t="s">
        <v>2779</v>
      </c>
      <c r="F679" s="4"/>
    </row>
    <row r="680" spans="1:6">
      <c r="A680" s="4"/>
      <c r="B680" s="4"/>
      <c r="C680" s="6">
        <v>41161</v>
      </c>
      <c r="D680" s="5">
        <v>1875</v>
      </c>
      <c r="E680" s="4" t="s">
        <v>2779</v>
      </c>
      <c r="F680" s="4"/>
    </row>
    <row r="681" spans="1:6">
      <c r="A681" s="4"/>
      <c r="B681" s="4"/>
      <c r="C681" s="6">
        <v>41163</v>
      </c>
      <c r="D681" s="5">
        <v>750</v>
      </c>
      <c r="E681" s="4" t="s">
        <v>2779</v>
      </c>
      <c r="F681" s="4"/>
    </row>
    <row r="682" spans="1:6">
      <c r="A682" s="4"/>
      <c r="B682" s="4"/>
      <c r="C682" s="6">
        <v>41164</v>
      </c>
      <c r="D682" s="5">
        <v>1125</v>
      </c>
      <c r="E682" s="4" t="s">
        <v>2779</v>
      </c>
      <c r="F682" s="4"/>
    </row>
    <row r="683" spans="1:6">
      <c r="A683" s="4"/>
      <c r="B683" s="4"/>
      <c r="C683" s="6">
        <v>41165</v>
      </c>
      <c r="D683" s="5">
        <v>375</v>
      </c>
      <c r="E683" s="4" t="s">
        <v>2779</v>
      </c>
      <c r="F683" s="4"/>
    </row>
    <row r="684" spans="1:6">
      <c r="A684" s="4"/>
      <c r="B684" s="4"/>
      <c r="C684" s="6">
        <v>41173</v>
      </c>
      <c r="D684" s="5">
        <v>3190</v>
      </c>
      <c r="E684" s="4" t="s">
        <v>2779</v>
      </c>
      <c r="F684" s="4"/>
    </row>
    <row r="685" spans="1:6">
      <c r="A685" s="4"/>
      <c r="B685" s="4"/>
      <c r="C685" s="6">
        <v>41176</v>
      </c>
      <c r="D685" s="5">
        <v>1875</v>
      </c>
      <c r="E685" s="4" t="s">
        <v>2779</v>
      </c>
      <c r="F685" s="4"/>
    </row>
    <row r="686" spans="1:6">
      <c r="A686" s="4"/>
      <c r="B686" s="4"/>
      <c r="C686" s="6">
        <v>41178</v>
      </c>
      <c r="D686" s="5">
        <v>750</v>
      </c>
      <c r="E686" s="4" t="s">
        <v>2779</v>
      </c>
      <c r="F686" s="4"/>
    </row>
    <row r="687" spans="1:6">
      <c r="A687" s="4"/>
      <c r="B687" s="4"/>
      <c r="C687" s="6">
        <v>41183</v>
      </c>
      <c r="D687" s="5">
        <v>1500</v>
      </c>
      <c r="E687" s="4" t="s">
        <v>883</v>
      </c>
      <c r="F687" s="4"/>
    </row>
    <row r="688" spans="1:6">
      <c r="A688" s="4"/>
      <c r="B688" s="4"/>
      <c r="C688" s="6">
        <v>41188</v>
      </c>
      <c r="D688" s="5">
        <v>3190</v>
      </c>
      <c r="E688" s="4" t="s">
        <v>883</v>
      </c>
      <c r="F688" s="4"/>
    </row>
    <row r="689" spans="1:6">
      <c r="A689" s="4"/>
      <c r="B689" s="4"/>
      <c r="C689" s="6">
        <v>41190</v>
      </c>
      <c r="D689" s="5">
        <v>1875</v>
      </c>
      <c r="E689" s="4" t="s">
        <v>883</v>
      </c>
      <c r="F689" s="4"/>
    </row>
    <row r="690" spans="1:6">
      <c r="A690" s="4"/>
      <c r="B690" s="4"/>
      <c r="C690" s="6">
        <v>41193</v>
      </c>
      <c r="D690" s="5">
        <v>750</v>
      </c>
      <c r="E690" s="4" t="s">
        <v>883</v>
      </c>
      <c r="F690" s="4"/>
    </row>
    <row r="691" spans="1:6">
      <c r="A691" s="4"/>
      <c r="B691" s="4"/>
      <c r="C691" s="6">
        <v>41194</v>
      </c>
      <c r="D691" s="5">
        <v>1125</v>
      </c>
      <c r="E691" s="4" t="s">
        <v>883</v>
      </c>
      <c r="F691" s="4"/>
    </row>
    <row r="692" spans="1:6">
      <c r="A692" s="4"/>
      <c r="B692" s="4"/>
      <c r="C692" s="6">
        <v>41195</v>
      </c>
      <c r="D692" s="5">
        <v>375</v>
      </c>
      <c r="E692" s="4" t="s">
        <v>883</v>
      </c>
      <c r="F692" s="4"/>
    </row>
    <row r="693" spans="1:6">
      <c r="A693" s="4"/>
      <c r="B693" s="4"/>
      <c r="C693" s="6">
        <v>41204</v>
      </c>
      <c r="D693" s="5">
        <f>3190+1875</f>
        <v>5065</v>
      </c>
      <c r="E693" s="4" t="s">
        <v>883</v>
      </c>
      <c r="F693" s="4"/>
    </row>
    <row r="694" spans="1:6">
      <c r="A694" s="4"/>
      <c r="B694" s="4"/>
      <c r="C694" s="6">
        <v>41207</v>
      </c>
      <c r="D694" s="5">
        <v>750</v>
      </c>
      <c r="E694" s="4" t="s">
        <v>883</v>
      </c>
      <c r="F694" s="4"/>
    </row>
    <row r="695" spans="1:6">
      <c r="A695" s="4"/>
      <c r="B695" s="4"/>
      <c r="C695" s="6">
        <v>41209</v>
      </c>
      <c r="D695" s="5">
        <v>1125</v>
      </c>
      <c r="E695" s="4" t="s">
        <v>883</v>
      </c>
      <c r="F695" s="4"/>
    </row>
    <row r="696" spans="1:6">
      <c r="A696" s="4"/>
      <c r="B696" s="4"/>
      <c r="C696" s="6">
        <v>41211</v>
      </c>
      <c r="D696" s="5">
        <v>375</v>
      </c>
      <c r="E696" s="4" t="s">
        <v>883</v>
      </c>
      <c r="F696" s="4"/>
    </row>
    <row r="697" spans="1:6">
      <c r="A697" s="4"/>
      <c r="B697" s="4"/>
      <c r="C697" s="6">
        <v>41219</v>
      </c>
      <c r="D697" s="5">
        <v>5065</v>
      </c>
      <c r="E697" s="4" t="s">
        <v>2562</v>
      </c>
      <c r="F697" s="4"/>
    </row>
    <row r="698" spans="1:6">
      <c r="A698" s="4"/>
      <c r="B698" s="4"/>
      <c r="C698" s="6">
        <v>41222</v>
      </c>
      <c r="D698" s="5">
        <v>750</v>
      </c>
      <c r="E698" s="4" t="s">
        <v>2562</v>
      </c>
      <c r="F698" s="4"/>
    </row>
    <row r="699" spans="1:6">
      <c r="A699" s="4"/>
      <c r="B699" s="4"/>
      <c r="C699" s="6">
        <v>41225</v>
      </c>
      <c r="D699" s="5">
        <v>1500</v>
      </c>
      <c r="E699" s="4" t="s">
        <v>2562</v>
      </c>
      <c r="F699" s="4"/>
    </row>
    <row r="700" spans="1:6">
      <c r="A700" s="4"/>
      <c r="B700" s="4"/>
      <c r="C700" s="6">
        <v>41233</v>
      </c>
      <c r="D700" s="5">
        <v>3190</v>
      </c>
      <c r="E700" s="4" t="s">
        <v>2562</v>
      </c>
      <c r="F700" s="4"/>
    </row>
    <row r="701" spans="1:6">
      <c r="A701" s="4"/>
      <c r="B701" s="4"/>
      <c r="C701" s="6">
        <v>41235</v>
      </c>
      <c r="D701" s="5">
        <v>1875</v>
      </c>
      <c r="E701" s="4" t="s">
        <v>2562</v>
      </c>
      <c r="F701" s="4"/>
    </row>
    <row r="702" spans="1:6">
      <c r="A702" s="4"/>
      <c r="B702" s="4"/>
      <c r="C702" s="6">
        <v>41237</v>
      </c>
      <c r="D702" s="5">
        <v>750</v>
      </c>
      <c r="E702" s="4" t="s">
        <v>2562</v>
      </c>
      <c r="F702" s="4"/>
    </row>
    <row r="703" spans="1:6">
      <c r="A703" s="4"/>
      <c r="B703" s="4"/>
      <c r="C703" s="6">
        <v>41240</v>
      </c>
      <c r="D703" s="5">
        <v>1500</v>
      </c>
      <c r="E703" s="4" t="s">
        <v>2562</v>
      </c>
      <c r="F703" s="4"/>
    </row>
    <row r="704" spans="1:6">
      <c r="A704" s="4"/>
      <c r="B704" s="4"/>
      <c r="C704" s="6">
        <v>41251</v>
      </c>
      <c r="D704" s="5">
        <v>5065</v>
      </c>
      <c r="E704" s="4" t="s">
        <v>1354</v>
      </c>
      <c r="F704" s="4"/>
    </row>
    <row r="705" spans="1:6">
      <c r="A705" s="4"/>
      <c r="B705" s="4"/>
      <c r="C705" s="6">
        <v>41254</v>
      </c>
      <c r="D705" s="5">
        <v>1875</v>
      </c>
      <c r="E705" s="4" t="s">
        <v>1354</v>
      </c>
      <c r="F705" s="4"/>
    </row>
    <row r="706" spans="1:6">
      <c r="A706" s="4"/>
      <c r="B706" s="4"/>
      <c r="C706" s="6">
        <v>41256</v>
      </c>
      <c r="D706" s="5">
        <v>375</v>
      </c>
      <c r="E706" s="4" t="s">
        <v>1354</v>
      </c>
      <c r="F706" s="4"/>
    </row>
    <row r="707" spans="1:6">
      <c r="A707" s="4"/>
      <c r="B707" s="4"/>
      <c r="C707" s="6">
        <v>41261</v>
      </c>
      <c r="D707" s="5">
        <v>375</v>
      </c>
      <c r="E707" s="4" t="s">
        <v>1354</v>
      </c>
      <c r="F707" s="4"/>
    </row>
    <row r="708" spans="1:6">
      <c r="A708" s="4"/>
      <c r="B708" s="4"/>
      <c r="C708" s="6">
        <v>41267</v>
      </c>
      <c r="D708" s="5">
        <v>5065</v>
      </c>
      <c r="E708" s="4" t="s">
        <v>1354</v>
      </c>
      <c r="F708" s="4"/>
    </row>
    <row r="709" spans="1:6">
      <c r="A709" s="4"/>
      <c r="B709" s="4"/>
      <c r="C709" s="6">
        <v>41271</v>
      </c>
      <c r="D709" s="5">
        <v>2250</v>
      </c>
      <c r="E709" s="4" t="s">
        <v>1354</v>
      </c>
      <c r="F709" s="4"/>
    </row>
    <row r="710" spans="1:6">
      <c r="A710" s="4"/>
      <c r="B710" s="4"/>
      <c r="C710" s="6">
        <v>41277</v>
      </c>
      <c r="D710" s="5">
        <v>375</v>
      </c>
      <c r="E710" s="4" t="s">
        <v>1368</v>
      </c>
      <c r="F710" s="4"/>
    </row>
    <row r="711" spans="1:6">
      <c r="A711" s="4"/>
      <c r="B711" s="4"/>
      <c r="C711" s="6">
        <v>41284</v>
      </c>
      <c r="D711" s="5">
        <v>3190</v>
      </c>
      <c r="E711" s="4" t="s">
        <v>3824</v>
      </c>
      <c r="F711" s="4"/>
    </row>
    <row r="712" spans="1:6">
      <c r="A712" s="4"/>
      <c r="B712" s="4"/>
      <c r="C712" s="6">
        <v>41284</v>
      </c>
      <c r="D712" s="5">
        <v>750</v>
      </c>
      <c r="E712" s="4" t="s">
        <v>3824</v>
      </c>
      <c r="F712" s="4"/>
    </row>
    <row r="713" spans="1:6">
      <c r="A713" s="4"/>
      <c r="B713" s="4"/>
      <c r="C713" s="6">
        <v>41288</v>
      </c>
      <c r="D713" s="5">
        <v>1125</v>
      </c>
      <c r="E713" s="4" t="s">
        <v>3662</v>
      </c>
      <c r="F713" s="4"/>
    </row>
    <row r="714" spans="1:6">
      <c r="A714" s="4"/>
      <c r="B714" s="4"/>
      <c r="C714" s="6">
        <v>41288</v>
      </c>
      <c r="D714" s="5">
        <v>375</v>
      </c>
      <c r="E714" s="4" t="s">
        <v>3662</v>
      </c>
      <c r="F714" s="4"/>
    </row>
    <row r="715" spans="1:6">
      <c r="A715" s="4"/>
      <c r="B715" s="4"/>
      <c r="C715" s="6">
        <v>41291</v>
      </c>
      <c r="D715" s="5">
        <v>375</v>
      </c>
      <c r="E715" s="4" t="s">
        <v>3668</v>
      </c>
      <c r="F715" s="4"/>
    </row>
    <row r="716" spans="1:6">
      <c r="A716" s="4">
        <v>36</v>
      </c>
      <c r="B716" s="4" t="s">
        <v>318</v>
      </c>
      <c r="C716" s="6">
        <v>41177</v>
      </c>
      <c r="D716" s="5">
        <v>1500</v>
      </c>
      <c r="E716" s="4" t="s">
        <v>2573</v>
      </c>
      <c r="F716" s="4"/>
    </row>
    <row r="717" spans="1:6">
      <c r="A717" s="4"/>
      <c r="B717" s="4"/>
      <c r="C717" s="6">
        <v>41188</v>
      </c>
      <c r="D717" s="5">
        <v>750</v>
      </c>
      <c r="E717" s="4" t="s">
        <v>2573</v>
      </c>
      <c r="F717" s="4"/>
    </row>
    <row r="718" spans="1:6">
      <c r="A718" s="4"/>
      <c r="B718" s="4"/>
      <c r="C718" s="6">
        <v>41193</v>
      </c>
      <c r="D718" s="5">
        <v>1500</v>
      </c>
      <c r="E718" s="4" t="s">
        <v>2573</v>
      </c>
      <c r="F718" s="4"/>
    </row>
    <row r="719" spans="1:6">
      <c r="A719" s="4"/>
      <c r="B719" s="4"/>
      <c r="C719" s="6">
        <v>41198</v>
      </c>
      <c r="D719" s="5">
        <v>1500</v>
      </c>
      <c r="E719" s="4" t="s">
        <v>2573</v>
      </c>
      <c r="F719" s="4"/>
    </row>
    <row r="720" spans="1:6">
      <c r="A720" s="4"/>
      <c r="B720" s="4"/>
      <c r="C720" s="6">
        <v>41209</v>
      </c>
      <c r="D720" s="5">
        <v>1500</v>
      </c>
      <c r="E720" s="4" t="s">
        <v>2573</v>
      </c>
      <c r="F720" s="4"/>
    </row>
    <row r="721" spans="1:6">
      <c r="A721" s="4"/>
      <c r="B721" s="4"/>
      <c r="C721" s="6">
        <v>41215</v>
      </c>
      <c r="D721" s="5">
        <v>1500</v>
      </c>
      <c r="E721" s="4" t="s">
        <v>2544</v>
      </c>
      <c r="F721" s="4"/>
    </row>
    <row r="722" spans="1:6">
      <c r="A722" s="4"/>
      <c r="B722" s="4"/>
      <c r="C722" s="6">
        <v>41222</v>
      </c>
      <c r="D722" s="5">
        <v>1500</v>
      </c>
      <c r="E722" s="4" t="s">
        <v>2544</v>
      </c>
      <c r="F722" s="4"/>
    </row>
    <row r="723" spans="1:6">
      <c r="A723" s="4"/>
      <c r="B723" s="4"/>
      <c r="C723" s="6">
        <v>41230</v>
      </c>
      <c r="D723" s="5">
        <v>1500</v>
      </c>
      <c r="E723" s="4" t="s">
        <v>2544</v>
      </c>
      <c r="F723" s="4"/>
    </row>
    <row r="724" spans="1:6">
      <c r="A724" s="4"/>
      <c r="B724" s="4"/>
      <c r="C724" s="6">
        <v>41237</v>
      </c>
      <c r="D724" s="5">
        <v>1500</v>
      </c>
      <c r="E724" s="4" t="s">
        <v>2544</v>
      </c>
      <c r="F724" s="4"/>
    </row>
    <row r="725" spans="1:6">
      <c r="A725" s="4"/>
      <c r="B725" s="4"/>
      <c r="C725" s="6">
        <v>41249</v>
      </c>
      <c r="D725" s="5">
        <v>1500</v>
      </c>
      <c r="E725" s="4" t="s">
        <v>1360</v>
      </c>
      <c r="F725" s="4"/>
    </row>
    <row r="726" spans="1:6">
      <c r="A726" s="4"/>
      <c r="B726" s="4"/>
      <c r="C726" s="6">
        <v>41256</v>
      </c>
      <c r="D726" s="5">
        <v>1690</v>
      </c>
      <c r="E726" s="4" t="s">
        <v>1360</v>
      </c>
      <c r="F726" s="4"/>
    </row>
    <row r="727" spans="1:6">
      <c r="A727" s="4"/>
      <c r="B727" s="4"/>
      <c r="C727" s="6">
        <v>41274</v>
      </c>
      <c r="D727" s="5">
        <v>3000</v>
      </c>
      <c r="E727" s="4" t="s">
        <v>1360</v>
      </c>
      <c r="F727" s="4"/>
    </row>
    <row r="728" spans="1:6">
      <c r="A728" s="4"/>
      <c r="B728" s="4"/>
      <c r="C728" s="6">
        <v>41276</v>
      </c>
      <c r="D728" s="5">
        <v>190</v>
      </c>
      <c r="E728" s="4" t="s">
        <v>1366</v>
      </c>
      <c r="F728" s="4"/>
    </row>
    <row r="729" spans="1:6">
      <c r="A729" s="4">
        <v>37</v>
      </c>
      <c r="B729" s="4" t="s">
        <v>3809</v>
      </c>
      <c r="C729" s="6">
        <v>41101</v>
      </c>
      <c r="D729" s="5">
        <v>375</v>
      </c>
      <c r="E729" s="4" t="s">
        <v>3262</v>
      </c>
      <c r="F729" s="4"/>
    </row>
    <row r="730" spans="1:6">
      <c r="A730" s="4"/>
      <c r="B730" s="4"/>
      <c r="C730" s="6">
        <v>41112</v>
      </c>
      <c r="D730" s="5">
        <v>2250</v>
      </c>
      <c r="E730" s="4" t="s">
        <v>3262</v>
      </c>
      <c r="F730" s="4"/>
    </row>
    <row r="731" spans="1:6">
      <c r="A731" s="4"/>
      <c r="B731" s="4"/>
      <c r="C731" s="6">
        <v>41115</v>
      </c>
      <c r="D731" s="5">
        <v>375</v>
      </c>
      <c r="E731" s="4" t="s">
        <v>3262</v>
      </c>
      <c r="F731" s="4"/>
    </row>
    <row r="732" spans="1:6">
      <c r="A732" s="4"/>
      <c r="B732" s="4"/>
      <c r="C732" s="6">
        <v>41117</v>
      </c>
      <c r="D732" s="5">
        <v>1500</v>
      </c>
      <c r="E732" s="4" t="s">
        <v>3262</v>
      </c>
      <c r="F732" s="4"/>
    </row>
    <row r="733" spans="1:6">
      <c r="A733" s="4"/>
      <c r="B733" s="4"/>
      <c r="C733" s="6">
        <v>41132</v>
      </c>
      <c r="D733" s="5">
        <v>1500</v>
      </c>
      <c r="E733" s="4" t="s">
        <v>2474</v>
      </c>
      <c r="F733" s="4"/>
    </row>
    <row r="734" spans="1:6">
      <c r="A734" s="4"/>
      <c r="B734" s="4"/>
      <c r="C734" s="6">
        <v>41138</v>
      </c>
      <c r="D734" s="5">
        <v>1500</v>
      </c>
      <c r="E734" s="4" t="s">
        <v>2474</v>
      </c>
      <c r="F734" s="4"/>
    </row>
    <row r="735" spans="1:6">
      <c r="A735" s="4"/>
      <c r="B735" s="4"/>
      <c r="C735" s="6">
        <v>41151</v>
      </c>
      <c r="D735" s="5">
        <v>3000</v>
      </c>
      <c r="E735" s="4" t="s">
        <v>2474</v>
      </c>
      <c r="F735" s="4"/>
    </row>
    <row r="736" spans="1:6">
      <c r="A736" s="4">
        <v>38</v>
      </c>
      <c r="B736" s="4" t="s">
        <v>3813</v>
      </c>
      <c r="C736" s="6">
        <v>41128</v>
      </c>
      <c r="D736" s="5">
        <v>12000</v>
      </c>
      <c r="E736" s="4" t="s">
        <v>2473</v>
      </c>
      <c r="F736" s="4"/>
    </row>
    <row r="737" spans="1:6">
      <c r="A737" s="4"/>
      <c r="B737" s="4"/>
      <c r="C737" s="6">
        <v>41139</v>
      </c>
      <c r="D737" s="5">
        <v>12000</v>
      </c>
      <c r="E737" s="4" t="s">
        <v>2473</v>
      </c>
      <c r="F737" s="4"/>
    </row>
    <row r="738" spans="1:6">
      <c r="A738" s="4"/>
      <c r="B738" s="4"/>
      <c r="C738" s="6">
        <v>41150</v>
      </c>
      <c r="D738" s="5">
        <v>12000</v>
      </c>
      <c r="E738" s="4" t="s">
        <v>2473</v>
      </c>
      <c r="F738" s="4"/>
    </row>
    <row r="739" spans="1:6">
      <c r="A739" s="4"/>
      <c r="B739" s="4"/>
      <c r="C739" s="6">
        <v>41155</v>
      </c>
      <c r="D739" s="5">
        <v>6750</v>
      </c>
      <c r="E739" s="4" t="s">
        <v>2782</v>
      </c>
      <c r="F739" s="4"/>
    </row>
    <row r="740" spans="1:6">
      <c r="A740" s="4"/>
      <c r="B740" s="4"/>
      <c r="C740" s="6">
        <v>41159</v>
      </c>
      <c r="D740" s="5">
        <v>2250</v>
      </c>
      <c r="E740" s="4" t="s">
        <v>2782</v>
      </c>
      <c r="F740" s="4"/>
    </row>
    <row r="741" spans="1:6">
      <c r="A741" s="4"/>
      <c r="B741" s="4"/>
      <c r="C741" s="6">
        <v>41161</v>
      </c>
      <c r="D741" s="5">
        <v>3000</v>
      </c>
      <c r="E741" s="4" t="s">
        <v>2782</v>
      </c>
      <c r="F741" s="4"/>
    </row>
    <row r="742" spans="1:6">
      <c r="A742" s="4"/>
      <c r="B742" s="4"/>
      <c r="C742" s="6">
        <v>41169</v>
      </c>
      <c r="D742" s="5">
        <v>3750</v>
      </c>
      <c r="E742" s="4" t="s">
        <v>2782</v>
      </c>
      <c r="F742" s="4"/>
    </row>
    <row r="743" spans="1:6">
      <c r="A743" s="4"/>
      <c r="B743" s="4"/>
      <c r="C743" s="6">
        <v>41170</v>
      </c>
      <c r="D743" s="5">
        <v>3000</v>
      </c>
      <c r="E743" s="4" t="s">
        <v>2782</v>
      </c>
      <c r="F743" s="4"/>
    </row>
    <row r="744" spans="1:6">
      <c r="A744" s="4"/>
      <c r="B744" s="4"/>
      <c r="C744" s="6">
        <v>41176</v>
      </c>
      <c r="D744" s="5">
        <v>5250</v>
      </c>
      <c r="E744" s="4" t="s">
        <v>2782</v>
      </c>
      <c r="F744" s="4"/>
    </row>
    <row r="745" spans="1:6">
      <c r="A745" s="4"/>
      <c r="B745" s="4"/>
      <c r="C745" s="6">
        <v>41185</v>
      </c>
      <c r="D745" s="5">
        <v>6750</v>
      </c>
      <c r="E745" s="4" t="s">
        <v>2577</v>
      </c>
      <c r="F745" s="4"/>
    </row>
    <row r="746" spans="1:6">
      <c r="A746" s="4"/>
      <c r="B746" s="4"/>
      <c r="C746" s="6">
        <v>41190</v>
      </c>
      <c r="D746" s="5">
        <v>5250</v>
      </c>
      <c r="E746" s="4" t="s">
        <v>2577</v>
      </c>
      <c r="F746" s="4"/>
    </row>
    <row r="747" spans="1:6">
      <c r="A747" s="4"/>
      <c r="B747" s="4"/>
      <c r="C747" s="6">
        <v>41199</v>
      </c>
      <c r="D747" s="5">
        <v>6750</v>
      </c>
      <c r="E747" s="4" t="s">
        <v>2577</v>
      </c>
      <c r="F747" s="4"/>
    </row>
    <row r="748" spans="1:6">
      <c r="A748" s="4"/>
      <c r="B748" s="4"/>
      <c r="C748" s="6">
        <v>41206</v>
      </c>
      <c r="D748" s="5">
        <v>2250</v>
      </c>
      <c r="E748" s="4" t="s">
        <v>2577</v>
      </c>
      <c r="F748" s="4"/>
    </row>
    <row r="749" spans="1:6">
      <c r="A749" s="4"/>
      <c r="B749" s="4"/>
      <c r="C749" s="6">
        <v>41207</v>
      </c>
      <c r="D749" s="5">
        <v>3000</v>
      </c>
      <c r="E749" s="4" t="s">
        <v>2577</v>
      </c>
      <c r="F749" s="4"/>
    </row>
    <row r="750" spans="1:6">
      <c r="A750" s="4"/>
      <c r="B750" s="4"/>
      <c r="C750" s="6">
        <v>41212</v>
      </c>
      <c r="D750" s="5">
        <v>2250</v>
      </c>
      <c r="E750" s="4" t="s">
        <v>2577</v>
      </c>
      <c r="F750" s="4"/>
    </row>
    <row r="751" spans="1:6">
      <c r="A751" s="4"/>
      <c r="B751" s="4"/>
      <c r="C751" s="6">
        <v>41214</v>
      </c>
      <c r="D751" s="5">
        <v>3750</v>
      </c>
      <c r="E751" s="4" t="s">
        <v>2564</v>
      </c>
      <c r="F751" s="4"/>
    </row>
    <row r="752" spans="1:6">
      <c r="A752" s="4"/>
      <c r="B752" s="4"/>
      <c r="C752" s="6">
        <v>41215</v>
      </c>
      <c r="D752" s="5">
        <v>3000</v>
      </c>
      <c r="E752" s="4" t="s">
        <v>2564</v>
      </c>
      <c r="F752" s="4"/>
    </row>
    <row r="753" spans="1:6">
      <c r="A753" s="4"/>
      <c r="B753" s="4"/>
      <c r="C753" s="6">
        <v>41219</v>
      </c>
      <c r="D753" s="5">
        <v>2250</v>
      </c>
      <c r="E753" s="4" t="s">
        <v>2564</v>
      </c>
      <c r="F753" s="4"/>
    </row>
    <row r="754" spans="1:6">
      <c r="A754" s="4"/>
      <c r="B754" s="4"/>
      <c r="C754" s="6">
        <v>41220</v>
      </c>
      <c r="D754" s="5">
        <v>2250</v>
      </c>
      <c r="E754" s="4" t="s">
        <v>2564</v>
      </c>
      <c r="F754" s="4"/>
    </row>
    <row r="755" spans="1:6">
      <c r="A755" s="4"/>
      <c r="B755" s="4"/>
      <c r="C755" s="6">
        <v>41225</v>
      </c>
      <c r="D755" s="5">
        <v>3000</v>
      </c>
      <c r="E755" s="4" t="s">
        <v>2564</v>
      </c>
      <c r="F755" s="4"/>
    </row>
    <row r="756" spans="1:6">
      <c r="A756" s="4"/>
      <c r="B756" s="4"/>
      <c r="C756" s="6">
        <v>41228</v>
      </c>
      <c r="D756" s="5">
        <v>1125</v>
      </c>
      <c r="E756" s="4" t="s">
        <v>2564</v>
      </c>
      <c r="F756" s="4"/>
    </row>
    <row r="757" spans="1:6">
      <c r="A757" s="4"/>
      <c r="B757" s="4"/>
      <c r="C757" s="6">
        <v>41230</v>
      </c>
      <c r="D757" s="5">
        <v>3750</v>
      </c>
      <c r="E757" s="4" t="s">
        <v>2564</v>
      </c>
      <c r="F757" s="4"/>
    </row>
    <row r="758" spans="1:6">
      <c r="A758" s="4"/>
      <c r="B758" s="4"/>
      <c r="C758" s="6">
        <v>41233</v>
      </c>
      <c r="D758" s="5">
        <v>3000</v>
      </c>
      <c r="E758" s="4" t="s">
        <v>2564</v>
      </c>
      <c r="F758" s="4"/>
    </row>
    <row r="759" spans="1:6">
      <c r="A759" s="4"/>
      <c r="B759" s="4"/>
      <c r="C759" s="6">
        <v>41235</v>
      </c>
      <c r="D759" s="5">
        <v>2250</v>
      </c>
      <c r="E759" s="4" t="s">
        <v>2564</v>
      </c>
      <c r="F759" s="4"/>
    </row>
    <row r="760" spans="1:6">
      <c r="A760" s="4"/>
      <c r="B760" s="4"/>
      <c r="C760" s="6">
        <v>41239</v>
      </c>
      <c r="D760" s="5">
        <v>3000</v>
      </c>
      <c r="E760" s="4" t="s">
        <v>2564</v>
      </c>
      <c r="F760" s="4"/>
    </row>
    <row r="761" spans="1:6">
      <c r="A761" s="4"/>
      <c r="B761" s="4"/>
      <c r="C761" s="6">
        <v>41243</v>
      </c>
      <c r="D761" s="5">
        <v>1125</v>
      </c>
      <c r="E761" s="4" t="s">
        <v>2564</v>
      </c>
      <c r="F761" s="4"/>
    </row>
    <row r="762" spans="1:6">
      <c r="A762" s="4"/>
      <c r="B762" s="4"/>
      <c r="C762" s="6">
        <v>41257</v>
      </c>
      <c r="D762" s="5">
        <v>5250</v>
      </c>
      <c r="E762" s="4" t="s">
        <v>1342</v>
      </c>
      <c r="F762" s="4"/>
    </row>
    <row r="763" spans="1:6">
      <c r="A763" s="4"/>
      <c r="B763" s="4"/>
      <c r="C763" s="6">
        <v>41264</v>
      </c>
      <c r="D763" s="5">
        <v>6750</v>
      </c>
      <c r="E763" s="4" t="s">
        <v>1342</v>
      </c>
      <c r="F763" s="4"/>
    </row>
    <row r="764" spans="1:6">
      <c r="A764" s="4"/>
      <c r="B764" s="4"/>
      <c r="C764" s="6">
        <v>41272</v>
      </c>
      <c r="D764" s="5">
        <v>10125</v>
      </c>
      <c r="E764" s="4" t="s">
        <v>1342</v>
      </c>
      <c r="F764" s="4"/>
    </row>
    <row r="765" spans="1:6">
      <c r="A765" s="4">
        <v>39</v>
      </c>
      <c r="B765" s="4" t="s">
        <v>3774</v>
      </c>
      <c r="C765" s="6">
        <v>41112</v>
      </c>
      <c r="D765" s="5">
        <v>940</v>
      </c>
      <c r="E765" s="4" t="s">
        <v>3265</v>
      </c>
      <c r="F765" s="4"/>
    </row>
    <row r="766" spans="1:6">
      <c r="A766" s="4"/>
      <c r="B766" s="4"/>
      <c r="C766" s="6">
        <v>41117</v>
      </c>
      <c r="D766" s="5">
        <v>5630</v>
      </c>
      <c r="E766" s="4" t="s">
        <v>3265</v>
      </c>
      <c r="F766" s="4"/>
    </row>
    <row r="767" spans="1:6">
      <c r="A767" s="4"/>
      <c r="B767" s="4"/>
      <c r="C767" s="6">
        <v>41121</v>
      </c>
      <c r="D767" s="5">
        <v>3750</v>
      </c>
      <c r="E767" s="4" t="s">
        <v>3265</v>
      </c>
      <c r="F767" s="4"/>
    </row>
    <row r="768" spans="1:6">
      <c r="A768" s="4"/>
      <c r="B768" s="4"/>
      <c r="C768" s="6">
        <v>41126</v>
      </c>
      <c r="D768" s="5">
        <v>4690</v>
      </c>
      <c r="E768" s="4" t="s">
        <v>2223</v>
      </c>
      <c r="F768" s="4"/>
    </row>
    <row r="769" spans="1:6">
      <c r="A769" s="4"/>
      <c r="B769" s="4"/>
      <c r="C769" s="6">
        <v>41130</v>
      </c>
      <c r="D769" s="5">
        <v>3750</v>
      </c>
      <c r="E769" s="4" t="s">
        <v>2223</v>
      </c>
      <c r="F769" s="4"/>
    </row>
    <row r="770" spans="1:6">
      <c r="A770" s="4"/>
      <c r="B770" s="4"/>
      <c r="C770" s="6">
        <v>41141</v>
      </c>
      <c r="D770" s="5">
        <v>4690</v>
      </c>
      <c r="E770" s="4" t="s">
        <v>2223</v>
      </c>
      <c r="F770" s="4"/>
    </row>
    <row r="771" spans="1:6">
      <c r="A771" s="4"/>
      <c r="B771" s="4"/>
      <c r="C771" s="6">
        <v>41156</v>
      </c>
      <c r="D771" s="5">
        <v>4690</v>
      </c>
      <c r="E771" s="4" t="s">
        <v>2770</v>
      </c>
      <c r="F771" s="4"/>
    </row>
    <row r="772" spans="1:6">
      <c r="A772" s="4"/>
      <c r="B772" s="4"/>
      <c r="C772" s="6">
        <v>41169</v>
      </c>
      <c r="D772" s="5">
        <v>940</v>
      </c>
      <c r="E772" s="4" t="s">
        <v>2770</v>
      </c>
      <c r="F772" s="4"/>
    </row>
    <row r="773" spans="1:6">
      <c r="A773" s="4"/>
      <c r="B773" s="4"/>
      <c r="C773" s="6">
        <v>41171</v>
      </c>
      <c r="D773" s="5">
        <v>3750</v>
      </c>
      <c r="E773" s="4" t="s">
        <v>2770</v>
      </c>
      <c r="F773" s="4"/>
    </row>
    <row r="774" spans="1:6">
      <c r="A774" s="4"/>
      <c r="B774" s="4"/>
      <c r="C774" s="6">
        <v>41191</v>
      </c>
      <c r="D774" s="5">
        <v>4690</v>
      </c>
      <c r="E774" s="4" t="s">
        <v>881</v>
      </c>
      <c r="F774" s="4"/>
    </row>
    <row r="775" spans="1:6">
      <c r="A775" s="4"/>
      <c r="B775" s="4"/>
      <c r="C775" s="6">
        <v>41199</v>
      </c>
      <c r="D775" s="5">
        <v>940</v>
      </c>
      <c r="E775" s="4" t="s">
        <v>881</v>
      </c>
      <c r="F775" s="4"/>
    </row>
    <row r="776" spans="1:6">
      <c r="A776" s="4"/>
      <c r="B776" s="4"/>
      <c r="C776" s="6">
        <v>41200</v>
      </c>
      <c r="D776" s="5">
        <v>3750</v>
      </c>
      <c r="E776" s="4" t="s">
        <v>881</v>
      </c>
      <c r="F776" s="4"/>
    </row>
    <row r="777" spans="1:6">
      <c r="A777" s="4"/>
      <c r="B777" s="4"/>
      <c r="C777" s="6">
        <v>41211</v>
      </c>
      <c r="D777" s="5">
        <v>940</v>
      </c>
      <c r="E777" s="4" t="s">
        <v>881</v>
      </c>
      <c r="F777" s="4"/>
    </row>
    <row r="778" spans="1:6">
      <c r="A778" s="4"/>
      <c r="B778" s="4"/>
      <c r="C778" s="6">
        <v>41217</v>
      </c>
      <c r="D778" s="5">
        <v>3750</v>
      </c>
      <c r="E778" s="4" t="s">
        <v>2555</v>
      </c>
      <c r="F778" s="4"/>
    </row>
    <row r="779" spans="1:6">
      <c r="A779" s="4"/>
      <c r="B779" s="4"/>
      <c r="C779" s="6">
        <v>41232</v>
      </c>
      <c r="D779" s="5">
        <v>4500</v>
      </c>
      <c r="E779" s="4" t="s">
        <v>2555</v>
      </c>
      <c r="F779" s="4"/>
    </row>
    <row r="780" spans="1:6">
      <c r="A780" s="4"/>
      <c r="B780" s="4"/>
      <c r="C780" s="6">
        <v>41244</v>
      </c>
      <c r="D780" s="5">
        <v>750</v>
      </c>
      <c r="E780" s="4" t="s">
        <v>1352</v>
      </c>
      <c r="F780" s="4"/>
    </row>
    <row r="781" spans="1:6">
      <c r="A781" s="4"/>
      <c r="B781" s="4"/>
      <c r="C781" s="6">
        <v>41285</v>
      </c>
      <c r="D781" s="5">
        <v>3750</v>
      </c>
      <c r="E781" s="4" t="s">
        <v>3828</v>
      </c>
      <c r="F781" s="4"/>
    </row>
    <row r="782" spans="1:6">
      <c r="A782" s="4">
        <v>40</v>
      </c>
      <c r="B782" s="4" t="s">
        <v>3775</v>
      </c>
      <c r="C782" s="6">
        <v>41112</v>
      </c>
      <c r="D782" s="5">
        <v>1500</v>
      </c>
      <c r="E782" s="4" t="s">
        <v>3260</v>
      </c>
      <c r="F782" s="4"/>
    </row>
    <row r="783" spans="1:6">
      <c r="A783" s="4"/>
      <c r="B783" s="4"/>
      <c r="C783" s="6">
        <v>41124</v>
      </c>
      <c r="D783" s="5">
        <v>1500</v>
      </c>
      <c r="E783" s="4" t="s">
        <v>2225</v>
      </c>
      <c r="F783" s="4"/>
    </row>
    <row r="784" spans="1:6">
      <c r="A784" s="4"/>
      <c r="B784" s="4"/>
      <c r="C784" s="6">
        <v>41136</v>
      </c>
      <c r="D784" s="5">
        <v>1500</v>
      </c>
      <c r="E784" s="4" t="s">
        <v>2225</v>
      </c>
      <c r="F784" s="4"/>
    </row>
    <row r="785" spans="1:6">
      <c r="A785" s="4"/>
      <c r="B785" s="4"/>
      <c r="C785" s="6">
        <v>41150</v>
      </c>
      <c r="D785" s="5">
        <v>1500</v>
      </c>
      <c r="E785" s="4" t="s">
        <v>2225</v>
      </c>
      <c r="F785" s="4"/>
    </row>
    <row r="786" spans="1:6">
      <c r="A786" s="4"/>
      <c r="B786" s="4"/>
      <c r="C786" s="6">
        <v>41165</v>
      </c>
      <c r="D786" s="5">
        <v>1500</v>
      </c>
      <c r="E786" s="4" t="s">
        <v>2772</v>
      </c>
      <c r="F786" s="4"/>
    </row>
    <row r="787" spans="1:6">
      <c r="A787" s="4"/>
      <c r="B787" s="4"/>
      <c r="C787" s="6">
        <v>41181</v>
      </c>
      <c r="D787" s="5">
        <v>1500</v>
      </c>
      <c r="E787" s="4" t="s">
        <v>2772</v>
      </c>
      <c r="F787" s="4"/>
    </row>
    <row r="788" spans="1:6">
      <c r="A788" s="4"/>
      <c r="B788" s="4"/>
      <c r="C788" s="6">
        <v>41195</v>
      </c>
      <c r="D788" s="5">
        <v>1500</v>
      </c>
      <c r="E788" s="4" t="s">
        <v>880</v>
      </c>
      <c r="F788" s="4"/>
    </row>
    <row r="789" spans="1:6">
      <c r="A789" s="4"/>
      <c r="B789" s="4"/>
      <c r="C789" s="6">
        <v>41211</v>
      </c>
      <c r="D789" s="5">
        <v>1500</v>
      </c>
      <c r="E789" s="4" t="s">
        <v>880</v>
      </c>
      <c r="F789" s="4"/>
    </row>
    <row r="790" spans="1:6">
      <c r="A790" s="4"/>
      <c r="B790" s="4"/>
      <c r="C790" s="6">
        <v>41227</v>
      </c>
      <c r="D790" s="5">
        <v>1500</v>
      </c>
      <c r="E790" s="4" t="s">
        <v>2556</v>
      </c>
      <c r="F790" s="4"/>
    </row>
    <row r="791" spans="1:6">
      <c r="A791" s="4"/>
      <c r="B791" s="4"/>
      <c r="C791" s="6">
        <v>41241</v>
      </c>
      <c r="D791" s="5">
        <v>1500</v>
      </c>
      <c r="E791" s="4" t="s">
        <v>2556</v>
      </c>
      <c r="F791" s="4"/>
    </row>
    <row r="792" spans="1:6">
      <c r="A792" s="4"/>
      <c r="B792" s="4"/>
      <c r="C792" s="6">
        <v>41285</v>
      </c>
      <c r="D792" s="5">
        <v>4500</v>
      </c>
      <c r="E792" s="4" t="s">
        <v>3829</v>
      </c>
      <c r="F792" s="4"/>
    </row>
    <row r="793" spans="1:6">
      <c r="A793" s="4">
        <v>41</v>
      </c>
      <c r="B793" s="4" t="s">
        <v>3521</v>
      </c>
      <c r="C793" s="6">
        <v>41096</v>
      </c>
      <c r="D793" s="5">
        <v>1315</v>
      </c>
      <c r="E793" s="4" t="s">
        <v>225</v>
      </c>
      <c r="F793" s="4"/>
    </row>
    <row r="794" spans="1:6">
      <c r="A794" s="4"/>
      <c r="B794" s="4"/>
      <c r="C794" s="6">
        <v>41101</v>
      </c>
      <c r="D794" s="5">
        <v>1315</v>
      </c>
      <c r="E794" s="4" t="s">
        <v>225</v>
      </c>
      <c r="F794" s="4"/>
    </row>
    <row r="795" spans="1:6">
      <c r="A795" s="4"/>
      <c r="B795" s="4"/>
      <c r="C795" s="6">
        <v>41102</v>
      </c>
      <c r="D795" s="5">
        <v>375</v>
      </c>
      <c r="E795" s="4" t="s">
        <v>225</v>
      </c>
      <c r="F795" s="4"/>
    </row>
    <row r="796" spans="1:6">
      <c r="A796" s="4"/>
      <c r="B796" s="4"/>
      <c r="C796" s="6">
        <v>41104</v>
      </c>
      <c r="D796" s="5">
        <v>565</v>
      </c>
      <c r="E796" s="4" t="s">
        <v>225</v>
      </c>
      <c r="F796" s="4"/>
    </row>
    <row r="797" spans="1:6">
      <c r="A797" s="4"/>
      <c r="B797" s="4"/>
      <c r="C797" s="6">
        <v>41106</v>
      </c>
      <c r="D797" s="5">
        <v>1875</v>
      </c>
      <c r="E797" s="4" t="s">
        <v>225</v>
      </c>
      <c r="F797" s="4"/>
    </row>
    <row r="798" spans="1:6">
      <c r="A798" s="4"/>
      <c r="B798" s="4"/>
      <c r="C798" s="6">
        <v>41111</v>
      </c>
      <c r="D798" s="5">
        <v>190</v>
      </c>
      <c r="E798" s="4" t="s">
        <v>225</v>
      </c>
      <c r="F798" s="4"/>
    </row>
    <row r="799" spans="1:6">
      <c r="A799" s="4"/>
      <c r="B799" s="4"/>
      <c r="C799" s="6">
        <v>41115</v>
      </c>
      <c r="D799" s="5">
        <v>1125</v>
      </c>
      <c r="E799" s="4" t="s">
        <v>225</v>
      </c>
      <c r="F799" s="4"/>
    </row>
    <row r="800" spans="1:6">
      <c r="A800" s="4"/>
      <c r="B800" s="4"/>
      <c r="C800" s="6">
        <v>41276</v>
      </c>
      <c r="D800" s="5">
        <v>1875</v>
      </c>
      <c r="E800" s="4" t="s">
        <v>1367</v>
      </c>
      <c r="F800" s="4"/>
    </row>
    <row r="801" spans="1:6">
      <c r="A801" s="4"/>
      <c r="B801" s="4"/>
      <c r="C801" s="6">
        <v>41277</v>
      </c>
      <c r="D801" s="5">
        <v>190</v>
      </c>
      <c r="E801" s="4" t="s">
        <v>1368</v>
      </c>
      <c r="F801" s="4"/>
    </row>
    <row r="802" spans="1:6">
      <c r="A802" s="4"/>
      <c r="B802" s="4"/>
      <c r="C802" s="6">
        <v>41281</v>
      </c>
      <c r="D802" s="5">
        <v>1125</v>
      </c>
      <c r="E802" s="4" t="s">
        <v>1373</v>
      </c>
      <c r="F802" s="4"/>
    </row>
    <row r="803" spans="1:6">
      <c r="A803" s="4"/>
      <c r="B803" s="4"/>
      <c r="C803" s="6">
        <v>41282</v>
      </c>
      <c r="D803" s="5">
        <v>940</v>
      </c>
      <c r="E803" s="4" t="s">
        <v>1375</v>
      </c>
      <c r="F803" s="4"/>
    </row>
    <row r="804" spans="1:6">
      <c r="A804" s="4"/>
      <c r="B804" s="4"/>
      <c r="C804" s="6">
        <v>41282</v>
      </c>
      <c r="D804" s="5">
        <v>375</v>
      </c>
      <c r="E804" s="4" t="s">
        <v>1375</v>
      </c>
      <c r="F804" s="4"/>
    </row>
    <row r="805" spans="1:6">
      <c r="A805" s="4"/>
      <c r="B805" s="4"/>
      <c r="C805" s="6">
        <v>41283</v>
      </c>
      <c r="D805" s="5">
        <v>375</v>
      </c>
      <c r="E805" s="4" t="s">
        <v>1377</v>
      </c>
      <c r="F805" s="4"/>
    </row>
    <row r="806" spans="1:6">
      <c r="A806" s="4"/>
      <c r="B806" s="4"/>
      <c r="C806" s="6">
        <v>41284</v>
      </c>
      <c r="D806" s="5">
        <v>1125</v>
      </c>
      <c r="E806" s="4" t="s">
        <v>3824</v>
      </c>
      <c r="F806" s="4"/>
    </row>
    <row r="807" spans="1:6">
      <c r="A807" s="4"/>
      <c r="B807" s="4"/>
      <c r="C807" s="6">
        <v>41286</v>
      </c>
      <c r="D807" s="5">
        <v>375</v>
      </c>
      <c r="E807" s="4" t="s">
        <v>3830</v>
      </c>
      <c r="F807" s="4"/>
    </row>
    <row r="808" spans="1:6">
      <c r="A808" s="4"/>
      <c r="B808" s="4"/>
      <c r="C808" s="6">
        <v>41286</v>
      </c>
      <c r="D808" s="5">
        <v>190</v>
      </c>
      <c r="E808" s="4" t="s">
        <v>3830</v>
      </c>
      <c r="F808" s="4"/>
    </row>
    <row r="809" spans="1:6">
      <c r="A809" s="4"/>
      <c r="B809" s="4"/>
      <c r="C809" s="6">
        <v>41288</v>
      </c>
      <c r="D809" s="5">
        <v>190</v>
      </c>
      <c r="E809" s="4" t="s">
        <v>3662</v>
      </c>
      <c r="F809" s="4"/>
    </row>
    <row r="810" spans="1:6">
      <c r="A810" s="4"/>
      <c r="B810" s="4"/>
      <c r="C810" s="6">
        <v>41291</v>
      </c>
      <c r="D810" s="5">
        <v>1875</v>
      </c>
      <c r="E810" s="4" t="s">
        <v>3668</v>
      </c>
      <c r="F810" s="4"/>
    </row>
    <row r="811" spans="1:6">
      <c r="A811" s="4"/>
      <c r="B811" s="4"/>
      <c r="C811" s="6">
        <v>41295</v>
      </c>
      <c r="D811" s="5">
        <v>190</v>
      </c>
      <c r="E811" s="4" t="s">
        <v>3673</v>
      </c>
      <c r="F811" s="4"/>
    </row>
    <row r="812" spans="1:6">
      <c r="A812" s="4"/>
      <c r="B812" s="4"/>
      <c r="C812" s="6">
        <v>41295</v>
      </c>
      <c r="D812" s="5">
        <v>1125</v>
      </c>
      <c r="E812" s="4" t="s">
        <v>3673</v>
      </c>
      <c r="F812" s="4"/>
    </row>
    <row r="813" spans="1:6">
      <c r="A813" s="4"/>
      <c r="B813" s="4"/>
      <c r="C813" s="6">
        <v>41296</v>
      </c>
      <c r="D813" s="5">
        <v>375</v>
      </c>
      <c r="E813" s="4" t="s">
        <v>3674</v>
      </c>
      <c r="F813" s="4"/>
    </row>
    <row r="814" spans="1:6">
      <c r="A814" s="4">
        <v>42</v>
      </c>
      <c r="B814" s="4" t="s">
        <v>3814</v>
      </c>
      <c r="C814" s="6">
        <v>41129</v>
      </c>
      <c r="D814" s="5">
        <v>5635</v>
      </c>
      <c r="E814" s="4" t="s">
        <v>2368</v>
      </c>
      <c r="F814" s="4"/>
    </row>
    <row r="815" spans="1:6">
      <c r="A815" s="4"/>
      <c r="B815" s="4"/>
      <c r="C815" s="6">
        <v>41173</v>
      </c>
      <c r="D815" s="5">
        <v>5635</v>
      </c>
      <c r="E815" s="4" t="s">
        <v>2773</v>
      </c>
      <c r="F815" s="4"/>
    </row>
    <row r="816" spans="1:6">
      <c r="A816" s="4"/>
      <c r="B816" s="4"/>
      <c r="C816" s="6">
        <v>41191</v>
      </c>
      <c r="D816" s="5">
        <v>5255</v>
      </c>
      <c r="E816" s="4" t="s">
        <v>885</v>
      </c>
      <c r="F816" s="4"/>
    </row>
    <row r="817" spans="1:6">
      <c r="A817" s="4"/>
      <c r="B817" s="4"/>
      <c r="C817" s="6">
        <v>41198</v>
      </c>
      <c r="D817" s="5">
        <v>5065</v>
      </c>
      <c r="E817" s="4" t="s">
        <v>885</v>
      </c>
      <c r="F817" s="4"/>
    </row>
    <row r="818" spans="1:6">
      <c r="A818" s="4"/>
      <c r="B818" s="4"/>
      <c r="C818" s="6">
        <v>41207</v>
      </c>
      <c r="D818" s="5">
        <v>5065</v>
      </c>
      <c r="E818" s="4" t="s">
        <v>885</v>
      </c>
      <c r="F818" s="4"/>
    </row>
    <row r="819" spans="1:6">
      <c r="A819" s="4"/>
      <c r="B819" s="4"/>
      <c r="C819" s="6">
        <v>41209</v>
      </c>
      <c r="D819" s="5">
        <v>5065</v>
      </c>
      <c r="E819" s="4" t="s">
        <v>885</v>
      </c>
      <c r="F819" s="4"/>
    </row>
    <row r="820" spans="1:6">
      <c r="A820" s="4"/>
      <c r="B820" s="4"/>
      <c r="C820" s="6">
        <v>41239</v>
      </c>
      <c r="D820" s="5">
        <v>10130</v>
      </c>
      <c r="E820" s="4" t="s">
        <v>2566</v>
      </c>
      <c r="F820" s="4"/>
    </row>
    <row r="821" spans="1:6">
      <c r="A821" s="4">
        <v>43</v>
      </c>
      <c r="B821" s="4" t="s">
        <v>1187</v>
      </c>
      <c r="C821" s="6">
        <v>41183</v>
      </c>
      <c r="D821" s="5">
        <v>2250</v>
      </c>
      <c r="E821" s="4" t="s">
        <v>2570</v>
      </c>
      <c r="F821" s="4"/>
    </row>
    <row r="822" spans="1:6">
      <c r="A822" s="4"/>
      <c r="B822" s="4"/>
      <c r="C822" s="6">
        <v>41197</v>
      </c>
      <c r="D822" s="5">
        <v>2250</v>
      </c>
      <c r="E822" s="4" t="s">
        <v>2570</v>
      </c>
      <c r="F822" s="4"/>
    </row>
    <row r="823" spans="1:6">
      <c r="A823" s="4"/>
      <c r="B823" s="4"/>
      <c r="C823" s="6">
        <v>41211</v>
      </c>
      <c r="D823" s="5">
        <v>2250</v>
      </c>
      <c r="E823" s="4" t="s">
        <v>2570</v>
      </c>
      <c r="F823" s="4"/>
    </row>
    <row r="824" spans="1:6">
      <c r="A824" s="4"/>
      <c r="B824" s="4"/>
      <c r="C824" s="6">
        <v>41226</v>
      </c>
      <c r="D824" s="5">
        <v>2250</v>
      </c>
      <c r="E824" s="4" t="s">
        <v>2546</v>
      </c>
      <c r="F824" s="4"/>
    </row>
    <row r="825" spans="1:6">
      <c r="A825" s="4"/>
      <c r="B825" s="4"/>
      <c r="C825" s="6">
        <v>41242</v>
      </c>
      <c r="D825" s="5">
        <v>2250</v>
      </c>
      <c r="E825" s="4" t="s">
        <v>2546</v>
      </c>
      <c r="F825" s="4"/>
    </row>
    <row r="826" spans="1:6">
      <c r="A826" s="4"/>
      <c r="B826" s="4"/>
      <c r="C826" s="6">
        <v>41256</v>
      </c>
      <c r="D826" s="5">
        <v>2250</v>
      </c>
      <c r="E826" s="4" t="s">
        <v>1361</v>
      </c>
      <c r="F826" s="4"/>
    </row>
    <row r="827" spans="1:6">
      <c r="A827" s="4"/>
      <c r="B827" s="4"/>
      <c r="C827" s="6">
        <v>41288</v>
      </c>
      <c r="D827" s="5">
        <v>2250</v>
      </c>
      <c r="E827" s="4" t="s">
        <v>3662</v>
      </c>
      <c r="F827" s="4"/>
    </row>
    <row r="828" spans="1:6">
      <c r="A828" s="4">
        <v>44</v>
      </c>
      <c r="B828" s="4" t="s">
        <v>3785</v>
      </c>
      <c r="C828" s="6">
        <v>41256</v>
      </c>
      <c r="D828" s="5">
        <v>3570</v>
      </c>
      <c r="E828" s="4" t="s">
        <v>1359</v>
      </c>
      <c r="F828" s="4"/>
    </row>
    <row r="829" spans="1:6">
      <c r="A829" s="4"/>
      <c r="B829" s="4"/>
      <c r="C829" s="6">
        <v>41260</v>
      </c>
      <c r="D829" s="5">
        <v>2065</v>
      </c>
      <c r="E829" s="4" t="s">
        <v>1359</v>
      </c>
      <c r="F829" s="4"/>
    </row>
    <row r="830" spans="1:6">
      <c r="A830" s="4"/>
      <c r="B830" s="4"/>
      <c r="C830" s="6">
        <v>41268</v>
      </c>
      <c r="D830" s="5">
        <v>1505</v>
      </c>
      <c r="E830" s="4" t="s">
        <v>1359</v>
      </c>
      <c r="F830" s="4"/>
    </row>
    <row r="831" spans="1:6">
      <c r="A831" s="4"/>
      <c r="B831" s="4"/>
      <c r="C831" s="6">
        <v>41274</v>
      </c>
      <c r="D831" s="5">
        <v>2065</v>
      </c>
      <c r="E831" s="4" t="s">
        <v>1359</v>
      </c>
      <c r="F831" s="4"/>
    </row>
    <row r="832" spans="1:6">
      <c r="A832" s="4"/>
      <c r="B832" s="4"/>
      <c r="C832" s="6">
        <v>41275</v>
      </c>
      <c r="D832" s="5">
        <v>1125</v>
      </c>
      <c r="E832" s="4" t="s">
        <v>3675</v>
      </c>
      <c r="F832" s="4"/>
    </row>
    <row r="833" spans="1:6">
      <c r="A833" s="4"/>
      <c r="B833" s="4"/>
      <c r="C833" s="6">
        <v>41275</v>
      </c>
      <c r="D833" s="5">
        <v>375</v>
      </c>
      <c r="E833" s="4" t="s">
        <v>3675</v>
      </c>
      <c r="F833" s="4"/>
    </row>
    <row r="834" spans="1:6">
      <c r="A834" s="4"/>
      <c r="B834" s="4"/>
      <c r="C834" s="6">
        <v>41275</v>
      </c>
      <c r="D834" s="5">
        <v>375</v>
      </c>
      <c r="E834" s="4" t="s">
        <v>3675</v>
      </c>
      <c r="F834" s="4"/>
    </row>
    <row r="835" spans="1:6">
      <c r="A835" s="4"/>
      <c r="B835" s="4"/>
      <c r="C835" s="6">
        <v>41275</v>
      </c>
      <c r="D835" s="5">
        <v>190</v>
      </c>
      <c r="E835" s="4" t="s">
        <v>3675</v>
      </c>
      <c r="F835" s="4"/>
    </row>
    <row r="836" spans="1:6">
      <c r="A836" s="4"/>
      <c r="B836" s="4"/>
      <c r="C836" s="6">
        <v>41281</v>
      </c>
      <c r="D836" s="5">
        <v>1125</v>
      </c>
      <c r="E836" s="4" t="s">
        <v>3680</v>
      </c>
      <c r="F836" s="4"/>
    </row>
    <row r="837" spans="1:6">
      <c r="A837" s="4"/>
      <c r="B837" s="4"/>
      <c r="C837" s="6">
        <v>41288</v>
      </c>
      <c r="D837" s="5">
        <v>1125</v>
      </c>
      <c r="E837" s="4" t="s">
        <v>3686</v>
      </c>
      <c r="F837" s="4"/>
    </row>
    <row r="838" spans="1:6">
      <c r="A838" s="4"/>
      <c r="B838" s="4"/>
      <c r="C838" s="6">
        <v>41288</v>
      </c>
      <c r="D838" s="5">
        <v>190</v>
      </c>
      <c r="E838" s="4" t="s">
        <v>3686</v>
      </c>
      <c r="F838" s="4"/>
    </row>
    <row r="839" spans="1:6">
      <c r="A839" s="4"/>
      <c r="B839" s="4"/>
      <c r="C839" s="6">
        <v>41288</v>
      </c>
      <c r="D839" s="5">
        <v>190</v>
      </c>
      <c r="E839" s="4" t="s">
        <v>3686</v>
      </c>
      <c r="F839" s="4"/>
    </row>
    <row r="840" spans="1:6">
      <c r="A840" s="4"/>
      <c r="B840" s="4"/>
      <c r="C840" s="6">
        <v>41290</v>
      </c>
      <c r="D840" s="5">
        <v>375</v>
      </c>
      <c r="E840" s="4" t="s">
        <v>3688</v>
      </c>
      <c r="F840" s="4"/>
    </row>
    <row r="841" spans="1:6">
      <c r="A841" s="4"/>
      <c r="B841" s="4"/>
      <c r="C841" s="6">
        <v>41290</v>
      </c>
      <c r="D841" s="5">
        <v>190</v>
      </c>
      <c r="E841" s="4" t="s">
        <v>3688</v>
      </c>
      <c r="F841" s="4"/>
    </row>
    <row r="842" spans="1:6">
      <c r="A842" s="4">
        <v>45</v>
      </c>
      <c r="B842" s="4" t="s">
        <v>3778</v>
      </c>
      <c r="C842" s="6">
        <v>41103</v>
      </c>
      <c r="D842" s="5">
        <v>2255</v>
      </c>
      <c r="E842" s="4" t="s">
        <v>224</v>
      </c>
      <c r="F842" s="4"/>
    </row>
    <row r="843" spans="1:6">
      <c r="A843" s="4"/>
      <c r="B843" s="4"/>
      <c r="C843" s="6">
        <v>41106</v>
      </c>
      <c r="D843" s="5">
        <v>750</v>
      </c>
      <c r="E843" s="4" t="s">
        <v>224</v>
      </c>
      <c r="F843" s="4"/>
    </row>
    <row r="844" spans="1:6">
      <c r="A844" s="4"/>
      <c r="B844" s="4"/>
      <c r="C844" s="6">
        <v>41113</v>
      </c>
      <c r="D844" s="5">
        <v>3190</v>
      </c>
      <c r="E844" s="4" t="s">
        <v>224</v>
      </c>
      <c r="F844" s="4"/>
    </row>
    <row r="845" spans="1:6">
      <c r="A845" s="4"/>
      <c r="B845" s="4"/>
      <c r="C845" s="6">
        <v>41114</v>
      </c>
      <c r="D845" s="5">
        <v>940</v>
      </c>
      <c r="E845" s="4" t="s">
        <v>224</v>
      </c>
      <c r="F845" s="4"/>
    </row>
    <row r="846" spans="1:6">
      <c r="A846" s="4"/>
      <c r="B846" s="4"/>
      <c r="C846" s="6">
        <v>41115</v>
      </c>
      <c r="D846" s="5">
        <v>750</v>
      </c>
      <c r="E846" s="4" t="s">
        <v>224</v>
      </c>
      <c r="F846" s="4"/>
    </row>
    <row r="847" spans="1:6">
      <c r="A847" s="4"/>
      <c r="B847" s="4"/>
      <c r="C847" s="6">
        <v>41123</v>
      </c>
      <c r="D847" s="5">
        <v>1875</v>
      </c>
      <c r="E847" s="4" t="s">
        <v>3653</v>
      </c>
      <c r="F847" s="4"/>
    </row>
    <row r="848" spans="1:6">
      <c r="A848" s="4"/>
      <c r="B848" s="4"/>
      <c r="C848" s="6">
        <v>41128</v>
      </c>
      <c r="D848" s="5">
        <v>1315</v>
      </c>
      <c r="E848" s="4" t="s">
        <v>3653</v>
      </c>
      <c r="F848" s="4"/>
    </row>
    <row r="849" spans="1:6">
      <c r="A849" s="4"/>
      <c r="B849" s="4"/>
      <c r="C849" s="6">
        <v>41129</v>
      </c>
      <c r="D849" s="5">
        <v>940</v>
      </c>
      <c r="E849" s="4" t="s">
        <v>3653</v>
      </c>
      <c r="F849" s="4"/>
    </row>
    <row r="850" spans="1:6">
      <c r="A850" s="4"/>
      <c r="B850" s="4"/>
      <c r="C850" s="6">
        <v>41130</v>
      </c>
      <c r="D850" s="5">
        <v>750</v>
      </c>
      <c r="E850" s="4" t="s">
        <v>3653</v>
      </c>
      <c r="F850" s="4"/>
    </row>
    <row r="851" spans="1:6">
      <c r="A851" s="4"/>
      <c r="B851" s="4"/>
      <c r="C851" s="6">
        <v>41135</v>
      </c>
      <c r="D851" s="5">
        <v>1875</v>
      </c>
      <c r="E851" s="4" t="s">
        <v>3653</v>
      </c>
      <c r="F851" s="4"/>
    </row>
    <row r="852" spans="1:6">
      <c r="A852" s="4"/>
      <c r="B852" s="4"/>
      <c r="C852" s="6">
        <v>41136</v>
      </c>
      <c r="D852" s="5">
        <v>2255</v>
      </c>
      <c r="E852" s="4" t="s">
        <v>3653</v>
      </c>
      <c r="F852" s="4"/>
    </row>
    <row r="853" spans="1:6">
      <c r="A853" s="4"/>
      <c r="B853" s="4"/>
      <c r="C853" s="6">
        <v>41146</v>
      </c>
      <c r="D853" s="5">
        <v>750</v>
      </c>
      <c r="E853" s="4" t="s">
        <v>3653</v>
      </c>
      <c r="F853" s="4"/>
    </row>
    <row r="854" spans="1:6">
      <c r="A854" s="4"/>
      <c r="B854" s="4"/>
      <c r="C854" s="6">
        <v>41153</v>
      </c>
      <c r="D854" s="5">
        <v>1875</v>
      </c>
      <c r="E854" s="4" t="s">
        <v>3653</v>
      </c>
      <c r="F854" s="4" t="s">
        <v>2480</v>
      </c>
    </row>
    <row r="855" spans="1:6">
      <c r="A855" s="4"/>
      <c r="B855" s="4"/>
      <c r="C855" s="6">
        <v>41161</v>
      </c>
      <c r="D855" s="5">
        <v>3005</v>
      </c>
      <c r="E855" s="4" t="s">
        <v>2776</v>
      </c>
      <c r="F855" s="4"/>
    </row>
    <row r="856" spans="1:6">
      <c r="A856" s="4"/>
      <c r="B856" s="4"/>
      <c r="C856" s="6">
        <v>41168</v>
      </c>
      <c r="D856" s="5">
        <v>1875</v>
      </c>
      <c r="E856" s="4" t="s">
        <v>2776</v>
      </c>
      <c r="F856" s="4"/>
    </row>
    <row r="857" spans="1:6">
      <c r="A857" s="4"/>
      <c r="B857" s="4"/>
      <c r="C857" s="6">
        <v>41173</v>
      </c>
      <c r="D857" s="5">
        <v>1315</v>
      </c>
      <c r="E857" s="4" t="s">
        <v>2776</v>
      </c>
      <c r="F857" s="4"/>
    </row>
    <row r="858" spans="1:6">
      <c r="A858" s="4"/>
      <c r="B858" s="4"/>
      <c r="C858" s="6">
        <v>41174</v>
      </c>
      <c r="D858" s="5">
        <v>940</v>
      </c>
      <c r="E858" s="4" t="s">
        <v>2776</v>
      </c>
      <c r="F858" s="4"/>
    </row>
    <row r="859" spans="1:6">
      <c r="A859" s="4"/>
      <c r="B859" s="4"/>
      <c r="C859" s="6">
        <v>41175</v>
      </c>
      <c r="D859" s="5">
        <v>750</v>
      </c>
      <c r="E859" s="4" t="s">
        <v>2776</v>
      </c>
      <c r="F859" s="4"/>
    </row>
    <row r="860" spans="1:6">
      <c r="A860" s="4"/>
      <c r="B860" s="4"/>
      <c r="C860" s="6">
        <v>41183</v>
      </c>
      <c r="D860" s="5">
        <v>1875</v>
      </c>
      <c r="E860" s="4" t="s">
        <v>872</v>
      </c>
      <c r="F860" s="4"/>
    </row>
    <row r="861" spans="1:6">
      <c r="A861" s="4"/>
      <c r="B861" s="4"/>
      <c r="C861" s="6">
        <v>41189</v>
      </c>
      <c r="D861" s="5">
        <v>940</v>
      </c>
      <c r="E861" s="4" t="s">
        <v>872</v>
      </c>
      <c r="F861" s="4"/>
    </row>
    <row r="862" spans="1:6">
      <c r="A862" s="4"/>
      <c r="B862" s="4"/>
      <c r="C862" s="6">
        <v>41190</v>
      </c>
      <c r="D862" s="5">
        <v>750</v>
      </c>
      <c r="E862" s="4" t="s">
        <v>872</v>
      </c>
      <c r="F862" s="4"/>
    </row>
    <row r="863" spans="1:6">
      <c r="A863" s="4"/>
      <c r="B863" s="4"/>
      <c r="C863" s="6">
        <v>41198</v>
      </c>
      <c r="D863" s="5">
        <v>1875</v>
      </c>
      <c r="E863" s="4" t="s">
        <v>872</v>
      </c>
      <c r="F863" s="4"/>
    </row>
    <row r="864" spans="1:6">
      <c r="A864" s="4"/>
      <c r="B864" s="4"/>
      <c r="C864" s="6">
        <v>41204</v>
      </c>
      <c r="D864" s="5">
        <v>940</v>
      </c>
      <c r="E864" s="4" t="s">
        <v>872</v>
      </c>
      <c r="F864" s="4"/>
    </row>
    <row r="865" spans="1:6">
      <c r="A865" s="4"/>
      <c r="B865" s="4"/>
      <c r="C865" s="6">
        <v>41205</v>
      </c>
      <c r="D865" s="5">
        <v>750</v>
      </c>
      <c r="E865" s="4" t="s">
        <v>872</v>
      </c>
      <c r="F865" s="4"/>
    </row>
    <row r="866" spans="1:6">
      <c r="A866" s="4"/>
      <c r="B866" s="4"/>
      <c r="C866" s="6">
        <v>41286</v>
      </c>
      <c r="D866" s="5">
        <v>2820</v>
      </c>
      <c r="E866" s="4" t="s">
        <v>3830</v>
      </c>
      <c r="F866" s="4"/>
    </row>
    <row r="867" spans="1:6">
      <c r="A867" s="4"/>
      <c r="B867" s="4"/>
      <c r="C867" s="6">
        <v>41286</v>
      </c>
      <c r="D867" s="5">
        <v>2250</v>
      </c>
      <c r="E867" s="4" t="s">
        <v>3830</v>
      </c>
      <c r="F867" s="4"/>
    </row>
    <row r="868" spans="1:6">
      <c r="A868" s="4">
        <v>46</v>
      </c>
      <c r="B868" s="4" t="s">
        <v>3524</v>
      </c>
      <c r="C868" s="6">
        <v>41199</v>
      </c>
      <c r="D868" s="5">
        <v>1125</v>
      </c>
      <c r="E868" s="4" t="s">
        <v>2571</v>
      </c>
      <c r="F868" s="4"/>
    </row>
    <row r="869" spans="1:6">
      <c r="A869" s="4"/>
      <c r="B869" s="4"/>
      <c r="C869" s="6">
        <v>41215</v>
      </c>
      <c r="D869" s="5">
        <v>940</v>
      </c>
      <c r="E869" s="4" t="s">
        <v>2553</v>
      </c>
      <c r="F869" s="4"/>
    </row>
    <row r="870" spans="1:6">
      <c r="A870" s="4"/>
      <c r="B870" s="4"/>
      <c r="C870" s="6">
        <v>41230</v>
      </c>
      <c r="D870" s="5">
        <v>1690</v>
      </c>
      <c r="E870" s="4" t="s">
        <v>2553</v>
      </c>
      <c r="F870" s="4"/>
    </row>
    <row r="871" spans="1:6">
      <c r="A871" s="4"/>
      <c r="B871" s="4"/>
      <c r="C871" s="6">
        <v>41244</v>
      </c>
      <c r="D871" s="5">
        <v>750</v>
      </c>
      <c r="E871" s="4" t="s">
        <v>1343</v>
      </c>
      <c r="F871" s="4"/>
    </row>
    <row r="872" spans="1:6">
      <c r="A872" s="4"/>
      <c r="B872" s="4"/>
      <c r="C872" s="6">
        <v>41247</v>
      </c>
      <c r="D872" s="5">
        <v>940</v>
      </c>
      <c r="E872" s="4" t="s">
        <v>1343</v>
      </c>
      <c r="F872" s="4"/>
    </row>
    <row r="873" spans="1:6">
      <c r="A873" s="4"/>
      <c r="B873" s="4"/>
      <c r="C873" s="6">
        <v>41260</v>
      </c>
      <c r="D873" s="5">
        <v>1690</v>
      </c>
      <c r="E873" s="4" t="s">
        <v>1343</v>
      </c>
      <c r="F873" s="4"/>
    </row>
    <row r="874" spans="1:6">
      <c r="A874" s="4"/>
      <c r="B874" s="4"/>
      <c r="C874" s="6">
        <v>41276</v>
      </c>
      <c r="D874" s="5">
        <v>940</v>
      </c>
      <c r="E874" s="4" t="s">
        <v>1367</v>
      </c>
      <c r="F874" s="4"/>
    </row>
    <row r="875" spans="1:6">
      <c r="A875" s="4"/>
      <c r="B875" s="4"/>
      <c r="C875" s="6">
        <v>41292</v>
      </c>
      <c r="D875" s="5">
        <v>940</v>
      </c>
      <c r="E875" s="4" t="s">
        <v>3670</v>
      </c>
      <c r="F875" s="4"/>
    </row>
    <row r="876" spans="1:6">
      <c r="A876" s="4"/>
      <c r="B876" s="4"/>
      <c r="C876" s="6">
        <v>41292</v>
      </c>
      <c r="D876" s="5">
        <v>750</v>
      </c>
      <c r="E876" s="4" t="s">
        <v>3670</v>
      </c>
      <c r="F876" s="4"/>
    </row>
    <row r="877" spans="1:6">
      <c r="A877" s="4">
        <v>47</v>
      </c>
      <c r="B877" s="4" t="s">
        <v>3776</v>
      </c>
      <c r="C877" s="6">
        <v>41094</v>
      </c>
      <c r="D877" s="5">
        <v>4000</v>
      </c>
      <c r="E877" s="4" t="s">
        <v>222</v>
      </c>
      <c r="F877" s="4"/>
    </row>
    <row r="878" spans="1:6">
      <c r="A878" s="4"/>
      <c r="B878" s="4"/>
      <c r="C878" s="6">
        <v>41112</v>
      </c>
      <c r="D878" s="5">
        <v>4695</v>
      </c>
      <c r="E878" s="4" t="s">
        <v>222</v>
      </c>
      <c r="F878" s="4"/>
    </row>
    <row r="879" spans="1:6">
      <c r="A879" s="4"/>
      <c r="B879" s="4"/>
      <c r="C879" s="6">
        <v>41122</v>
      </c>
      <c r="D879" s="5">
        <v>4695</v>
      </c>
      <c r="E879" s="4" t="s">
        <v>3655</v>
      </c>
      <c r="F879" s="4"/>
    </row>
    <row r="880" spans="1:6">
      <c r="A880" s="4"/>
      <c r="B880" s="4"/>
      <c r="C880" s="6">
        <v>41129</v>
      </c>
      <c r="D880" s="5">
        <v>3755</v>
      </c>
      <c r="E880" s="4" t="s">
        <v>3655</v>
      </c>
      <c r="F880" s="4"/>
    </row>
    <row r="881" spans="1:6">
      <c r="A881" s="4"/>
      <c r="B881" s="4"/>
      <c r="C881" s="6">
        <v>41141</v>
      </c>
      <c r="D881" s="5">
        <v>4695</v>
      </c>
      <c r="E881" s="4" t="s">
        <v>3655</v>
      </c>
      <c r="F881" s="4"/>
    </row>
    <row r="882" spans="1:6">
      <c r="A882" s="4"/>
      <c r="B882" s="4"/>
      <c r="C882" s="6">
        <v>41151</v>
      </c>
      <c r="D882" s="5">
        <v>4695</v>
      </c>
      <c r="E882" s="4" t="s">
        <v>3655</v>
      </c>
      <c r="F882" s="4"/>
    </row>
    <row r="883" spans="1:6">
      <c r="A883" s="4"/>
      <c r="B883" s="4"/>
      <c r="C883" s="6">
        <v>41153</v>
      </c>
      <c r="D883" s="5">
        <v>1125</v>
      </c>
      <c r="E883" s="4" t="s">
        <v>3655</v>
      </c>
      <c r="F883" s="4" t="s">
        <v>2480</v>
      </c>
    </row>
    <row r="884" spans="1:6">
      <c r="A884" s="4"/>
      <c r="B884" s="4"/>
      <c r="C884" s="6">
        <v>41163</v>
      </c>
      <c r="D884" s="5">
        <v>4695</v>
      </c>
      <c r="E884" s="4" t="s">
        <v>2481</v>
      </c>
      <c r="F884" s="4"/>
    </row>
    <row r="885" spans="1:6">
      <c r="A885" s="4"/>
      <c r="B885" s="4"/>
      <c r="C885" s="6">
        <v>41179</v>
      </c>
      <c r="D885" s="5">
        <v>4695</v>
      </c>
      <c r="E885" s="4" t="s">
        <v>2481</v>
      </c>
      <c r="F885" s="4"/>
    </row>
    <row r="886" spans="1:6">
      <c r="A886" s="4"/>
      <c r="B886" s="4"/>
      <c r="C886" s="6">
        <v>41196</v>
      </c>
      <c r="D886" s="5">
        <v>4320</v>
      </c>
      <c r="E886" s="4" t="s">
        <v>874</v>
      </c>
      <c r="F886" s="4"/>
    </row>
    <row r="887" spans="1:6">
      <c r="A887" s="4"/>
      <c r="B887" s="4"/>
      <c r="C887" s="6">
        <v>41218</v>
      </c>
      <c r="D887" s="5">
        <v>1140</v>
      </c>
      <c r="E887" s="4" t="s">
        <v>2549</v>
      </c>
      <c r="F887" s="4"/>
    </row>
    <row r="888" spans="1:6">
      <c r="A888" s="4"/>
      <c r="B888" s="4"/>
      <c r="C888" s="6">
        <v>41239</v>
      </c>
      <c r="D888" s="5">
        <v>375</v>
      </c>
      <c r="E888" s="4" t="s">
        <v>2549</v>
      </c>
      <c r="F888" s="4"/>
    </row>
    <row r="889" spans="1:6">
      <c r="A889" s="4"/>
      <c r="B889" s="4"/>
      <c r="C889" s="6">
        <v>41242</v>
      </c>
      <c r="D889" s="5">
        <v>3000</v>
      </c>
      <c r="E889" s="4" t="s">
        <v>2549</v>
      </c>
      <c r="F889" s="4"/>
    </row>
    <row r="890" spans="1:6">
      <c r="A890" s="4"/>
      <c r="B890" s="4"/>
      <c r="C890" s="6">
        <v>41274</v>
      </c>
      <c r="D890" s="5">
        <v>1125</v>
      </c>
      <c r="E890" s="4" t="s">
        <v>1345</v>
      </c>
      <c r="F890" s="4"/>
    </row>
    <row r="891" spans="1:6">
      <c r="A891" s="4"/>
      <c r="B891" s="4"/>
      <c r="C891" s="6">
        <v>41285</v>
      </c>
      <c r="D891" s="5">
        <v>1875</v>
      </c>
      <c r="E891" s="4" t="s">
        <v>3829</v>
      </c>
      <c r="F891" s="4"/>
    </row>
    <row r="892" spans="1:6">
      <c r="A892" s="4"/>
      <c r="B892" s="4"/>
      <c r="C892" s="6">
        <v>41285</v>
      </c>
      <c r="D892" s="5">
        <v>375</v>
      </c>
      <c r="E892" s="4" t="s">
        <v>3829</v>
      </c>
      <c r="F892" s="4"/>
    </row>
    <row r="893" spans="1:6">
      <c r="A893" s="4"/>
      <c r="B893" s="4"/>
      <c r="C893" s="6">
        <v>41292</v>
      </c>
      <c r="D893" s="5">
        <v>750</v>
      </c>
      <c r="E893" s="4" t="s">
        <v>3670</v>
      </c>
      <c r="F893" s="4"/>
    </row>
    <row r="894" spans="1:6">
      <c r="A894" s="4"/>
      <c r="B894" s="4"/>
      <c r="C894" s="6">
        <v>41292</v>
      </c>
      <c r="D894" s="5">
        <v>3750</v>
      </c>
      <c r="E894" s="4" t="s">
        <v>3670</v>
      </c>
      <c r="F894" s="4"/>
    </row>
    <row r="895" spans="1:6">
      <c r="A895" s="4"/>
      <c r="B895" s="4"/>
      <c r="C895" s="6">
        <v>41292</v>
      </c>
      <c r="D895" s="5">
        <v>2250</v>
      </c>
      <c r="E895" s="4" t="s">
        <v>3670</v>
      </c>
      <c r="F895" s="4"/>
    </row>
    <row r="896" spans="1:6">
      <c r="A896" s="4">
        <v>48</v>
      </c>
      <c r="B896" s="4" t="s">
        <v>3767</v>
      </c>
      <c r="C896" s="6">
        <v>41107</v>
      </c>
      <c r="D896" s="5">
        <v>2440</v>
      </c>
      <c r="E896" s="4" t="s">
        <v>226</v>
      </c>
      <c r="F896" s="4"/>
    </row>
    <row r="897" spans="1:6">
      <c r="A897" s="4"/>
      <c r="B897" s="4"/>
      <c r="C897" s="6">
        <v>41110</v>
      </c>
      <c r="D897" s="5">
        <v>1125</v>
      </c>
      <c r="E897" s="4" t="s">
        <v>226</v>
      </c>
      <c r="F897" s="4"/>
    </row>
    <row r="898" spans="1:6">
      <c r="A898" s="4"/>
      <c r="B898" s="4"/>
      <c r="C898" s="6">
        <v>41116</v>
      </c>
      <c r="D898" s="5">
        <v>1315</v>
      </c>
      <c r="E898" s="4" t="s">
        <v>226</v>
      </c>
      <c r="F898" s="4"/>
    </row>
    <row r="899" spans="1:6">
      <c r="A899" s="4"/>
      <c r="B899" s="4"/>
      <c r="C899" s="6">
        <v>41118</v>
      </c>
      <c r="D899" s="5">
        <v>1125</v>
      </c>
      <c r="E899" s="4" t="s">
        <v>226</v>
      </c>
      <c r="F899" s="4"/>
    </row>
    <row r="900" spans="1:6">
      <c r="A900" s="4"/>
      <c r="B900" s="4"/>
      <c r="C900" s="6">
        <v>41123</v>
      </c>
      <c r="D900" s="5">
        <v>1125</v>
      </c>
      <c r="E900" s="4" t="s">
        <v>3657</v>
      </c>
      <c r="F900" s="4"/>
    </row>
    <row r="901" spans="1:6">
      <c r="A901" s="4"/>
      <c r="B901" s="4"/>
      <c r="C901" s="6">
        <v>41131</v>
      </c>
      <c r="D901" s="5">
        <v>2440</v>
      </c>
      <c r="E901" s="4" t="s">
        <v>3657</v>
      </c>
      <c r="F901" s="4"/>
    </row>
    <row r="902" spans="1:6">
      <c r="A902" s="4"/>
      <c r="B902" s="4"/>
      <c r="C902" s="6">
        <v>41137</v>
      </c>
      <c r="D902" s="5">
        <v>1125</v>
      </c>
      <c r="E902" s="4" t="s">
        <v>3657</v>
      </c>
      <c r="F902" s="4"/>
    </row>
    <row r="903" spans="1:6">
      <c r="A903" s="4"/>
      <c r="B903" s="4"/>
      <c r="C903" s="6">
        <v>41147</v>
      </c>
      <c r="D903" s="5">
        <v>2440</v>
      </c>
      <c r="E903" s="4" t="s">
        <v>3657</v>
      </c>
      <c r="F903" s="4"/>
    </row>
    <row r="904" spans="1:6">
      <c r="A904" s="4"/>
      <c r="B904" s="4"/>
      <c r="C904" s="6">
        <v>41152</v>
      </c>
      <c r="D904" s="5">
        <v>1125</v>
      </c>
      <c r="E904" s="4" t="s">
        <v>3657</v>
      </c>
      <c r="F904" s="4"/>
    </row>
    <row r="905" spans="1:6">
      <c r="A905" s="4"/>
      <c r="B905" s="4"/>
      <c r="C905" s="6">
        <v>41162</v>
      </c>
      <c r="D905" s="5">
        <v>2440</v>
      </c>
      <c r="E905" s="4" t="s">
        <v>2483</v>
      </c>
      <c r="F905" s="4"/>
    </row>
    <row r="906" spans="1:6">
      <c r="A906" s="4"/>
      <c r="B906" s="4"/>
      <c r="C906" s="6">
        <v>41167</v>
      </c>
      <c r="D906" s="5">
        <v>1125</v>
      </c>
      <c r="E906" s="4" t="s">
        <v>2483</v>
      </c>
      <c r="F906" s="4"/>
    </row>
    <row r="907" spans="1:6">
      <c r="A907" s="4"/>
      <c r="B907" s="4"/>
      <c r="C907" s="6">
        <v>41178</v>
      </c>
      <c r="D907" s="5">
        <v>2440</v>
      </c>
      <c r="E907" s="4" t="s">
        <v>2483</v>
      </c>
      <c r="F907" s="4"/>
    </row>
    <row r="908" spans="1:6">
      <c r="A908" s="4"/>
      <c r="B908" s="4"/>
      <c r="C908" s="6">
        <v>41183</v>
      </c>
      <c r="D908" s="5">
        <v>1125</v>
      </c>
      <c r="E908" s="4" t="s">
        <v>876</v>
      </c>
      <c r="F908" s="4"/>
    </row>
    <row r="909" spans="1:6">
      <c r="A909" s="4"/>
      <c r="B909" s="4"/>
      <c r="C909" s="6">
        <v>41192</v>
      </c>
      <c r="D909" s="5">
        <v>2440</v>
      </c>
      <c r="E909" s="4" t="s">
        <v>876</v>
      </c>
      <c r="F909" s="4"/>
    </row>
    <row r="910" spans="1:6">
      <c r="A910" s="4"/>
      <c r="B910" s="4"/>
      <c r="C910" s="6">
        <v>41197</v>
      </c>
      <c r="D910" s="5">
        <v>1125</v>
      </c>
      <c r="E910" s="4" t="s">
        <v>876</v>
      </c>
      <c r="F910" s="4"/>
    </row>
    <row r="911" spans="1:6">
      <c r="A911" s="4"/>
      <c r="B911" s="4"/>
      <c r="C911" s="6">
        <v>41285</v>
      </c>
      <c r="D911" s="5">
        <v>1315</v>
      </c>
      <c r="E911" s="4" t="s">
        <v>3826</v>
      </c>
      <c r="F911" s="4"/>
    </row>
    <row r="912" spans="1:6">
      <c r="A912" s="4"/>
      <c r="B912" s="4"/>
      <c r="C912" s="6">
        <v>41285</v>
      </c>
      <c r="D912" s="5">
        <v>1125</v>
      </c>
      <c r="E912" s="4" t="s">
        <v>3826</v>
      </c>
      <c r="F912" s="4"/>
    </row>
    <row r="913" spans="1:6">
      <c r="A913" s="4"/>
      <c r="B913" s="4"/>
      <c r="C913" s="6">
        <v>41285</v>
      </c>
      <c r="D913" s="5">
        <v>1125</v>
      </c>
      <c r="E913" s="4" t="s">
        <v>3826</v>
      </c>
      <c r="F913" s="4"/>
    </row>
    <row r="914" spans="1:6">
      <c r="A914" s="4">
        <v>49</v>
      </c>
      <c r="B914" s="4" t="s">
        <v>323</v>
      </c>
      <c r="C914" s="6">
        <v>41276</v>
      </c>
      <c r="D914" s="5">
        <v>565</v>
      </c>
      <c r="E914" s="4" t="s">
        <v>1366</v>
      </c>
      <c r="F914" s="4"/>
    </row>
    <row r="915" spans="1:6">
      <c r="A915" s="4"/>
      <c r="B915" s="4"/>
      <c r="C915" s="6">
        <v>41286</v>
      </c>
      <c r="D915" s="5">
        <v>565</v>
      </c>
      <c r="E915" s="4" t="s">
        <v>3830</v>
      </c>
      <c r="F915" s="4"/>
    </row>
    <row r="916" spans="1:6">
      <c r="A916" s="4">
        <v>50</v>
      </c>
      <c r="B916" s="4" t="s">
        <v>3780</v>
      </c>
      <c r="C916" s="6">
        <v>41289</v>
      </c>
      <c r="D916" s="5">
        <v>1200</v>
      </c>
      <c r="E916" s="4" t="s">
        <v>3665</v>
      </c>
      <c r="F916" s="4"/>
    </row>
    <row r="917" spans="1:6">
      <c r="A917" s="4">
        <v>51</v>
      </c>
      <c r="B917" s="4" t="s">
        <v>1190</v>
      </c>
      <c r="C917" s="6">
        <v>41282</v>
      </c>
      <c r="D917" s="5">
        <v>2260</v>
      </c>
      <c r="E917" s="4" t="s">
        <v>1375</v>
      </c>
      <c r="F917" s="4"/>
    </row>
    <row r="918" spans="1:6">
      <c r="A918" s="4"/>
      <c r="B918" s="4"/>
      <c r="C918" s="6">
        <v>41282</v>
      </c>
      <c r="D918" s="5">
        <v>6000</v>
      </c>
      <c r="E918" s="4" t="s">
        <v>1375</v>
      </c>
      <c r="F918" s="4"/>
    </row>
    <row r="919" spans="1:6">
      <c r="A919" s="4">
        <v>52</v>
      </c>
      <c r="B919" s="4" t="s">
        <v>316</v>
      </c>
      <c r="C919" s="6">
        <v>41276</v>
      </c>
      <c r="D919" s="5">
        <v>1315</v>
      </c>
      <c r="E919" s="4" t="s">
        <v>1366</v>
      </c>
      <c r="F919" s="4"/>
    </row>
    <row r="920" spans="1:6">
      <c r="A920" s="4"/>
      <c r="B920" s="4"/>
      <c r="C920" s="6">
        <v>41276</v>
      </c>
      <c r="D920" s="5">
        <v>375</v>
      </c>
      <c r="E920" s="4" t="s">
        <v>1366</v>
      </c>
      <c r="F920" s="4"/>
    </row>
    <row r="921" spans="1:6">
      <c r="A921" s="4"/>
      <c r="B921" s="4"/>
      <c r="C921" s="6">
        <v>41288</v>
      </c>
      <c r="D921" s="5">
        <v>565</v>
      </c>
      <c r="E921" s="4" t="s">
        <v>3662</v>
      </c>
      <c r="F921" s="4"/>
    </row>
    <row r="922" spans="1:6">
      <c r="A922" s="4"/>
      <c r="B922" s="4"/>
      <c r="C922" s="6">
        <v>41290</v>
      </c>
      <c r="D922" s="5">
        <v>750</v>
      </c>
      <c r="E922" s="4" t="s">
        <v>3666</v>
      </c>
      <c r="F922" s="4"/>
    </row>
    <row r="923" spans="1:6">
      <c r="A923" s="4"/>
      <c r="B923" s="4"/>
      <c r="C923" s="6">
        <v>41290</v>
      </c>
      <c r="D923" s="5">
        <v>1315</v>
      </c>
      <c r="E923" s="4" t="s">
        <v>3666</v>
      </c>
      <c r="F923" s="4"/>
    </row>
    <row r="924" spans="1:6">
      <c r="A924" s="4"/>
      <c r="B924" s="4"/>
      <c r="C924" s="6">
        <v>41293</v>
      </c>
      <c r="D924" s="5">
        <v>375</v>
      </c>
      <c r="E924" s="4" t="s">
        <v>3671</v>
      </c>
      <c r="F924" s="4"/>
    </row>
    <row r="925" spans="1:6">
      <c r="A925" s="4">
        <v>53</v>
      </c>
      <c r="B925" s="4" t="s">
        <v>3770</v>
      </c>
      <c r="C925" s="6">
        <v>41285</v>
      </c>
      <c r="D925" s="5">
        <v>750</v>
      </c>
      <c r="E925" s="4" t="s">
        <v>3827</v>
      </c>
      <c r="F925" s="4"/>
    </row>
    <row r="926" spans="1:6">
      <c r="A926" s="4"/>
      <c r="B926" s="4"/>
      <c r="C926" s="6">
        <v>41285</v>
      </c>
      <c r="D926" s="5">
        <v>190</v>
      </c>
      <c r="E926" s="4" t="s">
        <v>3827</v>
      </c>
      <c r="F926" s="4"/>
    </row>
    <row r="927" spans="1:6">
      <c r="A927" s="4"/>
      <c r="B927" s="4"/>
      <c r="C927" s="6">
        <v>41285</v>
      </c>
      <c r="D927" s="5">
        <v>190</v>
      </c>
      <c r="E927" s="4" t="s">
        <v>3827</v>
      </c>
      <c r="F927" s="4"/>
    </row>
    <row r="928" spans="1:6">
      <c r="A928" s="4">
        <v>54</v>
      </c>
      <c r="B928" s="4" t="s">
        <v>315</v>
      </c>
      <c r="C928" s="6">
        <v>41276</v>
      </c>
      <c r="D928" s="5">
        <v>1875</v>
      </c>
      <c r="E928" s="4" t="s">
        <v>1366</v>
      </c>
      <c r="F928" s="4"/>
    </row>
    <row r="929" spans="1:6">
      <c r="A929" s="4"/>
      <c r="B929" s="4"/>
      <c r="C929" s="6">
        <v>41276</v>
      </c>
      <c r="D929" s="5">
        <v>1125</v>
      </c>
      <c r="E929" s="4" t="s">
        <v>1366</v>
      </c>
      <c r="F929" s="4"/>
    </row>
    <row r="930" spans="1:6">
      <c r="A930" s="4"/>
      <c r="B930" s="4"/>
      <c r="C930" s="6">
        <v>41288</v>
      </c>
      <c r="D930" s="5">
        <v>1875</v>
      </c>
      <c r="E930" s="4" t="s">
        <v>3663</v>
      </c>
      <c r="F930" s="4"/>
    </row>
    <row r="931" spans="1:6">
      <c r="A931" s="4">
        <v>55</v>
      </c>
      <c r="B931" s="4" t="s">
        <v>3769</v>
      </c>
      <c r="C931" s="6">
        <v>41285</v>
      </c>
      <c r="D931" s="5">
        <v>375</v>
      </c>
      <c r="E931" s="4" t="s">
        <v>3827</v>
      </c>
      <c r="F931" s="4"/>
    </row>
    <row r="932" spans="1:6">
      <c r="A932" s="4"/>
      <c r="B932" s="4"/>
      <c r="C932" s="6">
        <v>41285</v>
      </c>
      <c r="D932" s="5">
        <v>750</v>
      </c>
      <c r="E932" s="4" t="s">
        <v>3827</v>
      </c>
      <c r="F932" s="4"/>
    </row>
    <row r="933" spans="1:6">
      <c r="A933" s="4"/>
      <c r="B933" s="4"/>
      <c r="C933" s="6">
        <v>41285</v>
      </c>
      <c r="D933" s="5">
        <v>375</v>
      </c>
      <c r="E933" s="4" t="s">
        <v>3827</v>
      </c>
      <c r="F933" s="4"/>
    </row>
    <row r="934" spans="1:6">
      <c r="A934" s="4">
        <v>56</v>
      </c>
      <c r="B934" s="4" t="s">
        <v>3518</v>
      </c>
      <c r="C934" s="6">
        <v>41276</v>
      </c>
      <c r="D934" s="5">
        <v>375</v>
      </c>
      <c r="E934" s="4" t="s">
        <v>1367</v>
      </c>
      <c r="F934" s="4"/>
    </row>
    <row r="935" spans="1:6">
      <c r="A935" s="4"/>
      <c r="B935" s="4"/>
      <c r="C935" s="6">
        <v>41282</v>
      </c>
      <c r="D935" s="5">
        <v>375</v>
      </c>
      <c r="E935" s="4" t="s">
        <v>1376</v>
      </c>
      <c r="F935" s="4"/>
    </row>
    <row r="936" spans="1:6">
      <c r="A936" s="4"/>
      <c r="B936" s="4"/>
      <c r="C936" s="6">
        <v>41288</v>
      </c>
      <c r="D936" s="5">
        <v>375</v>
      </c>
      <c r="E936" s="4" t="s">
        <v>3662</v>
      </c>
      <c r="F936" s="4"/>
    </row>
    <row r="937" spans="1:6">
      <c r="A937" s="4"/>
      <c r="B937" s="4"/>
      <c r="C937" s="6">
        <v>41288</v>
      </c>
      <c r="D937" s="5">
        <v>190</v>
      </c>
      <c r="E937" s="4" t="s">
        <v>3662</v>
      </c>
      <c r="F937" s="4"/>
    </row>
    <row r="938" spans="1:6">
      <c r="A938" s="4"/>
      <c r="B938" s="4"/>
      <c r="C938" s="6">
        <v>41291</v>
      </c>
      <c r="D938" s="5">
        <v>375</v>
      </c>
      <c r="E938" s="4" t="s">
        <v>3669</v>
      </c>
      <c r="F938" s="4"/>
    </row>
    <row r="939" spans="1:6">
      <c r="A939" s="4">
        <v>57</v>
      </c>
      <c r="B939" s="4" t="s">
        <v>1175</v>
      </c>
      <c r="C939" s="6">
        <v>41279</v>
      </c>
      <c r="D939" s="5">
        <v>1125</v>
      </c>
      <c r="E939" s="4" t="s">
        <v>1372</v>
      </c>
      <c r="F939" s="4"/>
    </row>
    <row r="940" spans="1:6">
      <c r="A940" s="4"/>
      <c r="B940" s="4"/>
      <c r="C940" s="6">
        <v>41283</v>
      </c>
      <c r="D940" s="5">
        <v>750</v>
      </c>
      <c r="E940" s="4" t="s">
        <v>1378</v>
      </c>
      <c r="F940" s="4"/>
    </row>
    <row r="941" spans="1:6">
      <c r="A941" s="4"/>
      <c r="B941" s="4"/>
      <c r="C941" s="6">
        <v>41295</v>
      </c>
      <c r="D941" s="5">
        <v>1125</v>
      </c>
      <c r="E941" s="4" t="s">
        <v>3672</v>
      </c>
      <c r="F941" s="4"/>
    </row>
    <row r="942" spans="1:6">
      <c r="A942" s="4">
        <v>58</v>
      </c>
      <c r="B942" s="4" t="s">
        <v>3523</v>
      </c>
      <c r="C942" s="6">
        <v>41276</v>
      </c>
      <c r="D942" s="5">
        <v>2250</v>
      </c>
      <c r="E942" s="4" t="s">
        <v>1367</v>
      </c>
      <c r="F942" s="4"/>
    </row>
    <row r="943" spans="1:6">
      <c r="A943" s="4"/>
      <c r="B943" s="4"/>
      <c r="C943" s="6">
        <v>41276</v>
      </c>
      <c r="D943" s="5">
        <v>2250</v>
      </c>
      <c r="E943" s="4" t="s">
        <v>1367</v>
      </c>
      <c r="F943" s="4"/>
    </row>
    <row r="944" spans="1:6">
      <c r="A944" s="4"/>
      <c r="B944" s="4"/>
      <c r="C944" s="6">
        <v>41284</v>
      </c>
      <c r="D944" s="5">
        <v>2250</v>
      </c>
      <c r="E944" s="4" t="s">
        <v>3824</v>
      </c>
      <c r="F944" s="4"/>
    </row>
    <row r="945" spans="1:6">
      <c r="A945" s="4"/>
      <c r="B945" s="4"/>
      <c r="C945" s="6">
        <v>41290</v>
      </c>
      <c r="D945" s="5">
        <v>2250</v>
      </c>
      <c r="E945" s="4" t="s">
        <v>3666</v>
      </c>
      <c r="F945" s="4"/>
    </row>
    <row r="946" spans="1:6">
      <c r="A946" s="4">
        <v>59</v>
      </c>
      <c r="B946" s="4" t="s">
        <v>1183</v>
      </c>
      <c r="C946" s="6">
        <v>41281</v>
      </c>
      <c r="D946" s="5">
        <v>1500</v>
      </c>
      <c r="E946" s="4" t="s">
        <v>1373</v>
      </c>
      <c r="F946" s="4"/>
    </row>
    <row r="947" spans="1:6">
      <c r="A947" s="4"/>
      <c r="B947" s="4"/>
      <c r="C947" s="6">
        <v>41284</v>
      </c>
      <c r="D947" s="5">
        <v>375</v>
      </c>
      <c r="E947" s="4" t="s">
        <v>3824</v>
      </c>
      <c r="F947" s="4"/>
    </row>
    <row r="948" spans="1:6">
      <c r="A948" s="4"/>
      <c r="B948" s="4"/>
      <c r="C948" s="6">
        <v>41290</v>
      </c>
      <c r="D948" s="5">
        <v>2250</v>
      </c>
      <c r="E948" s="4" t="s">
        <v>3667</v>
      </c>
      <c r="F948" s="4"/>
    </row>
    <row r="949" spans="1:6">
      <c r="A949" s="4"/>
      <c r="B949" s="4"/>
      <c r="C949" s="6">
        <v>41293</v>
      </c>
      <c r="D949" s="5">
        <v>1500</v>
      </c>
      <c r="E949" s="4" t="s">
        <v>3671</v>
      </c>
      <c r="F949" s="4"/>
    </row>
    <row r="950" spans="1:6">
      <c r="A950" s="4">
        <v>60</v>
      </c>
      <c r="B950" s="4" t="s">
        <v>317</v>
      </c>
      <c r="C950" s="6">
        <v>41276</v>
      </c>
      <c r="D950" s="5">
        <v>525</v>
      </c>
      <c r="E950" s="4" t="s">
        <v>1366</v>
      </c>
      <c r="F950" s="4"/>
    </row>
    <row r="951" spans="1:6">
      <c r="A951" s="4"/>
      <c r="B951" s="4"/>
      <c r="C951" s="6">
        <v>41281</v>
      </c>
      <c r="D951" s="5">
        <v>175</v>
      </c>
      <c r="E951" s="4" t="s">
        <v>1373</v>
      </c>
      <c r="F951" s="4"/>
    </row>
    <row r="952" spans="1:6">
      <c r="A952" s="4"/>
      <c r="B952" s="4"/>
      <c r="C952" s="6">
        <v>41283</v>
      </c>
      <c r="D952" s="5">
        <v>750</v>
      </c>
      <c r="E952" s="4" t="s">
        <v>1378</v>
      </c>
      <c r="F952" s="4"/>
    </row>
    <row r="953" spans="1:6">
      <c r="A953" s="4"/>
      <c r="B953" s="4"/>
      <c r="C953" s="6">
        <v>41288</v>
      </c>
      <c r="D953" s="5">
        <v>175</v>
      </c>
      <c r="E953" s="4" t="s">
        <v>3663</v>
      </c>
      <c r="F953" s="4"/>
    </row>
    <row r="954" spans="1:6">
      <c r="A954" s="4"/>
      <c r="B954" s="4"/>
      <c r="C954" s="6">
        <v>41289</v>
      </c>
      <c r="D954" s="5">
        <v>1125</v>
      </c>
      <c r="E954" s="4" t="s">
        <v>3664</v>
      </c>
      <c r="F954" s="4"/>
    </row>
    <row r="955" spans="1:6">
      <c r="A955" s="4"/>
      <c r="B955" s="4"/>
      <c r="C955" s="6">
        <v>41295</v>
      </c>
      <c r="D955" s="5">
        <v>175</v>
      </c>
      <c r="E955" s="4" t="s">
        <v>3673</v>
      </c>
      <c r="F955" s="4"/>
    </row>
    <row r="956" spans="1:6">
      <c r="A956" s="4">
        <v>61</v>
      </c>
      <c r="B956" s="4" t="s">
        <v>3551</v>
      </c>
      <c r="C956" s="6">
        <v>41283</v>
      </c>
      <c r="D956" s="5">
        <v>175</v>
      </c>
      <c r="E956" s="4" t="s">
        <v>1377</v>
      </c>
      <c r="F956" s="4"/>
    </row>
    <row r="957" spans="1:6">
      <c r="A957" s="4"/>
      <c r="B957" s="4"/>
      <c r="C957" s="6">
        <v>41291</v>
      </c>
      <c r="D957" s="5">
        <v>175</v>
      </c>
      <c r="E957" s="4" t="s">
        <v>3668</v>
      </c>
      <c r="F957" s="4"/>
    </row>
    <row r="958" spans="1:6">
      <c r="A958" s="4"/>
      <c r="B958" s="4"/>
      <c r="C958" s="6">
        <v>41291</v>
      </c>
      <c r="D958" s="5">
        <v>375</v>
      </c>
      <c r="E958" s="4" t="s">
        <v>3668</v>
      </c>
      <c r="F958" s="4"/>
    </row>
    <row r="959" spans="1:6">
      <c r="A959" s="4">
        <v>62</v>
      </c>
      <c r="B959" s="4" t="s">
        <v>3759</v>
      </c>
      <c r="C959" s="6">
        <v>41284</v>
      </c>
      <c r="D959" s="5">
        <v>375</v>
      </c>
      <c r="E959" s="4" t="s">
        <v>3825</v>
      </c>
      <c r="F959" s="4"/>
    </row>
    <row r="960" spans="1:6">
      <c r="A960" s="4"/>
      <c r="B960" s="4"/>
      <c r="C960" s="6">
        <v>41284</v>
      </c>
      <c r="D960" s="5">
        <v>190</v>
      </c>
      <c r="E960" s="4" t="s">
        <v>3825</v>
      </c>
      <c r="F960" s="4"/>
    </row>
    <row r="961" spans="1:6">
      <c r="A961" s="4"/>
      <c r="B961" s="4"/>
      <c r="C961" s="6">
        <v>41284</v>
      </c>
      <c r="D961" s="5">
        <v>375</v>
      </c>
      <c r="E961" s="4" t="s">
        <v>3825</v>
      </c>
      <c r="F961" s="4"/>
    </row>
    <row r="962" spans="1:6">
      <c r="A962" s="4">
        <v>63</v>
      </c>
      <c r="B962" s="4" t="s">
        <v>1181</v>
      </c>
      <c r="C962" s="6">
        <v>41279</v>
      </c>
      <c r="D962" s="5">
        <v>375</v>
      </c>
      <c r="E962" s="4" t="s">
        <v>1372</v>
      </c>
      <c r="F962" s="4"/>
    </row>
    <row r="963" spans="1:6">
      <c r="A963" s="4"/>
      <c r="B963" s="4"/>
      <c r="C963" s="6">
        <v>41281</v>
      </c>
      <c r="D963" s="5">
        <v>3000</v>
      </c>
      <c r="E963" s="4" t="s">
        <v>1373</v>
      </c>
      <c r="F963" s="4"/>
    </row>
    <row r="964" spans="1:6">
      <c r="A964" s="4"/>
      <c r="B964" s="4"/>
      <c r="C964" s="6">
        <v>41293</v>
      </c>
      <c r="D964" s="5">
        <v>375</v>
      </c>
      <c r="E964" s="4" t="s">
        <v>3671</v>
      </c>
      <c r="F964" s="4"/>
    </row>
    <row r="965" spans="1:6">
      <c r="A965" s="4"/>
      <c r="B965" s="4"/>
      <c r="C965" s="6">
        <v>41295</v>
      </c>
      <c r="D965" s="5">
        <v>3000</v>
      </c>
      <c r="E965" s="4" t="s">
        <v>3672</v>
      </c>
      <c r="F965" s="4"/>
    </row>
    <row r="966" spans="1:6">
      <c r="A966" s="4">
        <v>64</v>
      </c>
      <c r="B966" s="4" t="s">
        <v>3532</v>
      </c>
      <c r="C966" s="6">
        <v>41277</v>
      </c>
      <c r="D966" s="5">
        <v>375</v>
      </c>
      <c r="E966" s="4" t="s">
        <v>1368</v>
      </c>
      <c r="F966" s="4"/>
    </row>
    <row r="967" spans="1:6">
      <c r="A967" s="4"/>
      <c r="B967" s="4"/>
      <c r="C967" s="6">
        <v>41295</v>
      </c>
      <c r="D967" s="5">
        <v>375</v>
      </c>
      <c r="E967" s="4" t="s">
        <v>3672</v>
      </c>
      <c r="F967" s="4"/>
    </row>
    <row r="968" spans="1:6">
      <c r="A968" s="4"/>
      <c r="B968" s="4"/>
      <c r="C968" s="6">
        <v>41296</v>
      </c>
      <c r="D968" s="5">
        <v>190</v>
      </c>
      <c r="E968" s="4" t="s">
        <v>3674</v>
      </c>
      <c r="F968" s="4"/>
    </row>
    <row r="969" spans="1:6">
      <c r="A969" s="4">
        <v>65</v>
      </c>
      <c r="B969" s="4" t="s">
        <v>3546</v>
      </c>
      <c r="C969" s="6">
        <v>41278</v>
      </c>
      <c r="D969" s="5">
        <v>175</v>
      </c>
      <c r="E969" s="4" t="s">
        <v>1370</v>
      </c>
      <c r="F969" s="4"/>
    </row>
    <row r="970" spans="1:6">
      <c r="A970" s="4"/>
      <c r="B970" s="4"/>
      <c r="C970" s="6">
        <v>41290</v>
      </c>
      <c r="D970" s="5">
        <v>175</v>
      </c>
      <c r="E970" s="4" t="s">
        <v>3667</v>
      </c>
      <c r="F970" s="4"/>
    </row>
    <row r="971" spans="1:6">
      <c r="A971" s="4">
        <v>66</v>
      </c>
      <c r="B971" s="4" t="s">
        <v>3507</v>
      </c>
      <c r="C971" s="6">
        <v>41276</v>
      </c>
      <c r="D971" s="5">
        <v>350</v>
      </c>
      <c r="E971" s="4" t="s">
        <v>1366</v>
      </c>
      <c r="F971" s="4"/>
    </row>
    <row r="972" spans="1:6">
      <c r="A972" s="4"/>
      <c r="B972" s="4"/>
      <c r="C972" s="6">
        <v>41281</v>
      </c>
      <c r="D972" s="5">
        <v>350</v>
      </c>
      <c r="E972" s="4" t="s">
        <v>1373</v>
      </c>
      <c r="F972" s="4"/>
    </row>
    <row r="973" spans="1:6">
      <c r="A973" s="4"/>
      <c r="B973" s="4"/>
      <c r="C973" s="6">
        <v>41283</v>
      </c>
      <c r="D973" s="5">
        <v>375</v>
      </c>
      <c r="E973" s="4" t="s">
        <v>1377</v>
      </c>
      <c r="F973" s="4"/>
    </row>
    <row r="974" spans="1:6">
      <c r="A974" s="4"/>
      <c r="B974" s="4"/>
      <c r="C974" s="6">
        <v>41283</v>
      </c>
      <c r="D974" s="5">
        <v>700</v>
      </c>
      <c r="E974" s="4" t="s">
        <v>1377</v>
      </c>
      <c r="F974" s="4"/>
    </row>
    <row r="975" spans="1:6">
      <c r="A975" s="4"/>
      <c r="B975" s="4"/>
      <c r="C975" s="6">
        <v>41284</v>
      </c>
      <c r="D975" s="5">
        <v>2250</v>
      </c>
      <c r="E975" s="4" t="s">
        <v>3825</v>
      </c>
      <c r="F975" s="4"/>
    </row>
    <row r="976" spans="1:6">
      <c r="A976" s="4"/>
      <c r="B976" s="4"/>
      <c r="C976" s="6">
        <v>41291</v>
      </c>
      <c r="D976" s="5">
        <v>750</v>
      </c>
      <c r="E976" s="4" t="s">
        <v>3668</v>
      </c>
      <c r="F976" s="4"/>
    </row>
    <row r="977" spans="1:6">
      <c r="A977" s="4"/>
      <c r="B977" s="4"/>
      <c r="C977" s="6">
        <v>41291</v>
      </c>
      <c r="D977" s="5">
        <v>375</v>
      </c>
      <c r="E977" s="4" t="s">
        <v>3668</v>
      </c>
      <c r="F977" s="4"/>
    </row>
    <row r="978" spans="1:6">
      <c r="A978" s="4"/>
      <c r="B978" s="4"/>
      <c r="C978" s="6">
        <v>41291</v>
      </c>
      <c r="D978" s="5">
        <v>2250</v>
      </c>
      <c r="E978" s="4" t="s">
        <v>3668</v>
      </c>
      <c r="F978" s="4"/>
    </row>
    <row r="979" spans="1:6">
      <c r="A979" s="4">
        <v>67</v>
      </c>
      <c r="B979" s="4" t="s">
        <v>3535</v>
      </c>
      <c r="C979" s="6">
        <v>41277</v>
      </c>
      <c r="D979" s="5">
        <v>190</v>
      </c>
      <c r="E979" s="4" t="s">
        <v>1368</v>
      </c>
      <c r="F979" s="4"/>
    </row>
    <row r="980" spans="1:6">
      <c r="A980" s="4"/>
      <c r="B980" s="4"/>
      <c r="C980" s="6">
        <v>41277</v>
      </c>
      <c r="D980" s="5">
        <v>190</v>
      </c>
      <c r="E980" s="4" t="s">
        <v>1368</v>
      </c>
      <c r="F980" s="4"/>
    </row>
    <row r="981" spans="1:6">
      <c r="A981" s="4"/>
      <c r="B981" s="4"/>
      <c r="C981" s="6">
        <v>41281</v>
      </c>
      <c r="D981" s="5">
        <v>190</v>
      </c>
      <c r="E981" s="4" t="s">
        <v>1373</v>
      </c>
      <c r="F981" s="4"/>
    </row>
    <row r="982" spans="1:6">
      <c r="A982" s="4"/>
      <c r="B982" s="4"/>
      <c r="C982" s="6">
        <v>41281</v>
      </c>
      <c r="D982" s="5">
        <v>375</v>
      </c>
      <c r="E982" s="4" t="s">
        <v>1373</v>
      </c>
      <c r="F982" s="4"/>
    </row>
    <row r="983" spans="1:6">
      <c r="A983" s="4"/>
      <c r="B983" s="4"/>
      <c r="C983" s="6">
        <v>41290</v>
      </c>
      <c r="D983" s="5">
        <v>190</v>
      </c>
      <c r="E983" s="4" t="s">
        <v>3666</v>
      </c>
      <c r="F983" s="4"/>
    </row>
    <row r="984" spans="1:6">
      <c r="A984" s="4"/>
      <c r="B984" s="4"/>
      <c r="C984" s="6">
        <v>41290</v>
      </c>
      <c r="D984" s="5">
        <v>190</v>
      </c>
      <c r="E984" s="4" t="s">
        <v>3666</v>
      </c>
      <c r="F984" s="4"/>
    </row>
    <row r="985" spans="1:6">
      <c r="A985" s="4"/>
      <c r="B985" s="4"/>
      <c r="C985" s="6">
        <v>41296</v>
      </c>
      <c r="D985" s="5">
        <v>375</v>
      </c>
      <c r="E985" s="4" t="s">
        <v>3674</v>
      </c>
      <c r="F985" s="4"/>
    </row>
    <row r="986" spans="1:6">
      <c r="A986" s="4"/>
      <c r="B986" s="4"/>
      <c r="C986" s="6">
        <v>41296</v>
      </c>
      <c r="D986" s="5">
        <v>190</v>
      </c>
      <c r="E986" s="4" t="s">
        <v>3674</v>
      </c>
      <c r="F986" s="4"/>
    </row>
    <row r="987" spans="1:6">
      <c r="A987" s="4"/>
      <c r="B987" s="4"/>
      <c r="C987" s="6">
        <v>41296</v>
      </c>
      <c r="D987" s="5">
        <v>190</v>
      </c>
      <c r="E987" s="4" t="s">
        <v>3674</v>
      </c>
      <c r="F987" s="4"/>
    </row>
    <row r="988" spans="1:6">
      <c r="A988" s="4">
        <v>68</v>
      </c>
      <c r="B988" s="4" t="s">
        <v>3502</v>
      </c>
      <c r="C988" s="6">
        <v>41275</v>
      </c>
      <c r="D988" s="5">
        <v>750</v>
      </c>
      <c r="E988" s="4" t="s">
        <v>1365</v>
      </c>
      <c r="F988" s="4"/>
    </row>
    <row r="989" spans="1:6">
      <c r="A989" s="4"/>
      <c r="B989" s="4"/>
      <c r="C989" s="6">
        <v>41290</v>
      </c>
      <c r="D989" s="5">
        <v>750</v>
      </c>
      <c r="E989" s="4" t="s">
        <v>3666</v>
      </c>
      <c r="F989" s="4"/>
    </row>
    <row r="990" spans="1:6">
      <c r="A990" s="4">
        <v>69</v>
      </c>
      <c r="B990" s="4" t="s">
        <v>3221</v>
      </c>
      <c r="C990" s="6">
        <v>41278</v>
      </c>
      <c r="D990" s="5">
        <v>4125</v>
      </c>
      <c r="E990" s="4" t="s">
        <v>1371</v>
      </c>
      <c r="F990" s="4"/>
    </row>
    <row r="991" spans="1:6">
      <c r="A991" s="4"/>
      <c r="B991" s="4"/>
      <c r="C991" s="6">
        <v>41286</v>
      </c>
      <c r="D991" s="5">
        <v>4125</v>
      </c>
      <c r="E991" s="4" t="s">
        <v>3830</v>
      </c>
      <c r="F991" s="4"/>
    </row>
    <row r="992" spans="1:6">
      <c r="A992" s="4">
        <v>70</v>
      </c>
      <c r="B992" s="4" t="s">
        <v>326</v>
      </c>
      <c r="C992" s="6">
        <v>41276</v>
      </c>
      <c r="D992" s="5">
        <v>190</v>
      </c>
      <c r="E992" s="4" t="s">
        <v>1366</v>
      </c>
      <c r="F992" s="4"/>
    </row>
    <row r="993" spans="1:6">
      <c r="A993" s="4"/>
      <c r="B993" s="4"/>
      <c r="C993" s="6">
        <v>41276</v>
      </c>
      <c r="D993" s="5">
        <v>190</v>
      </c>
      <c r="E993" s="4" t="s">
        <v>1366</v>
      </c>
      <c r="F993" s="4"/>
    </row>
    <row r="994" spans="1:6">
      <c r="A994" s="4"/>
      <c r="B994" s="4"/>
      <c r="C994" s="6">
        <v>41282</v>
      </c>
      <c r="D994" s="5">
        <v>565</v>
      </c>
      <c r="E994" s="4" t="s">
        <v>1375</v>
      </c>
      <c r="F994" s="4"/>
    </row>
    <row r="995" spans="1:6">
      <c r="A995" s="4"/>
      <c r="B995" s="4"/>
      <c r="C995" s="6">
        <v>41283</v>
      </c>
      <c r="D995" s="5">
        <v>375</v>
      </c>
      <c r="E995" s="4" t="s">
        <v>1378</v>
      </c>
      <c r="F995" s="4"/>
    </row>
    <row r="996" spans="1:6">
      <c r="A996" s="4"/>
      <c r="B996" s="4"/>
      <c r="C996" s="6">
        <v>41283</v>
      </c>
      <c r="D996" s="5">
        <v>190</v>
      </c>
      <c r="E996" s="4" t="s">
        <v>1378</v>
      </c>
      <c r="F996" s="4"/>
    </row>
    <row r="997" spans="1:6">
      <c r="A997" s="4"/>
      <c r="B997" s="4"/>
      <c r="C997" s="6">
        <v>41291</v>
      </c>
      <c r="D997" s="5">
        <v>190</v>
      </c>
      <c r="E997" s="4" t="s">
        <v>3668</v>
      </c>
      <c r="F997" s="4"/>
    </row>
    <row r="998" spans="1:6">
      <c r="A998" s="4"/>
      <c r="B998" s="4"/>
      <c r="C998" s="6">
        <v>41291</v>
      </c>
      <c r="D998" s="5">
        <v>190</v>
      </c>
      <c r="E998" s="4" t="s">
        <v>3668</v>
      </c>
      <c r="F998" s="4"/>
    </row>
    <row r="999" spans="1:6">
      <c r="A999" s="4"/>
      <c r="B999" s="4"/>
      <c r="C999" s="6">
        <v>41296</v>
      </c>
      <c r="D999" s="5">
        <v>565</v>
      </c>
      <c r="E999" s="4" t="s">
        <v>3674</v>
      </c>
      <c r="F999" s="4"/>
    </row>
    <row r="1000" spans="1:6">
      <c r="A1000" s="4"/>
      <c r="B1000" s="4"/>
      <c r="C1000" s="6">
        <v>41296</v>
      </c>
      <c r="D1000" s="5">
        <v>375</v>
      </c>
      <c r="E1000" s="4" t="s">
        <v>3674</v>
      </c>
      <c r="F1000" s="4"/>
    </row>
    <row r="1001" spans="1:6">
      <c r="A1001" s="4">
        <v>71</v>
      </c>
      <c r="B1001" s="4" t="s">
        <v>3756</v>
      </c>
      <c r="C1001" s="6">
        <v>41284</v>
      </c>
      <c r="D1001" s="5">
        <v>375</v>
      </c>
      <c r="E1001" s="4" t="s">
        <v>3824</v>
      </c>
      <c r="F1001" s="4"/>
    </row>
    <row r="1002" spans="1:6">
      <c r="A1002" s="4">
        <v>72</v>
      </c>
      <c r="B1002" s="4" t="s">
        <v>3802</v>
      </c>
      <c r="C1002" s="6">
        <v>41286</v>
      </c>
      <c r="D1002" s="5">
        <v>750</v>
      </c>
      <c r="E1002" s="4" t="s">
        <v>3685</v>
      </c>
      <c r="F1002" s="4"/>
    </row>
    <row r="1003" spans="1:6">
      <c r="A1003" s="4">
        <v>73</v>
      </c>
      <c r="B1003" s="4" t="s">
        <v>1186</v>
      </c>
      <c r="C1003" s="6">
        <v>41281</v>
      </c>
      <c r="D1003" s="5">
        <v>350</v>
      </c>
      <c r="E1003" s="4" t="s">
        <v>1373</v>
      </c>
      <c r="F1003" s="4"/>
    </row>
    <row r="1004" spans="1:6">
      <c r="A1004" s="4"/>
      <c r="B1004" s="4"/>
      <c r="C1004" s="6">
        <v>41282</v>
      </c>
      <c r="D1004" s="5">
        <v>1500</v>
      </c>
      <c r="E1004" s="4" t="s">
        <v>1376</v>
      </c>
      <c r="F1004" s="4"/>
    </row>
    <row r="1005" spans="1:6">
      <c r="A1005" s="4"/>
      <c r="B1005" s="4"/>
      <c r="C1005" s="6">
        <v>41286</v>
      </c>
      <c r="D1005" s="5">
        <v>1500</v>
      </c>
      <c r="E1005" s="4" t="s">
        <v>3830</v>
      </c>
      <c r="F1005" s="4"/>
    </row>
    <row r="1006" spans="1:6">
      <c r="A1006" s="4"/>
      <c r="B1006" s="4"/>
      <c r="C1006" s="6">
        <v>41288</v>
      </c>
      <c r="D1006" s="5">
        <v>350</v>
      </c>
      <c r="E1006" s="4" t="s">
        <v>3663</v>
      </c>
      <c r="F1006" s="4"/>
    </row>
    <row r="1007" spans="1:6">
      <c r="A1007" s="4"/>
      <c r="B1007" s="4"/>
      <c r="C1007" s="6">
        <v>41288</v>
      </c>
      <c r="D1007" s="5">
        <v>750</v>
      </c>
      <c r="E1007" s="4" t="s">
        <v>3663</v>
      </c>
      <c r="F1007" s="4"/>
    </row>
    <row r="1008" spans="1:6">
      <c r="A1008" s="4"/>
      <c r="B1008" s="4"/>
      <c r="C1008" s="6">
        <v>41295</v>
      </c>
      <c r="D1008" s="5">
        <v>350</v>
      </c>
      <c r="E1008" s="4" t="s">
        <v>3673</v>
      </c>
      <c r="F1008" s="4"/>
    </row>
    <row r="1009" spans="1:6">
      <c r="A1009" s="4">
        <v>74</v>
      </c>
      <c r="B1009" s="4" t="s">
        <v>3789</v>
      </c>
      <c r="C1009" s="6">
        <v>41276</v>
      </c>
      <c r="D1009" s="5">
        <v>175</v>
      </c>
      <c r="E1009" s="4" t="s">
        <v>3676</v>
      </c>
      <c r="F1009" s="4"/>
    </row>
    <row r="1010" spans="1:6">
      <c r="A1010" s="4"/>
      <c r="B1010" s="4"/>
      <c r="C1010" s="6">
        <v>41278</v>
      </c>
      <c r="D1010" s="5">
        <v>1690</v>
      </c>
      <c r="E1010" s="4" t="s">
        <v>3678</v>
      </c>
      <c r="F1010" s="4"/>
    </row>
    <row r="1011" spans="1:6">
      <c r="A1011" s="4"/>
      <c r="B1011" s="4"/>
      <c r="C1011" s="6">
        <v>41282</v>
      </c>
      <c r="D1011" s="5">
        <v>175</v>
      </c>
      <c r="E1011" s="4" t="s">
        <v>3681</v>
      </c>
      <c r="F1011" s="4"/>
    </row>
    <row r="1012" spans="1:6">
      <c r="A1012" s="4"/>
      <c r="B1012" s="4"/>
      <c r="C1012" s="6">
        <v>41289</v>
      </c>
      <c r="D1012" s="5">
        <v>175</v>
      </c>
      <c r="E1012" s="4" t="s">
        <v>3687</v>
      </c>
      <c r="F1012" s="4"/>
    </row>
    <row r="1013" spans="1:6">
      <c r="A1013" s="4"/>
      <c r="B1013" s="4"/>
      <c r="C1013" s="6">
        <v>41295</v>
      </c>
      <c r="D1013" s="5">
        <v>1690</v>
      </c>
      <c r="E1013" s="4" t="s">
        <v>3691</v>
      </c>
      <c r="F1013" s="4"/>
    </row>
    <row r="1014" spans="1:6">
      <c r="A1014" s="4">
        <v>75</v>
      </c>
      <c r="B1014" s="4" t="s">
        <v>1193</v>
      </c>
      <c r="C1014" s="6">
        <v>41284</v>
      </c>
      <c r="D1014" s="5">
        <v>750</v>
      </c>
      <c r="E1014" s="4" t="s">
        <v>3824</v>
      </c>
      <c r="F1014" s="4"/>
    </row>
    <row r="1015" spans="1:6">
      <c r="A1015" s="4">
        <v>76</v>
      </c>
      <c r="B1015" s="4" t="s">
        <v>3543</v>
      </c>
      <c r="C1015" s="6">
        <v>41278</v>
      </c>
      <c r="D1015" s="5">
        <v>750</v>
      </c>
      <c r="E1015" s="4" t="s">
        <v>1370</v>
      </c>
      <c r="F1015" s="4"/>
    </row>
    <row r="1016" spans="1:6">
      <c r="A1016" s="4"/>
      <c r="B1016" s="4"/>
      <c r="C1016" s="6">
        <v>41282</v>
      </c>
      <c r="D1016" s="5">
        <v>750</v>
      </c>
      <c r="E1016" s="4" t="s">
        <v>1375</v>
      </c>
      <c r="F1016" s="4"/>
    </row>
    <row r="1017" spans="1:6">
      <c r="A1017" s="4"/>
      <c r="B1017" s="4"/>
      <c r="C1017" s="6">
        <v>41284</v>
      </c>
      <c r="D1017" s="5">
        <v>375</v>
      </c>
      <c r="E1017" s="4" t="s">
        <v>3825</v>
      </c>
      <c r="F1017" s="4"/>
    </row>
    <row r="1018" spans="1:6">
      <c r="A1018" s="4"/>
      <c r="B1018" s="4"/>
      <c r="C1018" s="6">
        <v>41284</v>
      </c>
      <c r="D1018" s="5">
        <v>375</v>
      </c>
      <c r="E1018" s="4" t="s">
        <v>3825</v>
      </c>
      <c r="F1018" s="4"/>
    </row>
    <row r="1019" spans="1:6">
      <c r="A1019" s="4"/>
      <c r="B1019" s="4"/>
      <c r="C1019" s="6">
        <v>41292</v>
      </c>
      <c r="D1019" s="5">
        <v>750</v>
      </c>
      <c r="E1019" s="4" t="s">
        <v>3670</v>
      </c>
      <c r="F1019" s="4"/>
    </row>
    <row r="1020" spans="1:6">
      <c r="A1020" s="4">
        <v>77</v>
      </c>
      <c r="B1020" s="4" t="s">
        <v>3793</v>
      </c>
      <c r="C1020" s="6">
        <v>41277</v>
      </c>
      <c r="D1020" s="5">
        <v>375</v>
      </c>
      <c r="E1020" s="4" t="s">
        <v>3677</v>
      </c>
      <c r="F1020" s="4"/>
    </row>
    <row r="1021" spans="1:6">
      <c r="A1021" s="4">
        <v>78</v>
      </c>
      <c r="B1021" s="4" t="s">
        <v>1179</v>
      </c>
      <c r="C1021" s="6">
        <v>41279</v>
      </c>
      <c r="D1021" s="5">
        <v>1500</v>
      </c>
      <c r="E1021" s="4" t="s">
        <v>1372</v>
      </c>
      <c r="F1021" s="4"/>
    </row>
    <row r="1022" spans="1:6">
      <c r="A1022" s="4"/>
      <c r="B1022" s="4"/>
      <c r="C1022" s="6">
        <v>41292</v>
      </c>
      <c r="D1022" s="5">
        <v>1500</v>
      </c>
      <c r="E1022" s="4" t="s">
        <v>3670</v>
      </c>
      <c r="F1022" s="4"/>
    </row>
    <row r="1023" spans="1:6">
      <c r="A1023" s="4">
        <v>79</v>
      </c>
      <c r="B1023" s="4" t="s">
        <v>324</v>
      </c>
      <c r="C1023" s="6">
        <v>41276</v>
      </c>
      <c r="D1023" s="5">
        <v>375</v>
      </c>
      <c r="E1023" s="4" t="s">
        <v>1366</v>
      </c>
      <c r="F1023" s="4"/>
    </row>
    <row r="1024" spans="1:6">
      <c r="A1024" s="4"/>
      <c r="B1024" s="4"/>
      <c r="C1024" s="6">
        <v>41276</v>
      </c>
      <c r="D1024" s="5">
        <v>375</v>
      </c>
      <c r="E1024" s="4" t="s">
        <v>1366</v>
      </c>
      <c r="F1024" s="4"/>
    </row>
    <row r="1025" spans="1:6">
      <c r="A1025" s="4"/>
      <c r="B1025" s="4"/>
      <c r="C1025" s="6">
        <v>41277</v>
      </c>
      <c r="D1025" s="5">
        <v>190</v>
      </c>
      <c r="E1025" s="4" t="s">
        <v>1368</v>
      </c>
      <c r="F1025" s="4"/>
    </row>
    <row r="1026" spans="1:6">
      <c r="A1026" s="4"/>
      <c r="B1026" s="4"/>
      <c r="C1026" s="6">
        <v>41278</v>
      </c>
      <c r="D1026" s="5">
        <v>190</v>
      </c>
      <c r="E1026" s="4" t="s">
        <v>1370</v>
      </c>
      <c r="F1026" s="4"/>
    </row>
    <row r="1027" spans="1:6">
      <c r="A1027" s="4"/>
      <c r="B1027" s="4"/>
      <c r="C1027" s="6">
        <v>41278</v>
      </c>
      <c r="D1027" s="5">
        <v>190</v>
      </c>
      <c r="E1027" s="4" t="s">
        <v>1370</v>
      </c>
      <c r="F1027" s="4"/>
    </row>
    <row r="1028" spans="1:6">
      <c r="A1028" s="4"/>
      <c r="B1028" s="4"/>
      <c r="C1028" s="6">
        <v>41282</v>
      </c>
      <c r="D1028" s="5">
        <v>190</v>
      </c>
      <c r="E1028" s="4" t="s">
        <v>1375</v>
      </c>
      <c r="F1028" s="4"/>
    </row>
    <row r="1029" spans="1:6">
      <c r="A1029" s="4"/>
      <c r="B1029" s="4"/>
      <c r="C1029" s="6">
        <v>41282</v>
      </c>
      <c r="D1029" s="5">
        <v>190</v>
      </c>
      <c r="E1029" s="4" t="s">
        <v>1375</v>
      </c>
      <c r="F1029" s="4"/>
    </row>
    <row r="1030" spans="1:6">
      <c r="A1030" s="4"/>
      <c r="B1030" s="4"/>
      <c r="C1030" s="6">
        <v>41283</v>
      </c>
      <c r="D1030" s="5">
        <v>190</v>
      </c>
      <c r="E1030" s="4" t="s">
        <v>1377</v>
      </c>
      <c r="F1030" s="4"/>
    </row>
    <row r="1031" spans="1:6">
      <c r="A1031" s="4"/>
      <c r="B1031" s="4"/>
      <c r="C1031" s="6">
        <v>41283</v>
      </c>
      <c r="D1031" s="5">
        <v>190</v>
      </c>
      <c r="E1031" s="4" t="s">
        <v>1377</v>
      </c>
      <c r="F1031" s="4"/>
    </row>
    <row r="1032" spans="1:6">
      <c r="A1032" s="4"/>
      <c r="B1032" s="4"/>
      <c r="C1032" s="6">
        <v>41285</v>
      </c>
      <c r="D1032" s="5">
        <v>190</v>
      </c>
      <c r="E1032" s="4" t="s">
        <v>3827</v>
      </c>
      <c r="F1032" s="4"/>
    </row>
    <row r="1033" spans="1:6">
      <c r="A1033" s="4"/>
      <c r="B1033" s="4"/>
      <c r="C1033" s="6">
        <v>41285</v>
      </c>
      <c r="D1033" s="5">
        <v>190</v>
      </c>
      <c r="E1033" s="4" t="s">
        <v>3827</v>
      </c>
      <c r="F1033" s="4"/>
    </row>
    <row r="1034" spans="1:6">
      <c r="A1034" s="4"/>
      <c r="B1034" s="4"/>
      <c r="C1034" s="6">
        <v>41288</v>
      </c>
      <c r="D1034" s="5">
        <v>375</v>
      </c>
      <c r="E1034" s="4" t="s">
        <v>3663</v>
      </c>
      <c r="F1034" s="4"/>
    </row>
    <row r="1035" spans="1:6">
      <c r="A1035" s="4"/>
      <c r="B1035" s="4"/>
      <c r="C1035" s="6">
        <v>41289</v>
      </c>
      <c r="D1035" s="5">
        <v>375</v>
      </c>
      <c r="E1035" s="4" t="s">
        <v>3664</v>
      </c>
      <c r="F1035" s="4"/>
    </row>
    <row r="1036" spans="1:6">
      <c r="A1036" s="4"/>
      <c r="B1036" s="4"/>
      <c r="C1036" s="6">
        <v>41290</v>
      </c>
      <c r="D1036" s="5">
        <v>375</v>
      </c>
      <c r="E1036" s="4" t="s">
        <v>3667</v>
      </c>
      <c r="F1036" s="4"/>
    </row>
    <row r="1037" spans="1:6">
      <c r="A1037" s="4"/>
      <c r="B1037" s="4"/>
      <c r="C1037" s="6">
        <v>41293</v>
      </c>
      <c r="D1037" s="5">
        <v>190</v>
      </c>
      <c r="E1037" s="4" t="s">
        <v>3671</v>
      </c>
      <c r="F1037" s="4"/>
    </row>
    <row r="1038" spans="1:6">
      <c r="A1038" s="4"/>
      <c r="B1038" s="4"/>
      <c r="C1038" s="6">
        <v>41293</v>
      </c>
      <c r="D1038" s="5">
        <v>190</v>
      </c>
      <c r="E1038" s="4" t="s">
        <v>3671</v>
      </c>
      <c r="F1038" s="4"/>
    </row>
    <row r="1039" spans="1:6">
      <c r="A1039" s="4"/>
      <c r="B1039" s="4"/>
      <c r="C1039" s="6">
        <v>41295</v>
      </c>
      <c r="D1039" s="5">
        <v>190</v>
      </c>
      <c r="E1039" s="4" t="s">
        <v>3673</v>
      </c>
      <c r="F1039" s="4"/>
    </row>
    <row r="1040" spans="1:6">
      <c r="A1040" s="4">
        <v>80</v>
      </c>
      <c r="B1040" s="4" t="s">
        <v>1188</v>
      </c>
      <c r="C1040" s="6">
        <v>41282</v>
      </c>
      <c r="D1040" s="5">
        <v>750</v>
      </c>
      <c r="E1040" s="4" t="s">
        <v>1375</v>
      </c>
      <c r="F1040" s="4"/>
    </row>
    <row r="1041" spans="1:6">
      <c r="A1041" s="4"/>
      <c r="B1041" s="4"/>
      <c r="C1041" s="6">
        <v>41296</v>
      </c>
      <c r="D1041" s="5">
        <v>750</v>
      </c>
      <c r="E1041" s="4" t="s">
        <v>3674</v>
      </c>
      <c r="F1041" s="4"/>
    </row>
    <row r="1042" spans="1:6">
      <c r="A1042" s="4">
        <v>81</v>
      </c>
      <c r="B1042" s="4" t="s">
        <v>3222</v>
      </c>
      <c r="C1042" s="6">
        <v>41278</v>
      </c>
      <c r="D1042" s="5">
        <v>565</v>
      </c>
      <c r="E1042" s="4" t="s">
        <v>1371</v>
      </c>
      <c r="F1042" s="4"/>
    </row>
    <row r="1043" spans="1:6">
      <c r="A1043" s="4"/>
      <c r="B1043" s="4"/>
      <c r="C1043" s="6">
        <v>41278</v>
      </c>
      <c r="D1043" s="5">
        <v>1125</v>
      </c>
      <c r="E1043" s="4" t="s">
        <v>1371</v>
      </c>
      <c r="F1043" s="4"/>
    </row>
    <row r="1044" spans="1:6">
      <c r="A1044" s="4"/>
      <c r="B1044" s="4"/>
      <c r="C1044" s="6">
        <v>41283</v>
      </c>
      <c r="D1044" s="5">
        <v>1125</v>
      </c>
      <c r="E1044" s="4" t="s">
        <v>1378</v>
      </c>
      <c r="F1044" s="4"/>
    </row>
    <row r="1045" spans="1:6">
      <c r="A1045" s="4"/>
      <c r="B1045" s="4"/>
      <c r="C1045" s="6">
        <v>41284</v>
      </c>
      <c r="D1045" s="5">
        <v>1125</v>
      </c>
      <c r="E1045" s="4" t="s">
        <v>3825</v>
      </c>
      <c r="F1045" s="4"/>
    </row>
    <row r="1046" spans="1:6">
      <c r="A1046" s="4"/>
      <c r="B1046" s="4"/>
      <c r="C1046" s="6">
        <v>41286</v>
      </c>
      <c r="D1046" s="5">
        <v>1125</v>
      </c>
      <c r="E1046" s="4" t="s">
        <v>3830</v>
      </c>
      <c r="F1046" s="4"/>
    </row>
    <row r="1047" spans="1:6">
      <c r="A1047" s="4"/>
      <c r="B1047" s="4"/>
      <c r="C1047" s="6">
        <v>41286</v>
      </c>
      <c r="D1047" s="5">
        <v>375</v>
      </c>
      <c r="E1047" s="4" t="s">
        <v>3830</v>
      </c>
      <c r="F1047" s="4"/>
    </row>
    <row r="1048" spans="1:6">
      <c r="A1048" s="4"/>
      <c r="B1048" s="4"/>
      <c r="C1048" s="6">
        <v>41286</v>
      </c>
      <c r="D1048" s="5">
        <v>750</v>
      </c>
      <c r="E1048" s="4" t="s">
        <v>3830</v>
      </c>
      <c r="F1048" s="4"/>
    </row>
    <row r="1049" spans="1:6">
      <c r="A1049" s="4"/>
      <c r="B1049" s="4"/>
      <c r="C1049" s="6">
        <v>41288</v>
      </c>
      <c r="D1049" s="5">
        <v>1125</v>
      </c>
      <c r="E1049" s="4" t="s">
        <v>3662</v>
      </c>
      <c r="F1049" s="4"/>
    </row>
    <row r="1050" spans="1:6">
      <c r="A1050" s="4"/>
      <c r="B1050" s="4"/>
      <c r="C1050" s="6">
        <v>41290</v>
      </c>
      <c r="D1050" s="5">
        <v>1500</v>
      </c>
      <c r="E1050" s="4" t="s">
        <v>3666</v>
      </c>
      <c r="F1050" s="4"/>
    </row>
    <row r="1051" spans="1:6">
      <c r="A1051" s="4"/>
      <c r="B1051" s="4"/>
      <c r="C1051" s="6">
        <v>41290</v>
      </c>
      <c r="D1051" s="5">
        <v>1125</v>
      </c>
      <c r="E1051" s="4" t="s">
        <v>3666</v>
      </c>
      <c r="F1051" s="4"/>
    </row>
    <row r="1052" spans="1:6">
      <c r="A1052" s="4"/>
      <c r="B1052" s="4"/>
      <c r="C1052" s="6">
        <v>41290</v>
      </c>
      <c r="D1052" s="5">
        <v>375</v>
      </c>
      <c r="E1052" s="4" t="s">
        <v>3666</v>
      </c>
      <c r="F1052" s="4"/>
    </row>
    <row r="1053" spans="1:6">
      <c r="A1053" s="4"/>
      <c r="B1053" s="4"/>
      <c r="C1053" s="6">
        <v>41293</v>
      </c>
      <c r="D1053" s="5">
        <v>565</v>
      </c>
      <c r="E1053" s="4" t="s">
        <v>3671</v>
      </c>
      <c r="F1053" s="4"/>
    </row>
    <row r="1054" spans="1:6">
      <c r="A1054" s="4"/>
      <c r="B1054" s="4"/>
      <c r="C1054" s="6">
        <v>41295</v>
      </c>
      <c r="D1054" s="5">
        <v>1125</v>
      </c>
      <c r="E1054" s="4" t="s">
        <v>3672</v>
      </c>
      <c r="F1054" s="4"/>
    </row>
    <row r="1055" spans="1:6">
      <c r="A1055" s="4">
        <v>82</v>
      </c>
      <c r="B1055" s="4" t="s">
        <v>3517</v>
      </c>
      <c r="C1055" s="6">
        <v>41276</v>
      </c>
      <c r="D1055" s="5">
        <v>750</v>
      </c>
      <c r="E1055" s="4" t="s">
        <v>1366</v>
      </c>
      <c r="F1055" s="4"/>
    </row>
    <row r="1056" spans="1:6">
      <c r="A1056" s="4"/>
      <c r="B1056" s="4"/>
      <c r="C1056" s="6">
        <v>41276</v>
      </c>
      <c r="D1056" s="5">
        <v>375</v>
      </c>
      <c r="E1056" s="4" t="s">
        <v>1367</v>
      </c>
      <c r="F1056" s="4"/>
    </row>
    <row r="1057" spans="1:6">
      <c r="A1057" s="4"/>
      <c r="B1057" s="4"/>
      <c r="C1057" s="6">
        <v>41289</v>
      </c>
      <c r="D1057" s="5">
        <v>750</v>
      </c>
      <c r="E1057" s="4" t="s">
        <v>3664</v>
      </c>
      <c r="F1057" s="4"/>
    </row>
    <row r="1058" spans="1:6">
      <c r="A1058" s="4"/>
      <c r="B1058" s="4"/>
      <c r="C1058" s="6">
        <v>41289</v>
      </c>
      <c r="D1058" s="5">
        <v>375</v>
      </c>
      <c r="E1058" s="4" t="s">
        <v>3664</v>
      </c>
      <c r="F1058" s="4"/>
    </row>
    <row r="1059" spans="1:6">
      <c r="A1059" s="4">
        <v>83</v>
      </c>
      <c r="B1059" s="4" t="s">
        <v>3794</v>
      </c>
      <c r="C1059" s="6">
        <v>41277</v>
      </c>
      <c r="D1059" s="5">
        <v>1125</v>
      </c>
      <c r="E1059" s="4" t="s">
        <v>3677</v>
      </c>
      <c r="F1059" s="4"/>
    </row>
    <row r="1060" spans="1:6">
      <c r="A1060" s="4"/>
      <c r="B1060" s="4"/>
      <c r="C1060" s="6">
        <v>41292</v>
      </c>
      <c r="D1060" s="5">
        <v>1125</v>
      </c>
      <c r="E1060" s="4" t="s">
        <v>3690</v>
      </c>
      <c r="F1060" s="4"/>
    </row>
    <row r="1061" spans="1:6">
      <c r="A1061" s="4">
        <v>84</v>
      </c>
      <c r="B1061" s="4" t="s">
        <v>3508</v>
      </c>
      <c r="C1061" s="6">
        <v>41276</v>
      </c>
      <c r="D1061" s="5">
        <v>750</v>
      </c>
      <c r="E1061" s="4" t="s">
        <v>1366</v>
      </c>
      <c r="F1061" s="4"/>
    </row>
    <row r="1062" spans="1:6">
      <c r="A1062" s="4"/>
      <c r="B1062" s="4"/>
      <c r="C1062" s="6">
        <v>41290</v>
      </c>
      <c r="D1062" s="5">
        <v>750</v>
      </c>
      <c r="E1062" s="4" t="s">
        <v>3666</v>
      </c>
      <c r="F1062" s="4"/>
    </row>
    <row r="1063" spans="1:6">
      <c r="A1063" s="4">
        <v>85</v>
      </c>
      <c r="B1063" s="4" t="s">
        <v>3526</v>
      </c>
      <c r="C1063" s="6">
        <v>41276</v>
      </c>
      <c r="D1063" s="5">
        <v>750</v>
      </c>
      <c r="E1063" s="4" t="s">
        <v>1367</v>
      </c>
      <c r="F1063" s="4"/>
    </row>
    <row r="1064" spans="1:6">
      <c r="A1064" s="4"/>
      <c r="B1064" s="4"/>
      <c r="C1064" s="6">
        <v>41278</v>
      </c>
      <c r="D1064" s="5">
        <v>750</v>
      </c>
      <c r="E1064" s="4" t="s">
        <v>1370</v>
      </c>
      <c r="F1064" s="4"/>
    </row>
    <row r="1065" spans="1:6">
      <c r="A1065" s="4"/>
      <c r="B1065" s="4"/>
      <c r="C1065" s="6">
        <v>41282</v>
      </c>
      <c r="D1065" s="5">
        <v>750</v>
      </c>
      <c r="E1065" s="4" t="s">
        <v>1375</v>
      </c>
      <c r="F1065" s="4"/>
    </row>
    <row r="1066" spans="1:6">
      <c r="A1066" s="4"/>
      <c r="B1066" s="4"/>
      <c r="C1066" s="6">
        <v>41282</v>
      </c>
      <c r="D1066" s="5">
        <v>375</v>
      </c>
      <c r="E1066" s="4" t="s">
        <v>1375</v>
      </c>
      <c r="F1066" s="4"/>
    </row>
    <row r="1067" spans="1:6">
      <c r="A1067" s="4"/>
      <c r="B1067" s="4"/>
      <c r="C1067" s="6">
        <v>41282</v>
      </c>
      <c r="D1067" s="5">
        <v>750</v>
      </c>
      <c r="E1067" s="4" t="s">
        <v>1375</v>
      </c>
      <c r="F1067" s="4"/>
    </row>
    <row r="1068" spans="1:6">
      <c r="A1068" s="4"/>
      <c r="B1068" s="4"/>
      <c r="C1068" s="6">
        <v>41283</v>
      </c>
      <c r="D1068" s="5">
        <v>750</v>
      </c>
      <c r="E1068" s="4" t="s">
        <v>1377</v>
      </c>
      <c r="F1068" s="4"/>
    </row>
    <row r="1069" spans="1:6">
      <c r="A1069" s="4"/>
      <c r="B1069" s="4"/>
      <c r="C1069" s="6">
        <v>41284</v>
      </c>
      <c r="D1069" s="5">
        <v>175</v>
      </c>
      <c r="E1069" s="4" t="s">
        <v>3825</v>
      </c>
      <c r="F1069" s="4"/>
    </row>
    <row r="1070" spans="1:6">
      <c r="A1070" s="4"/>
      <c r="B1070" s="4"/>
      <c r="C1070" s="6">
        <v>41286</v>
      </c>
      <c r="D1070" s="5">
        <v>375</v>
      </c>
      <c r="E1070" s="4" t="s">
        <v>3830</v>
      </c>
      <c r="F1070" s="4"/>
    </row>
    <row r="1071" spans="1:6">
      <c r="A1071" s="4"/>
      <c r="B1071" s="4"/>
      <c r="C1071" s="6">
        <v>41286</v>
      </c>
      <c r="D1071" s="5">
        <v>375</v>
      </c>
      <c r="E1071" s="4" t="s">
        <v>3830</v>
      </c>
      <c r="F1071" s="4"/>
    </row>
    <row r="1072" spans="1:6">
      <c r="A1072" s="4"/>
      <c r="B1072" s="4"/>
      <c r="C1072" s="6">
        <v>41290</v>
      </c>
      <c r="D1072" s="5">
        <v>750</v>
      </c>
      <c r="E1072" s="4" t="s">
        <v>3666</v>
      </c>
      <c r="F1072" s="4"/>
    </row>
    <row r="1073" spans="1:6">
      <c r="A1073" s="4"/>
      <c r="B1073" s="4"/>
      <c r="C1073" s="6">
        <v>41292</v>
      </c>
      <c r="D1073" s="5">
        <v>750</v>
      </c>
      <c r="E1073" s="4" t="s">
        <v>3670</v>
      </c>
      <c r="F1073" s="4"/>
    </row>
    <row r="1074" spans="1:6">
      <c r="A1074" s="4"/>
      <c r="B1074" s="4"/>
      <c r="C1074" s="6">
        <v>41295</v>
      </c>
      <c r="D1074" s="5">
        <v>375</v>
      </c>
      <c r="E1074" s="4" t="s">
        <v>3672</v>
      </c>
      <c r="F1074" s="4"/>
    </row>
    <row r="1075" spans="1:6">
      <c r="A1075" s="4"/>
      <c r="B1075" s="4"/>
      <c r="C1075" s="6">
        <v>41295</v>
      </c>
      <c r="D1075" s="5">
        <v>750</v>
      </c>
      <c r="E1075" s="4" t="s">
        <v>3672</v>
      </c>
      <c r="F1075" s="4"/>
    </row>
    <row r="1076" spans="1:6">
      <c r="A1076" s="4"/>
      <c r="B1076" s="4"/>
      <c r="C1076" s="6">
        <v>41295</v>
      </c>
      <c r="D1076" s="5">
        <v>750</v>
      </c>
      <c r="E1076" s="4" t="s">
        <v>3672</v>
      </c>
      <c r="F1076" s="4"/>
    </row>
    <row r="1077" spans="1:6">
      <c r="A1077" s="4">
        <v>86</v>
      </c>
      <c r="B1077" s="4" t="s">
        <v>3538</v>
      </c>
      <c r="C1077" s="6">
        <v>41277</v>
      </c>
      <c r="D1077" s="5">
        <v>12000</v>
      </c>
      <c r="E1077" s="4" t="s">
        <v>1368</v>
      </c>
      <c r="F1077" s="4"/>
    </row>
    <row r="1078" spans="1:6">
      <c r="A1078" s="4">
        <v>87</v>
      </c>
      <c r="B1078" s="4" t="s">
        <v>1048</v>
      </c>
      <c r="C1078" s="6">
        <v>41277</v>
      </c>
      <c r="D1078" s="5">
        <v>1125</v>
      </c>
      <c r="E1078" s="4" t="s">
        <v>3677</v>
      </c>
      <c r="F1078" s="4"/>
    </row>
    <row r="1079" spans="1:6">
      <c r="A1079" s="4"/>
      <c r="B1079" s="4"/>
      <c r="C1079" s="6">
        <v>41292</v>
      </c>
      <c r="D1079" s="5">
        <v>1125</v>
      </c>
      <c r="E1079" s="4" t="s">
        <v>3690</v>
      </c>
      <c r="F1079" s="4"/>
    </row>
    <row r="1080" spans="1:6">
      <c r="A1080" s="4">
        <v>88</v>
      </c>
      <c r="B1080" s="4" t="s">
        <v>3506</v>
      </c>
      <c r="C1080" s="6">
        <v>41275</v>
      </c>
      <c r="D1080" s="5">
        <v>750</v>
      </c>
      <c r="E1080" s="4" t="s">
        <v>1365</v>
      </c>
      <c r="F1080" s="4"/>
    </row>
    <row r="1081" spans="1:6">
      <c r="A1081" s="4"/>
      <c r="B1081" s="4"/>
      <c r="C1081" s="6">
        <v>41281</v>
      </c>
      <c r="D1081" s="5">
        <v>750</v>
      </c>
      <c r="E1081" s="4" t="s">
        <v>1373</v>
      </c>
      <c r="F1081" s="4"/>
    </row>
    <row r="1082" spans="1:6">
      <c r="A1082" s="4"/>
      <c r="B1082" s="4"/>
      <c r="C1082" s="6">
        <v>41282</v>
      </c>
      <c r="D1082" s="5">
        <v>1125</v>
      </c>
      <c r="E1082" s="4" t="s">
        <v>1375</v>
      </c>
      <c r="F1082" s="4"/>
    </row>
    <row r="1083" spans="1:6">
      <c r="A1083" s="4"/>
      <c r="B1083" s="4"/>
      <c r="C1083" s="6">
        <v>41285</v>
      </c>
      <c r="D1083" s="5">
        <v>750</v>
      </c>
      <c r="E1083" s="4" t="s">
        <v>3827</v>
      </c>
      <c r="F1083" s="4"/>
    </row>
    <row r="1084" spans="1:6">
      <c r="A1084" s="4"/>
      <c r="B1084" s="4"/>
      <c r="C1084" s="6">
        <v>41285</v>
      </c>
      <c r="D1084" s="5">
        <v>1875</v>
      </c>
      <c r="E1084" s="4" t="s">
        <v>3827</v>
      </c>
      <c r="F1084" s="4"/>
    </row>
    <row r="1085" spans="1:6">
      <c r="A1085" s="4"/>
      <c r="B1085" s="4"/>
      <c r="C1085" s="6">
        <v>41288</v>
      </c>
      <c r="D1085" s="5">
        <v>375</v>
      </c>
      <c r="E1085" s="4" t="s">
        <v>3662</v>
      </c>
      <c r="F1085" s="4"/>
    </row>
    <row r="1086" spans="1:6">
      <c r="A1086" s="4"/>
      <c r="B1086" s="4"/>
      <c r="C1086" s="6">
        <v>41288</v>
      </c>
      <c r="D1086" s="5">
        <v>750</v>
      </c>
      <c r="E1086" s="4" t="s">
        <v>3662</v>
      </c>
      <c r="F1086" s="4"/>
    </row>
    <row r="1087" spans="1:6">
      <c r="A1087" s="4"/>
      <c r="B1087" s="4"/>
      <c r="C1087" s="6">
        <v>41290</v>
      </c>
      <c r="D1087" s="5">
        <v>750</v>
      </c>
      <c r="E1087" s="4" t="s">
        <v>3667</v>
      </c>
      <c r="F1087" s="4"/>
    </row>
    <row r="1088" spans="1:6">
      <c r="A1088" s="4"/>
      <c r="B1088" s="4"/>
      <c r="C1088" s="6">
        <v>41295</v>
      </c>
      <c r="D1088" s="5">
        <v>750</v>
      </c>
      <c r="E1088" s="4" t="s">
        <v>3672</v>
      </c>
      <c r="F1088" s="4"/>
    </row>
    <row r="1089" spans="1:6">
      <c r="A1089" s="4">
        <v>89</v>
      </c>
      <c r="B1089" s="4" t="s">
        <v>3797</v>
      </c>
      <c r="C1089" s="6">
        <v>41284</v>
      </c>
      <c r="D1089" s="5">
        <v>5625</v>
      </c>
      <c r="E1089" s="4" t="s">
        <v>3683</v>
      </c>
      <c r="F1089" s="4"/>
    </row>
    <row r="1090" spans="1:6">
      <c r="A1090" s="4"/>
      <c r="B1090" s="4"/>
      <c r="C1090" s="6">
        <v>41295</v>
      </c>
      <c r="D1090" s="5">
        <v>5625</v>
      </c>
      <c r="E1090" s="4" t="s">
        <v>3691</v>
      </c>
      <c r="F1090" s="4"/>
    </row>
    <row r="1091" spans="1:6">
      <c r="A1091" s="4">
        <v>90</v>
      </c>
      <c r="B1091" s="4" t="s">
        <v>3550</v>
      </c>
      <c r="C1091" s="6">
        <v>41278</v>
      </c>
      <c r="D1091" s="5">
        <v>375</v>
      </c>
      <c r="E1091" s="4" t="s">
        <v>1370</v>
      </c>
      <c r="F1091" s="4"/>
    </row>
    <row r="1092" spans="1:6">
      <c r="A1092" s="4"/>
      <c r="B1092" s="4"/>
      <c r="C1092" s="6">
        <v>41278</v>
      </c>
      <c r="D1092" s="5">
        <v>175</v>
      </c>
      <c r="E1092" s="4" t="s">
        <v>1370</v>
      </c>
      <c r="F1092" s="4"/>
    </row>
    <row r="1093" spans="1:6">
      <c r="A1093" s="4"/>
      <c r="B1093" s="4"/>
      <c r="C1093" s="6">
        <v>41288</v>
      </c>
      <c r="D1093" s="5">
        <v>175</v>
      </c>
      <c r="E1093" s="4" t="s">
        <v>3663</v>
      </c>
      <c r="F1093" s="4"/>
    </row>
    <row r="1094" spans="1:6">
      <c r="A1094" s="4"/>
      <c r="B1094" s="4"/>
      <c r="C1094" s="6">
        <v>41295</v>
      </c>
      <c r="D1094" s="5">
        <v>175</v>
      </c>
      <c r="E1094" s="4" t="s">
        <v>3673</v>
      </c>
      <c r="F1094" s="4"/>
    </row>
    <row r="1095" spans="1:6">
      <c r="A1095" s="4">
        <v>91</v>
      </c>
      <c r="B1095" s="4" t="s">
        <v>320</v>
      </c>
      <c r="C1095" s="6">
        <v>41276</v>
      </c>
      <c r="D1095" s="5">
        <v>1875</v>
      </c>
      <c r="E1095" s="4" t="s">
        <v>1366</v>
      </c>
      <c r="F1095" s="4"/>
    </row>
    <row r="1096" spans="1:6">
      <c r="A1096" s="4"/>
      <c r="B1096" s="4"/>
      <c r="C1096" s="6">
        <v>41281</v>
      </c>
      <c r="D1096" s="5">
        <v>190</v>
      </c>
      <c r="E1096" s="4" t="s">
        <v>1373</v>
      </c>
      <c r="F1096" s="4"/>
    </row>
    <row r="1097" spans="1:6">
      <c r="A1097" s="4"/>
      <c r="B1097" s="4"/>
      <c r="C1097" s="6">
        <v>41286</v>
      </c>
      <c r="D1097" s="5">
        <v>375</v>
      </c>
      <c r="E1097" s="4" t="s">
        <v>3830</v>
      </c>
      <c r="F1097" s="4"/>
    </row>
    <row r="1098" spans="1:6">
      <c r="A1098" s="4"/>
      <c r="B1098" s="4"/>
      <c r="C1098" s="6">
        <v>41286</v>
      </c>
      <c r="D1098" s="5">
        <v>375</v>
      </c>
      <c r="E1098" s="4" t="s">
        <v>3830</v>
      </c>
      <c r="F1098" s="4"/>
    </row>
    <row r="1099" spans="1:6">
      <c r="A1099" s="4"/>
      <c r="B1099" s="4"/>
      <c r="C1099" s="6">
        <v>41291</v>
      </c>
      <c r="D1099" s="5">
        <v>1875</v>
      </c>
      <c r="E1099" s="4" t="s">
        <v>3668</v>
      </c>
      <c r="F1099" s="4"/>
    </row>
    <row r="1100" spans="1:6">
      <c r="A1100" s="4"/>
      <c r="B1100" s="4"/>
      <c r="C1100" s="6">
        <v>41295</v>
      </c>
      <c r="D1100" s="5">
        <v>190</v>
      </c>
      <c r="E1100" s="4" t="s">
        <v>3672</v>
      </c>
      <c r="F1100" s="4"/>
    </row>
    <row r="1101" spans="1:6">
      <c r="A1101" s="4">
        <v>92</v>
      </c>
      <c r="B1101" s="4" t="s">
        <v>3530</v>
      </c>
      <c r="C1101" s="6">
        <v>41277</v>
      </c>
      <c r="D1101" s="5">
        <v>3000</v>
      </c>
      <c r="E1101" s="4" t="s">
        <v>1368</v>
      </c>
      <c r="F1101" s="4"/>
    </row>
    <row r="1102" spans="1:6">
      <c r="A1102" s="4"/>
      <c r="B1102" s="4"/>
      <c r="C1102" s="6">
        <v>41281</v>
      </c>
      <c r="D1102" s="5">
        <v>3000</v>
      </c>
      <c r="E1102" s="4" t="s">
        <v>1373</v>
      </c>
      <c r="F1102" s="4"/>
    </row>
    <row r="1103" spans="1:6">
      <c r="A1103" s="4"/>
      <c r="B1103" s="4"/>
      <c r="C1103" s="6">
        <v>41288</v>
      </c>
      <c r="D1103" s="5">
        <v>3000</v>
      </c>
      <c r="E1103" s="4" t="s">
        <v>3662</v>
      </c>
      <c r="F1103" s="4"/>
    </row>
    <row r="1104" spans="1:6">
      <c r="A1104" s="4"/>
      <c r="B1104" s="4"/>
      <c r="C1104" s="6">
        <v>41288</v>
      </c>
      <c r="D1104" s="5">
        <v>2250</v>
      </c>
      <c r="E1104" s="4" t="s">
        <v>3662</v>
      </c>
      <c r="F1104" s="4"/>
    </row>
    <row r="1105" spans="1:6">
      <c r="A1105" s="4"/>
      <c r="B1105" s="4"/>
      <c r="C1105" s="6">
        <v>41293</v>
      </c>
      <c r="D1105" s="5">
        <v>3000</v>
      </c>
      <c r="E1105" s="4" t="s">
        <v>3671</v>
      </c>
      <c r="F1105" s="4"/>
    </row>
    <row r="1106" spans="1:6">
      <c r="A1106" s="4">
        <v>93</v>
      </c>
      <c r="B1106" s="4" t="s">
        <v>3542</v>
      </c>
      <c r="C1106" s="6">
        <v>41278</v>
      </c>
      <c r="D1106" s="5">
        <v>940</v>
      </c>
      <c r="E1106" s="4" t="s">
        <v>1370</v>
      </c>
      <c r="F1106" s="4"/>
    </row>
    <row r="1107" spans="1:6">
      <c r="A1107" s="4"/>
      <c r="B1107" s="4"/>
      <c r="C1107" s="6">
        <v>41285</v>
      </c>
      <c r="D1107" s="5">
        <v>1125</v>
      </c>
      <c r="E1107" s="4" t="s">
        <v>3827</v>
      </c>
      <c r="F1107" s="4"/>
    </row>
    <row r="1108" spans="1:6">
      <c r="A1108" s="4"/>
      <c r="B1108" s="4"/>
      <c r="C1108" s="6">
        <v>41292</v>
      </c>
      <c r="D1108" s="5">
        <v>940</v>
      </c>
      <c r="E1108" s="4" t="s">
        <v>3670</v>
      </c>
      <c r="F1108" s="4"/>
    </row>
    <row r="1109" spans="1:6">
      <c r="A1109" s="4">
        <v>94</v>
      </c>
      <c r="B1109" s="4" t="s">
        <v>3547</v>
      </c>
      <c r="C1109" s="6">
        <v>41278</v>
      </c>
      <c r="D1109" s="5">
        <v>3000</v>
      </c>
      <c r="E1109" s="4" t="s">
        <v>1370</v>
      </c>
      <c r="F1109" s="4"/>
    </row>
    <row r="1110" spans="1:6">
      <c r="A1110" s="4">
        <v>95</v>
      </c>
      <c r="B1110" s="4" t="s">
        <v>3525</v>
      </c>
      <c r="C1110" s="6">
        <v>41276</v>
      </c>
      <c r="D1110" s="5">
        <v>4500</v>
      </c>
      <c r="E1110" s="4" t="s">
        <v>1367</v>
      </c>
      <c r="F1110" s="4"/>
    </row>
    <row r="1111" spans="1:6">
      <c r="A1111" s="4"/>
      <c r="B1111" s="4"/>
      <c r="C1111" s="6">
        <v>41292</v>
      </c>
      <c r="D1111" s="5">
        <v>4500</v>
      </c>
      <c r="E1111" s="4" t="s">
        <v>3670</v>
      </c>
      <c r="F1111" s="4"/>
    </row>
    <row r="1112" spans="1:6">
      <c r="A1112" s="4">
        <v>96</v>
      </c>
      <c r="B1112" s="4" t="s">
        <v>3548</v>
      </c>
      <c r="C1112" s="6">
        <v>41278</v>
      </c>
      <c r="D1112" s="5">
        <v>1125</v>
      </c>
      <c r="E1112" s="4" t="s">
        <v>1370</v>
      </c>
      <c r="F1112" s="4"/>
    </row>
    <row r="1113" spans="1:6">
      <c r="A1113" s="4"/>
      <c r="B1113" s="4"/>
      <c r="C1113" s="6">
        <v>41286</v>
      </c>
      <c r="D1113" s="5">
        <v>3375</v>
      </c>
      <c r="E1113" s="4" t="s">
        <v>3830</v>
      </c>
      <c r="F1113" s="4"/>
    </row>
    <row r="1114" spans="1:6">
      <c r="A1114" s="4">
        <v>97</v>
      </c>
      <c r="B1114" s="4" t="s">
        <v>3760</v>
      </c>
      <c r="C1114" s="6">
        <v>41284</v>
      </c>
      <c r="D1114" s="5">
        <v>3000</v>
      </c>
      <c r="E1114" s="4" t="s">
        <v>3825</v>
      </c>
      <c r="F1114" s="4"/>
    </row>
    <row r="1115" spans="1:6">
      <c r="A1115" s="4">
        <v>98</v>
      </c>
      <c r="B1115" s="4" t="s">
        <v>1176</v>
      </c>
      <c r="C1115" s="6">
        <v>41279</v>
      </c>
      <c r="D1115" s="5">
        <v>1500</v>
      </c>
      <c r="E1115" s="4" t="s">
        <v>1372</v>
      </c>
      <c r="F1115" s="4"/>
    </row>
    <row r="1116" spans="1:6">
      <c r="A1116" s="4">
        <v>99</v>
      </c>
      <c r="B1116" s="4" t="s">
        <v>3545</v>
      </c>
      <c r="C1116" s="6">
        <v>41278</v>
      </c>
      <c r="D1116" s="5">
        <v>750</v>
      </c>
      <c r="E1116" s="4" t="s">
        <v>1370</v>
      </c>
      <c r="F1116" s="4"/>
    </row>
    <row r="1117" spans="1:6">
      <c r="A1117" s="4"/>
      <c r="B1117" s="4"/>
      <c r="C1117" s="6">
        <v>41281</v>
      </c>
      <c r="D1117" s="5">
        <v>2250</v>
      </c>
      <c r="E1117" s="4" t="s">
        <v>1374</v>
      </c>
      <c r="F1117" s="4"/>
    </row>
    <row r="1118" spans="1:6">
      <c r="A1118" s="4"/>
      <c r="B1118" s="4"/>
      <c r="C1118" s="6">
        <v>41283</v>
      </c>
      <c r="D1118" s="5">
        <v>750</v>
      </c>
      <c r="E1118" s="4" t="s">
        <v>1378</v>
      </c>
      <c r="F1118" s="4"/>
    </row>
    <row r="1119" spans="1:6">
      <c r="A1119" s="4"/>
      <c r="B1119" s="4"/>
      <c r="C1119" s="6">
        <v>41285</v>
      </c>
      <c r="D1119" s="5">
        <v>375</v>
      </c>
      <c r="E1119" s="4" t="s">
        <v>3827</v>
      </c>
      <c r="F1119" s="4"/>
    </row>
    <row r="1120" spans="1:6">
      <c r="A1120" s="4"/>
      <c r="B1120" s="4"/>
      <c r="C1120" s="6">
        <v>41288</v>
      </c>
      <c r="D1120" s="5">
        <v>750</v>
      </c>
      <c r="E1120" s="4" t="s">
        <v>3662</v>
      </c>
      <c r="F1120" s="4"/>
    </row>
    <row r="1121" spans="1:6">
      <c r="A1121" s="4"/>
      <c r="B1121" s="4"/>
      <c r="C1121" s="6">
        <v>41289</v>
      </c>
      <c r="D1121" s="5">
        <v>750</v>
      </c>
      <c r="E1121" s="4" t="s">
        <v>3665</v>
      </c>
      <c r="F1121" s="4"/>
    </row>
    <row r="1122" spans="1:6">
      <c r="A1122" s="4"/>
      <c r="B1122" s="4"/>
      <c r="C1122" s="6">
        <v>41291</v>
      </c>
      <c r="D1122" s="5">
        <v>750</v>
      </c>
      <c r="E1122" s="4" t="s">
        <v>3668</v>
      </c>
      <c r="F1122" s="4"/>
    </row>
    <row r="1123" spans="1:6">
      <c r="A1123" s="4"/>
      <c r="B1123" s="4"/>
      <c r="C1123" s="6">
        <v>41295</v>
      </c>
      <c r="D1123" s="5">
        <v>750</v>
      </c>
      <c r="E1123" s="4" t="s">
        <v>3672</v>
      </c>
      <c r="F1123" s="4"/>
    </row>
    <row r="1124" spans="1:6">
      <c r="A1124" s="4"/>
      <c r="B1124" s="4"/>
      <c r="C1124" s="6">
        <v>41295</v>
      </c>
      <c r="D1124" s="5">
        <v>2250</v>
      </c>
      <c r="E1124" s="4" t="s">
        <v>3673</v>
      </c>
      <c r="F1124" s="4"/>
    </row>
    <row r="1125" spans="1:6">
      <c r="A1125" s="4">
        <v>100</v>
      </c>
      <c r="B1125" s="4" t="s">
        <v>3755</v>
      </c>
      <c r="C1125" s="6">
        <v>41284</v>
      </c>
      <c r="D1125" s="5">
        <v>1500</v>
      </c>
      <c r="E1125" s="4" t="s">
        <v>3824</v>
      </c>
      <c r="F1125" s="4"/>
    </row>
    <row r="1126" spans="1:6">
      <c r="A1126" s="4">
        <v>101</v>
      </c>
      <c r="B1126" s="4" t="s">
        <v>3544</v>
      </c>
      <c r="C1126" s="6">
        <v>41278</v>
      </c>
      <c r="D1126" s="5">
        <v>1125</v>
      </c>
      <c r="E1126" s="4" t="s">
        <v>1370</v>
      </c>
      <c r="F1126" s="4"/>
    </row>
    <row r="1127" spans="1:6">
      <c r="A1127" s="4"/>
      <c r="B1127" s="4"/>
      <c r="C1127" s="6">
        <v>41283</v>
      </c>
      <c r="D1127" s="5">
        <v>1125</v>
      </c>
      <c r="E1127" s="4" t="s">
        <v>1377</v>
      </c>
      <c r="F1127" s="4"/>
    </row>
    <row r="1128" spans="1:6">
      <c r="A1128" s="4"/>
      <c r="B1128" s="4"/>
      <c r="C1128" s="6">
        <v>41283</v>
      </c>
      <c r="D1128" s="5">
        <v>1125</v>
      </c>
      <c r="E1128" s="4" t="s">
        <v>1377</v>
      </c>
      <c r="F1128" s="4"/>
    </row>
    <row r="1129" spans="1:6">
      <c r="A1129" s="4"/>
      <c r="B1129" s="4"/>
      <c r="C1129" s="6">
        <v>41293</v>
      </c>
      <c r="D1129" s="5">
        <v>1125</v>
      </c>
      <c r="E1129" s="4" t="s">
        <v>3671</v>
      </c>
      <c r="F1129" s="4"/>
    </row>
    <row r="1130" spans="1:6">
      <c r="A1130" s="4">
        <v>102</v>
      </c>
      <c r="B1130" s="4" t="s">
        <v>1177</v>
      </c>
      <c r="C1130" s="6">
        <v>41293</v>
      </c>
      <c r="D1130" s="5">
        <v>3375</v>
      </c>
      <c r="E1130" s="4" t="s">
        <v>3671</v>
      </c>
      <c r="F1130" s="4"/>
    </row>
    <row r="1131" spans="1:6">
      <c r="A1131" s="4">
        <v>103</v>
      </c>
      <c r="B1131" s="4" t="s">
        <v>325</v>
      </c>
      <c r="C1131" s="6">
        <v>41276</v>
      </c>
      <c r="D1131" s="5">
        <v>750</v>
      </c>
      <c r="E1131" s="4" t="s">
        <v>1366</v>
      </c>
      <c r="F1131" s="4"/>
    </row>
    <row r="1132" spans="1:6">
      <c r="A1132" s="4">
        <v>104</v>
      </c>
      <c r="B1132" s="4" t="s">
        <v>3499</v>
      </c>
      <c r="C1132" s="6">
        <v>41275</v>
      </c>
      <c r="D1132" s="5">
        <v>1875</v>
      </c>
      <c r="E1132" s="4" t="s">
        <v>1365</v>
      </c>
      <c r="F1132" s="4"/>
    </row>
    <row r="1133" spans="1:6">
      <c r="A1133" s="4"/>
      <c r="B1133" s="4"/>
      <c r="C1133" s="6">
        <v>41275</v>
      </c>
      <c r="D1133" s="5">
        <v>2625</v>
      </c>
      <c r="E1133" s="4" t="s">
        <v>1365</v>
      </c>
      <c r="F1133" s="4"/>
    </row>
    <row r="1134" spans="1:6">
      <c r="A1134" s="4"/>
      <c r="B1134" s="4"/>
      <c r="C1134" s="6">
        <v>41289</v>
      </c>
      <c r="D1134" s="5">
        <v>1875</v>
      </c>
      <c r="E1134" s="4" t="s">
        <v>3665</v>
      </c>
      <c r="F1134" s="4"/>
    </row>
    <row r="1135" spans="1:6">
      <c r="A1135" s="4"/>
      <c r="B1135" s="4"/>
      <c r="C1135" s="6">
        <v>41289</v>
      </c>
      <c r="D1135" s="5">
        <v>2625</v>
      </c>
      <c r="E1135" s="4" t="s">
        <v>3665</v>
      </c>
      <c r="F1135" s="4"/>
    </row>
    <row r="1136" spans="1:6">
      <c r="A1136" s="4">
        <v>105</v>
      </c>
      <c r="B1136" s="4" t="s">
        <v>1182</v>
      </c>
      <c r="C1136" s="6">
        <v>41281</v>
      </c>
      <c r="D1136" s="5">
        <v>700</v>
      </c>
      <c r="E1136" s="4" t="s">
        <v>1373</v>
      </c>
      <c r="F1136" s="4"/>
    </row>
    <row r="1137" spans="1:6">
      <c r="A1137" s="4">
        <v>106</v>
      </c>
      <c r="B1137" s="4" t="s">
        <v>1178</v>
      </c>
      <c r="C1137" s="6">
        <v>41279</v>
      </c>
      <c r="D1137" s="5">
        <v>2250</v>
      </c>
      <c r="E1137" s="4" t="s">
        <v>1372</v>
      </c>
      <c r="F1137" s="4"/>
    </row>
    <row r="1138" spans="1:6">
      <c r="A1138" s="4"/>
      <c r="B1138" s="4"/>
      <c r="C1138" s="6">
        <v>41279</v>
      </c>
      <c r="D1138" s="5">
        <v>1500</v>
      </c>
      <c r="E1138" s="4" t="s">
        <v>1372</v>
      </c>
      <c r="F1138" s="4"/>
    </row>
    <row r="1139" spans="1:6">
      <c r="A1139" s="4"/>
      <c r="B1139" s="4"/>
      <c r="C1139" s="6">
        <v>41279</v>
      </c>
      <c r="D1139" s="5">
        <v>1125</v>
      </c>
      <c r="E1139" s="4" t="s">
        <v>1372</v>
      </c>
      <c r="F1139" s="4"/>
    </row>
    <row r="1140" spans="1:6">
      <c r="A1140" s="4"/>
      <c r="B1140" s="4"/>
      <c r="C1140" s="6">
        <v>41295</v>
      </c>
      <c r="D1140" s="5">
        <v>3000</v>
      </c>
      <c r="E1140" s="4" t="s">
        <v>3672</v>
      </c>
      <c r="F1140" s="4"/>
    </row>
    <row r="1141" spans="1:6">
      <c r="A1141" s="4"/>
      <c r="B1141" s="4"/>
      <c r="C1141" s="6">
        <v>41295</v>
      </c>
      <c r="D1141" s="5">
        <v>2250</v>
      </c>
      <c r="E1141" s="4" t="s">
        <v>3672</v>
      </c>
      <c r="F1141" s="4"/>
    </row>
    <row r="1142" spans="1:6">
      <c r="A1142" s="4"/>
      <c r="B1142" s="4"/>
      <c r="C1142" s="6">
        <v>41295</v>
      </c>
      <c r="D1142" s="5">
        <v>2250</v>
      </c>
      <c r="E1142" s="4" t="s">
        <v>3672</v>
      </c>
      <c r="F1142" s="4"/>
    </row>
    <row r="1143" spans="1:6">
      <c r="A1143" s="4">
        <v>107</v>
      </c>
      <c r="B1143" s="4" t="s">
        <v>3771</v>
      </c>
      <c r="C1143" s="6">
        <v>41285</v>
      </c>
      <c r="D1143" s="5">
        <v>750</v>
      </c>
      <c r="E1143" s="4" t="s">
        <v>3827</v>
      </c>
      <c r="F1143" s="4"/>
    </row>
    <row r="1144" spans="1:6">
      <c r="A1144" s="4">
        <v>108</v>
      </c>
      <c r="B1144" s="4" t="s">
        <v>3549</v>
      </c>
      <c r="C1144" s="6">
        <v>41278</v>
      </c>
      <c r="D1144" s="5">
        <v>2000</v>
      </c>
      <c r="E1144" s="4" t="s">
        <v>1370</v>
      </c>
      <c r="F1144" s="4"/>
    </row>
    <row r="1145" spans="1:6">
      <c r="A1145" s="4"/>
      <c r="B1145" s="4"/>
      <c r="C1145" s="6">
        <v>41278</v>
      </c>
      <c r="D1145" s="5">
        <v>750</v>
      </c>
      <c r="E1145" s="4" t="s">
        <v>1370</v>
      </c>
      <c r="F1145" s="4"/>
    </row>
    <row r="1146" spans="1:6">
      <c r="A1146" s="4"/>
      <c r="B1146" s="4"/>
      <c r="C1146" s="6">
        <v>41283</v>
      </c>
      <c r="D1146" s="5">
        <v>750</v>
      </c>
      <c r="E1146" s="4" t="s">
        <v>1377</v>
      </c>
      <c r="F1146" s="4"/>
    </row>
    <row r="1147" spans="1:6">
      <c r="A1147" s="4"/>
      <c r="B1147" s="4"/>
      <c r="C1147" s="6">
        <v>41283</v>
      </c>
      <c r="D1147" s="5">
        <v>1000</v>
      </c>
      <c r="E1147" s="4" t="s">
        <v>1377</v>
      </c>
      <c r="F1147" s="4"/>
    </row>
    <row r="1148" spans="1:6">
      <c r="A1148" s="4"/>
      <c r="B1148" s="4"/>
      <c r="C1148" s="6">
        <v>41283</v>
      </c>
      <c r="D1148" s="5">
        <v>1875</v>
      </c>
      <c r="E1148" s="4" t="s">
        <v>1377</v>
      </c>
      <c r="F1148" s="4"/>
    </row>
    <row r="1149" spans="1:6">
      <c r="A1149" s="4"/>
      <c r="B1149" s="4"/>
      <c r="C1149" s="6">
        <v>41289</v>
      </c>
      <c r="D1149" s="5">
        <v>500</v>
      </c>
      <c r="E1149" s="4" t="s">
        <v>3664</v>
      </c>
      <c r="F1149" s="4"/>
    </row>
    <row r="1150" spans="1:6">
      <c r="A1150" s="4"/>
      <c r="B1150" s="4"/>
      <c r="C1150" s="6">
        <v>41289</v>
      </c>
      <c r="D1150" s="5">
        <v>1000</v>
      </c>
      <c r="E1150" s="4" t="s">
        <v>3664</v>
      </c>
      <c r="F1150" s="4"/>
    </row>
    <row r="1151" spans="1:6">
      <c r="A1151" s="4"/>
      <c r="B1151" s="4"/>
      <c r="C1151" s="6">
        <v>41289</v>
      </c>
      <c r="D1151" s="5">
        <v>3500</v>
      </c>
      <c r="E1151" s="4" t="s">
        <v>3664</v>
      </c>
      <c r="F1151" s="4"/>
    </row>
    <row r="1152" spans="1:6">
      <c r="A1152" s="4"/>
      <c r="B1152" s="4"/>
      <c r="C1152" s="6">
        <v>41289</v>
      </c>
      <c r="D1152" s="5">
        <v>1500</v>
      </c>
      <c r="E1152" s="4" t="s">
        <v>3664</v>
      </c>
      <c r="F1152" s="4"/>
    </row>
    <row r="1153" spans="1:6">
      <c r="A1153" s="4"/>
      <c r="B1153" s="4"/>
      <c r="C1153" s="6">
        <v>41289</v>
      </c>
      <c r="D1153" s="5">
        <v>1250</v>
      </c>
      <c r="E1153" s="4" t="s">
        <v>3664</v>
      </c>
      <c r="F1153" s="4"/>
    </row>
    <row r="1154" spans="1:6">
      <c r="A1154" s="4"/>
      <c r="B1154" s="4"/>
      <c r="C1154" s="6">
        <v>41289</v>
      </c>
      <c r="D1154" s="5">
        <v>250</v>
      </c>
      <c r="E1154" s="4" t="s">
        <v>3664</v>
      </c>
      <c r="F1154" s="4"/>
    </row>
    <row r="1155" spans="1:6">
      <c r="A1155" s="4"/>
      <c r="B1155" s="4"/>
      <c r="C1155" s="6">
        <v>41289</v>
      </c>
      <c r="D1155" s="5">
        <v>2000</v>
      </c>
      <c r="E1155" s="4" t="s">
        <v>3664</v>
      </c>
      <c r="F1155" s="4"/>
    </row>
    <row r="1156" spans="1:6">
      <c r="A1156" s="4"/>
      <c r="B1156" s="4"/>
      <c r="C1156" s="6">
        <v>41289</v>
      </c>
      <c r="D1156" s="5">
        <v>500</v>
      </c>
      <c r="E1156" s="4" t="s">
        <v>3664</v>
      </c>
      <c r="F1156" s="4"/>
    </row>
    <row r="1157" spans="1:6">
      <c r="A1157" s="4"/>
      <c r="B1157" s="4"/>
      <c r="C1157" s="6">
        <v>41289</v>
      </c>
      <c r="D1157" s="5">
        <v>2000</v>
      </c>
      <c r="E1157" s="4" t="s">
        <v>3664</v>
      </c>
      <c r="F1157" s="4"/>
    </row>
    <row r="1158" spans="1:6">
      <c r="A1158" s="4"/>
      <c r="B1158" s="4"/>
      <c r="C1158" s="6">
        <v>41289</v>
      </c>
      <c r="D1158" s="5">
        <v>750</v>
      </c>
      <c r="E1158" s="4" t="s">
        <v>3664</v>
      </c>
      <c r="F1158" s="4"/>
    </row>
    <row r="1159" spans="1:6">
      <c r="A1159" s="4"/>
      <c r="B1159" s="4"/>
      <c r="C1159" s="6">
        <v>41289</v>
      </c>
      <c r="D1159" s="5">
        <v>750</v>
      </c>
      <c r="E1159" s="4" t="s">
        <v>3664</v>
      </c>
      <c r="F1159" s="4"/>
    </row>
    <row r="1160" spans="1:6">
      <c r="A1160" s="4"/>
      <c r="B1160" s="4"/>
      <c r="C1160" s="6">
        <v>41289</v>
      </c>
      <c r="D1160" s="5">
        <v>1000</v>
      </c>
      <c r="E1160" s="4" t="s">
        <v>3664</v>
      </c>
      <c r="F1160" s="4"/>
    </row>
    <row r="1161" spans="1:6">
      <c r="A1161" s="4">
        <v>109</v>
      </c>
      <c r="B1161" s="4" t="s">
        <v>321</v>
      </c>
      <c r="C1161" s="6">
        <v>41276</v>
      </c>
      <c r="D1161" s="5">
        <v>375</v>
      </c>
      <c r="E1161" s="4" t="s">
        <v>1366</v>
      </c>
      <c r="F1161" s="4"/>
    </row>
    <row r="1162" spans="1:6">
      <c r="A1162" s="4"/>
      <c r="B1162" s="4"/>
      <c r="C1162" s="6">
        <v>41276</v>
      </c>
      <c r="D1162" s="5">
        <v>375</v>
      </c>
      <c r="E1162" s="4" t="s">
        <v>1366</v>
      </c>
      <c r="F1162" s="4"/>
    </row>
    <row r="1163" spans="1:6">
      <c r="A1163" s="4"/>
      <c r="B1163" s="4"/>
      <c r="C1163" s="6">
        <v>41278</v>
      </c>
      <c r="D1163" s="5">
        <v>375</v>
      </c>
      <c r="E1163" s="4" t="s">
        <v>1370</v>
      </c>
      <c r="F1163" s="4"/>
    </row>
    <row r="1164" spans="1:6">
      <c r="A1164" s="4"/>
      <c r="B1164" s="4"/>
      <c r="C1164" s="6">
        <v>41281</v>
      </c>
      <c r="D1164" s="5">
        <v>375</v>
      </c>
      <c r="E1164" s="4" t="s">
        <v>1373</v>
      </c>
      <c r="F1164" s="4"/>
    </row>
    <row r="1165" spans="1:6">
      <c r="A1165" s="4"/>
      <c r="B1165" s="4"/>
      <c r="C1165" s="6">
        <v>41281</v>
      </c>
      <c r="D1165" s="5">
        <v>375</v>
      </c>
      <c r="E1165" s="4" t="s">
        <v>1373</v>
      </c>
      <c r="F1165" s="4"/>
    </row>
    <row r="1166" spans="1:6">
      <c r="A1166" s="4"/>
      <c r="B1166" s="4"/>
      <c r="C1166" s="6">
        <v>41282</v>
      </c>
      <c r="D1166" s="5">
        <v>940</v>
      </c>
      <c r="E1166" s="4" t="s">
        <v>1375</v>
      </c>
      <c r="F1166" s="4"/>
    </row>
    <row r="1167" spans="1:6">
      <c r="A1167" s="4"/>
      <c r="B1167" s="4"/>
      <c r="C1167" s="6">
        <v>41285</v>
      </c>
      <c r="D1167" s="5">
        <v>750</v>
      </c>
      <c r="E1167" s="4" t="s">
        <v>3827</v>
      </c>
      <c r="F1167" s="4"/>
    </row>
    <row r="1168" spans="1:6">
      <c r="A1168" s="4"/>
      <c r="B1168" s="4"/>
      <c r="C1168" s="6">
        <v>41285</v>
      </c>
      <c r="D1168" s="5">
        <v>750</v>
      </c>
      <c r="E1168" s="4" t="s">
        <v>3827</v>
      </c>
      <c r="F1168" s="4"/>
    </row>
    <row r="1169" spans="1:6">
      <c r="A1169" s="4"/>
      <c r="B1169" s="4"/>
      <c r="C1169" s="6">
        <v>41288</v>
      </c>
      <c r="D1169" s="5">
        <v>940</v>
      </c>
      <c r="E1169" s="4" t="s">
        <v>3662</v>
      </c>
      <c r="F1169" s="4"/>
    </row>
    <row r="1170" spans="1:6">
      <c r="A1170" s="4"/>
      <c r="B1170" s="4"/>
      <c r="C1170" s="6">
        <v>41288</v>
      </c>
      <c r="D1170" s="5">
        <v>2250</v>
      </c>
      <c r="E1170" s="4" t="s">
        <v>3662</v>
      </c>
      <c r="F1170" s="4"/>
    </row>
    <row r="1171" spans="1:6">
      <c r="A1171" s="4"/>
      <c r="B1171" s="4"/>
      <c r="C1171" s="6">
        <v>41290</v>
      </c>
      <c r="D1171" s="5">
        <v>1875</v>
      </c>
      <c r="E1171" s="4" t="s">
        <v>3666</v>
      </c>
      <c r="F1171" s="4"/>
    </row>
    <row r="1172" spans="1:6">
      <c r="A1172" s="4"/>
      <c r="B1172" s="4"/>
      <c r="C1172" s="6">
        <v>41290</v>
      </c>
      <c r="D1172" s="5">
        <v>375</v>
      </c>
      <c r="E1172" s="4" t="s">
        <v>3666</v>
      </c>
      <c r="F1172" s="4"/>
    </row>
    <row r="1173" spans="1:6">
      <c r="A1173" s="4"/>
      <c r="B1173" s="4"/>
      <c r="C1173" s="6">
        <v>41291</v>
      </c>
      <c r="D1173" s="5">
        <v>375</v>
      </c>
      <c r="E1173" s="4" t="s">
        <v>3668</v>
      </c>
      <c r="F1173" s="4"/>
    </row>
    <row r="1174" spans="1:6">
      <c r="A1174" s="4"/>
      <c r="B1174" s="4"/>
      <c r="C1174" s="6">
        <v>41293</v>
      </c>
      <c r="D1174" s="5">
        <v>375</v>
      </c>
      <c r="E1174" s="4" t="s">
        <v>3671</v>
      </c>
      <c r="F1174" s="4"/>
    </row>
    <row r="1175" spans="1:6">
      <c r="A1175" s="4"/>
      <c r="B1175" s="4"/>
      <c r="C1175" s="6">
        <v>41295</v>
      </c>
      <c r="D1175" s="5">
        <v>375</v>
      </c>
      <c r="E1175" s="4" t="s">
        <v>3672</v>
      </c>
      <c r="F1175" s="4"/>
    </row>
    <row r="1176" spans="1:6">
      <c r="A1176" s="4"/>
      <c r="B1176" s="4"/>
      <c r="C1176" s="6">
        <v>41295</v>
      </c>
      <c r="D1176" s="5">
        <v>375</v>
      </c>
      <c r="E1176" s="4" t="s">
        <v>3672</v>
      </c>
      <c r="F1176" s="4"/>
    </row>
    <row r="1177" spans="1:6">
      <c r="A1177" s="4"/>
      <c r="B1177" s="4"/>
      <c r="C1177" s="6">
        <v>41296</v>
      </c>
      <c r="D1177" s="5">
        <v>940</v>
      </c>
      <c r="E1177" s="4" t="s">
        <v>3674</v>
      </c>
      <c r="F1177" s="4"/>
    </row>
    <row r="1178" spans="1:6">
      <c r="A1178" s="4">
        <v>110</v>
      </c>
      <c r="B1178" s="4" t="s">
        <v>3783</v>
      </c>
      <c r="C1178" s="6">
        <v>41275</v>
      </c>
      <c r="D1178" s="5">
        <v>375</v>
      </c>
      <c r="E1178" s="4" t="s">
        <v>3675</v>
      </c>
      <c r="F1178" s="4"/>
    </row>
    <row r="1179" spans="1:6">
      <c r="A1179" s="4"/>
      <c r="B1179" s="4"/>
      <c r="C1179" s="6">
        <v>41289</v>
      </c>
      <c r="D1179" s="5">
        <v>375</v>
      </c>
      <c r="E1179" s="4" t="s">
        <v>3687</v>
      </c>
      <c r="F1179" s="4"/>
    </row>
    <row r="1180" spans="1:6">
      <c r="A1180" s="4"/>
      <c r="B1180" s="4"/>
      <c r="C1180" s="6">
        <v>41292</v>
      </c>
      <c r="D1180" s="5">
        <v>375</v>
      </c>
      <c r="E1180" s="4" t="s">
        <v>3690</v>
      </c>
      <c r="F1180" s="4"/>
    </row>
    <row r="1181" spans="1:6">
      <c r="A1181" s="4"/>
      <c r="B1181" s="4"/>
      <c r="C1181" s="6">
        <v>41295</v>
      </c>
      <c r="D1181" s="5">
        <v>7500</v>
      </c>
      <c r="E1181" s="4" t="s">
        <v>3691</v>
      </c>
      <c r="F1181" s="4"/>
    </row>
    <row r="1182" spans="1:6">
      <c r="A1182" s="4">
        <v>111</v>
      </c>
      <c r="B1182" s="4" t="s">
        <v>3541</v>
      </c>
      <c r="C1182" s="6">
        <v>41278</v>
      </c>
      <c r="D1182" s="5">
        <v>190</v>
      </c>
      <c r="E1182" s="4" t="s">
        <v>1370</v>
      </c>
      <c r="F1182" s="4"/>
    </row>
    <row r="1183" spans="1:6">
      <c r="A1183" s="4"/>
      <c r="B1183" s="4"/>
      <c r="C1183" s="6">
        <v>41284</v>
      </c>
      <c r="D1183" s="5">
        <v>375</v>
      </c>
      <c r="E1183" s="4" t="s">
        <v>3824</v>
      </c>
      <c r="F1183" s="4"/>
    </row>
    <row r="1184" spans="1:6">
      <c r="A1184" s="4"/>
      <c r="B1184" s="4"/>
      <c r="C1184" s="6">
        <v>41284</v>
      </c>
      <c r="D1184" s="5">
        <v>190</v>
      </c>
      <c r="E1184" s="4" t="s">
        <v>3824</v>
      </c>
      <c r="F1184" s="4"/>
    </row>
    <row r="1185" spans="1:6">
      <c r="A1185" s="4"/>
      <c r="B1185" s="4"/>
      <c r="C1185" s="6">
        <v>41290</v>
      </c>
      <c r="D1185" s="5">
        <v>190</v>
      </c>
      <c r="E1185" s="4" t="s">
        <v>3667</v>
      </c>
      <c r="F1185" s="4"/>
    </row>
    <row r="1186" spans="1:6">
      <c r="A1186" s="4">
        <v>112</v>
      </c>
      <c r="B1186" s="4" t="s">
        <v>3504</v>
      </c>
      <c r="C1186" s="6">
        <v>41275</v>
      </c>
      <c r="D1186" s="5">
        <v>750</v>
      </c>
      <c r="E1186" s="4" t="s">
        <v>1365</v>
      </c>
      <c r="F1186" s="4"/>
    </row>
    <row r="1187" spans="1:6">
      <c r="A1187" s="4"/>
      <c r="B1187" s="4"/>
      <c r="C1187" s="6">
        <v>41289</v>
      </c>
      <c r="D1187" s="5">
        <v>750</v>
      </c>
      <c r="E1187" s="4" t="s">
        <v>3665</v>
      </c>
      <c r="F1187" s="4"/>
    </row>
    <row r="1188" spans="1:6">
      <c r="A1188" s="4">
        <v>113</v>
      </c>
      <c r="B1188" s="4" t="s">
        <v>3537</v>
      </c>
      <c r="C1188" s="6">
        <v>41277</v>
      </c>
      <c r="D1188" s="5">
        <v>375</v>
      </c>
      <c r="E1188" s="4" t="s">
        <v>1368</v>
      </c>
      <c r="F1188" s="4"/>
    </row>
    <row r="1189" spans="1:6">
      <c r="A1189" s="4"/>
      <c r="B1189" s="4"/>
      <c r="C1189" s="6">
        <v>41277</v>
      </c>
      <c r="D1189" s="5">
        <v>750</v>
      </c>
      <c r="E1189" s="4" t="s">
        <v>1368</v>
      </c>
      <c r="F1189" s="4"/>
    </row>
    <row r="1190" spans="1:6">
      <c r="A1190" s="4"/>
      <c r="B1190" s="4"/>
      <c r="C1190" s="6">
        <v>41279</v>
      </c>
      <c r="D1190" s="5">
        <v>750</v>
      </c>
      <c r="E1190" s="4" t="s">
        <v>1372</v>
      </c>
      <c r="F1190" s="4"/>
    </row>
    <row r="1191" spans="1:6">
      <c r="A1191" s="4"/>
      <c r="B1191" s="4"/>
      <c r="C1191" s="6">
        <v>41281</v>
      </c>
      <c r="D1191" s="5">
        <v>1125</v>
      </c>
      <c r="E1191" s="4" t="s">
        <v>1373</v>
      </c>
      <c r="F1191" s="4"/>
    </row>
    <row r="1192" spans="1:6">
      <c r="A1192" s="4"/>
      <c r="B1192" s="4"/>
      <c r="C1192" s="6">
        <v>41285</v>
      </c>
      <c r="D1192" s="5">
        <v>1125</v>
      </c>
      <c r="E1192" s="4" t="s">
        <v>3827</v>
      </c>
      <c r="F1192" s="4"/>
    </row>
    <row r="1193" spans="1:6">
      <c r="A1193" s="4"/>
      <c r="B1193" s="4"/>
      <c r="C1193" s="6">
        <v>41286</v>
      </c>
      <c r="D1193" s="5">
        <v>750</v>
      </c>
      <c r="E1193" s="4" t="s">
        <v>3830</v>
      </c>
      <c r="F1193" s="4"/>
    </row>
    <row r="1194" spans="1:6">
      <c r="A1194" s="4"/>
      <c r="B1194" s="4"/>
      <c r="C1194" s="6">
        <v>41289</v>
      </c>
      <c r="D1194" s="5">
        <v>750</v>
      </c>
      <c r="E1194" s="4" t="s">
        <v>3664</v>
      </c>
      <c r="F1194" s="4"/>
    </row>
    <row r="1195" spans="1:6">
      <c r="A1195" s="4"/>
      <c r="B1195" s="4"/>
      <c r="C1195" s="6">
        <v>41292</v>
      </c>
      <c r="D1195" s="5">
        <v>375</v>
      </c>
      <c r="E1195" s="4" t="s">
        <v>3670</v>
      </c>
      <c r="F1195" s="4"/>
    </row>
    <row r="1196" spans="1:6">
      <c r="A1196" s="4"/>
      <c r="B1196" s="4"/>
      <c r="C1196" s="6">
        <v>41292</v>
      </c>
      <c r="D1196" s="5">
        <v>750</v>
      </c>
      <c r="E1196" s="4" t="s">
        <v>3670</v>
      </c>
      <c r="F1196" s="4"/>
    </row>
    <row r="1197" spans="1:6">
      <c r="A1197" s="4"/>
      <c r="B1197" s="4"/>
      <c r="C1197" s="6">
        <v>41295</v>
      </c>
      <c r="D1197" s="5">
        <v>1125</v>
      </c>
      <c r="E1197" s="4" t="s">
        <v>3672</v>
      </c>
      <c r="F1197" s="4"/>
    </row>
    <row r="1198" spans="1:6">
      <c r="A1198" s="4"/>
      <c r="B1198" s="4"/>
      <c r="C1198" s="6">
        <v>41295</v>
      </c>
      <c r="D1198" s="5">
        <v>750</v>
      </c>
      <c r="E1198" s="4" t="s">
        <v>3672</v>
      </c>
      <c r="F1198" s="4"/>
    </row>
    <row r="1199" spans="1:6">
      <c r="A1199" s="4">
        <v>114</v>
      </c>
      <c r="B1199" s="4" t="s">
        <v>3522</v>
      </c>
      <c r="C1199" s="6">
        <v>41276</v>
      </c>
      <c r="D1199" s="5">
        <v>750</v>
      </c>
      <c r="E1199" s="4" t="s">
        <v>1367</v>
      </c>
      <c r="F1199" s="4"/>
    </row>
    <row r="1200" spans="1:6">
      <c r="A1200" s="4"/>
      <c r="B1200" s="4"/>
      <c r="C1200" s="6">
        <v>41290</v>
      </c>
      <c r="D1200" s="5">
        <v>750</v>
      </c>
      <c r="E1200" s="4" t="s">
        <v>3666</v>
      </c>
      <c r="F1200" s="4"/>
    </row>
    <row r="1201" spans="1:6">
      <c r="A1201" s="4">
        <v>115</v>
      </c>
      <c r="B1201" s="4" t="s">
        <v>3803</v>
      </c>
      <c r="C1201" s="6">
        <v>41291</v>
      </c>
      <c r="D1201" s="5">
        <v>375</v>
      </c>
      <c r="E1201" s="4" t="s">
        <v>3689</v>
      </c>
      <c r="F1201" s="4"/>
    </row>
    <row r="1202" spans="1:6">
      <c r="A1202" s="4">
        <v>116</v>
      </c>
      <c r="B1202" s="4" t="s">
        <v>3693</v>
      </c>
      <c r="C1202" s="6">
        <v>41285</v>
      </c>
      <c r="D1202" s="5">
        <v>9565</v>
      </c>
      <c r="E1202" s="4" t="s">
        <v>3684</v>
      </c>
      <c r="F1202" s="4"/>
    </row>
    <row r="1203" spans="1:6">
      <c r="A1203" s="4">
        <v>117</v>
      </c>
      <c r="B1203" s="4" t="s">
        <v>3782</v>
      </c>
      <c r="C1203" s="6">
        <v>41292</v>
      </c>
      <c r="D1203" s="5">
        <v>1125</v>
      </c>
      <c r="E1203" s="4" t="s">
        <v>3670</v>
      </c>
      <c r="F1203" s="4"/>
    </row>
    <row r="1204" spans="1:6">
      <c r="A1204" s="4">
        <v>118</v>
      </c>
      <c r="B1204" s="4" t="s">
        <v>314</v>
      </c>
      <c r="C1204" s="6">
        <v>41276</v>
      </c>
      <c r="D1204" s="5">
        <v>750</v>
      </c>
      <c r="E1204" s="4" t="s">
        <v>1366</v>
      </c>
      <c r="F1204" s="4"/>
    </row>
    <row r="1205" spans="1:6">
      <c r="A1205" s="4"/>
      <c r="B1205" s="4"/>
      <c r="C1205" s="6">
        <v>41278</v>
      </c>
      <c r="D1205" s="5">
        <v>1315</v>
      </c>
      <c r="E1205" s="4" t="s">
        <v>1370</v>
      </c>
      <c r="F1205" s="4"/>
    </row>
    <row r="1206" spans="1:6">
      <c r="A1206" s="4"/>
      <c r="B1206" s="4"/>
      <c r="C1206" s="6">
        <v>41282</v>
      </c>
      <c r="D1206" s="5">
        <v>1125</v>
      </c>
      <c r="E1206" s="4" t="s">
        <v>1376</v>
      </c>
      <c r="F1206" s="4"/>
    </row>
    <row r="1207" spans="1:6">
      <c r="A1207" s="4"/>
      <c r="B1207" s="4"/>
      <c r="C1207" s="6">
        <v>41284</v>
      </c>
      <c r="D1207" s="5">
        <v>1875</v>
      </c>
      <c r="E1207" s="4" t="s">
        <v>3824</v>
      </c>
      <c r="F1207" s="4"/>
    </row>
    <row r="1208" spans="1:6">
      <c r="A1208" s="4"/>
      <c r="B1208" s="4"/>
      <c r="C1208" s="6">
        <v>41284</v>
      </c>
      <c r="D1208" s="5">
        <v>1875</v>
      </c>
      <c r="E1208" s="4" t="s">
        <v>3824</v>
      </c>
      <c r="F1208" s="4"/>
    </row>
    <row r="1209" spans="1:6">
      <c r="A1209" s="4"/>
      <c r="B1209" s="4"/>
      <c r="C1209" s="6">
        <v>41288</v>
      </c>
      <c r="D1209" s="5">
        <v>700</v>
      </c>
      <c r="E1209" s="4" t="s">
        <v>3662</v>
      </c>
      <c r="F1209" s="4"/>
    </row>
    <row r="1210" spans="1:6">
      <c r="A1210" s="4"/>
      <c r="B1210" s="4"/>
      <c r="C1210" s="6">
        <v>41292</v>
      </c>
      <c r="D1210" s="5">
        <v>1125</v>
      </c>
      <c r="E1210" s="4" t="s">
        <v>3670</v>
      </c>
      <c r="F1210" s="4"/>
    </row>
    <row r="1211" spans="1:6">
      <c r="A1211" s="4"/>
      <c r="B1211" s="4"/>
      <c r="C1211" s="6">
        <v>41293</v>
      </c>
      <c r="D1211" s="5">
        <v>1125</v>
      </c>
      <c r="E1211" s="4" t="s">
        <v>3671</v>
      </c>
      <c r="F1211" s="4"/>
    </row>
    <row r="1212" spans="1:6">
      <c r="A1212" s="4"/>
      <c r="B1212" s="4"/>
      <c r="C1212" s="6">
        <v>41295</v>
      </c>
      <c r="D1212" s="5">
        <v>1125</v>
      </c>
      <c r="E1212" s="4" t="s">
        <v>3673</v>
      </c>
      <c r="F1212" s="4"/>
    </row>
    <row r="1213" spans="1:6">
      <c r="A1213" s="4">
        <v>119</v>
      </c>
      <c r="B1213" s="4" t="s">
        <v>3534</v>
      </c>
      <c r="C1213" s="6">
        <v>41277</v>
      </c>
      <c r="D1213" s="5">
        <v>750</v>
      </c>
      <c r="E1213" s="4" t="s">
        <v>1368</v>
      </c>
      <c r="F1213" s="4"/>
    </row>
    <row r="1214" spans="1:6">
      <c r="A1214" s="4">
        <v>120</v>
      </c>
      <c r="B1214" s="4" t="s">
        <v>3754</v>
      </c>
      <c r="C1214" s="6">
        <v>41284</v>
      </c>
      <c r="D1214" s="5">
        <v>1500</v>
      </c>
      <c r="E1214" s="4" t="s">
        <v>3824</v>
      </c>
      <c r="F1214" s="4"/>
    </row>
    <row r="1215" spans="1:6">
      <c r="A1215" s="4"/>
      <c r="B1215" s="4"/>
      <c r="C1215" s="6">
        <v>41285</v>
      </c>
      <c r="D1215" s="5">
        <v>1125</v>
      </c>
      <c r="E1215" s="4" t="s">
        <v>3828</v>
      </c>
      <c r="F1215" s="4"/>
    </row>
    <row r="1216" spans="1:6">
      <c r="A1216" s="4">
        <v>121</v>
      </c>
      <c r="B1216" s="4" t="s">
        <v>1185</v>
      </c>
      <c r="C1216" s="6">
        <v>41281</v>
      </c>
      <c r="D1216" s="5">
        <v>2250</v>
      </c>
      <c r="E1216" s="4" t="s">
        <v>1373</v>
      </c>
      <c r="F1216" s="4"/>
    </row>
    <row r="1217" spans="1:6">
      <c r="A1217" s="4"/>
      <c r="B1217" s="4"/>
      <c r="C1217" s="6">
        <v>41288</v>
      </c>
      <c r="D1217" s="5">
        <v>1125</v>
      </c>
      <c r="E1217" s="4" t="s">
        <v>3662</v>
      </c>
      <c r="F1217" s="4"/>
    </row>
    <row r="1218" spans="1:6">
      <c r="A1218" s="4"/>
      <c r="B1218" s="4"/>
      <c r="C1218" s="6">
        <v>41288</v>
      </c>
      <c r="D1218" s="5">
        <v>1125</v>
      </c>
      <c r="E1218" s="4" t="s">
        <v>3662</v>
      </c>
      <c r="F1218" s="4"/>
    </row>
    <row r="1219" spans="1:6">
      <c r="A1219" s="4">
        <v>122</v>
      </c>
      <c r="B1219" s="4" t="s">
        <v>3762</v>
      </c>
      <c r="C1219" s="6">
        <v>41285</v>
      </c>
      <c r="D1219" s="5">
        <v>570</v>
      </c>
      <c r="E1219" s="4" t="s">
        <v>3826</v>
      </c>
      <c r="F1219" s="4"/>
    </row>
    <row r="1220" spans="1:6">
      <c r="A1220" s="4"/>
      <c r="B1220" s="4"/>
      <c r="C1220" s="6">
        <v>41285</v>
      </c>
      <c r="D1220" s="5">
        <v>1500</v>
      </c>
      <c r="E1220" s="4" t="s">
        <v>3826</v>
      </c>
      <c r="F1220" s="4"/>
    </row>
    <row r="1221" spans="1:6">
      <c r="A1221" s="4"/>
      <c r="B1221" s="4"/>
      <c r="C1221" s="6">
        <v>41285</v>
      </c>
      <c r="D1221" s="5">
        <v>2250</v>
      </c>
      <c r="E1221" s="4" t="s">
        <v>3827</v>
      </c>
      <c r="F1221" s="4"/>
    </row>
    <row r="1222" spans="1:6">
      <c r="A1222" s="4"/>
      <c r="B1222" s="4"/>
      <c r="C1222" s="6">
        <v>41285</v>
      </c>
      <c r="D1222" s="5">
        <v>570</v>
      </c>
      <c r="E1222" s="4" t="s">
        <v>3827</v>
      </c>
      <c r="F1222" s="4"/>
    </row>
    <row r="1223" spans="1:6">
      <c r="A1223" s="4">
        <v>123</v>
      </c>
      <c r="B1223" s="4" t="s">
        <v>3791</v>
      </c>
      <c r="C1223" s="6">
        <v>41277</v>
      </c>
      <c r="D1223" s="5">
        <v>750</v>
      </c>
      <c r="E1223" s="4" t="s">
        <v>3677</v>
      </c>
      <c r="F1223" s="4"/>
    </row>
    <row r="1224" spans="1:6">
      <c r="A1224" s="4"/>
      <c r="B1224" s="4"/>
      <c r="C1224" s="6">
        <v>41277</v>
      </c>
      <c r="D1224" s="5">
        <v>750</v>
      </c>
      <c r="E1224" s="4" t="s">
        <v>3677</v>
      </c>
      <c r="F1224" s="4"/>
    </row>
    <row r="1225" spans="1:6">
      <c r="A1225" s="4"/>
      <c r="B1225" s="4"/>
      <c r="C1225" s="6">
        <v>41295</v>
      </c>
      <c r="D1225" s="5">
        <v>750</v>
      </c>
      <c r="E1225" s="4" t="s">
        <v>3691</v>
      </c>
      <c r="F1225" s="4"/>
    </row>
    <row r="1226" spans="1:6">
      <c r="A1226" s="4">
        <v>124</v>
      </c>
      <c r="B1226" s="4" t="s">
        <v>3536</v>
      </c>
      <c r="C1226" s="6">
        <v>41277</v>
      </c>
      <c r="D1226" s="5">
        <v>700</v>
      </c>
      <c r="E1226" s="4" t="s">
        <v>1368</v>
      </c>
      <c r="F1226" s="4"/>
    </row>
    <row r="1227" spans="1:6">
      <c r="A1227" s="4"/>
      <c r="B1227" s="4"/>
      <c r="C1227" s="6">
        <v>41277</v>
      </c>
      <c r="D1227" s="5">
        <v>1125</v>
      </c>
      <c r="E1227" s="4" t="s">
        <v>1368</v>
      </c>
      <c r="F1227" s="4"/>
    </row>
    <row r="1228" spans="1:6">
      <c r="A1228" s="4"/>
      <c r="B1228" s="4"/>
      <c r="C1228" s="6">
        <v>41277</v>
      </c>
      <c r="D1228" s="5">
        <v>1125</v>
      </c>
      <c r="E1228" s="4" t="s">
        <v>1368</v>
      </c>
      <c r="F1228" s="4"/>
    </row>
    <row r="1229" spans="1:6">
      <c r="A1229" s="4"/>
      <c r="B1229" s="4"/>
      <c r="C1229" s="6">
        <v>41284</v>
      </c>
      <c r="D1229" s="5">
        <v>3375</v>
      </c>
      <c r="E1229" s="4" t="s">
        <v>3824</v>
      </c>
      <c r="F1229" s="4"/>
    </row>
    <row r="1230" spans="1:6">
      <c r="A1230" s="4"/>
      <c r="B1230" s="4"/>
      <c r="C1230" s="6">
        <v>41284</v>
      </c>
      <c r="D1230" s="5">
        <v>1125</v>
      </c>
      <c r="E1230" s="4" t="s">
        <v>3824</v>
      </c>
      <c r="F1230" s="4"/>
    </row>
    <row r="1231" spans="1:6">
      <c r="A1231" s="4"/>
      <c r="B1231" s="4"/>
      <c r="C1231" s="6">
        <v>41289</v>
      </c>
      <c r="D1231" s="5">
        <v>1125</v>
      </c>
      <c r="E1231" s="4" t="s">
        <v>3664</v>
      </c>
      <c r="F1231" s="4"/>
    </row>
    <row r="1232" spans="1:6">
      <c r="A1232" s="4">
        <v>125</v>
      </c>
      <c r="B1232" s="4" t="s">
        <v>3533</v>
      </c>
      <c r="C1232" s="6">
        <v>41277</v>
      </c>
      <c r="D1232" s="5">
        <v>375</v>
      </c>
      <c r="E1232" s="4" t="s">
        <v>1368</v>
      </c>
      <c r="F1232" s="4"/>
    </row>
    <row r="1233" spans="1:6">
      <c r="A1233" s="4"/>
      <c r="B1233" s="4"/>
      <c r="C1233" s="6">
        <v>41279</v>
      </c>
      <c r="D1233" s="5">
        <v>750</v>
      </c>
      <c r="E1233" s="4" t="s">
        <v>1372</v>
      </c>
      <c r="F1233" s="4"/>
    </row>
    <row r="1234" spans="1:6">
      <c r="A1234" s="4"/>
      <c r="B1234" s="4"/>
      <c r="C1234" s="6">
        <v>41279</v>
      </c>
      <c r="D1234" s="5">
        <v>750</v>
      </c>
      <c r="E1234" s="4" t="s">
        <v>1372</v>
      </c>
      <c r="F1234" s="4"/>
    </row>
    <row r="1235" spans="1:6">
      <c r="A1235" s="4"/>
      <c r="B1235" s="4"/>
      <c r="C1235" s="6">
        <v>41282</v>
      </c>
      <c r="D1235" s="5">
        <v>375</v>
      </c>
      <c r="E1235" s="4" t="s">
        <v>1375</v>
      </c>
      <c r="F1235" s="4"/>
    </row>
    <row r="1236" spans="1:6">
      <c r="A1236" s="4"/>
      <c r="B1236" s="4"/>
      <c r="C1236" s="6">
        <v>41282</v>
      </c>
      <c r="D1236" s="5">
        <v>750</v>
      </c>
      <c r="E1236" s="4" t="s">
        <v>1375</v>
      </c>
      <c r="F1236" s="4"/>
    </row>
    <row r="1237" spans="1:6">
      <c r="A1237" s="4"/>
      <c r="B1237" s="4"/>
      <c r="C1237" s="6">
        <v>41282</v>
      </c>
      <c r="D1237" s="5">
        <v>750</v>
      </c>
      <c r="E1237" s="4" t="s">
        <v>1375</v>
      </c>
      <c r="F1237" s="4"/>
    </row>
    <row r="1238" spans="1:6">
      <c r="A1238" s="4"/>
      <c r="B1238" s="4"/>
      <c r="C1238" s="6">
        <v>41282</v>
      </c>
      <c r="D1238" s="5">
        <v>750</v>
      </c>
      <c r="E1238" s="4" t="s">
        <v>1375</v>
      </c>
      <c r="F1238" s="4"/>
    </row>
    <row r="1239" spans="1:6">
      <c r="A1239" s="4"/>
      <c r="B1239" s="4"/>
      <c r="C1239" s="6">
        <v>41284</v>
      </c>
      <c r="D1239" s="5">
        <v>1125</v>
      </c>
      <c r="E1239" s="4" t="s">
        <v>3825</v>
      </c>
      <c r="F1239" s="4"/>
    </row>
    <row r="1240" spans="1:6">
      <c r="A1240" s="4"/>
      <c r="B1240" s="4"/>
      <c r="C1240" s="6">
        <v>41284</v>
      </c>
      <c r="D1240" s="5">
        <v>750</v>
      </c>
      <c r="E1240" s="4" t="s">
        <v>3825</v>
      </c>
      <c r="F1240" s="4"/>
    </row>
    <row r="1241" spans="1:6">
      <c r="A1241" s="4"/>
      <c r="B1241" s="4"/>
      <c r="C1241" s="6">
        <v>41284</v>
      </c>
      <c r="D1241" s="5">
        <v>1125</v>
      </c>
      <c r="E1241" s="4" t="s">
        <v>3825</v>
      </c>
      <c r="F1241" s="4"/>
    </row>
    <row r="1242" spans="1:6">
      <c r="A1242" s="4"/>
      <c r="B1242" s="4"/>
      <c r="C1242" s="6">
        <v>41290</v>
      </c>
      <c r="D1242" s="5">
        <v>750</v>
      </c>
      <c r="E1242" s="4" t="s">
        <v>3666</v>
      </c>
      <c r="F1242" s="4"/>
    </row>
    <row r="1243" spans="1:6">
      <c r="A1243" s="4"/>
      <c r="B1243" s="4"/>
      <c r="C1243" s="6">
        <v>41291</v>
      </c>
      <c r="D1243" s="5">
        <v>750</v>
      </c>
      <c r="E1243" s="4" t="s">
        <v>3668</v>
      </c>
      <c r="F1243" s="4"/>
    </row>
    <row r="1244" spans="1:6">
      <c r="A1244" s="4"/>
      <c r="B1244" s="4"/>
      <c r="C1244" s="6">
        <v>41291</v>
      </c>
      <c r="D1244" s="5">
        <v>750</v>
      </c>
      <c r="E1244" s="4" t="s">
        <v>3668</v>
      </c>
      <c r="F1244" s="4"/>
    </row>
    <row r="1245" spans="1:6">
      <c r="A1245" s="4"/>
      <c r="B1245" s="4"/>
      <c r="C1245" s="6">
        <v>41291</v>
      </c>
      <c r="D1245" s="5">
        <v>375</v>
      </c>
      <c r="E1245" s="4" t="s">
        <v>3668</v>
      </c>
      <c r="F1245" s="4"/>
    </row>
    <row r="1246" spans="1:6">
      <c r="A1246" s="4">
        <v>126</v>
      </c>
      <c r="B1246" s="4" t="s">
        <v>3795</v>
      </c>
      <c r="C1246" s="6">
        <v>41281</v>
      </c>
      <c r="D1246" s="5">
        <v>565</v>
      </c>
      <c r="E1246" s="4" t="s">
        <v>3680</v>
      </c>
      <c r="F1246" s="4"/>
    </row>
    <row r="1247" spans="1:6">
      <c r="A1247" s="4">
        <v>127</v>
      </c>
      <c r="B1247" s="4" t="s">
        <v>3529</v>
      </c>
      <c r="C1247" s="6">
        <v>41277</v>
      </c>
      <c r="D1247" s="5">
        <v>1125</v>
      </c>
      <c r="E1247" s="4" t="s">
        <v>1368</v>
      </c>
      <c r="F1247" s="4"/>
    </row>
    <row r="1248" spans="1:6">
      <c r="A1248" s="4"/>
      <c r="B1248" s="4"/>
      <c r="C1248" s="6">
        <v>41293</v>
      </c>
      <c r="D1248" s="5">
        <v>1125</v>
      </c>
      <c r="E1248" s="4" t="s">
        <v>3671</v>
      </c>
      <c r="F1248" s="4"/>
    </row>
    <row r="1249" spans="1:6">
      <c r="A1249" s="4">
        <v>128</v>
      </c>
      <c r="B1249" s="4" t="s">
        <v>1189</v>
      </c>
      <c r="C1249" s="6">
        <v>41282</v>
      </c>
      <c r="D1249" s="5">
        <v>750</v>
      </c>
      <c r="E1249" s="4" t="s">
        <v>1375</v>
      </c>
      <c r="F1249" s="4"/>
    </row>
    <row r="1250" spans="1:6">
      <c r="A1250" s="4"/>
      <c r="B1250" s="4"/>
      <c r="C1250" s="6">
        <v>41282</v>
      </c>
      <c r="D1250" s="5">
        <v>750</v>
      </c>
      <c r="E1250" s="4" t="s">
        <v>1375</v>
      </c>
      <c r="F1250" s="4"/>
    </row>
    <row r="1251" spans="1:6">
      <c r="A1251" s="4">
        <v>129</v>
      </c>
      <c r="B1251" s="4" t="s">
        <v>3779</v>
      </c>
      <c r="C1251" s="6">
        <v>41289</v>
      </c>
      <c r="D1251" s="5">
        <v>1125</v>
      </c>
      <c r="E1251" s="4" t="s">
        <v>3664</v>
      </c>
      <c r="F1251" s="4"/>
    </row>
    <row r="1252" spans="1:6">
      <c r="A1252" s="4">
        <v>130</v>
      </c>
      <c r="B1252" s="4" t="s">
        <v>3501</v>
      </c>
      <c r="C1252" s="6">
        <v>41275</v>
      </c>
      <c r="D1252" s="5">
        <v>375</v>
      </c>
      <c r="E1252" s="4" t="s">
        <v>1365</v>
      </c>
      <c r="F1252" s="4"/>
    </row>
    <row r="1253" spans="1:6">
      <c r="A1253" s="4"/>
      <c r="B1253" s="4"/>
      <c r="C1253" s="6">
        <v>41281</v>
      </c>
      <c r="D1253" s="5">
        <v>190</v>
      </c>
      <c r="E1253" s="4" t="s">
        <v>1373</v>
      </c>
      <c r="F1253" s="4"/>
    </row>
    <row r="1254" spans="1:6">
      <c r="A1254" s="4"/>
      <c r="B1254" s="4"/>
      <c r="C1254" s="6">
        <v>41284</v>
      </c>
      <c r="D1254" s="5">
        <v>750</v>
      </c>
      <c r="E1254" s="4" t="s">
        <v>3824</v>
      </c>
      <c r="F1254" s="4"/>
    </row>
    <row r="1255" spans="1:6">
      <c r="A1255" s="4"/>
      <c r="B1255" s="4"/>
      <c r="C1255" s="6">
        <v>41288</v>
      </c>
      <c r="D1255" s="5">
        <v>565</v>
      </c>
      <c r="E1255" s="4" t="s">
        <v>3662</v>
      </c>
      <c r="F1255" s="4"/>
    </row>
    <row r="1256" spans="1:6">
      <c r="A1256" s="4"/>
      <c r="B1256" s="4"/>
      <c r="C1256" s="6">
        <v>41288</v>
      </c>
      <c r="D1256" s="5">
        <v>375</v>
      </c>
      <c r="E1256" s="4" t="s">
        <v>3663</v>
      </c>
      <c r="F1256" s="4"/>
    </row>
    <row r="1257" spans="1:6">
      <c r="A1257" s="4"/>
      <c r="B1257" s="4"/>
      <c r="C1257" s="6">
        <v>41295</v>
      </c>
      <c r="D1257" s="5">
        <v>190</v>
      </c>
      <c r="E1257" s="4" t="s">
        <v>3672</v>
      </c>
      <c r="F1257" s="4"/>
    </row>
    <row r="1258" spans="1:6">
      <c r="A1258" s="4">
        <v>131</v>
      </c>
      <c r="B1258" s="4" t="s">
        <v>3500</v>
      </c>
      <c r="C1258" s="6">
        <v>41275</v>
      </c>
      <c r="D1258" s="5">
        <v>940</v>
      </c>
      <c r="E1258" s="4" t="s">
        <v>1365</v>
      </c>
      <c r="F1258" s="4"/>
    </row>
    <row r="1259" spans="1:6">
      <c r="A1259" s="4"/>
      <c r="B1259" s="4"/>
      <c r="C1259" s="6">
        <v>41275</v>
      </c>
      <c r="D1259" s="5">
        <v>375</v>
      </c>
      <c r="E1259" s="4" t="s">
        <v>1365</v>
      </c>
      <c r="F1259" s="4"/>
    </row>
    <row r="1260" spans="1:6">
      <c r="A1260" s="4"/>
      <c r="B1260" s="4"/>
      <c r="C1260" s="6">
        <v>41275</v>
      </c>
      <c r="D1260" s="5">
        <v>375</v>
      </c>
      <c r="E1260" s="4" t="s">
        <v>1365</v>
      </c>
      <c r="F1260" s="4"/>
    </row>
    <row r="1261" spans="1:6">
      <c r="A1261" s="4"/>
      <c r="B1261" s="4"/>
      <c r="C1261" s="6">
        <v>41275</v>
      </c>
      <c r="D1261" s="5">
        <v>375</v>
      </c>
      <c r="E1261" s="4" t="s">
        <v>1365</v>
      </c>
      <c r="F1261" s="4"/>
    </row>
    <row r="1262" spans="1:6">
      <c r="A1262" s="4"/>
      <c r="B1262" s="4"/>
      <c r="C1262" s="6">
        <v>41291</v>
      </c>
      <c r="D1262" s="5">
        <v>940</v>
      </c>
      <c r="E1262" s="4" t="s">
        <v>3668</v>
      </c>
      <c r="F1262" s="4"/>
    </row>
    <row r="1263" spans="1:6">
      <c r="A1263" s="4"/>
      <c r="B1263" s="4"/>
      <c r="C1263" s="6">
        <v>41291</v>
      </c>
      <c r="D1263" s="5">
        <v>375</v>
      </c>
      <c r="E1263" s="4" t="s">
        <v>3669</v>
      </c>
      <c r="F1263" s="4"/>
    </row>
    <row r="1264" spans="1:6">
      <c r="A1264" s="4"/>
      <c r="B1264" s="4"/>
      <c r="C1264" s="6">
        <v>41291</v>
      </c>
      <c r="D1264" s="5">
        <v>375</v>
      </c>
      <c r="E1264" s="4" t="s">
        <v>3669</v>
      </c>
      <c r="F1264" s="4"/>
    </row>
    <row r="1265" spans="1:6">
      <c r="A1265" s="4"/>
      <c r="B1265" s="4"/>
      <c r="C1265" s="6">
        <v>41291</v>
      </c>
      <c r="D1265" s="5">
        <v>375</v>
      </c>
      <c r="E1265" s="4" t="s">
        <v>3669</v>
      </c>
      <c r="F1265" s="4"/>
    </row>
    <row r="1266" spans="1:6">
      <c r="A1266" s="4">
        <v>132</v>
      </c>
      <c r="B1266" s="4" t="s">
        <v>3804</v>
      </c>
      <c r="C1266" s="6">
        <v>41292</v>
      </c>
      <c r="D1266" s="5">
        <v>750</v>
      </c>
      <c r="E1266" s="4" t="s">
        <v>3690</v>
      </c>
      <c r="F1266" s="4"/>
    </row>
    <row r="1267" spans="1:6">
      <c r="A1267" s="4">
        <v>133</v>
      </c>
      <c r="B1267" s="4" t="s">
        <v>319</v>
      </c>
      <c r="C1267" s="6">
        <v>41276</v>
      </c>
      <c r="D1267" s="5">
        <v>1125</v>
      </c>
      <c r="E1267" s="4" t="s">
        <v>1366</v>
      </c>
      <c r="F1267" s="4"/>
    </row>
    <row r="1268" spans="1:6">
      <c r="A1268" s="4"/>
      <c r="B1268" s="4"/>
      <c r="C1268" s="6">
        <v>41288</v>
      </c>
      <c r="D1268" s="5">
        <v>1125</v>
      </c>
      <c r="E1268" s="4" t="s">
        <v>3663</v>
      </c>
      <c r="F1268" s="4"/>
    </row>
    <row r="1269" spans="1:6">
      <c r="A1269" s="4">
        <v>134</v>
      </c>
      <c r="B1269" s="4" t="s">
        <v>3790</v>
      </c>
      <c r="C1269" s="6">
        <v>41276</v>
      </c>
      <c r="D1269" s="5">
        <v>375</v>
      </c>
      <c r="E1269" s="4" t="s">
        <v>3676</v>
      </c>
      <c r="F1269" s="4"/>
    </row>
    <row r="1270" spans="1:6">
      <c r="A1270" s="4"/>
      <c r="B1270" s="4"/>
      <c r="C1270" s="6">
        <v>41276</v>
      </c>
      <c r="D1270" s="5">
        <v>750</v>
      </c>
      <c r="E1270" s="4" t="s">
        <v>3676</v>
      </c>
      <c r="F1270" s="4"/>
    </row>
    <row r="1271" spans="1:6">
      <c r="A1271" s="4"/>
      <c r="B1271" s="4"/>
      <c r="C1271" s="6">
        <v>41291</v>
      </c>
      <c r="D1271" s="5">
        <v>375</v>
      </c>
      <c r="E1271" s="4" t="s">
        <v>3689</v>
      </c>
      <c r="F1271" s="4"/>
    </row>
    <row r="1272" spans="1:6">
      <c r="A1272" s="4">
        <v>135</v>
      </c>
      <c r="B1272" s="4" t="s">
        <v>3539</v>
      </c>
      <c r="C1272" s="6">
        <v>41277</v>
      </c>
      <c r="D1272" s="5">
        <v>1125</v>
      </c>
      <c r="E1272" s="4" t="s">
        <v>1368</v>
      </c>
      <c r="F1272" s="4"/>
    </row>
    <row r="1273" spans="1:6">
      <c r="A1273" s="4"/>
      <c r="B1273" s="4"/>
      <c r="C1273" s="6">
        <v>41277</v>
      </c>
      <c r="D1273" s="5">
        <v>190</v>
      </c>
      <c r="E1273" s="4" t="s">
        <v>1369</v>
      </c>
      <c r="F1273" s="4"/>
    </row>
    <row r="1274" spans="1:6">
      <c r="A1274" s="4"/>
      <c r="B1274" s="4"/>
      <c r="C1274" s="6">
        <v>41295</v>
      </c>
      <c r="D1274" s="5">
        <v>1125</v>
      </c>
      <c r="E1274" s="4" t="s">
        <v>3673</v>
      </c>
      <c r="F1274" s="4"/>
    </row>
    <row r="1275" spans="1:6">
      <c r="A1275" s="4"/>
      <c r="B1275" s="4"/>
      <c r="C1275" s="6">
        <v>41295</v>
      </c>
      <c r="D1275" s="5">
        <v>190</v>
      </c>
      <c r="E1275" s="4" t="s">
        <v>3673</v>
      </c>
      <c r="F1275" s="4"/>
    </row>
    <row r="1276" spans="1:6">
      <c r="A1276" s="4">
        <v>136</v>
      </c>
      <c r="B1276" s="4" t="s">
        <v>1184</v>
      </c>
      <c r="C1276" s="6">
        <v>41281</v>
      </c>
      <c r="D1276" s="5">
        <v>750</v>
      </c>
      <c r="E1276" s="4" t="s">
        <v>1373</v>
      </c>
      <c r="F1276" s="4"/>
    </row>
    <row r="1277" spans="1:6">
      <c r="A1277" s="4"/>
      <c r="B1277" s="4"/>
      <c r="C1277" s="6">
        <v>41296</v>
      </c>
      <c r="D1277" s="5">
        <v>750</v>
      </c>
      <c r="E1277" s="4" t="s">
        <v>3674</v>
      </c>
      <c r="F1277" s="4"/>
    </row>
    <row r="1278" spans="1:6">
      <c r="A1278" s="4">
        <v>137</v>
      </c>
      <c r="B1278" s="4" t="s">
        <v>3540</v>
      </c>
      <c r="C1278" s="6">
        <v>41277</v>
      </c>
      <c r="D1278" s="5">
        <v>375</v>
      </c>
      <c r="E1278" s="4" t="s">
        <v>1369</v>
      </c>
      <c r="F1278" s="4"/>
    </row>
    <row r="1279" spans="1:6">
      <c r="A1279" s="4"/>
      <c r="B1279" s="4"/>
      <c r="C1279" s="6">
        <v>41295</v>
      </c>
      <c r="D1279" s="5">
        <v>375</v>
      </c>
      <c r="E1279" s="4" t="s">
        <v>3673</v>
      </c>
      <c r="F1279" s="4"/>
    </row>
    <row r="1280" spans="1:6">
      <c r="A1280" s="4">
        <v>138</v>
      </c>
      <c r="B1280" s="4" t="s">
        <v>3519</v>
      </c>
      <c r="C1280" s="6">
        <v>41276</v>
      </c>
      <c r="D1280" s="5">
        <v>940</v>
      </c>
      <c r="E1280" s="4" t="s">
        <v>1367</v>
      </c>
      <c r="F1280" s="4"/>
    </row>
    <row r="1281" spans="1:6">
      <c r="A1281" s="4"/>
      <c r="B1281" s="4"/>
      <c r="C1281" s="6">
        <v>41276</v>
      </c>
      <c r="D1281" s="5">
        <v>190</v>
      </c>
      <c r="E1281" s="4" t="s">
        <v>1367</v>
      </c>
      <c r="F1281" s="4"/>
    </row>
    <row r="1282" spans="1:6">
      <c r="A1282" s="4"/>
      <c r="B1282" s="4"/>
      <c r="C1282" s="6">
        <v>41276</v>
      </c>
      <c r="D1282" s="5">
        <v>750</v>
      </c>
      <c r="E1282" s="4" t="s">
        <v>1367</v>
      </c>
      <c r="F1282" s="4"/>
    </row>
    <row r="1283" spans="1:6">
      <c r="A1283" s="4"/>
      <c r="B1283" s="4"/>
      <c r="C1283" s="6">
        <v>41276</v>
      </c>
      <c r="D1283" s="5">
        <v>750</v>
      </c>
      <c r="E1283" s="4" t="s">
        <v>1367</v>
      </c>
      <c r="F1283" s="4"/>
    </row>
    <row r="1284" spans="1:6">
      <c r="A1284" s="4"/>
      <c r="B1284" s="4"/>
      <c r="C1284" s="6">
        <v>41290</v>
      </c>
      <c r="D1284" s="5">
        <v>940</v>
      </c>
      <c r="E1284" s="4" t="s">
        <v>3666</v>
      </c>
      <c r="F1284" s="4"/>
    </row>
    <row r="1285" spans="1:6">
      <c r="A1285" s="4"/>
      <c r="B1285" s="4"/>
      <c r="C1285" s="6">
        <v>41290</v>
      </c>
      <c r="D1285" s="5">
        <v>190</v>
      </c>
      <c r="E1285" s="4" t="s">
        <v>3666</v>
      </c>
      <c r="F1285" s="4"/>
    </row>
    <row r="1286" spans="1:6">
      <c r="A1286" s="4"/>
      <c r="B1286" s="4"/>
      <c r="C1286" s="6">
        <v>41290</v>
      </c>
      <c r="D1286" s="5">
        <v>750</v>
      </c>
      <c r="E1286" s="4" t="s">
        <v>3666</v>
      </c>
      <c r="F1286" s="4"/>
    </row>
    <row r="1287" spans="1:6">
      <c r="A1287" s="4"/>
      <c r="B1287" s="4"/>
      <c r="C1287" s="6">
        <v>41290</v>
      </c>
      <c r="D1287" s="5">
        <v>750</v>
      </c>
      <c r="E1287" s="4" t="s">
        <v>3666</v>
      </c>
      <c r="F1287" s="4"/>
    </row>
    <row r="1288" spans="1:6">
      <c r="A1288" s="4">
        <v>139</v>
      </c>
      <c r="B1288" s="4" t="s">
        <v>3520</v>
      </c>
      <c r="C1288" s="6">
        <v>41276</v>
      </c>
      <c r="D1288" s="5">
        <v>750</v>
      </c>
      <c r="E1288" s="4" t="s">
        <v>1367</v>
      </c>
      <c r="F1288" s="4"/>
    </row>
    <row r="1289" spans="1:6">
      <c r="A1289" s="4"/>
      <c r="B1289" s="4"/>
      <c r="C1289" s="6">
        <v>41276</v>
      </c>
      <c r="D1289" s="5">
        <v>375</v>
      </c>
      <c r="E1289" s="4" t="s">
        <v>1367</v>
      </c>
      <c r="F1289" s="4"/>
    </row>
    <row r="1290" spans="1:6">
      <c r="A1290" s="4"/>
      <c r="B1290" s="4"/>
      <c r="C1290" s="6">
        <v>41281</v>
      </c>
      <c r="D1290" s="5">
        <v>1125</v>
      </c>
      <c r="E1290" s="4" t="s">
        <v>1373</v>
      </c>
      <c r="F1290" s="4"/>
    </row>
    <row r="1291" spans="1:6">
      <c r="A1291" s="4"/>
      <c r="B1291" s="4"/>
      <c r="C1291" s="6">
        <v>41284</v>
      </c>
      <c r="D1291" s="5">
        <v>375</v>
      </c>
      <c r="E1291" s="4" t="s">
        <v>3825</v>
      </c>
      <c r="F1291" s="4"/>
    </row>
    <row r="1292" spans="1:6">
      <c r="A1292" s="4"/>
      <c r="B1292" s="4"/>
      <c r="C1292" s="6">
        <v>41284</v>
      </c>
      <c r="D1292" s="5">
        <v>750</v>
      </c>
      <c r="E1292" s="4" t="s">
        <v>3825</v>
      </c>
      <c r="F1292" s="4"/>
    </row>
    <row r="1293" spans="1:6">
      <c r="A1293" s="4"/>
      <c r="B1293" s="4"/>
      <c r="C1293" s="6">
        <v>41284</v>
      </c>
      <c r="D1293" s="5">
        <v>750</v>
      </c>
      <c r="E1293" s="4" t="s">
        <v>3825</v>
      </c>
      <c r="F1293" s="4"/>
    </row>
    <row r="1294" spans="1:6">
      <c r="A1294" s="4"/>
      <c r="B1294" s="4"/>
      <c r="C1294" s="6">
        <v>41284</v>
      </c>
      <c r="D1294" s="5">
        <v>750</v>
      </c>
      <c r="E1294" s="4" t="s">
        <v>3825</v>
      </c>
      <c r="F1294" s="4"/>
    </row>
    <row r="1295" spans="1:6">
      <c r="A1295" s="4"/>
      <c r="B1295" s="4"/>
      <c r="C1295" s="6">
        <v>41290</v>
      </c>
      <c r="D1295" s="5">
        <v>750</v>
      </c>
      <c r="E1295" s="4" t="s">
        <v>3667</v>
      </c>
      <c r="F1295" s="4"/>
    </row>
    <row r="1296" spans="1:6">
      <c r="A1296" s="4"/>
      <c r="B1296" s="4"/>
      <c r="C1296" s="6">
        <v>41290</v>
      </c>
      <c r="D1296" s="5">
        <v>375</v>
      </c>
      <c r="E1296" s="4" t="s">
        <v>3667</v>
      </c>
      <c r="F1296" s="4"/>
    </row>
    <row r="1297" spans="1:6">
      <c r="A1297" s="4"/>
      <c r="B1297" s="4"/>
      <c r="C1297" s="6">
        <v>41295</v>
      </c>
      <c r="D1297" s="5">
        <v>1125</v>
      </c>
      <c r="E1297" s="4" t="s">
        <v>3673</v>
      </c>
      <c r="F1297" s="4"/>
    </row>
    <row r="1298" spans="1:6">
      <c r="A1298" s="4">
        <v>140</v>
      </c>
      <c r="B1298" s="4" t="s">
        <v>1192</v>
      </c>
      <c r="C1298" s="6">
        <v>41284</v>
      </c>
      <c r="D1298" s="5">
        <v>750</v>
      </c>
      <c r="E1298" s="4" t="s">
        <v>3824</v>
      </c>
      <c r="F1298" s="4"/>
    </row>
    <row r="1299" spans="1:6">
      <c r="A1299" s="4">
        <v>141</v>
      </c>
      <c r="B1299" s="4" t="s">
        <v>3761</v>
      </c>
      <c r="C1299" s="6">
        <v>41284</v>
      </c>
      <c r="D1299" s="5">
        <v>750</v>
      </c>
      <c r="E1299" s="4" t="s">
        <v>3825</v>
      </c>
      <c r="F1299" s="4"/>
    </row>
    <row r="1300" spans="1:6">
      <c r="A1300" s="4"/>
      <c r="B1300" s="4"/>
      <c r="C1300" s="6">
        <v>41286</v>
      </c>
      <c r="D1300" s="5">
        <v>750</v>
      </c>
      <c r="E1300" s="4" t="s">
        <v>3830</v>
      </c>
      <c r="F1300" s="4"/>
    </row>
    <row r="1301" spans="1:6">
      <c r="A1301" s="4"/>
      <c r="B1301" s="4"/>
      <c r="C1301" s="6">
        <v>41291</v>
      </c>
      <c r="D1301" s="5">
        <v>1875</v>
      </c>
      <c r="E1301" s="4" t="s">
        <v>3668</v>
      </c>
      <c r="F1301" s="4"/>
    </row>
    <row r="1302" spans="1:6">
      <c r="A1302" s="4">
        <v>142</v>
      </c>
      <c r="B1302" s="4" t="s">
        <v>3792</v>
      </c>
      <c r="C1302" s="6">
        <v>41277</v>
      </c>
      <c r="D1302" s="5">
        <v>750</v>
      </c>
      <c r="E1302" s="4" t="s">
        <v>3677</v>
      </c>
      <c r="F1302" s="4"/>
    </row>
    <row r="1303" spans="1:6">
      <c r="A1303" s="4"/>
      <c r="B1303" s="4"/>
      <c r="C1303" s="6">
        <v>41291</v>
      </c>
      <c r="D1303" s="5">
        <v>750</v>
      </c>
      <c r="E1303" s="4" t="s">
        <v>3689</v>
      </c>
      <c r="F1303" s="4"/>
    </row>
    <row r="1304" spans="1:6">
      <c r="A1304" s="4">
        <v>143</v>
      </c>
      <c r="B1304" s="4" t="s">
        <v>3528</v>
      </c>
      <c r="C1304" s="6">
        <v>41277</v>
      </c>
      <c r="D1304" s="5">
        <v>1875</v>
      </c>
      <c r="E1304" s="4" t="s">
        <v>1368</v>
      </c>
      <c r="F1304" s="4"/>
    </row>
    <row r="1305" spans="1:6">
      <c r="A1305" s="4">
        <v>144</v>
      </c>
      <c r="B1305" s="4" t="s">
        <v>3482</v>
      </c>
      <c r="C1305" s="6">
        <v>41284</v>
      </c>
      <c r="D1305" s="5">
        <v>1125</v>
      </c>
      <c r="E1305" s="4" t="s">
        <v>3824</v>
      </c>
      <c r="F1305" s="4"/>
    </row>
    <row r="1306" spans="1:6">
      <c r="A1306" s="4">
        <v>145</v>
      </c>
      <c r="B1306" s="4" t="s">
        <v>1180</v>
      </c>
      <c r="C1306" s="6">
        <v>41279</v>
      </c>
      <c r="D1306" s="5">
        <v>375</v>
      </c>
      <c r="E1306" s="4" t="s">
        <v>1372</v>
      </c>
      <c r="F1306" s="4"/>
    </row>
    <row r="1307" spans="1:6">
      <c r="A1307" s="4"/>
      <c r="B1307" s="4"/>
      <c r="C1307" s="6">
        <v>41279</v>
      </c>
      <c r="D1307" s="5">
        <v>1125</v>
      </c>
      <c r="E1307" s="4" t="s">
        <v>1372</v>
      </c>
      <c r="F1307" s="4"/>
    </row>
    <row r="1308" spans="1:6">
      <c r="A1308" s="4"/>
      <c r="B1308" s="4"/>
      <c r="C1308" s="6">
        <v>41295</v>
      </c>
      <c r="D1308" s="5">
        <v>1125</v>
      </c>
      <c r="E1308" s="4" t="s">
        <v>3672</v>
      </c>
      <c r="F1308" s="4"/>
    </row>
    <row r="1309" spans="1:6">
      <c r="A1309" s="4"/>
      <c r="B1309" s="4"/>
      <c r="C1309" s="6">
        <v>41295</v>
      </c>
      <c r="D1309" s="5">
        <v>375</v>
      </c>
      <c r="E1309" s="4" t="s">
        <v>3672</v>
      </c>
      <c r="F1309" s="4"/>
    </row>
    <row r="1310" spans="1:6">
      <c r="A1310" s="4"/>
      <c r="B1310" s="4" t="s">
        <v>3694</v>
      </c>
      <c r="C1310" s="6"/>
      <c r="D1310" s="70">
        <f>SUM(D2:D1309)</f>
        <v>2620170</v>
      </c>
      <c r="E1310" s="4"/>
      <c r="F1310" s="4"/>
    </row>
    <row r="1311" spans="1:6">
      <c r="A1311" s="286" t="s">
        <v>3697</v>
      </c>
      <c r="B1311" s="286"/>
      <c r="C1311" s="286"/>
      <c r="D1311" s="17">
        <f>D1310/7.5*2.5</f>
        <v>873390</v>
      </c>
      <c r="E1311" s="4"/>
      <c r="F1311" s="4"/>
    </row>
    <row r="1312" spans="1:6">
      <c r="A1312" s="286" t="s">
        <v>3698</v>
      </c>
      <c r="B1312" s="286"/>
      <c r="C1312" s="286"/>
      <c r="D1312" s="70">
        <f>D1310-D1311</f>
        <v>1746780</v>
      </c>
      <c r="E1312" s="4"/>
      <c r="F1312" s="4"/>
    </row>
    <row r="1313" spans="1:6" ht="67.2" customHeight="1">
      <c r="A1313" s="52" t="s">
        <v>3696</v>
      </c>
      <c r="B1313" s="275" t="s">
        <v>3630</v>
      </c>
      <c r="C1313" s="275"/>
      <c r="D1313" s="275"/>
      <c r="E1313" s="275"/>
      <c r="F1313" s="275"/>
    </row>
    <row r="1314" spans="1:6" ht="114.6" customHeight="1">
      <c r="A1314" s="52" t="s">
        <v>3699</v>
      </c>
      <c r="B1314" s="281" t="s">
        <v>2985</v>
      </c>
      <c r="C1314" s="281"/>
      <c r="D1314" s="281"/>
      <c r="E1314" s="281"/>
      <c r="F1314" s="281"/>
    </row>
  </sheetData>
  <mergeCells count="4">
    <mergeCell ref="B1313:F1313"/>
    <mergeCell ref="A1311:C1311"/>
    <mergeCell ref="A1312:C1312"/>
    <mergeCell ref="B1314:F1314"/>
  </mergeCells>
  <phoneticPr fontId="2" type="noConversion"/>
  <pageMargins left="0.55000000000000004" right="0.39" top="0.62992125984251968" bottom="0.59055118110236227" header="0.31496062992125984" footer="0.31496062992125984"/>
  <pageSetup paperSize="9" orientation="portrait" r:id="rId1"/>
  <headerFooter>
    <oddHeader>&amp;C附表一之2：&amp;A</oddHeader>
    <oddFooter>&amp;C&amp;P</oddFooter>
  </headerFooter>
</worksheet>
</file>

<file path=xl/worksheets/sheet4.xml><?xml version="1.0" encoding="utf-8"?>
<worksheet xmlns="http://schemas.openxmlformats.org/spreadsheetml/2006/main" xmlns:r="http://schemas.openxmlformats.org/officeDocument/2006/relationships">
  <dimension ref="A1:F438"/>
  <sheetViews>
    <sheetView workbookViewId="0">
      <selection activeCell="G10" sqref="G10"/>
    </sheetView>
  </sheetViews>
  <sheetFormatPr defaultRowHeight="16.2"/>
  <cols>
    <col min="1" max="1" width="6" style="259" bestFit="1" customWidth="1"/>
    <col min="2" max="2" width="8.21875" style="259" bestFit="1" customWidth="1"/>
    <col min="3" max="4" width="10.44140625" style="259" bestFit="1" customWidth="1"/>
    <col min="5" max="5" width="30.5546875" style="259" customWidth="1"/>
    <col min="6" max="6" width="12.88671875" style="259" bestFit="1" customWidth="1"/>
    <col min="7" max="16384" width="8.88671875" style="259"/>
  </cols>
  <sheetData>
    <row r="1" spans="1:6" s="264" customFormat="1" ht="32.4">
      <c r="A1" s="260" t="s">
        <v>281</v>
      </c>
      <c r="B1" s="260" t="s">
        <v>4030</v>
      </c>
      <c r="C1" s="261" t="s">
        <v>3805</v>
      </c>
      <c r="D1" s="262" t="s">
        <v>3806</v>
      </c>
      <c r="E1" s="263" t="s">
        <v>1507</v>
      </c>
      <c r="F1" s="260" t="s">
        <v>2471</v>
      </c>
    </row>
    <row r="2" spans="1:6">
      <c r="A2" s="265">
        <v>1</v>
      </c>
      <c r="B2" s="265" t="s">
        <v>3266</v>
      </c>
      <c r="C2" s="266">
        <v>41284</v>
      </c>
      <c r="D2" s="267">
        <v>1125</v>
      </c>
      <c r="E2" s="265" t="s">
        <v>3824</v>
      </c>
      <c r="F2" s="265"/>
    </row>
    <row r="3" spans="1:6">
      <c r="A3" s="265"/>
      <c r="B3" s="265"/>
      <c r="C3" s="266">
        <v>41285</v>
      </c>
      <c r="D3" s="267">
        <v>1690</v>
      </c>
      <c r="E3" s="265" t="s">
        <v>3828</v>
      </c>
      <c r="F3" s="265"/>
    </row>
    <row r="4" spans="1:6">
      <c r="A4" s="265"/>
      <c r="B4" s="265"/>
      <c r="C4" s="266">
        <v>41285</v>
      </c>
      <c r="D4" s="267">
        <v>190</v>
      </c>
      <c r="E4" s="265" t="s">
        <v>3828</v>
      </c>
      <c r="F4" s="265"/>
    </row>
    <row r="5" spans="1:6">
      <c r="A5" s="265"/>
      <c r="B5" s="265"/>
      <c r="C5" s="266">
        <v>41285</v>
      </c>
      <c r="D5" s="267">
        <v>375</v>
      </c>
      <c r="E5" s="265" t="s">
        <v>3828</v>
      </c>
      <c r="F5" s="265"/>
    </row>
    <row r="6" spans="1:6">
      <c r="A6" s="265"/>
      <c r="B6" s="265"/>
      <c r="C6" s="266">
        <v>41285</v>
      </c>
      <c r="D6" s="267">
        <v>190</v>
      </c>
      <c r="E6" s="265" t="s">
        <v>3828</v>
      </c>
      <c r="F6" s="265"/>
    </row>
    <row r="7" spans="1:6">
      <c r="A7" s="265"/>
      <c r="B7" s="265"/>
      <c r="C7" s="266">
        <v>41285</v>
      </c>
      <c r="D7" s="267">
        <v>1875</v>
      </c>
      <c r="E7" s="265" t="s">
        <v>3828</v>
      </c>
      <c r="F7" s="265"/>
    </row>
    <row r="8" spans="1:6">
      <c r="A8" s="265">
        <v>2</v>
      </c>
      <c r="B8" s="265" t="s">
        <v>3267</v>
      </c>
      <c r="C8" s="266">
        <v>41286</v>
      </c>
      <c r="D8" s="267">
        <v>11250</v>
      </c>
      <c r="E8" s="265" t="s">
        <v>3685</v>
      </c>
      <c r="F8" s="265"/>
    </row>
    <row r="9" spans="1:6">
      <c r="A9" s="265">
        <v>3</v>
      </c>
      <c r="B9" s="265" t="s">
        <v>3268</v>
      </c>
      <c r="C9" s="266">
        <v>41283</v>
      </c>
      <c r="D9" s="267">
        <v>3565</v>
      </c>
      <c r="E9" s="265" t="s">
        <v>1377</v>
      </c>
      <c r="F9" s="265"/>
    </row>
    <row r="10" spans="1:6">
      <c r="A10" s="265"/>
      <c r="B10" s="265"/>
      <c r="C10" s="266">
        <v>41288</v>
      </c>
      <c r="D10" s="267">
        <v>375</v>
      </c>
      <c r="E10" s="265" t="s">
        <v>3662</v>
      </c>
      <c r="F10" s="265"/>
    </row>
    <row r="11" spans="1:6">
      <c r="A11" s="265"/>
      <c r="B11" s="265"/>
      <c r="C11" s="266">
        <v>41288</v>
      </c>
      <c r="D11" s="267">
        <v>750</v>
      </c>
      <c r="E11" s="265" t="s">
        <v>3662</v>
      </c>
      <c r="F11" s="265"/>
    </row>
    <row r="12" spans="1:6">
      <c r="A12" s="265">
        <v>4</v>
      </c>
      <c r="B12" s="265" t="s">
        <v>3269</v>
      </c>
      <c r="C12" s="266">
        <v>41285</v>
      </c>
      <c r="D12" s="267">
        <v>4500</v>
      </c>
      <c r="E12" s="265" t="s">
        <v>3826</v>
      </c>
      <c r="F12" s="265"/>
    </row>
    <row r="13" spans="1:6">
      <c r="A13" s="265">
        <v>5</v>
      </c>
      <c r="B13" s="265" t="s">
        <v>3270</v>
      </c>
      <c r="C13" s="266">
        <v>41285</v>
      </c>
      <c r="D13" s="267">
        <v>5065</v>
      </c>
      <c r="E13" s="265" t="s">
        <v>3826</v>
      </c>
      <c r="F13" s="265"/>
    </row>
    <row r="14" spans="1:6">
      <c r="A14" s="265"/>
      <c r="B14" s="265"/>
      <c r="C14" s="266">
        <v>41285</v>
      </c>
      <c r="D14" s="267">
        <v>1125</v>
      </c>
      <c r="E14" s="265" t="s">
        <v>3826</v>
      </c>
      <c r="F14" s="265"/>
    </row>
    <row r="15" spans="1:6">
      <c r="A15" s="265">
        <v>7</v>
      </c>
      <c r="B15" s="265" t="s">
        <v>3271</v>
      </c>
      <c r="C15" s="266">
        <v>41284</v>
      </c>
      <c r="D15" s="267">
        <v>750</v>
      </c>
      <c r="E15" s="265" t="s">
        <v>3825</v>
      </c>
      <c r="F15" s="265"/>
    </row>
    <row r="16" spans="1:6">
      <c r="A16" s="265"/>
      <c r="B16" s="265"/>
      <c r="C16" s="266">
        <v>41284</v>
      </c>
      <c r="D16" s="267">
        <v>375</v>
      </c>
      <c r="E16" s="265" t="s">
        <v>3825</v>
      </c>
      <c r="F16" s="265"/>
    </row>
    <row r="17" spans="1:6">
      <c r="A17" s="265"/>
      <c r="B17" s="265"/>
      <c r="C17" s="266">
        <v>41284</v>
      </c>
      <c r="D17" s="267">
        <v>1875</v>
      </c>
      <c r="E17" s="265" t="s">
        <v>3825</v>
      </c>
      <c r="F17" s="265"/>
    </row>
    <row r="18" spans="1:6">
      <c r="A18" s="265"/>
      <c r="B18" s="265"/>
      <c r="C18" s="266">
        <v>41289</v>
      </c>
      <c r="D18" s="267">
        <v>375</v>
      </c>
      <c r="E18" s="265" t="s">
        <v>3665</v>
      </c>
      <c r="F18" s="265"/>
    </row>
    <row r="19" spans="1:6">
      <c r="A19" s="265"/>
      <c r="B19" s="265"/>
      <c r="C19" s="266">
        <v>41289</v>
      </c>
      <c r="D19" s="267">
        <v>375</v>
      </c>
      <c r="E19" s="265" t="s">
        <v>3665</v>
      </c>
      <c r="F19" s="265"/>
    </row>
    <row r="20" spans="1:6">
      <c r="A20" s="265"/>
      <c r="B20" s="265"/>
      <c r="C20" s="266">
        <v>41289</v>
      </c>
      <c r="D20" s="267">
        <v>375</v>
      </c>
      <c r="E20" s="265" t="s">
        <v>3665</v>
      </c>
      <c r="F20" s="265"/>
    </row>
    <row r="21" spans="1:6">
      <c r="A21" s="265"/>
      <c r="B21" s="265"/>
      <c r="C21" s="266">
        <v>41289</v>
      </c>
      <c r="D21" s="267">
        <v>375</v>
      </c>
      <c r="E21" s="265" t="s">
        <v>3665</v>
      </c>
      <c r="F21" s="265"/>
    </row>
    <row r="22" spans="1:6">
      <c r="A22" s="265"/>
      <c r="B22" s="265"/>
      <c r="C22" s="266">
        <v>41295</v>
      </c>
      <c r="D22" s="267">
        <v>1125</v>
      </c>
      <c r="E22" s="265" t="s">
        <v>3673</v>
      </c>
      <c r="F22" s="265"/>
    </row>
    <row r="23" spans="1:6">
      <c r="A23" s="265"/>
      <c r="B23" s="265"/>
      <c r="C23" s="266">
        <v>41295</v>
      </c>
      <c r="D23" s="267">
        <v>375</v>
      </c>
      <c r="E23" s="265" t="s">
        <v>3673</v>
      </c>
      <c r="F23" s="265"/>
    </row>
    <row r="24" spans="1:6">
      <c r="A24" s="265">
        <v>8</v>
      </c>
      <c r="B24" s="265" t="s">
        <v>3272</v>
      </c>
      <c r="C24" s="266">
        <v>41285</v>
      </c>
      <c r="D24" s="267">
        <v>5440</v>
      </c>
      <c r="E24" s="265" t="s">
        <v>3684</v>
      </c>
      <c r="F24" s="265"/>
    </row>
    <row r="25" spans="1:6">
      <c r="A25" s="265"/>
      <c r="B25" s="265"/>
      <c r="C25" s="266">
        <v>41285</v>
      </c>
      <c r="D25" s="267">
        <v>375</v>
      </c>
      <c r="E25" s="265" t="s">
        <v>3684</v>
      </c>
      <c r="F25" s="265"/>
    </row>
    <row r="26" spans="1:6">
      <c r="A26" s="265"/>
      <c r="B26" s="265"/>
      <c r="C26" s="266">
        <v>41285</v>
      </c>
      <c r="D26" s="267">
        <v>1125</v>
      </c>
      <c r="E26" s="265" t="s">
        <v>3684</v>
      </c>
      <c r="F26" s="265"/>
    </row>
    <row r="27" spans="1:6">
      <c r="A27" s="265">
        <v>9</v>
      </c>
      <c r="B27" s="265" t="s">
        <v>3273</v>
      </c>
      <c r="C27" s="266">
        <v>41284</v>
      </c>
      <c r="D27" s="267">
        <v>190</v>
      </c>
      <c r="E27" s="265" t="s">
        <v>3824</v>
      </c>
      <c r="F27" s="265"/>
    </row>
    <row r="28" spans="1:6">
      <c r="A28" s="265"/>
      <c r="B28" s="265"/>
      <c r="C28" s="266">
        <v>41285</v>
      </c>
      <c r="D28" s="267">
        <v>1880</v>
      </c>
      <c r="E28" s="265" t="s">
        <v>3826</v>
      </c>
      <c r="F28" s="265"/>
    </row>
    <row r="29" spans="1:6">
      <c r="A29" s="265"/>
      <c r="B29" s="265"/>
      <c r="C29" s="266">
        <v>41285</v>
      </c>
      <c r="D29" s="267">
        <v>3750</v>
      </c>
      <c r="E29" s="265" t="s">
        <v>3826</v>
      </c>
      <c r="F29" s="265"/>
    </row>
    <row r="30" spans="1:6">
      <c r="A30" s="265"/>
      <c r="B30" s="265"/>
      <c r="C30" s="266">
        <v>41285</v>
      </c>
      <c r="D30" s="267">
        <v>750</v>
      </c>
      <c r="E30" s="265" t="s">
        <v>3826</v>
      </c>
      <c r="F30" s="265"/>
    </row>
    <row r="31" spans="1:6">
      <c r="A31" s="265">
        <v>10</v>
      </c>
      <c r="B31" s="265" t="s">
        <v>3274</v>
      </c>
      <c r="C31" s="266">
        <v>41285</v>
      </c>
      <c r="D31" s="267">
        <v>2065</v>
      </c>
      <c r="E31" s="265" t="s">
        <v>3684</v>
      </c>
      <c r="F31" s="265"/>
    </row>
    <row r="32" spans="1:6">
      <c r="A32" s="265"/>
      <c r="B32" s="265"/>
      <c r="C32" s="266">
        <v>41285</v>
      </c>
      <c r="D32" s="267">
        <v>1880</v>
      </c>
      <c r="E32" s="265" t="s">
        <v>3684</v>
      </c>
      <c r="F32" s="265"/>
    </row>
    <row r="33" spans="1:6">
      <c r="A33" s="265"/>
      <c r="B33" s="265"/>
      <c r="C33" s="266">
        <v>41285</v>
      </c>
      <c r="D33" s="267">
        <v>190</v>
      </c>
      <c r="E33" s="265" t="s">
        <v>3684</v>
      </c>
      <c r="F33" s="265"/>
    </row>
    <row r="34" spans="1:6">
      <c r="A34" s="265"/>
      <c r="B34" s="265"/>
      <c r="C34" s="266">
        <v>41285</v>
      </c>
      <c r="D34" s="267">
        <v>1125</v>
      </c>
      <c r="E34" s="265" t="s">
        <v>3684</v>
      </c>
      <c r="F34" s="265"/>
    </row>
    <row r="35" spans="1:6">
      <c r="A35" s="265">
        <v>11</v>
      </c>
      <c r="B35" s="265" t="s">
        <v>3275</v>
      </c>
      <c r="C35" s="266">
        <v>41283</v>
      </c>
      <c r="D35" s="267">
        <v>750</v>
      </c>
      <c r="E35" s="265" t="s">
        <v>1377</v>
      </c>
      <c r="F35" s="265"/>
    </row>
    <row r="36" spans="1:6">
      <c r="A36" s="265"/>
      <c r="B36" s="265"/>
      <c r="C36" s="266">
        <v>41283</v>
      </c>
      <c r="D36" s="267">
        <v>1500</v>
      </c>
      <c r="E36" s="265" t="s">
        <v>1377</v>
      </c>
      <c r="F36" s="265"/>
    </row>
    <row r="37" spans="1:6">
      <c r="A37" s="265"/>
      <c r="B37" s="265"/>
      <c r="C37" s="266">
        <v>41283</v>
      </c>
      <c r="D37" s="267">
        <v>1125</v>
      </c>
      <c r="E37" s="265" t="s">
        <v>1377</v>
      </c>
      <c r="F37" s="265"/>
    </row>
    <row r="38" spans="1:6">
      <c r="A38" s="265"/>
      <c r="B38" s="265"/>
      <c r="C38" s="266">
        <v>41283</v>
      </c>
      <c r="D38" s="267">
        <v>1875</v>
      </c>
      <c r="E38" s="265" t="s">
        <v>1377</v>
      </c>
      <c r="F38" s="265"/>
    </row>
    <row r="39" spans="1:6">
      <c r="A39" s="265"/>
      <c r="B39" s="265"/>
      <c r="C39" s="266">
        <v>41283</v>
      </c>
      <c r="D39" s="267">
        <v>750</v>
      </c>
      <c r="E39" s="265" t="s">
        <v>1377</v>
      </c>
      <c r="F39" s="265"/>
    </row>
    <row r="40" spans="1:6">
      <c r="A40" s="265"/>
      <c r="B40" s="265"/>
      <c r="C40" s="266">
        <v>41283</v>
      </c>
      <c r="D40" s="267">
        <v>750</v>
      </c>
      <c r="E40" s="265" t="s">
        <v>1377</v>
      </c>
      <c r="F40" s="265"/>
    </row>
    <row r="41" spans="1:6">
      <c r="A41" s="265"/>
      <c r="B41" s="265"/>
      <c r="C41" s="266">
        <v>41283</v>
      </c>
      <c r="D41" s="267">
        <v>375</v>
      </c>
      <c r="E41" s="265" t="s">
        <v>1377</v>
      </c>
      <c r="F41" s="265"/>
    </row>
    <row r="42" spans="1:6">
      <c r="A42" s="265"/>
      <c r="B42" s="265"/>
      <c r="C42" s="266">
        <v>41283</v>
      </c>
      <c r="D42" s="267">
        <v>1125</v>
      </c>
      <c r="E42" s="265" t="s">
        <v>1377</v>
      </c>
      <c r="F42" s="265"/>
    </row>
    <row r="43" spans="1:6">
      <c r="A43" s="265"/>
      <c r="B43" s="265"/>
      <c r="C43" s="266">
        <v>41293</v>
      </c>
      <c r="D43" s="267">
        <v>750</v>
      </c>
      <c r="E43" s="265" t="s">
        <v>3671</v>
      </c>
      <c r="F43" s="265"/>
    </row>
    <row r="44" spans="1:6">
      <c r="A44" s="265"/>
      <c r="B44" s="265"/>
      <c r="C44" s="266">
        <v>41293</v>
      </c>
      <c r="D44" s="267">
        <v>1500</v>
      </c>
      <c r="E44" s="265" t="s">
        <v>3671</v>
      </c>
      <c r="F44" s="265"/>
    </row>
    <row r="45" spans="1:6">
      <c r="A45" s="265"/>
      <c r="B45" s="265"/>
      <c r="C45" s="266">
        <v>41293</v>
      </c>
      <c r="D45" s="267">
        <v>1125</v>
      </c>
      <c r="E45" s="265" t="s">
        <v>3671</v>
      </c>
      <c r="F45" s="265"/>
    </row>
    <row r="46" spans="1:6">
      <c r="A46" s="265"/>
      <c r="B46" s="265"/>
      <c r="C46" s="266">
        <v>41293</v>
      </c>
      <c r="D46" s="267">
        <v>1875</v>
      </c>
      <c r="E46" s="265" t="s">
        <v>3671</v>
      </c>
      <c r="F46" s="265"/>
    </row>
    <row r="47" spans="1:6">
      <c r="A47" s="265"/>
      <c r="B47" s="265"/>
      <c r="C47" s="266">
        <v>41293</v>
      </c>
      <c r="D47" s="267">
        <v>750</v>
      </c>
      <c r="E47" s="265" t="s">
        <v>3671</v>
      </c>
      <c r="F47" s="265"/>
    </row>
    <row r="48" spans="1:6">
      <c r="A48" s="265"/>
      <c r="B48" s="265"/>
      <c r="C48" s="266">
        <v>41293</v>
      </c>
      <c r="D48" s="267">
        <v>750</v>
      </c>
      <c r="E48" s="265" t="s">
        <v>3671</v>
      </c>
      <c r="F48" s="265"/>
    </row>
    <row r="49" spans="1:6">
      <c r="A49" s="265"/>
      <c r="B49" s="265"/>
      <c r="C49" s="266">
        <v>41293</v>
      </c>
      <c r="D49" s="267">
        <v>375</v>
      </c>
      <c r="E49" s="265" t="s">
        <v>3671</v>
      </c>
      <c r="F49" s="265"/>
    </row>
    <row r="50" spans="1:6">
      <c r="A50" s="265"/>
      <c r="B50" s="265"/>
      <c r="C50" s="266">
        <v>41293</v>
      </c>
      <c r="D50" s="267">
        <v>1125</v>
      </c>
      <c r="E50" s="265" t="s">
        <v>3671</v>
      </c>
      <c r="F50" s="265"/>
    </row>
    <row r="51" spans="1:6">
      <c r="A51" s="265">
        <v>13</v>
      </c>
      <c r="B51" s="265" t="s">
        <v>3276</v>
      </c>
      <c r="C51" s="266">
        <v>41284</v>
      </c>
      <c r="D51" s="267">
        <v>375</v>
      </c>
      <c r="E51" s="265" t="s">
        <v>3824</v>
      </c>
      <c r="F51" s="265"/>
    </row>
    <row r="52" spans="1:6">
      <c r="A52" s="265"/>
      <c r="B52" s="265"/>
      <c r="C52" s="266">
        <v>41285</v>
      </c>
      <c r="D52" s="267">
        <v>190</v>
      </c>
      <c r="E52" s="265" t="s">
        <v>3828</v>
      </c>
      <c r="F52" s="265"/>
    </row>
    <row r="53" spans="1:6">
      <c r="A53" s="265"/>
      <c r="B53" s="265"/>
      <c r="C53" s="266">
        <v>41285</v>
      </c>
      <c r="D53" s="267">
        <v>375</v>
      </c>
      <c r="E53" s="265" t="s">
        <v>3828</v>
      </c>
      <c r="F53" s="265"/>
    </row>
    <row r="54" spans="1:6">
      <c r="A54" s="265"/>
      <c r="B54" s="265"/>
      <c r="C54" s="266">
        <v>41285</v>
      </c>
      <c r="D54" s="267">
        <v>750</v>
      </c>
      <c r="E54" s="265" t="s">
        <v>3828</v>
      </c>
      <c r="F54" s="265"/>
    </row>
    <row r="55" spans="1:6">
      <c r="A55" s="265"/>
      <c r="B55" s="265"/>
      <c r="C55" s="266">
        <v>41285</v>
      </c>
      <c r="D55" s="267">
        <v>375</v>
      </c>
      <c r="E55" s="265" t="s">
        <v>3828</v>
      </c>
      <c r="F55" s="265"/>
    </row>
    <row r="56" spans="1:6">
      <c r="A56" s="265"/>
      <c r="B56" s="265"/>
      <c r="C56" s="266">
        <v>41285</v>
      </c>
      <c r="D56" s="267">
        <v>2625</v>
      </c>
      <c r="E56" s="265" t="s">
        <v>3828</v>
      </c>
      <c r="F56" s="265"/>
    </row>
    <row r="57" spans="1:6">
      <c r="A57" s="265"/>
      <c r="B57" s="265"/>
      <c r="C57" s="266">
        <v>41285</v>
      </c>
      <c r="D57" s="267">
        <v>375</v>
      </c>
      <c r="E57" s="265" t="s">
        <v>3828</v>
      </c>
      <c r="F57" s="265"/>
    </row>
    <row r="58" spans="1:6">
      <c r="A58" s="265">
        <v>15</v>
      </c>
      <c r="B58" s="265" t="s">
        <v>3277</v>
      </c>
      <c r="C58" s="266">
        <v>41291</v>
      </c>
      <c r="D58" s="267">
        <v>375</v>
      </c>
      <c r="E58" s="265" t="s">
        <v>3668</v>
      </c>
      <c r="F58" s="265"/>
    </row>
    <row r="59" spans="1:6">
      <c r="A59" s="265"/>
      <c r="B59" s="265"/>
      <c r="C59" s="266">
        <v>41295</v>
      </c>
      <c r="D59" s="267">
        <v>1875</v>
      </c>
      <c r="E59" s="265" t="s">
        <v>3672</v>
      </c>
      <c r="F59" s="265"/>
    </row>
    <row r="60" spans="1:6">
      <c r="A60" s="265">
        <v>16</v>
      </c>
      <c r="B60" s="265" t="s">
        <v>3278</v>
      </c>
      <c r="C60" s="266">
        <v>41285</v>
      </c>
      <c r="D60" s="267">
        <v>1125</v>
      </c>
      <c r="E60" s="265" t="s">
        <v>3684</v>
      </c>
      <c r="F60" s="265"/>
    </row>
    <row r="61" spans="1:6">
      <c r="A61" s="265"/>
      <c r="B61" s="265"/>
      <c r="C61" s="266">
        <v>41285</v>
      </c>
      <c r="D61" s="267">
        <v>1500</v>
      </c>
      <c r="E61" s="265" t="s">
        <v>3684</v>
      </c>
      <c r="F61" s="265"/>
    </row>
    <row r="62" spans="1:6">
      <c r="A62" s="265">
        <v>17</v>
      </c>
      <c r="B62" s="265" t="s">
        <v>3279</v>
      </c>
      <c r="C62" s="266">
        <v>41284</v>
      </c>
      <c r="D62" s="267">
        <v>10125</v>
      </c>
      <c r="E62" s="265" t="s">
        <v>3683</v>
      </c>
      <c r="F62" s="265"/>
    </row>
    <row r="63" spans="1:6">
      <c r="A63" s="265">
        <v>18</v>
      </c>
      <c r="B63" s="265" t="s">
        <v>3280</v>
      </c>
      <c r="C63" s="266">
        <v>41285</v>
      </c>
      <c r="D63" s="267">
        <v>3750</v>
      </c>
      <c r="E63" s="265" t="s">
        <v>1362</v>
      </c>
      <c r="F63" s="265" t="s">
        <v>2470</v>
      </c>
    </row>
    <row r="64" spans="1:6">
      <c r="A64" s="265"/>
      <c r="B64" s="265"/>
      <c r="C64" s="266">
        <v>41285</v>
      </c>
      <c r="D64" s="267">
        <v>750</v>
      </c>
      <c r="E64" s="265" t="s">
        <v>3826</v>
      </c>
      <c r="F64" s="265"/>
    </row>
    <row r="65" spans="1:6">
      <c r="A65" s="265"/>
      <c r="B65" s="265"/>
      <c r="C65" s="266">
        <v>41285</v>
      </c>
      <c r="D65" s="267">
        <v>1125</v>
      </c>
      <c r="E65" s="265" t="s">
        <v>3826</v>
      </c>
      <c r="F65" s="265"/>
    </row>
    <row r="66" spans="1:6">
      <c r="A66" s="265"/>
      <c r="B66" s="265"/>
      <c r="C66" s="266">
        <v>41285</v>
      </c>
      <c r="D66" s="267">
        <v>1875</v>
      </c>
      <c r="E66" s="265" t="s">
        <v>3826</v>
      </c>
      <c r="F66" s="265"/>
    </row>
    <row r="67" spans="1:6">
      <c r="A67" s="265"/>
      <c r="B67" s="265"/>
      <c r="C67" s="266">
        <v>41290</v>
      </c>
      <c r="D67" s="267">
        <v>2250</v>
      </c>
      <c r="E67" s="265" t="s">
        <v>3666</v>
      </c>
      <c r="F67" s="265"/>
    </row>
    <row r="68" spans="1:6">
      <c r="A68" s="265"/>
      <c r="B68" s="265"/>
      <c r="C68" s="266">
        <v>41290</v>
      </c>
      <c r="D68" s="267">
        <v>3375</v>
      </c>
      <c r="E68" s="265" t="s">
        <v>3666</v>
      </c>
      <c r="F68" s="265"/>
    </row>
    <row r="69" spans="1:6">
      <c r="A69" s="265"/>
      <c r="B69" s="265"/>
      <c r="C69" s="266">
        <v>41290</v>
      </c>
      <c r="D69" s="267">
        <v>3375</v>
      </c>
      <c r="E69" s="265" t="s">
        <v>3667</v>
      </c>
      <c r="F69" s="265"/>
    </row>
    <row r="70" spans="1:6">
      <c r="A70" s="265"/>
      <c r="B70" s="265"/>
      <c r="C70" s="266">
        <v>41290</v>
      </c>
      <c r="D70" s="267">
        <v>5625</v>
      </c>
      <c r="E70" s="265" t="s">
        <v>3667</v>
      </c>
      <c r="F70" s="265"/>
    </row>
    <row r="71" spans="1:6">
      <c r="A71" s="265">
        <v>19</v>
      </c>
      <c r="B71" s="265" t="s">
        <v>3281</v>
      </c>
      <c r="C71" s="266">
        <v>41285</v>
      </c>
      <c r="D71" s="267">
        <v>375</v>
      </c>
      <c r="E71" s="265" t="s">
        <v>3829</v>
      </c>
      <c r="F71" s="265"/>
    </row>
    <row r="72" spans="1:6">
      <c r="A72" s="265"/>
      <c r="B72" s="265"/>
      <c r="C72" s="266">
        <v>41285</v>
      </c>
      <c r="D72" s="267">
        <v>750</v>
      </c>
      <c r="E72" s="265" t="s">
        <v>3829</v>
      </c>
      <c r="F72" s="265"/>
    </row>
    <row r="73" spans="1:6">
      <c r="A73" s="265"/>
      <c r="B73" s="265"/>
      <c r="C73" s="266">
        <v>41285</v>
      </c>
      <c r="D73" s="267">
        <v>3375</v>
      </c>
      <c r="E73" s="265" t="s">
        <v>3829</v>
      </c>
      <c r="F73" s="265"/>
    </row>
    <row r="74" spans="1:6">
      <c r="A74" s="265">
        <v>20</v>
      </c>
      <c r="B74" s="265" t="s">
        <v>3282</v>
      </c>
      <c r="C74" s="266">
        <v>41285</v>
      </c>
      <c r="D74" s="267">
        <v>1875</v>
      </c>
      <c r="E74" s="265" t="s">
        <v>3826</v>
      </c>
      <c r="F74" s="265"/>
    </row>
    <row r="75" spans="1:6">
      <c r="A75" s="265"/>
      <c r="B75" s="265"/>
      <c r="C75" s="266">
        <v>41285</v>
      </c>
      <c r="D75" s="267">
        <v>940</v>
      </c>
      <c r="E75" s="265" t="s">
        <v>3826</v>
      </c>
      <c r="F75" s="265"/>
    </row>
    <row r="76" spans="1:6">
      <c r="A76" s="265"/>
      <c r="B76" s="265"/>
      <c r="C76" s="266">
        <v>41285</v>
      </c>
      <c r="D76" s="267">
        <v>1125</v>
      </c>
      <c r="E76" s="265" t="s">
        <v>3826</v>
      </c>
      <c r="F76" s="265"/>
    </row>
    <row r="77" spans="1:6">
      <c r="A77" s="265">
        <v>21</v>
      </c>
      <c r="B77" s="265" t="s">
        <v>3283</v>
      </c>
      <c r="C77" s="266">
        <v>41285</v>
      </c>
      <c r="D77" s="267">
        <v>750</v>
      </c>
      <c r="E77" s="265" t="s">
        <v>3684</v>
      </c>
      <c r="F77" s="265"/>
    </row>
    <row r="78" spans="1:6">
      <c r="A78" s="265"/>
      <c r="B78" s="265"/>
      <c r="C78" s="266">
        <v>41285</v>
      </c>
      <c r="D78" s="267">
        <v>750</v>
      </c>
      <c r="E78" s="265" t="s">
        <v>3684</v>
      </c>
      <c r="F78" s="265"/>
    </row>
    <row r="79" spans="1:6">
      <c r="A79" s="265"/>
      <c r="B79" s="265"/>
      <c r="C79" s="266">
        <v>41285</v>
      </c>
      <c r="D79" s="267">
        <v>3000</v>
      </c>
      <c r="E79" s="265" t="s">
        <v>3684</v>
      </c>
      <c r="F79" s="265"/>
    </row>
    <row r="80" spans="1:6">
      <c r="A80" s="265">
        <v>22</v>
      </c>
      <c r="B80" s="265" t="s">
        <v>3284</v>
      </c>
      <c r="C80" s="266">
        <v>41284</v>
      </c>
      <c r="D80" s="267">
        <v>375</v>
      </c>
      <c r="E80" s="265" t="s">
        <v>3825</v>
      </c>
      <c r="F80" s="265"/>
    </row>
    <row r="81" spans="1:6">
      <c r="A81" s="265"/>
      <c r="B81" s="265"/>
      <c r="C81" s="266">
        <v>41286</v>
      </c>
      <c r="D81" s="267">
        <v>3750</v>
      </c>
      <c r="E81" s="265" t="s">
        <v>3685</v>
      </c>
      <c r="F81" s="265"/>
    </row>
    <row r="82" spans="1:6">
      <c r="A82" s="265"/>
      <c r="B82" s="265"/>
      <c r="C82" s="266">
        <v>41289</v>
      </c>
      <c r="D82" s="267">
        <v>1125</v>
      </c>
      <c r="E82" s="265" t="s">
        <v>3664</v>
      </c>
      <c r="F82" s="265"/>
    </row>
    <row r="83" spans="1:6">
      <c r="A83" s="265"/>
      <c r="B83" s="265"/>
      <c r="C83" s="266">
        <v>41289</v>
      </c>
      <c r="D83" s="267">
        <v>375</v>
      </c>
      <c r="E83" s="265" t="s">
        <v>3664</v>
      </c>
      <c r="F83" s="265"/>
    </row>
    <row r="84" spans="1:6">
      <c r="A84" s="265"/>
      <c r="B84" s="265"/>
      <c r="C84" s="266">
        <v>41291</v>
      </c>
      <c r="D84" s="267">
        <v>375</v>
      </c>
      <c r="E84" s="265" t="s">
        <v>3668</v>
      </c>
      <c r="F84" s="265"/>
    </row>
    <row r="85" spans="1:6">
      <c r="A85" s="265"/>
      <c r="B85" s="265"/>
      <c r="C85" s="266">
        <v>41291</v>
      </c>
      <c r="D85" s="267">
        <v>750</v>
      </c>
      <c r="E85" s="265" t="s">
        <v>3668</v>
      </c>
      <c r="F85" s="265"/>
    </row>
    <row r="86" spans="1:6">
      <c r="A86" s="265">
        <v>23</v>
      </c>
      <c r="B86" s="265" t="s">
        <v>3285</v>
      </c>
      <c r="C86" s="266">
        <v>41285</v>
      </c>
      <c r="D86" s="267">
        <v>9000</v>
      </c>
      <c r="E86" s="265" t="s">
        <v>3684</v>
      </c>
      <c r="F86" s="265"/>
    </row>
    <row r="87" spans="1:6">
      <c r="A87" s="265"/>
      <c r="B87" s="265"/>
      <c r="C87" s="266">
        <v>41285</v>
      </c>
      <c r="D87" s="267">
        <v>750</v>
      </c>
      <c r="E87" s="265" t="s">
        <v>3684</v>
      </c>
      <c r="F87" s="265"/>
    </row>
    <row r="88" spans="1:6">
      <c r="A88" s="265"/>
      <c r="B88" s="265"/>
      <c r="C88" s="266">
        <v>41285</v>
      </c>
      <c r="D88" s="267">
        <v>375</v>
      </c>
      <c r="E88" s="265" t="s">
        <v>3684</v>
      </c>
      <c r="F88" s="265"/>
    </row>
    <row r="89" spans="1:6">
      <c r="A89" s="265">
        <v>24</v>
      </c>
      <c r="B89" s="265" t="s">
        <v>3286</v>
      </c>
      <c r="C89" s="266">
        <v>41283</v>
      </c>
      <c r="D89" s="267">
        <v>1875</v>
      </c>
      <c r="E89" s="265" t="s">
        <v>1378</v>
      </c>
      <c r="F89" s="265"/>
    </row>
    <row r="90" spans="1:6">
      <c r="A90" s="265"/>
      <c r="B90" s="265"/>
      <c r="C90" s="266">
        <v>41285</v>
      </c>
      <c r="D90" s="267">
        <v>1690</v>
      </c>
      <c r="E90" s="265" t="s">
        <v>3827</v>
      </c>
      <c r="F90" s="265"/>
    </row>
    <row r="91" spans="1:6">
      <c r="A91" s="265"/>
      <c r="B91" s="265"/>
      <c r="C91" s="266">
        <v>41286</v>
      </c>
      <c r="D91" s="267">
        <v>375</v>
      </c>
      <c r="E91" s="265" t="s">
        <v>3830</v>
      </c>
      <c r="F91" s="265"/>
    </row>
    <row r="92" spans="1:6">
      <c r="A92" s="265"/>
      <c r="B92" s="265"/>
      <c r="C92" s="266">
        <v>41288</v>
      </c>
      <c r="D92" s="267">
        <v>375</v>
      </c>
      <c r="E92" s="265" t="s">
        <v>3662</v>
      </c>
      <c r="F92" s="265"/>
    </row>
    <row r="93" spans="1:6">
      <c r="A93" s="265"/>
      <c r="B93" s="265"/>
      <c r="C93" s="266">
        <v>41291</v>
      </c>
      <c r="D93" s="267">
        <v>375</v>
      </c>
      <c r="E93" s="265" t="s">
        <v>3668</v>
      </c>
      <c r="F93" s="265"/>
    </row>
    <row r="94" spans="1:6">
      <c r="A94" s="265"/>
      <c r="B94" s="265"/>
      <c r="C94" s="266">
        <v>41292</v>
      </c>
      <c r="D94" s="267">
        <v>375</v>
      </c>
      <c r="E94" s="265" t="s">
        <v>3670</v>
      </c>
      <c r="F94" s="265"/>
    </row>
    <row r="95" spans="1:6">
      <c r="A95" s="265"/>
      <c r="B95" s="265"/>
      <c r="C95" s="266">
        <v>41292</v>
      </c>
      <c r="D95" s="267">
        <v>375</v>
      </c>
      <c r="E95" s="265" t="s">
        <v>3670</v>
      </c>
      <c r="F95" s="265"/>
    </row>
    <row r="96" spans="1:6">
      <c r="A96" s="265"/>
      <c r="B96" s="265"/>
      <c r="C96" s="266">
        <v>41292</v>
      </c>
      <c r="D96" s="267">
        <v>1875</v>
      </c>
      <c r="E96" s="265" t="s">
        <v>3670</v>
      </c>
      <c r="F96" s="265"/>
    </row>
    <row r="97" spans="1:6">
      <c r="A97" s="265"/>
      <c r="B97" s="265"/>
      <c r="C97" s="266">
        <v>41292</v>
      </c>
      <c r="D97" s="267">
        <v>190</v>
      </c>
      <c r="E97" s="265" t="s">
        <v>3670</v>
      </c>
      <c r="F97" s="265"/>
    </row>
    <row r="98" spans="1:6">
      <c r="A98" s="265"/>
      <c r="B98" s="265"/>
      <c r="C98" s="266">
        <v>41293</v>
      </c>
      <c r="D98" s="267">
        <v>1875</v>
      </c>
      <c r="E98" s="265" t="s">
        <v>3671</v>
      </c>
      <c r="F98" s="265"/>
    </row>
    <row r="99" spans="1:6">
      <c r="A99" s="265"/>
      <c r="B99" s="265"/>
      <c r="C99" s="266">
        <v>41295</v>
      </c>
      <c r="D99" s="267">
        <v>190</v>
      </c>
      <c r="E99" s="265" t="s">
        <v>3673</v>
      </c>
      <c r="F99" s="265"/>
    </row>
    <row r="100" spans="1:6">
      <c r="A100" s="265"/>
      <c r="B100" s="265"/>
      <c r="C100" s="266">
        <v>41295</v>
      </c>
      <c r="D100" s="267">
        <v>375</v>
      </c>
      <c r="E100" s="265" t="s">
        <v>3673</v>
      </c>
      <c r="F100" s="265"/>
    </row>
    <row r="101" spans="1:6">
      <c r="A101" s="265">
        <v>25</v>
      </c>
      <c r="B101" s="265" t="s">
        <v>3287</v>
      </c>
      <c r="C101" s="266">
        <v>41285</v>
      </c>
      <c r="D101" s="267">
        <v>375</v>
      </c>
      <c r="E101" s="265" t="s">
        <v>3826</v>
      </c>
      <c r="F101" s="265"/>
    </row>
    <row r="102" spans="1:6">
      <c r="A102" s="265"/>
      <c r="B102" s="265"/>
      <c r="C102" s="266">
        <v>41285</v>
      </c>
      <c r="D102" s="267">
        <v>375</v>
      </c>
      <c r="E102" s="265" t="s">
        <v>3826</v>
      </c>
      <c r="F102" s="265"/>
    </row>
    <row r="103" spans="1:6">
      <c r="A103" s="265"/>
      <c r="B103" s="265"/>
      <c r="C103" s="266">
        <v>41285</v>
      </c>
      <c r="D103" s="267">
        <v>1500</v>
      </c>
      <c r="E103" s="265" t="s">
        <v>3826</v>
      </c>
      <c r="F103" s="265"/>
    </row>
    <row r="104" spans="1:6">
      <c r="A104" s="265"/>
      <c r="B104" s="265"/>
      <c r="C104" s="266">
        <v>41285</v>
      </c>
      <c r="D104" s="267">
        <v>4125</v>
      </c>
      <c r="E104" s="265" t="s">
        <v>3826</v>
      </c>
      <c r="F104" s="265"/>
    </row>
    <row r="105" spans="1:6">
      <c r="A105" s="265">
        <v>27</v>
      </c>
      <c r="B105" s="265" t="s">
        <v>3288</v>
      </c>
      <c r="C105" s="266">
        <v>41283</v>
      </c>
      <c r="D105" s="267">
        <v>3000</v>
      </c>
      <c r="E105" s="265" t="s">
        <v>3682</v>
      </c>
      <c r="F105" s="265"/>
    </row>
    <row r="106" spans="1:6">
      <c r="A106" s="265"/>
      <c r="B106" s="265"/>
      <c r="C106" s="266">
        <v>41283</v>
      </c>
      <c r="D106" s="267">
        <v>190</v>
      </c>
      <c r="E106" s="265" t="s">
        <v>3682</v>
      </c>
      <c r="F106" s="265"/>
    </row>
    <row r="107" spans="1:6">
      <c r="A107" s="265"/>
      <c r="B107" s="265"/>
      <c r="C107" s="266">
        <v>41296</v>
      </c>
      <c r="D107" s="267">
        <v>190</v>
      </c>
      <c r="E107" s="265" t="s">
        <v>3692</v>
      </c>
      <c r="F107" s="265"/>
    </row>
    <row r="108" spans="1:6">
      <c r="A108" s="265"/>
      <c r="B108" s="265"/>
      <c r="C108" s="266">
        <v>41296</v>
      </c>
      <c r="D108" s="267">
        <v>3000</v>
      </c>
      <c r="E108" s="265" t="s">
        <v>3692</v>
      </c>
      <c r="F108" s="265"/>
    </row>
    <row r="109" spans="1:6">
      <c r="A109" s="265">
        <v>28</v>
      </c>
      <c r="B109" s="265" t="s">
        <v>475</v>
      </c>
      <c r="C109" s="266">
        <v>41285</v>
      </c>
      <c r="D109" s="267">
        <v>1500</v>
      </c>
      <c r="E109" s="265" t="s">
        <v>3684</v>
      </c>
      <c r="F109" s="265"/>
    </row>
    <row r="110" spans="1:6">
      <c r="A110" s="265"/>
      <c r="B110" s="265"/>
      <c r="C110" s="266">
        <v>41285</v>
      </c>
      <c r="D110" s="267">
        <v>3375</v>
      </c>
      <c r="E110" s="265" t="s">
        <v>3684</v>
      </c>
      <c r="F110" s="265"/>
    </row>
    <row r="111" spans="1:6">
      <c r="A111" s="265">
        <v>30</v>
      </c>
      <c r="B111" s="265" t="s">
        <v>3289</v>
      </c>
      <c r="C111" s="266">
        <v>41285</v>
      </c>
      <c r="D111" s="267">
        <v>565</v>
      </c>
      <c r="E111" s="265" t="s">
        <v>3828</v>
      </c>
      <c r="F111" s="265"/>
    </row>
    <row r="112" spans="1:6">
      <c r="A112" s="265"/>
      <c r="B112" s="265"/>
      <c r="C112" s="266">
        <v>41285</v>
      </c>
      <c r="D112" s="267">
        <v>750</v>
      </c>
      <c r="E112" s="265" t="s">
        <v>3828</v>
      </c>
      <c r="F112" s="265"/>
    </row>
    <row r="113" spans="1:6">
      <c r="A113" s="265"/>
      <c r="B113" s="265"/>
      <c r="C113" s="266">
        <v>41285</v>
      </c>
      <c r="D113" s="267">
        <v>375</v>
      </c>
      <c r="E113" s="265" t="s">
        <v>3828</v>
      </c>
      <c r="F113" s="265"/>
    </row>
    <row r="114" spans="1:6">
      <c r="A114" s="265"/>
      <c r="B114" s="265"/>
      <c r="C114" s="266">
        <v>41285</v>
      </c>
      <c r="D114" s="267">
        <v>1500</v>
      </c>
      <c r="E114" s="265" t="s">
        <v>3828</v>
      </c>
      <c r="F114" s="265"/>
    </row>
    <row r="115" spans="1:6">
      <c r="A115" s="265">
        <v>31</v>
      </c>
      <c r="B115" s="265" t="s">
        <v>3290</v>
      </c>
      <c r="C115" s="266">
        <v>41285</v>
      </c>
      <c r="D115" s="267">
        <v>1130</v>
      </c>
      <c r="E115" s="265" t="s">
        <v>3828</v>
      </c>
      <c r="F115" s="265"/>
    </row>
    <row r="116" spans="1:6">
      <c r="A116" s="265"/>
      <c r="B116" s="265"/>
      <c r="C116" s="266">
        <v>41285</v>
      </c>
      <c r="D116" s="267">
        <v>1500</v>
      </c>
      <c r="E116" s="265" t="s">
        <v>3828</v>
      </c>
      <c r="F116" s="265"/>
    </row>
    <row r="117" spans="1:6">
      <c r="A117" s="265"/>
      <c r="B117" s="265"/>
      <c r="C117" s="266">
        <v>41285</v>
      </c>
      <c r="D117" s="267">
        <v>2250</v>
      </c>
      <c r="E117" s="265" t="s">
        <v>3828</v>
      </c>
      <c r="F117" s="265"/>
    </row>
    <row r="118" spans="1:6">
      <c r="A118" s="265">
        <v>32</v>
      </c>
      <c r="B118" s="265" t="s">
        <v>3291</v>
      </c>
      <c r="C118" s="266">
        <v>41283</v>
      </c>
      <c r="D118" s="267">
        <v>375</v>
      </c>
      <c r="E118" s="265" t="s">
        <v>3682</v>
      </c>
      <c r="F118" s="265"/>
    </row>
    <row r="119" spans="1:6">
      <c r="A119" s="265"/>
      <c r="B119" s="265"/>
      <c r="C119" s="266">
        <v>41290</v>
      </c>
      <c r="D119" s="267">
        <v>1125</v>
      </c>
      <c r="E119" s="265" t="s">
        <v>3688</v>
      </c>
      <c r="F119" s="265"/>
    </row>
    <row r="120" spans="1:6">
      <c r="A120" s="265"/>
      <c r="B120" s="265"/>
      <c r="C120" s="266">
        <v>41290</v>
      </c>
      <c r="D120" s="267">
        <v>4875</v>
      </c>
      <c r="E120" s="265" t="s">
        <v>3688</v>
      </c>
      <c r="F120" s="265"/>
    </row>
    <row r="121" spans="1:6">
      <c r="A121" s="265">
        <v>33</v>
      </c>
      <c r="B121" s="265" t="s">
        <v>3292</v>
      </c>
      <c r="C121" s="266">
        <v>41286</v>
      </c>
      <c r="D121" s="267">
        <v>2250</v>
      </c>
      <c r="E121" s="265" t="s">
        <v>3830</v>
      </c>
      <c r="F121" s="265"/>
    </row>
    <row r="122" spans="1:6">
      <c r="A122" s="265"/>
      <c r="B122" s="265"/>
      <c r="C122" s="266">
        <v>41286</v>
      </c>
      <c r="D122" s="267">
        <v>3375</v>
      </c>
      <c r="E122" s="265" t="s">
        <v>3830</v>
      </c>
      <c r="F122" s="265"/>
    </row>
    <row r="123" spans="1:6">
      <c r="A123" s="265"/>
      <c r="B123" s="265"/>
      <c r="C123" s="266">
        <v>41286</v>
      </c>
      <c r="D123" s="267">
        <v>3000</v>
      </c>
      <c r="E123" s="265" t="s">
        <v>3830</v>
      </c>
      <c r="F123" s="265"/>
    </row>
    <row r="124" spans="1:6">
      <c r="A124" s="265">
        <v>34</v>
      </c>
      <c r="B124" s="265" t="s">
        <v>3293</v>
      </c>
      <c r="C124" s="266">
        <v>41284</v>
      </c>
      <c r="D124" s="267">
        <v>940</v>
      </c>
      <c r="E124" s="265" t="s">
        <v>3824</v>
      </c>
      <c r="F124" s="265"/>
    </row>
    <row r="125" spans="1:6">
      <c r="A125" s="265"/>
      <c r="B125" s="265"/>
      <c r="C125" s="266">
        <v>41285</v>
      </c>
      <c r="D125" s="267">
        <v>940</v>
      </c>
      <c r="E125" s="265" t="s">
        <v>3827</v>
      </c>
      <c r="F125" s="265"/>
    </row>
    <row r="126" spans="1:6">
      <c r="A126" s="265"/>
      <c r="B126" s="265"/>
      <c r="C126" s="266">
        <v>41285</v>
      </c>
      <c r="D126" s="267">
        <v>1500</v>
      </c>
      <c r="E126" s="265" t="s">
        <v>3828</v>
      </c>
      <c r="F126" s="265"/>
    </row>
    <row r="127" spans="1:6">
      <c r="A127" s="265"/>
      <c r="B127" s="265"/>
      <c r="C127" s="266">
        <v>41285</v>
      </c>
      <c r="D127" s="267">
        <v>380</v>
      </c>
      <c r="E127" s="265" t="s">
        <v>3828</v>
      </c>
      <c r="F127" s="265"/>
    </row>
    <row r="128" spans="1:6">
      <c r="A128" s="265"/>
      <c r="B128" s="265"/>
      <c r="C128" s="266">
        <v>41285</v>
      </c>
      <c r="D128" s="267">
        <v>750</v>
      </c>
      <c r="E128" s="265" t="s">
        <v>3829</v>
      </c>
      <c r="F128" s="265"/>
    </row>
    <row r="129" spans="1:6">
      <c r="A129" s="265">
        <v>35</v>
      </c>
      <c r="B129" s="265" t="s">
        <v>3294</v>
      </c>
      <c r="C129" s="266">
        <v>41284</v>
      </c>
      <c r="D129" s="267">
        <v>3190</v>
      </c>
      <c r="E129" s="265" t="s">
        <v>3824</v>
      </c>
      <c r="F129" s="265"/>
    </row>
    <row r="130" spans="1:6">
      <c r="A130" s="265"/>
      <c r="B130" s="265"/>
      <c r="C130" s="266">
        <v>41284</v>
      </c>
      <c r="D130" s="267">
        <v>750</v>
      </c>
      <c r="E130" s="265" t="s">
        <v>3824</v>
      </c>
      <c r="F130" s="265"/>
    </row>
    <row r="131" spans="1:6">
      <c r="A131" s="265"/>
      <c r="B131" s="265"/>
      <c r="C131" s="266">
        <v>41288</v>
      </c>
      <c r="D131" s="267">
        <v>1125</v>
      </c>
      <c r="E131" s="265" t="s">
        <v>3662</v>
      </c>
      <c r="F131" s="265"/>
    </row>
    <row r="132" spans="1:6">
      <c r="A132" s="265"/>
      <c r="B132" s="265"/>
      <c r="C132" s="266">
        <v>41288</v>
      </c>
      <c r="D132" s="267">
        <v>375</v>
      </c>
      <c r="E132" s="265" t="s">
        <v>3662</v>
      </c>
      <c r="F132" s="265"/>
    </row>
    <row r="133" spans="1:6">
      <c r="A133" s="265"/>
      <c r="B133" s="265"/>
      <c r="C133" s="266">
        <v>41291</v>
      </c>
      <c r="D133" s="267">
        <v>375</v>
      </c>
      <c r="E133" s="265" t="s">
        <v>3668</v>
      </c>
      <c r="F133" s="265"/>
    </row>
    <row r="134" spans="1:6">
      <c r="A134" s="265">
        <v>39</v>
      </c>
      <c r="B134" s="265" t="s">
        <v>3295</v>
      </c>
      <c r="C134" s="266">
        <v>41285</v>
      </c>
      <c r="D134" s="267">
        <v>3750</v>
      </c>
      <c r="E134" s="265" t="s">
        <v>3828</v>
      </c>
      <c r="F134" s="265"/>
    </row>
    <row r="135" spans="1:6">
      <c r="A135" s="265">
        <v>40</v>
      </c>
      <c r="B135" s="265" t="s">
        <v>3296</v>
      </c>
      <c r="C135" s="266">
        <v>41285</v>
      </c>
      <c r="D135" s="267">
        <v>4500</v>
      </c>
      <c r="E135" s="265" t="s">
        <v>3829</v>
      </c>
      <c r="F135" s="265"/>
    </row>
    <row r="136" spans="1:6">
      <c r="A136" s="265">
        <v>41</v>
      </c>
      <c r="B136" s="265" t="s">
        <v>3297</v>
      </c>
      <c r="C136" s="266">
        <v>41282</v>
      </c>
      <c r="D136" s="267">
        <v>940</v>
      </c>
      <c r="E136" s="265" t="s">
        <v>1375</v>
      </c>
      <c r="F136" s="265"/>
    </row>
    <row r="137" spans="1:6">
      <c r="A137" s="265"/>
      <c r="B137" s="265"/>
      <c r="C137" s="266">
        <v>41282</v>
      </c>
      <c r="D137" s="267">
        <v>375</v>
      </c>
      <c r="E137" s="265" t="s">
        <v>1375</v>
      </c>
      <c r="F137" s="265"/>
    </row>
    <row r="138" spans="1:6">
      <c r="A138" s="265"/>
      <c r="B138" s="265"/>
      <c r="C138" s="266">
        <v>41283</v>
      </c>
      <c r="D138" s="267">
        <v>375</v>
      </c>
      <c r="E138" s="265" t="s">
        <v>1377</v>
      </c>
      <c r="F138" s="265"/>
    </row>
    <row r="139" spans="1:6">
      <c r="A139" s="265"/>
      <c r="B139" s="265"/>
      <c r="C139" s="266">
        <v>41284</v>
      </c>
      <c r="D139" s="267">
        <v>1125</v>
      </c>
      <c r="E139" s="265" t="s">
        <v>3824</v>
      </c>
      <c r="F139" s="265"/>
    </row>
    <row r="140" spans="1:6">
      <c r="A140" s="265"/>
      <c r="B140" s="265"/>
      <c r="C140" s="266">
        <v>41286</v>
      </c>
      <c r="D140" s="267">
        <v>375</v>
      </c>
      <c r="E140" s="265" t="s">
        <v>3830</v>
      </c>
      <c r="F140" s="265"/>
    </row>
    <row r="141" spans="1:6">
      <c r="A141" s="265"/>
      <c r="B141" s="265"/>
      <c r="C141" s="266">
        <v>41286</v>
      </c>
      <c r="D141" s="267">
        <v>190</v>
      </c>
      <c r="E141" s="265" t="s">
        <v>3830</v>
      </c>
      <c r="F141" s="265"/>
    </row>
    <row r="142" spans="1:6">
      <c r="A142" s="265"/>
      <c r="B142" s="265"/>
      <c r="C142" s="266">
        <v>41288</v>
      </c>
      <c r="D142" s="267">
        <v>190</v>
      </c>
      <c r="E142" s="265" t="s">
        <v>3662</v>
      </c>
      <c r="F142" s="265"/>
    </row>
    <row r="143" spans="1:6">
      <c r="A143" s="265"/>
      <c r="B143" s="265"/>
      <c r="C143" s="266">
        <v>41291</v>
      </c>
      <c r="D143" s="267">
        <v>1875</v>
      </c>
      <c r="E143" s="265" t="s">
        <v>3668</v>
      </c>
      <c r="F143" s="265"/>
    </row>
    <row r="144" spans="1:6">
      <c r="A144" s="265"/>
      <c r="B144" s="265"/>
      <c r="C144" s="266">
        <v>41295</v>
      </c>
      <c r="D144" s="267">
        <v>190</v>
      </c>
      <c r="E144" s="265" t="s">
        <v>3673</v>
      </c>
      <c r="F144" s="265"/>
    </row>
    <row r="145" spans="1:6">
      <c r="A145" s="265"/>
      <c r="B145" s="265"/>
      <c r="C145" s="266">
        <v>41295</v>
      </c>
      <c r="D145" s="267">
        <v>1125</v>
      </c>
      <c r="E145" s="265" t="s">
        <v>3673</v>
      </c>
      <c r="F145" s="265"/>
    </row>
    <row r="146" spans="1:6">
      <c r="A146" s="265"/>
      <c r="B146" s="265"/>
      <c r="C146" s="266">
        <v>41296</v>
      </c>
      <c r="D146" s="267">
        <v>375</v>
      </c>
      <c r="E146" s="265" t="s">
        <v>3674</v>
      </c>
      <c r="F146" s="265"/>
    </row>
    <row r="147" spans="1:6">
      <c r="A147" s="265">
        <v>43</v>
      </c>
      <c r="B147" s="265" t="s">
        <v>3298</v>
      </c>
      <c r="C147" s="266">
        <v>41288</v>
      </c>
      <c r="D147" s="267">
        <v>2250</v>
      </c>
      <c r="E147" s="265" t="s">
        <v>3662</v>
      </c>
      <c r="F147" s="265"/>
    </row>
    <row r="148" spans="1:6">
      <c r="A148" s="265">
        <v>44</v>
      </c>
      <c r="B148" s="265" t="s">
        <v>3299</v>
      </c>
      <c r="C148" s="266">
        <v>41288</v>
      </c>
      <c r="D148" s="267">
        <v>1125</v>
      </c>
      <c r="E148" s="265" t="s">
        <v>3686</v>
      </c>
      <c r="F148" s="265"/>
    </row>
    <row r="149" spans="1:6">
      <c r="A149" s="265"/>
      <c r="B149" s="265"/>
      <c r="C149" s="266">
        <v>41288</v>
      </c>
      <c r="D149" s="267">
        <v>190</v>
      </c>
      <c r="E149" s="265" t="s">
        <v>3686</v>
      </c>
      <c r="F149" s="265"/>
    </row>
    <row r="150" spans="1:6">
      <c r="A150" s="265"/>
      <c r="B150" s="265"/>
      <c r="C150" s="266">
        <v>41288</v>
      </c>
      <c r="D150" s="267">
        <v>190</v>
      </c>
      <c r="E150" s="265" t="s">
        <v>3686</v>
      </c>
      <c r="F150" s="265"/>
    </row>
    <row r="151" spans="1:6">
      <c r="A151" s="265"/>
      <c r="B151" s="265"/>
      <c r="C151" s="266">
        <v>41290</v>
      </c>
      <c r="D151" s="267">
        <v>375</v>
      </c>
      <c r="E151" s="265" t="s">
        <v>3688</v>
      </c>
      <c r="F151" s="265"/>
    </row>
    <row r="152" spans="1:6">
      <c r="A152" s="265"/>
      <c r="B152" s="265"/>
      <c r="C152" s="266">
        <v>41290</v>
      </c>
      <c r="D152" s="267">
        <v>190</v>
      </c>
      <c r="E152" s="265" t="s">
        <v>3688</v>
      </c>
      <c r="F152" s="265"/>
    </row>
    <row r="153" spans="1:6">
      <c r="A153" s="265">
        <v>45</v>
      </c>
      <c r="B153" s="265" t="s">
        <v>3300</v>
      </c>
      <c r="C153" s="266">
        <v>41286</v>
      </c>
      <c r="D153" s="267">
        <v>2820</v>
      </c>
      <c r="E153" s="265" t="s">
        <v>3830</v>
      </c>
      <c r="F153" s="265"/>
    </row>
    <row r="154" spans="1:6">
      <c r="A154" s="265"/>
      <c r="B154" s="265"/>
      <c r="C154" s="266">
        <v>41286</v>
      </c>
      <c r="D154" s="267">
        <v>2250</v>
      </c>
      <c r="E154" s="265" t="s">
        <v>3830</v>
      </c>
      <c r="F154" s="265"/>
    </row>
    <row r="155" spans="1:6">
      <c r="A155" s="265">
        <v>46</v>
      </c>
      <c r="B155" s="265" t="s">
        <v>3301</v>
      </c>
      <c r="C155" s="266">
        <v>41292</v>
      </c>
      <c r="D155" s="267">
        <v>940</v>
      </c>
      <c r="E155" s="265" t="s">
        <v>3670</v>
      </c>
      <c r="F155" s="265"/>
    </row>
    <row r="156" spans="1:6">
      <c r="A156" s="265"/>
      <c r="B156" s="265"/>
      <c r="C156" s="266">
        <v>41292</v>
      </c>
      <c r="D156" s="267">
        <v>750</v>
      </c>
      <c r="E156" s="265" t="s">
        <v>3670</v>
      </c>
      <c r="F156" s="265"/>
    </row>
    <row r="157" spans="1:6">
      <c r="A157" s="265">
        <v>47</v>
      </c>
      <c r="B157" s="265" t="s">
        <v>3302</v>
      </c>
      <c r="C157" s="266">
        <v>41285</v>
      </c>
      <c r="D157" s="267">
        <v>1875</v>
      </c>
      <c r="E157" s="265" t="s">
        <v>3829</v>
      </c>
      <c r="F157" s="265"/>
    </row>
    <row r="158" spans="1:6">
      <c r="A158" s="265"/>
      <c r="B158" s="265"/>
      <c r="C158" s="266">
        <v>41285</v>
      </c>
      <c r="D158" s="267">
        <v>375</v>
      </c>
      <c r="E158" s="265" t="s">
        <v>3829</v>
      </c>
      <c r="F158" s="265"/>
    </row>
    <row r="159" spans="1:6">
      <c r="A159" s="265"/>
      <c r="B159" s="265"/>
      <c r="C159" s="266">
        <v>41292</v>
      </c>
      <c r="D159" s="267">
        <v>750</v>
      </c>
      <c r="E159" s="265" t="s">
        <v>3670</v>
      </c>
      <c r="F159" s="265"/>
    </row>
    <row r="160" spans="1:6">
      <c r="A160" s="265"/>
      <c r="B160" s="265"/>
      <c r="C160" s="266">
        <v>41292</v>
      </c>
      <c r="D160" s="267">
        <v>3750</v>
      </c>
      <c r="E160" s="265" t="s">
        <v>3670</v>
      </c>
      <c r="F160" s="265"/>
    </row>
    <row r="161" spans="1:6">
      <c r="A161" s="265"/>
      <c r="B161" s="265"/>
      <c r="C161" s="266">
        <v>41292</v>
      </c>
      <c r="D161" s="267">
        <v>2250</v>
      </c>
      <c r="E161" s="265" t="s">
        <v>3670</v>
      </c>
      <c r="F161" s="265"/>
    </row>
    <row r="162" spans="1:6">
      <c r="A162" s="265">
        <v>48</v>
      </c>
      <c r="B162" s="265" t="s">
        <v>3303</v>
      </c>
      <c r="C162" s="266">
        <v>41285</v>
      </c>
      <c r="D162" s="267">
        <v>1315</v>
      </c>
      <c r="E162" s="265" t="s">
        <v>3826</v>
      </c>
      <c r="F162" s="265"/>
    </row>
    <row r="163" spans="1:6">
      <c r="A163" s="265"/>
      <c r="B163" s="265"/>
      <c r="C163" s="266">
        <v>41285</v>
      </c>
      <c r="D163" s="267">
        <v>1125</v>
      </c>
      <c r="E163" s="265" t="s">
        <v>3826</v>
      </c>
      <c r="F163" s="265"/>
    </row>
    <row r="164" spans="1:6">
      <c r="A164" s="265"/>
      <c r="B164" s="265"/>
      <c r="C164" s="266">
        <v>41285</v>
      </c>
      <c r="D164" s="267">
        <v>1125</v>
      </c>
      <c r="E164" s="265" t="s">
        <v>3826</v>
      </c>
      <c r="F164" s="265"/>
    </row>
    <row r="165" spans="1:6">
      <c r="A165" s="265">
        <v>49</v>
      </c>
      <c r="B165" s="265" t="s">
        <v>3304</v>
      </c>
      <c r="C165" s="266">
        <v>41286</v>
      </c>
      <c r="D165" s="267">
        <v>565</v>
      </c>
      <c r="E165" s="265" t="s">
        <v>3830</v>
      </c>
      <c r="F165" s="265"/>
    </row>
    <row r="166" spans="1:6">
      <c r="A166" s="265">
        <v>50</v>
      </c>
      <c r="B166" s="265" t="s">
        <v>3780</v>
      </c>
      <c r="C166" s="266">
        <v>41289</v>
      </c>
      <c r="D166" s="267">
        <v>1200</v>
      </c>
      <c r="E166" s="265" t="s">
        <v>3665</v>
      </c>
      <c r="F166" s="265"/>
    </row>
    <row r="167" spans="1:6">
      <c r="A167" s="265">
        <v>51</v>
      </c>
      <c r="B167" s="265" t="s">
        <v>1190</v>
      </c>
      <c r="C167" s="266">
        <v>41282</v>
      </c>
      <c r="D167" s="267">
        <v>2260</v>
      </c>
      <c r="E167" s="265" t="s">
        <v>1375</v>
      </c>
      <c r="F167" s="265"/>
    </row>
    <row r="168" spans="1:6">
      <c r="A168" s="265"/>
      <c r="B168" s="265"/>
      <c r="C168" s="266">
        <v>41282</v>
      </c>
      <c r="D168" s="267">
        <v>6000</v>
      </c>
      <c r="E168" s="265" t="s">
        <v>1375</v>
      </c>
      <c r="F168" s="265"/>
    </row>
    <row r="169" spans="1:6">
      <c r="A169" s="265">
        <v>52</v>
      </c>
      <c r="B169" s="265" t="s">
        <v>3305</v>
      </c>
      <c r="C169" s="266">
        <v>41288</v>
      </c>
      <c r="D169" s="267">
        <v>565</v>
      </c>
      <c r="E169" s="265" t="s">
        <v>3662</v>
      </c>
      <c r="F169" s="265"/>
    </row>
    <row r="170" spans="1:6">
      <c r="A170" s="265"/>
      <c r="B170" s="265"/>
      <c r="C170" s="266">
        <v>41290</v>
      </c>
      <c r="D170" s="267">
        <v>750</v>
      </c>
      <c r="E170" s="265" t="s">
        <v>3666</v>
      </c>
      <c r="F170" s="265"/>
    </row>
    <row r="171" spans="1:6">
      <c r="A171" s="265"/>
      <c r="B171" s="265"/>
      <c r="C171" s="266">
        <v>41290</v>
      </c>
      <c r="D171" s="267">
        <v>1315</v>
      </c>
      <c r="E171" s="265" t="s">
        <v>3666</v>
      </c>
      <c r="F171" s="265"/>
    </row>
    <row r="172" spans="1:6">
      <c r="A172" s="265"/>
      <c r="B172" s="265"/>
      <c r="C172" s="266">
        <v>41293</v>
      </c>
      <c r="D172" s="267">
        <v>375</v>
      </c>
      <c r="E172" s="265" t="s">
        <v>3671</v>
      </c>
      <c r="F172" s="265"/>
    </row>
    <row r="173" spans="1:6">
      <c r="A173" s="265">
        <v>53</v>
      </c>
      <c r="B173" s="265" t="s">
        <v>3770</v>
      </c>
      <c r="C173" s="266">
        <v>41285</v>
      </c>
      <c r="D173" s="267">
        <v>750</v>
      </c>
      <c r="E173" s="265" t="s">
        <v>3827</v>
      </c>
      <c r="F173" s="265"/>
    </row>
    <row r="174" spans="1:6">
      <c r="A174" s="265"/>
      <c r="B174" s="265"/>
      <c r="C174" s="266">
        <v>41285</v>
      </c>
      <c r="D174" s="267">
        <v>190</v>
      </c>
      <c r="E174" s="265" t="s">
        <v>3827</v>
      </c>
      <c r="F174" s="265"/>
    </row>
    <row r="175" spans="1:6">
      <c r="A175" s="265"/>
      <c r="B175" s="265"/>
      <c r="C175" s="266">
        <v>41285</v>
      </c>
      <c r="D175" s="267">
        <v>190</v>
      </c>
      <c r="E175" s="265" t="s">
        <v>3827</v>
      </c>
      <c r="F175" s="265"/>
    </row>
    <row r="176" spans="1:6">
      <c r="A176" s="265">
        <v>54</v>
      </c>
      <c r="B176" s="265" t="s">
        <v>3306</v>
      </c>
      <c r="C176" s="266">
        <v>41288</v>
      </c>
      <c r="D176" s="267">
        <v>1875</v>
      </c>
      <c r="E176" s="265" t="s">
        <v>3663</v>
      </c>
      <c r="F176" s="265"/>
    </row>
    <row r="177" spans="1:6">
      <c r="A177" s="265">
        <v>55</v>
      </c>
      <c r="B177" s="265" t="s">
        <v>3769</v>
      </c>
      <c r="C177" s="266">
        <v>41285</v>
      </c>
      <c r="D177" s="267">
        <v>375</v>
      </c>
      <c r="E177" s="265" t="s">
        <v>3827</v>
      </c>
      <c r="F177" s="265"/>
    </row>
    <row r="178" spans="1:6">
      <c r="A178" s="265"/>
      <c r="B178" s="265"/>
      <c r="C178" s="266">
        <v>41285</v>
      </c>
      <c r="D178" s="267">
        <v>750</v>
      </c>
      <c r="E178" s="265" t="s">
        <v>3827</v>
      </c>
      <c r="F178" s="265"/>
    </row>
    <row r="179" spans="1:6">
      <c r="A179" s="265"/>
      <c r="B179" s="265"/>
      <c r="C179" s="266">
        <v>41285</v>
      </c>
      <c r="D179" s="267">
        <v>375</v>
      </c>
      <c r="E179" s="265" t="s">
        <v>3827</v>
      </c>
      <c r="F179" s="265"/>
    </row>
    <row r="180" spans="1:6">
      <c r="A180" s="265">
        <v>56</v>
      </c>
      <c r="B180" s="265" t="s">
        <v>3307</v>
      </c>
      <c r="C180" s="266">
        <v>41282</v>
      </c>
      <c r="D180" s="267">
        <v>375</v>
      </c>
      <c r="E180" s="265" t="s">
        <v>1376</v>
      </c>
      <c r="F180" s="265"/>
    </row>
    <row r="181" spans="1:6">
      <c r="A181" s="265"/>
      <c r="B181" s="265"/>
      <c r="C181" s="266">
        <v>41288</v>
      </c>
      <c r="D181" s="267">
        <v>375</v>
      </c>
      <c r="E181" s="265" t="s">
        <v>3662</v>
      </c>
      <c r="F181" s="265"/>
    </row>
    <row r="182" spans="1:6">
      <c r="A182" s="265"/>
      <c r="B182" s="265"/>
      <c r="C182" s="266">
        <v>41288</v>
      </c>
      <c r="D182" s="267">
        <v>190</v>
      </c>
      <c r="E182" s="265" t="s">
        <v>3662</v>
      </c>
      <c r="F182" s="265"/>
    </row>
    <row r="183" spans="1:6">
      <c r="A183" s="265"/>
      <c r="B183" s="265"/>
      <c r="C183" s="266">
        <v>41291</v>
      </c>
      <c r="D183" s="267">
        <v>375</v>
      </c>
      <c r="E183" s="265" t="s">
        <v>3669</v>
      </c>
      <c r="F183" s="265"/>
    </row>
    <row r="184" spans="1:6">
      <c r="A184" s="265">
        <v>57</v>
      </c>
      <c r="B184" s="265" t="s">
        <v>3308</v>
      </c>
      <c r="C184" s="266">
        <v>41283</v>
      </c>
      <c r="D184" s="267">
        <v>750</v>
      </c>
      <c r="E184" s="265" t="s">
        <v>1378</v>
      </c>
      <c r="F184" s="265"/>
    </row>
    <row r="185" spans="1:6">
      <c r="A185" s="265"/>
      <c r="B185" s="265"/>
      <c r="C185" s="266">
        <v>41295</v>
      </c>
      <c r="D185" s="267">
        <v>1125</v>
      </c>
      <c r="E185" s="265" t="s">
        <v>3672</v>
      </c>
      <c r="F185" s="265"/>
    </row>
    <row r="186" spans="1:6">
      <c r="A186" s="265">
        <v>58</v>
      </c>
      <c r="B186" s="265" t="s">
        <v>3309</v>
      </c>
      <c r="C186" s="266">
        <v>41284</v>
      </c>
      <c r="D186" s="267">
        <v>2250</v>
      </c>
      <c r="E186" s="265" t="s">
        <v>3824</v>
      </c>
      <c r="F186" s="265"/>
    </row>
    <row r="187" spans="1:6">
      <c r="A187" s="265"/>
      <c r="B187" s="265"/>
      <c r="C187" s="266">
        <v>41290</v>
      </c>
      <c r="D187" s="267">
        <v>2250</v>
      </c>
      <c r="E187" s="265" t="s">
        <v>3666</v>
      </c>
      <c r="F187" s="265"/>
    </row>
    <row r="188" spans="1:6">
      <c r="A188" s="265">
        <v>59</v>
      </c>
      <c r="B188" s="265" t="s">
        <v>3310</v>
      </c>
      <c r="C188" s="266">
        <v>41284</v>
      </c>
      <c r="D188" s="267">
        <v>375</v>
      </c>
      <c r="E188" s="265" t="s">
        <v>3824</v>
      </c>
      <c r="F188" s="265"/>
    </row>
    <row r="189" spans="1:6">
      <c r="A189" s="265"/>
      <c r="B189" s="265"/>
      <c r="C189" s="266">
        <v>41290</v>
      </c>
      <c r="D189" s="267">
        <v>2250</v>
      </c>
      <c r="E189" s="265" t="s">
        <v>3667</v>
      </c>
      <c r="F189" s="265"/>
    </row>
    <row r="190" spans="1:6">
      <c r="A190" s="265"/>
      <c r="B190" s="265"/>
      <c r="C190" s="266">
        <v>41293</v>
      </c>
      <c r="D190" s="267">
        <v>1500</v>
      </c>
      <c r="E190" s="265" t="s">
        <v>3671</v>
      </c>
      <c r="F190" s="265"/>
    </row>
    <row r="191" spans="1:6">
      <c r="A191" s="265">
        <v>60</v>
      </c>
      <c r="B191" s="265" t="s">
        <v>3311</v>
      </c>
      <c r="C191" s="266">
        <v>41283</v>
      </c>
      <c r="D191" s="267">
        <v>750</v>
      </c>
      <c r="E191" s="265" t="s">
        <v>1378</v>
      </c>
      <c r="F191" s="265"/>
    </row>
    <row r="192" spans="1:6">
      <c r="A192" s="265"/>
      <c r="B192" s="265"/>
      <c r="C192" s="266">
        <v>41288</v>
      </c>
      <c r="D192" s="267">
        <v>175</v>
      </c>
      <c r="E192" s="265" t="s">
        <v>3663</v>
      </c>
      <c r="F192" s="265"/>
    </row>
    <row r="193" spans="1:6">
      <c r="A193" s="265"/>
      <c r="B193" s="265"/>
      <c r="C193" s="266">
        <v>41289</v>
      </c>
      <c r="D193" s="267">
        <v>1125</v>
      </c>
      <c r="E193" s="265" t="s">
        <v>3664</v>
      </c>
      <c r="F193" s="265"/>
    </row>
    <row r="194" spans="1:6">
      <c r="A194" s="265"/>
      <c r="B194" s="265"/>
      <c r="C194" s="266">
        <v>41295</v>
      </c>
      <c r="D194" s="267">
        <v>175</v>
      </c>
      <c r="E194" s="265" t="s">
        <v>3673</v>
      </c>
      <c r="F194" s="265"/>
    </row>
    <row r="195" spans="1:6">
      <c r="A195" s="265">
        <v>61</v>
      </c>
      <c r="B195" s="265" t="s">
        <v>3551</v>
      </c>
      <c r="C195" s="266">
        <v>41283</v>
      </c>
      <c r="D195" s="267">
        <v>175</v>
      </c>
      <c r="E195" s="265" t="s">
        <v>1377</v>
      </c>
      <c r="F195" s="265"/>
    </row>
    <row r="196" spans="1:6">
      <c r="A196" s="265"/>
      <c r="B196" s="265"/>
      <c r="C196" s="266">
        <v>41291</v>
      </c>
      <c r="D196" s="267">
        <v>175</v>
      </c>
      <c r="E196" s="265" t="s">
        <v>3668</v>
      </c>
      <c r="F196" s="265"/>
    </row>
    <row r="197" spans="1:6">
      <c r="A197" s="265"/>
      <c r="B197" s="265"/>
      <c r="C197" s="266">
        <v>41291</v>
      </c>
      <c r="D197" s="267">
        <v>375</v>
      </c>
      <c r="E197" s="265" t="s">
        <v>3668</v>
      </c>
      <c r="F197" s="265"/>
    </row>
    <row r="198" spans="1:6">
      <c r="A198" s="265">
        <v>62</v>
      </c>
      <c r="B198" s="265" t="s">
        <v>3759</v>
      </c>
      <c r="C198" s="266">
        <v>41284</v>
      </c>
      <c r="D198" s="267">
        <v>375</v>
      </c>
      <c r="E198" s="265" t="s">
        <v>3825</v>
      </c>
      <c r="F198" s="265"/>
    </row>
    <row r="199" spans="1:6">
      <c r="A199" s="265"/>
      <c r="B199" s="265"/>
      <c r="C199" s="266">
        <v>41284</v>
      </c>
      <c r="D199" s="267">
        <v>190</v>
      </c>
      <c r="E199" s="265" t="s">
        <v>3825</v>
      </c>
      <c r="F199" s="265"/>
    </row>
    <row r="200" spans="1:6">
      <c r="A200" s="265"/>
      <c r="B200" s="265"/>
      <c r="C200" s="266">
        <v>41284</v>
      </c>
      <c r="D200" s="267">
        <v>375</v>
      </c>
      <c r="E200" s="265" t="s">
        <v>3825</v>
      </c>
      <c r="F200" s="265"/>
    </row>
    <row r="201" spans="1:6">
      <c r="A201" s="265">
        <v>63</v>
      </c>
      <c r="B201" s="265" t="s">
        <v>3312</v>
      </c>
      <c r="C201" s="266">
        <v>41293</v>
      </c>
      <c r="D201" s="267">
        <v>375</v>
      </c>
      <c r="E201" s="265" t="s">
        <v>3671</v>
      </c>
      <c r="F201" s="265"/>
    </row>
    <row r="202" spans="1:6">
      <c r="A202" s="265"/>
      <c r="B202" s="265"/>
      <c r="C202" s="266">
        <v>41295</v>
      </c>
      <c r="D202" s="267">
        <v>3000</v>
      </c>
      <c r="E202" s="265" t="s">
        <v>3672</v>
      </c>
      <c r="F202" s="265"/>
    </row>
    <row r="203" spans="1:6">
      <c r="A203" s="265">
        <v>64</v>
      </c>
      <c r="B203" s="265" t="s">
        <v>3313</v>
      </c>
      <c r="C203" s="266">
        <v>41295</v>
      </c>
      <c r="D203" s="267">
        <v>375</v>
      </c>
      <c r="E203" s="265" t="s">
        <v>3672</v>
      </c>
      <c r="F203" s="265"/>
    </row>
    <row r="204" spans="1:6">
      <c r="A204" s="265"/>
      <c r="B204" s="265"/>
      <c r="C204" s="266">
        <v>41296</v>
      </c>
      <c r="D204" s="267">
        <v>190</v>
      </c>
      <c r="E204" s="265" t="s">
        <v>3674</v>
      </c>
      <c r="F204" s="265"/>
    </row>
    <row r="205" spans="1:6">
      <c r="A205" s="265">
        <v>65</v>
      </c>
      <c r="B205" s="265" t="s">
        <v>3314</v>
      </c>
      <c r="C205" s="266">
        <v>41290</v>
      </c>
      <c r="D205" s="267">
        <v>175</v>
      </c>
      <c r="E205" s="265" t="s">
        <v>3667</v>
      </c>
      <c r="F205" s="265"/>
    </row>
    <row r="206" spans="1:6">
      <c r="A206" s="265">
        <v>66</v>
      </c>
      <c r="B206" s="265" t="s">
        <v>3315</v>
      </c>
      <c r="C206" s="266">
        <v>41283</v>
      </c>
      <c r="D206" s="267">
        <v>375</v>
      </c>
      <c r="E206" s="265" t="s">
        <v>1377</v>
      </c>
      <c r="F206" s="265"/>
    </row>
    <row r="207" spans="1:6">
      <c r="A207" s="265"/>
      <c r="B207" s="265"/>
      <c r="C207" s="266">
        <v>41283</v>
      </c>
      <c r="D207" s="267">
        <v>700</v>
      </c>
      <c r="E207" s="265" t="s">
        <v>1377</v>
      </c>
      <c r="F207" s="265"/>
    </row>
    <row r="208" spans="1:6">
      <c r="A208" s="265"/>
      <c r="B208" s="265"/>
      <c r="C208" s="266">
        <v>41284</v>
      </c>
      <c r="D208" s="267">
        <v>2250</v>
      </c>
      <c r="E208" s="265" t="s">
        <v>3825</v>
      </c>
      <c r="F208" s="265"/>
    </row>
    <row r="209" spans="1:6">
      <c r="A209" s="265"/>
      <c r="B209" s="265"/>
      <c r="C209" s="266">
        <v>41291</v>
      </c>
      <c r="D209" s="267">
        <v>750</v>
      </c>
      <c r="E209" s="265" t="s">
        <v>3668</v>
      </c>
      <c r="F209" s="265"/>
    </row>
    <row r="210" spans="1:6">
      <c r="A210" s="265"/>
      <c r="B210" s="265"/>
      <c r="C210" s="266">
        <v>41291</v>
      </c>
      <c r="D210" s="267">
        <v>375</v>
      </c>
      <c r="E210" s="265" t="s">
        <v>3668</v>
      </c>
      <c r="F210" s="265"/>
    </row>
    <row r="211" spans="1:6">
      <c r="A211" s="265"/>
      <c r="B211" s="265"/>
      <c r="C211" s="266">
        <v>41291</v>
      </c>
      <c r="D211" s="267">
        <v>2250</v>
      </c>
      <c r="E211" s="265" t="s">
        <v>3668</v>
      </c>
      <c r="F211" s="265"/>
    </row>
    <row r="212" spans="1:6">
      <c r="A212" s="265">
        <v>67</v>
      </c>
      <c r="B212" s="265" t="s">
        <v>3316</v>
      </c>
      <c r="C212" s="266">
        <v>41290</v>
      </c>
      <c r="D212" s="267">
        <v>190</v>
      </c>
      <c r="E212" s="265" t="s">
        <v>3666</v>
      </c>
      <c r="F212" s="265"/>
    </row>
    <row r="213" spans="1:6">
      <c r="A213" s="265"/>
      <c r="B213" s="265"/>
      <c r="C213" s="266">
        <v>41290</v>
      </c>
      <c r="D213" s="267">
        <v>190</v>
      </c>
      <c r="E213" s="265" t="s">
        <v>3666</v>
      </c>
      <c r="F213" s="265"/>
    </row>
    <row r="214" spans="1:6">
      <c r="A214" s="265"/>
      <c r="B214" s="265"/>
      <c r="C214" s="266">
        <v>41296</v>
      </c>
      <c r="D214" s="267">
        <v>375</v>
      </c>
      <c r="E214" s="265" t="s">
        <v>3674</v>
      </c>
      <c r="F214" s="265"/>
    </row>
    <row r="215" spans="1:6">
      <c r="A215" s="265"/>
      <c r="B215" s="265"/>
      <c r="C215" s="266">
        <v>41296</v>
      </c>
      <c r="D215" s="267">
        <v>190</v>
      </c>
      <c r="E215" s="265" t="s">
        <v>3674</v>
      </c>
      <c r="F215" s="265"/>
    </row>
    <row r="216" spans="1:6">
      <c r="A216" s="265"/>
      <c r="B216" s="265"/>
      <c r="C216" s="266">
        <v>41296</v>
      </c>
      <c r="D216" s="267">
        <v>190</v>
      </c>
      <c r="E216" s="265" t="s">
        <v>3674</v>
      </c>
      <c r="F216" s="265"/>
    </row>
    <row r="217" spans="1:6">
      <c r="A217" s="265">
        <v>68</v>
      </c>
      <c r="B217" s="265" t="s">
        <v>3317</v>
      </c>
      <c r="C217" s="266">
        <v>41290</v>
      </c>
      <c r="D217" s="267">
        <v>750</v>
      </c>
      <c r="E217" s="265" t="s">
        <v>3666</v>
      </c>
      <c r="F217" s="265"/>
    </row>
    <row r="218" spans="1:6">
      <c r="A218" s="265">
        <v>69</v>
      </c>
      <c r="B218" s="265" t="s">
        <v>3318</v>
      </c>
      <c r="C218" s="266">
        <v>41286</v>
      </c>
      <c r="D218" s="267">
        <v>4125</v>
      </c>
      <c r="E218" s="265" t="s">
        <v>3830</v>
      </c>
      <c r="F218" s="265"/>
    </row>
    <row r="219" spans="1:6">
      <c r="A219" s="265">
        <v>70</v>
      </c>
      <c r="B219" s="265" t="s">
        <v>3319</v>
      </c>
      <c r="C219" s="266">
        <v>41282</v>
      </c>
      <c r="D219" s="267">
        <v>565</v>
      </c>
      <c r="E219" s="265" t="s">
        <v>1375</v>
      </c>
      <c r="F219" s="265"/>
    </row>
    <row r="220" spans="1:6">
      <c r="A220" s="265"/>
      <c r="B220" s="265"/>
      <c r="C220" s="266">
        <v>41283</v>
      </c>
      <c r="D220" s="267">
        <v>375</v>
      </c>
      <c r="E220" s="265" t="s">
        <v>1378</v>
      </c>
      <c r="F220" s="265"/>
    </row>
    <row r="221" spans="1:6">
      <c r="A221" s="265"/>
      <c r="B221" s="265"/>
      <c r="C221" s="266">
        <v>41283</v>
      </c>
      <c r="D221" s="267">
        <v>190</v>
      </c>
      <c r="E221" s="265" t="s">
        <v>1378</v>
      </c>
      <c r="F221" s="265"/>
    </row>
    <row r="222" spans="1:6">
      <c r="A222" s="265"/>
      <c r="B222" s="265"/>
      <c r="C222" s="266">
        <v>41291</v>
      </c>
      <c r="D222" s="267">
        <v>190</v>
      </c>
      <c r="E222" s="265" t="s">
        <v>3668</v>
      </c>
      <c r="F222" s="265"/>
    </row>
    <row r="223" spans="1:6">
      <c r="A223" s="265"/>
      <c r="B223" s="265"/>
      <c r="C223" s="266">
        <v>41291</v>
      </c>
      <c r="D223" s="267">
        <v>190</v>
      </c>
      <c r="E223" s="265" t="s">
        <v>3668</v>
      </c>
      <c r="F223" s="265"/>
    </row>
    <row r="224" spans="1:6">
      <c r="A224" s="265"/>
      <c r="B224" s="265"/>
      <c r="C224" s="266">
        <v>41296</v>
      </c>
      <c r="D224" s="267">
        <v>565</v>
      </c>
      <c r="E224" s="265" t="s">
        <v>3674</v>
      </c>
      <c r="F224" s="265"/>
    </row>
    <row r="225" spans="1:6">
      <c r="A225" s="265"/>
      <c r="B225" s="265"/>
      <c r="C225" s="266">
        <v>41296</v>
      </c>
      <c r="D225" s="267">
        <v>375</v>
      </c>
      <c r="E225" s="265" t="s">
        <v>3674</v>
      </c>
      <c r="F225" s="265"/>
    </row>
    <row r="226" spans="1:6">
      <c r="A226" s="265">
        <v>71</v>
      </c>
      <c r="B226" s="265" t="s">
        <v>3756</v>
      </c>
      <c r="C226" s="266">
        <v>41284</v>
      </c>
      <c r="D226" s="267">
        <v>375</v>
      </c>
      <c r="E226" s="265" t="s">
        <v>3824</v>
      </c>
      <c r="F226" s="265"/>
    </row>
    <row r="227" spans="1:6">
      <c r="A227" s="265">
        <v>72</v>
      </c>
      <c r="B227" s="265" t="s">
        <v>3802</v>
      </c>
      <c r="C227" s="266">
        <v>41286</v>
      </c>
      <c r="D227" s="267">
        <v>750</v>
      </c>
      <c r="E227" s="265" t="s">
        <v>3685</v>
      </c>
      <c r="F227" s="265"/>
    </row>
    <row r="228" spans="1:6">
      <c r="A228" s="265">
        <v>73</v>
      </c>
      <c r="B228" s="265" t="s">
        <v>3320</v>
      </c>
      <c r="C228" s="266">
        <v>41282</v>
      </c>
      <c r="D228" s="267">
        <v>1500</v>
      </c>
      <c r="E228" s="265" t="s">
        <v>1376</v>
      </c>
      <c r="F228" s="265"/>
    </row>
    <row r="229" spans="1:6">
      <c r="A229" s="265"/>
      <c r="B229" s="265"/>
      <c r="C229" s="266">
        <v>41286</v>
      </c>
      <c r="D229" s="267">
        <v>1500</v>
      </c>
      <c r="E229" s="265" t="s">
        <v>3830</v>
      </c>
      <c r="F229" s="265"/>
    </row>
    <row r="230" spans="1:6">
      <c r="A230" s="265"/>
      <c r="B230" s="265"/>
      <c r="C230" s="266">
        <v>41288</v>
      </c>
      <c r="D230" s="267">
        <v>350</v>
      </c>
      <c r="E230" s="265" t="s">
        <v>3663</v>
      </c>
      <c r="F230" s="265"/>
    </row>
    <row r="231" spans="1:6">
      <c r="A231" s="265"/>
      <c r="B231" s="265"/>
      <c r="C231" s="266">
        <v>41288</v>
      </c>
      <c r="D231" s="267">
        <v>750</v>
      </c>
      <c r="E231" s="265" t="s">
        <v>3663</v>
      </c>
      <c r="F231" s="265"/>
    </row>
    <row r="232" spans="1:6">
      <c r="A232" s="265"/>
      <c r="B232" s="265"/>
      <c r="C232" s="266">
        <v>41295</v>
      </c>
      <c r="D232" s="267">
        <v>350</v>
      </c>
      <c r="E232" s="265" t="s">
        <v>3673</v>
      </c>
      <c r="F232" s="265"/>
    </row>
    <row r="233" spans="1:6">
      <c r="A233" s="265">
        <v>74</v>
      </c>
      <c r="B233" s="265" t="s">
        <v>3321</v>
      </c>
      <c r="C233" s="266">
        <v>41282</v>
      </c>
      <c r="D233" s="267">
        <v>175</v>
      </c>
      <c r="E233" s="265" t="s">
        <v>3681</v>
      </c>
      <c r="F233" s="265"/>
    </row>
    <row r="234" spans="1:6">
      <c r="A234" s="265"/>
      <c r="B234" s="265"/>
      <c r="C234" s="266">
        <v>41289</v>
      </c>
      <c r="D234" s="267">
        <v>175</v>
      </c>
      <c r="E234" s="265" t="s">
        <v>3687</v>
      </c>
      <c r="F234" s="265"/>
    </row>
    <row r="235" spans="1:6">
      <c r="A235" s="265"/>
      <c r="B235" s="265"/>
      <c r="C235" s="266">
        <v>41295</v>
      </c>
      <c r="D235" s="267">
        <v>1690</v>
      </c>
      <c r="E235" s="265" t="s">
        <v>3691</v>
      </c>
      <c r="F235" s="265"/>
    </row>
    <row r="236" spans="1:6">
      <c r="A236" s="265">
        <v>75</v>
      </c>
      <c r="B236" s="265" t="s">
        <v>1193</v>
      </c>
      <c r="C236" s="266">
        <v>41284</v>
      </c>
      <c r="D236" s="267">
        <v>750</v>
      </c>
      <c r="E236" s="265" t="s">
        <v>3824</v>
      </c>
      <c r="F236" s="265"/>
    </row>
    <row r="237" spans="1:6">
      <c r="A237" s="265">
        <v>76</v>
      </c>
      <c r="B237" s="265" t="s">
        <v>3322</v>
      </c>
      <c r="C237" s="266">
        <v>41282</v>
      </c>
      <c r="D237" s="267">
        <v>750</v>
      </c>
      <c r="E237" s="265" t="s">
        <v>1375</v>
      </c>
      <c r="F237" s="265"/>
    </row>
    <row r="238" spans="1:6">
      <c r="A238" s="265"/>
      <c r="B238" s="265"/>
      <c r="C238" s="266">
        <v>41284</v>
      </c>
      <c r="D238" s="267">
        <v>375</v>
      </c>
      <c r="E238" s="265" t="s">
        <v>3825</v>
      </c>
      <c r="F238" s="265"/>
    </row>
    <row r="239" spans="1:6">
      <c r="A239" s="265"/>
      <c r="B239" s="265"/>
      <c r="C239" s="266">
        <v>41284</v>
      </c>
      <c r="D239" s="267">
        <v>375</v>
      </c>
      <c r="E239" s="265" t="s">
        <v>3825</v>
      </c>
      <c r="F239" s="265"/>
    </row>
    <row r="240" spans="1:6">
      <c r="A240" s="265"/>
      <c r="B240" s="265"/>
      <c r="C240" s="266">
        <v>41292</v>
      </c>
      <c r="D240" s="267">
        <v>750</v>
      </c>
      <c r="E240" s="265" t="s">
        <v>3670</v>
      </c>
      <c r="F240" s="265"/>
    </row>
    <row r="241" spans="1:6">
      <c r="A241" s="265">
        <v>78</v>
      </c>
      <c r="B241" s="265" t="s">
        <v>3323</v>
      </c>
      <c r="C241" s="266">
        <v>41292</v>
      </c>
      <c r="D241" s="267">
        <v>1500</v>
      </c>
      <c r="E241" s="265" t="s">
        <v>3670</v>
      </c>
      <c r="F241" s="265"/>
    </row>
    <row r="242" spans="1:6">
      <c r="A242" s="265">
        <v>79</v>
      </c>
      <c r="B242" s="265" t="s">
        <v>3324</v>
      </c>
      <c r="C242" s="266">
        <v>41282</v>
      </c>
      <c r="D242" s="267">
        <v>190</v>
      </c>
      <c r="E242" s="265" t="s">
        <v>1375</v>
      </c>
      <c r="F242" s="265"/>
    </row>
    <row r="243" spans="1:6">
      <c r="A243" s="265"/>
      <c r="B243" s="265"/>
      <c r="C243" s="266">
        <v>41282</v>
      </c>
      <c r="D243" s="267">
        <v>190</v>
      </c>
      <c r="E243" s="265" t="s">
        <v>1375</v>
      </c>
      <c r="F243" s="265"/>
    </row>
    <row r="244" spans="1:6">
      <c r="A244" s="265"/>
      <c r="B244" s="265"/>
      <c r="C244" s="266">
        <v>41283</v>
      </c>
      <c r="D244" s="267">
        <v>190</v>
      </c>
      <c r="E244" s="265" t="s">
        <v>1377</v>
      </c>
      <c r="F244" s="265"/>
    </row>
    <row r="245" spans="1:6">
      <c r="A245" s="265"/>
      <c r="B245" s="265"/>
      <c r="C245" s="266">
        <v>41283</v>
      </c>
      <c r="D245" s="267">
        <v>190</v>
      </c>
      <c r="E245" s="265" t="s">
        <v>1377</v>
      </c>
      <c r="F245" s="265"/>
    </row>
    <row r="246" spans="1:6">
      <c r="A246" s="265"/>
      <c r="B246" s="265"/>
      <c r="C246" s="266">
        <v>41285</v>
      </c>
      <c r="D246" s="267">
        <v>190</v>
      </c>
      <c r="E246" s="265" t="s">
        <v>3827</v>
      </c>
      <c r="F246" s="265"/>
    </row>
    <row r="247" spans="1:6">
      <c r="A247" s="265"/>
      <c r="B247" s="265"/>
      <c r="C247" s="266">
        <v>41285</v>
      </c>
      <c r="D247" s="267">
        <v>190</v>
      </c>
      <c r="E247" s="265" t="s">
        <v>3827</v>
      </c>
      <c r="F247" s="265"/>
    </row>
    <row r="248" spans="1:6">
      <c r="A248" s="265"/>
      <c r="B248" s="265"/>
      <c r="C248" s="266">
        <v>41288</v>
      </c>
      <c r="D248" s="267">
        <v>375</v>
      </c>
      <c r="E248" s="265" t="s">
        <v>3663</v>
      </c>
      <c r="F248" s="265"/>
    </row>
    <row r="249" spans="1:6">
      <c r="A249" s="265"/>
      <c r="B249" s="265"/>
      <c r="C249" s="266">
        <v>41289</v>
      </c>
      <c r="D249" s="267">
        <v>375</v>
      </c>
      <c r="E249" s="265" t="s">
        <v>3664</v>
      </c>
      <c r="F249" s="265"/>
    </row>
    <row r="250" spans="1:6">
      <c r="A250" s="265"/>
      <c r="B250" s="265"/>
      <c r="C250" s="266">
        <v>41290</v>
      </c>
      <c r="D250" s="267">
        <v>375</v>
      </c>
      <c r="E250" s="265" t="s">
        <v>3667</v>
      </c>
      <c r="F250" s="265"/>
    </row>
    <row r="251" spans="1:6">
      <c r="A251" s="265"/>
      <c r="B251" s="265"/>
      <c r="C251" s="266">
        <v>41293</v>
      </c>
      <c r="D251" s="267">
        <v>190</v>
      </c>
      <c r="E251" s="265" t="s">
        <v>3671</v>
      </c>
      <c r="F251" s="265"/>
    </row>
    <row r="252" spans="1:6">
      <c r="A252" s="265"/>
      <c r="B252" s="265"/>
      <c r="C252" s="266">
        <v>41293</v>
      </c>
      <c r="D252" s="267">
        <v>190</v>
      </c>
      <c r="E252" s="265" t="s">
        <v>3671</v>
      </c>
      <c r="F252" s="265"/>
    </row>
    <row r="253" spans="1:6">
      <c r="A253" s="265"/>
      <c r="B253" s="265"/>
      <c r="C253" s="266">
        <v>41295</v>
      </c>
      <c r="D253" s="267">
        <v>190</v>
      </c>
      <c r="E253" s="265" t="s">
        <v>3673</v>
      </c>
      <c r="F253" s="265"/>
    </row>
    <row r="254" spans="1:6">
      <c r="A254" s="265">
        <v>80</v>
      </c>
      <c r="B254" s="265" t="s">
        <v>1188</v>
      </c>
      <c r="C254" s="266">
        <v>41282</v>
      </c>
      <c r="D254" s="267">
        <v>750</v>
      </c>
      <c r="E254" s="265" t="s">
        <v>1375</v>
      </c>
      <c r="F254" s="265"/>
    </row>
    <row r="255" spans="1:6">
      <c r="A255" s="265"/>
      <c r="B255" s="265"/>
      <c r="C255" s="266">
        <v>41296</v>
      </c>
      <c r="D255" s="267">
        <v>750</v>
      </c>
      <c r="E255" s="265" t="s">
        <v>3674</v>
      </c>
      <c r="F255" s="265"/>
    </row>
    <row r="256" spans="1:6">
      <c r="A256" s="265">
        <v>81</v>
      </c>
      <c r="B256" s="265" t="s">
        <v>3325</v>
      </c>
      <c r="C256" s="266">
        <v>41283</v>
      </c>
      <c r="D256" s="267">
        <v>1125</v>
      </c>
      <c r="E256" s="265" t="s">
        <v>1378</v>
      </c>
      <c r="F256" s="265"/>
    </row>
    <row r="257" spans="1:6">
      <c r="A257" s="265"/>
      <c r="B257" s="265"/>
      <c r="C257" s="266">
        <v>41284</v>
      </c>
      <c r="D257" s="267">
        <v>1125</v>
      </c>
      <c r="E257" s="265" t="s">
        <v>3825</v>
      </c>
      <c r="F257" s="265"/>
    </row>
    <row r="258" spans="1:6">
      <c r="A258" s="265"/>
      <c r="B258" s="265"/>
      <c r="C258" s="266">
        <v>41286</v>
      </c>
      <c r="D258" s="267">
        <v>1125</v>
      </c>
      <c r="E258" s="265" t="s">
        <v>3830</v>
      </c>
      <c r="F258" s="265"/>
    </row>
    <row r="259" spans="1:6">
      <c r="A259" s="265"/>
      <c r="B259" s="265"/>
      <c r="C259" s="266">
        <v>41286</v>
      </c>
      <c r="D259" s="267">
        <v>375</v>
      </c>
      <c r="E259" s="265" t="s">
        <v>3830</v>
      </c>
      <c r="F259" s="265"/>
    </row>
    <row r="260" spans="1:6">
      <c r="A260" s="265"/>
      <c r="B260" s="265"/>
      <c r="C260" s="266">
        <v>41286</v>
      </c>
      <c r="D260" s="267">
        <v>750</v>
      </c>
      <c r="E260" s="265" t="s">
        <v>3830</v>
      </c>
      <c r="F260" s="265"/>
    </row>
    <row r="261" spans="1:6">
      <c r="A261" s="265"/>
      <c r="B261" s="265"/>
      <c r="C261" s="266">
        <v>41288</v>
      </c>
      <c r="D261" s="267">
        <v>1125</v>
      </c>
      <c r="E261" s="265" t="s">
        <v>3662</v>
      </c>
      <c r="F261" s="265"/>
    </row>
    <row r="262" spans="1:6">
      <c r="A262" s="265"/>
      <c r="B262" s="265"/>
      <c r="C262" s="266">
        <v>41290</v>
      </c>
      <c r="D262" s="267">
        <v>1500</v>
      </c>
      <c r="E262" s="265" t="s">
        <v>3666</v>
      </c>
      <c r="F262" s="265"/>
    </row>
    <row r="263" spans="1:6">
      <c r="A263" s="265"/>
      <c r="B263" s="265"/>
      <c r="C263" s="266">
        <v>41290</v>
      </c>
      <c r="D263" s="267">
        <v>1125</v>
      </c>
      <c r="E263" s="265" t="s">
        <v>3666</v>
      </c>
      <c r="F263" s="265"/>
    </row>
    <row r="264" spans="1:6">
      <c r="A264" s="265"/>
      <c r="B264" s="265"/>
      <c r="C264" s="266">
        <v>41290</v>
      </c>
      <c r="D264" s="267">
        <v>375</v>
      </c>
      <c r="E264" s="265" t="s">
        <v>3666</v>
      </c>
      <c r="F264" s="265"/>
    </row>
    <row r="265" spans="1:6">
      <c r="A265" s="265"/>
      <c r="B265" s="265"/>
      <c r="C265" s="266">
        <v>41293</v>
      </c>
      <c r="D265" s="267">
        <v>565</v>
      </c>
      <c r="E265" s="265" t="s">
        <v>3671</v>
      </c>
      <c r="F265" s="265"/>
    </row>
    <row r="266" spans="1:6">
      <c r="A266" s="265"/>
      <c r="B266" s="265"/>
      <c r="C266" s="266">
        <v>41295</v>
      </c>
      <c r="D266" s="267">
        <v>1125</v>
      </c>
      <c r="E266" s="265" t="s">
        <v>3672</v>
      </c>
      <c r="F266" s="265"/>
    </row>
    <row r="267" spans="1:6">
      <c r="A267" s="265">
        <v>82</v>
      </c>
      <c r="B267" s="265" t="s">
        <v>3326</v>
      </c>
      <c r="C267" s="266">
        <v>41289</v>
      </c>
      <c r="D267" s="267">
        <v>750</v>
      </c>
      <c r="E267" s="265" t="s">
        <v>3664</v>
      </c>
      <c r="F267" s="265"/>
    </row>
    <row r="268" spans="1:6">
      <c r="A268" s="265"/>
      <c r="B268" s="265"/>
      <c r="C268" s="266">
        <v>41289</v>
      </c>
      <c r="D268" s="267">
        <v>375</v>
      </c>
      <c r="E268" s="265" t="s">
        <v>3664</v>
      </c>
      <c r="F268" s="265"/>
    </row>
    <row r="269" spans="1:6">
      <c r="A269" s="265">
        <v>83</v>
      </c>
      <c r="B269" s="265" t="s">
        <v>3327</v>
      </c>
      <c r="C269" s="266">
        <v>41292</v>
      </c>
      <c r="D269" s="267">
        <v>1125</v>
      </c>
      <c r="E269" s="265" t="s">
        <v>3690</v>
      </c>
      <c r="F269" s="265"/>
    </row>
    <row r="270" spans="1:6">
      <c r="A270" s="265">
        <v>84</v>
      </c>
      <c r="B270" s="265" t="s">
        <v>3328</v>
      </c>
      <c r="C270" s="266">
        <v>41290</v>
      </c>
      <c r="D270" s="267">
        <v>750</v>
      </c>
      <c r="E270" s="265" t="s">
        <v>3666</v>
      </c>
      <c r="F270" s="265"/>
    </row>
    <row r="271" spans="1:6">
      <c r="A271" s="265">
        <v>85</v>
      </c>
      <c r="B271" s="265" t="s">
        <v>3329</v>
      </c>
      <c r="C271" s="266">
        <v>41282</v>
      </c>
      <c r="D271" s="267">
        <v>750</v>
      </c>
      <c r="E271" s="265" t="s">
        <v>1375</v>
      </c>
      <c r="F271" s="265"/>
    </row>
    <row r="272" spans="1:6">
      <c r="A272" s="265"/>
      <c r="B272" s="265"/>
      <c r="C272" s="266">
        <v>41282</v>
      </c>
      <c r="D272" s="267">
        <v>375</v>
      </c>
      <c r="E272" s="265" t="s">
        <v>1375</v>
      </c>
      <c r="F272" s="265"/>
    </row>
    <row r="273" spans="1:6">
      <c r="A273" s="265"/>
      <c r="B273" s="265"/>
      <c r="C273" s="266">
        <v>41282</v>
      </c>
      <c r="D273" s="267">
        <v>750</v>
      </c>
      <c r="E273" s="265" t="s">
        <v>1375</v>
      </c>
      <c r="F273" s="265"/>
    </row>
    <row r="274" spans="1:6">
      <c r="A274" s="265"/>
      <c r="B274" s="265"/>
      <c r="C274" s="266">
        <v>41283</v>
      </c>
      <c r="D274" s="267">
        <v>750</v>
      </c>
      <c r="E274" s="265" t="s">
        <v>1377</v>
      </c>
      <c r="F274" s="265"/>
    </row>
    <row r="275" spans="1:6">
      <c r="A275" s="265"/>
      <c r="B275" s="265"/>
      <c r="C275" s="266">
        <v>41284</v>
      </c>
      <c r="D275" s="267">
        <v>175</v>
      </c>
      <c r="E275" s="265" t="s">
        <v>3825</v>
      </c>
      <c r="F275" s="265"/>
    </row>
    <row r="276" spans="1:6">
      <c r="A276" s="265"/>
      <c r="B276" s="265"/>
      <c r="C276" s="266">
        <v>41286</v>
      </c>
      <c r="D276" s="267">
        <v>375</v>
      </c>
      <c r="E276" s="265" t="s">
        <v>3830</v>
      </c>
      <c r="F276" s="265"/>
    </row>
    <row r="277" spans="1:6">
      <c r="A277" s="265"/>
      <c r="B277" s="265"/>
      <c r="C277" s="266">
        <v>41286</v>
      </c>
      <c r="D277" s="267">
        <v>375</v>
      </c>
      <c r="E277" s="265" t="s">
        <v>3830</v>
      </c>
      <c r="F277" s="265"/>
    </row>
    <row r="278" spans="1:6">
      <c r="A278" s="265"/>
      <c r="B278" s="265"/>
      <c r="C278" s="266">
        <v>41290</v>
      </c>
      <c r="D278" s="267">
        <v>750</v>
      </c>
      <c r="E278" s="265" t="s">
        <v>3666</v>
      </c>
      <c r="F278" s="265"/>
    </row>
    <row r="279" spans="1:6">
      <c r="A279" s="265"/>
      <c r="B279" s="265"/>
      <c r="C279" s="266">
        <v>41292</v>
      </c>
      <c r="D279" s="267">
        <v>750</v>
      </c>
      <c r="E279" s="265" t="s">
        <v>3670</v>
      </c>
      <c r="F279" s="265"/>
    </row>
    <row r="280" spans="1:6">
      <c r="A280" s="265"/>
      <c r="B280" s="265"/>
      <c r="C280" s="266">
        <v>41295</v>
      </c>
      <c r="D280" s="267">
        <v>375</v>
      </c>
      <c r="E280" s="265" t="s">
        <v>3672</v>
      </c>
      <c r="F280" s="265"/>
    </row>
    <row r="281" spans="1:6">
      <c r="A281" s="265"/>
      <c r="B281" s="265"/>
      <c r="C281" s="266">
        <v>41295</v>
      </c>
      <c r="D281" s="267">
        <v>750</v>
      </c>
      <c r="E281" s="265" t="s">
        <v>3672</v>
      </c>
      <c r="F281" s="265"/>
    </row>
    <row r="282" spans="1:6">
      <c r="A282" s="265"/>
      <c r="B282" s="265"/>
      <c r="C282" s="266">
        <v>41295</v>
      </c>
      <c r="D282" s="267">
        <v>750</v>
      </c>
      <c r="E282" s="265" t="s">
        <v>3672</v>
      </c>
      <c r="F282" s="265"/>
    </row>
    <row r="283" spans="1:6">
      <c r="A283" s="265">
        <v>87</v>
      </c>
      <c r="B283" s="265" t="s">
        <v>3330</v>
      </c>
      <c r="C283" s="266">
        <v>41292</v>
      </c>
      <c r="D283" s="267">
        <v>1125</v>
      </c>
      <c r="E283" s="265" t="s">
        <v>3690</v>
      </c>
      <c r="F283" s="265"/>
    </row>
    <row r="284" spans="1:6">
      <c r="A284" s="265">
        <v>88</v>
      </c>
      <c r="B284" s="265" t="s">
        <v>3331</v>
      </c>
      <c r="C284" s="266">
        <v>41282</v>
      </c>
      <c r="D284" s="267">
        <v>1125</v>
      </c>
      <c r="E284" s="265" t="s">
        <v>1375</v>
      </c>
      <c r="F284" s="265"/>
    </row>
    <row r="285" spans="1:6">
      <c r="A285" s="265"/>
      <c r="B285" s="265"/>
      <c r="C285" s="266">
        <v>41285</v>
      </c>
      <c r="D285" s="267">
        <v>750</v>
      </c>
      <c r="E285" s="265" t="s">
        <v>3827</v>
      </c>
      <c r="F285" s="265"/>
    </row>
    <row r="286" spans="1:6">
      <c r="A286" s="265"/>
      <c r="B286" s="265"/>
      <c r="C286" s="266">
        <v>41285</v>
      </c>
      <c r="D286" s="267">
        <v>1875</v>
      </c>
      <c r="E286" s="265" t="s">
        <v>3827</v>
      </c>
      <c r="F286" s="265"/>
    </row>
    <row r="287" spans="1:6">
      <c r="A287" s="265"/>
      <c r="B287" s="265"/>
      <c r="C287" s="266">
        <v>41288</v>
      </c>
      <c r="D287" s="267">
        <v>375</v>
      </c>
      <c r="E287" s="265" t="s">
        <v>3662</v>
      </c>
      <c r="F287" s="265"/>
    </row>
    <row r="288" spans="1:6">
      <c r="A288" s="265"/>
      <c r="B288" s="265"/>
      <c r="C288" s="266">
        <v>41288</v>
      </c>
      <c r="D288" s="267">
        <v>750</v>
      </c>
      <c r="E288" s="265" t="s">
        <v>3662</v>
      </c>
      <c r="F288" s="265"/>
    </row>
    <row r="289" spans="1:6">
      <c r="A289" s="265"/>
      <c r="B289" s="265"/>
      <c r="C289" s="266">
        <v>41290</v>
      </c>
      <c r="D289" s="267">
        <v>750</v>
      </c>
      <c r="E289" s="265" t="s">
        <v>3667</v>
      </c>
      <c r="F289" s="265"/>
    </row>
    <row r="290" spans="1:6">
      <c r="A290" s="265"/>
      <c r="B290" s="265"/>
      <c r="C290" s="266">
        <v>41295</v>
      </c>
      <c r="D290" s="267">
        <v>750</v>
      </c>
      <c r="E290" s="265" t="s">
        <v>3672</v>
      </c>
      <c r="F290" s="265"/>
    </row>
    <row r="291" spans="1:6">
      <c r="A291" s="265">
        <v>89</v>
      </c>
      <c r="B291" s="265" t="s">
        <v>3797</v>
      </c>
      <c r="C291" s="266">
        <v>41284</v>
      </c>
      <c r="D291" s="267">
        <v>5625</v>
      </c>
      <c r="E291" s="265" t="s">
        <v>3683</v>
      </c>
      <c r="F291" s="265"/>
    </row>
    <row r="292" spans="1:6">
      <c r="A292" s="265"/>
      <c r="B292" s="265"/>
      <c r="C292" s="266">
        <v>41295</v>
      </c>
      <c r="D292" s="267">
        <v>5625</v>
      </c>
      <c r="E292" s="265" t="s">
        <v>3691</v>
      </c>
      <c r="F292" s="265"/>
    </row>
    <row r="293" spans="1:6">
      <c r="A293" s="265">
        <v>90</v>
      </c>
      <c r="B293" s="265" t="s">
        <v>3332</v>
      </c>
      <c r="C293" s="266">
        <v>41288</v>
      </c>
      <c r="D293" s="267">
        <v>175</v>
      </c>
      <c r="E293" s="265" t="s">
        <v>3663</v>
      </c>
      <c r="F293" s="265"/>
    </row>
    <row r="294" spans="1:6">
      <c r="A294" s="265"/>
      <c r="B294" s="265"/>
      <c r="C294" s="266">
        <v>41295</v>
      </c>
      <c r="D294" s="267">
        <v>175</v>
      </c>
      <c r="E294" s="265" t="s">
        <v>3673</v>
      </c>
      <c r="F294" s="265"/>
    </row>
    <row r="295" spans="1:6">
      <c r="A295" s="265">
        <v>91</v>
      </c>
      <c r="B295" s="265" t="s">
        <v>3333</v>
      </c>
      <c r="C295" s="266">
        <v>41286</v>
      </c>
      <c r="D295" s="267">
        <v>375</v>
      </c>
      <c r="E295" s="265" t="s">
        <v>3830</v>
      </c>
      <c r="F295" s="265"/>
    </row>
    <row r="296" spans="1:6">
      <c r="A296" s="265"/>
      <c r="B296" s="265"/>
      <c r="C296" s="266">
        <v>41286</v>
      </c>
      <c r="D296" s="267">
        <v>375</v>
      </c>
      <c r="E296" s="265" t="s">
        <v>3830</v>
      </c>
      <c r="F296" s="265"/>
    </row>
    <row r="297" spans="1:6">
      <c r="A297" s="265"/>
      <c r="B297" s="265"/>
      <c r="C297" s="266">
        <v>41291</v>
      </c>
      <c r="D297" s="267">
        <v>1875</v>
      </c>
      <c r="E297" s="265" t="s">
        <v>3668</v>
      </c>
      <c r="F297" s="265"/>
    </row>
    <row r="298" spans="1:6">
      <c r="A298" s="265"/>
      <c r="B298" s="265"/>
      <c r="C298" s="266">
        <v>41295</v>
      </c>
      <c r="D298" s="267">
        <v>190</v>
      </c>
      <c r="E298" s="265" t="s">
        <v>3672</v>
      </c>
      <c r="F298" s="265"/>
    </row>
    <row r="299" spans="1:6">
      <c r="A299" s="265">
        <v>92</v>
      </c>
      <c r="B299" s="265" t="s">
        <v>3334</v>
      </c>
      <c r="C299" s="266">
        <v>41288</v>
      </c>
      <c r="D299" s="267">
        <v>3000</v>
      </c>
      <c r="E299" s="265" t="s">
        <v>3662</v>
      </c>
      <c r="F299" s="265"/>
    </row>
    <row r="300" spans="1:6">
      <c r="A300" s="265"/>
      <c r="B300" s="265"/>
      <c r="C300" s="266">
        <v>41288</v>
      </c>
      <c r="D300" s="267">
        <v>2250</v>
      </c>
      <c r="E300" s="265" t="s">
        <v>3662</v>
      </c>
      <c r="F300" s="265"/>
    </row>
    <row r="301" spans="1:6">
      <c r="A301" s="265"/>
      <c r="B301" s="265"/>
      <c r="C301" s="266">
        <v>41293</v>
      </c>
      <c r="D301" s="267">
        <v>3000</v>
      </c>
      <c r="E301" s="265" t="s">
        <v>3671</v>
      </c>
      <c r="F301" s="265"/>
    </row>
    <row r="302" spans="1:6">
      <c r="A302" s="265">
        <v>93</v>
      </c>
      <c r="B302" s="265" t="s">
        <v>3335</v>
      </c>
      <c r="C302" s="266">
        <v>41285</v>
      </c>
      <c r="D302" s="267">
        <v>1125</v>
      </c>
      <c r="E302" s="265" t="s">
        <v>3827</v>
      </c>
      <c r="F302" s="265"/>
    </row>
    <row r="303" spans="1:6">
      <c r="A303" s="265"/>
      <c r="B303" s="265"/>
      <c r="C303" s="266">
        <v>41292</v>
      </c>
      <c r="D303" s="267">
        <v>940</v>
      </c>
      <c r="E303" s="265" t="s">
        <v>3670</v>
      </c>
      <c r="F303" s="265"/>
    </row>
    <row r="304" spans="1:6">
      <c r="A304" s="265">
        <v>95</v>
      </c>
      <c r="B304" s="265" t="s">
        <v>3336</v>
      </c>
      <c r="C304" s="266">
        <v>41292</v>
      </c>
      <c r="D304" s="267">
        <v>4500</v>
      </c>
      <c r="E304" s="265" t="s">
        <v>3670</v>
      </c>
      <c r="F304" s="265"/>
    </row>
    <row r="305" spans="1:6">
      <c r="A305" s="265">
        <v>96</v>
      </c>
      <c r="B305" s="265" t="s">
        <v>3337</v>
      </c>
      <c r="C305" s="266">
        <v>41286</v>
      </c>
      <c r="D305" s="267">
        <v>3375</v>
      </c>
      <c r="E305" s="265" t="s">
        <v>3830</v>
      </c>
      <c r="F305" s="265"/>
    </row>
    <row r="306" spans="1:6">
      <c r="A306" s="265">
        <v>97</v>
      </c>
      <c r="B306" s="265" t="s">
        <v>3760</v>
      </c>
      <c r="C306" s="266">
        <v>41284</v>
      </c>
      <c r="D306" s="267">
        <v>3000</v>
      </c>
      <c r="E306" s="265" t="s">
        <v>3825</v>
      </c>
      <c r="F306" s="265"/>
    </row>
    <row r="307" spans="1:6">
      <c r="A307" s="265">
        <v>99</v>
      </c>
      <c r="B307" s="265" t="s">
        <v>3338</v>
      </c>
      <c r="C307" s="266">
        <v>41283</v>
      </c>
      <c r="D307" s="267">
        <v>750</v>
      </c>
      <c r="E307" s="265" t="s">
        <v>1378</v>
      </c>
      <c r="F307" s="265"/>
    </row>
    <row r="308" spans="1:6">
      <c r="A308" s="265"/>
      <c r="B308" s="265"/>
      <c r="C308" s="266">
        <v>41285</v>
      </c>
      <c r="D308" s="267">
        <v>375</v>
      </c>
      <c r="E308" s="265" t="s">
        <v>3827</v>
      </c>
      <c r="F308" s="265"/>
    </row>
    <row r="309" spans="1:6">
      <c r="A309" s="265"/>
      <c r="B309" s="265"/>
      <c r="C309" s="266">
        <v>41288</v>
      </c>
      <c r="D309" s="267">
        <v>750</v>
      </c>
      <c r="E309" s="265" t="s">
        <v>3662</v>
      </c>
      <c r="F309" s="265"/>
    </row>
    <row r="310" spans="1:6">
      <c r="A310" s="265"/>
      <c r="B310" s="265"/>
      <c r="C310" s="266">
        <v>41289</v>
      </c>
      <c r="D310" s="267">
        <v>750</v>
      </c>
      <c r="E310" s="265" t="s">
        <v>3665</v>
      </c>
      <c r="F310" s="265"/>
    </row>
    <row r="311" spans="1:6">
      <c r="A311" s="265"/>
      <c r="B311" s="265"/>
      <c r="C311" s="266">
        <v>41291</v>
      </c>
      <c r="D311" s="267">
        <v>750</v>
      </c>
      <c r="E311" s="265" t="s">
        <v>3668</v>
      </c>
      <c r="F311" s="265"/>
    </row>
    <row r="312" spans="1:6">
      <c r="A312" s="265"/>
      <c r="B312" s="265"/>
      <c r="C312" s="266">
        <v>41295</v>
      </c>
      <c r="D312" s="267">
        <v>750</v>
      </c>
      <c r="E312" s="265" t="s">
        <v>3672</v>
      </c>
      <c r="F312" s="265"/>
    </row>
    <row r="313" spans="1:6">
      <c r="A313" s="265"/>
      <c r="B313" s="265"/>
      <c r="C313" s="266">
        <v>41295</v>
      </c>
      <c r="D313" s="267">
        <v>2250</v>
      </c>
      <c r="E313" s="265" t="s">
        <v>3673</v>
      </c>
      <c r="F313" s="265"/>
    </row>
    <row r="314" spans="1:6">
      <c r="A314" s="265">
        <v>100</v>
      </c>
      <c r="B314" s="265" t="s">
        <v>3755</v>
      </c>
      <c r="C314" s="266">
        <v>41284</v>
      </c>
      <c r="D314" s="267">
        <v>1500</v>
      </c>
      <c r="E314" s="265" t="s">
        <v>3824</v>
      </c>
      <c r="F314" s="265"/>
    </row>
    <row r="315" spans="1:6">
      <c r="A315" s="265">
        <v>101</v>
      </c>
      <c r="B315" s="265" t="s">
        <v>3339</v>
      </c>
      <c r="C315" s="266">
        <v>41283</v>
      </c>
      <c r="D315" s="267">
        <v>1125</v>
      </c>
      <c r="E315" s="265" t="s">
        <v>1377</v>
      </c>
      <c r="F315" s="265"/>
    </row>
    <row r="316" spans="1:6">
      <c r="A316" s="265"/>
      <c r="B316" s="265"/>
      <c r="C316" s="266">
        <v>41283</v>
      </c>
      <c r="D316" s="267">
        <v>1125</v>
      </c>
      <c r="E316" s="265" t="s">
        <v>1377</v>
      </c>
      <c r="F316" s="265"/>
    </row>
    <row r="317" spans="1:6">
      <c r="A317" s="265"/>
      <c r="B317" s="265"/>
      <c r="C317" s="266">
        <v>41293</v>
      </c>
      <c r="D317" s="267">
        <v>1125</v>
      </c>
      <c r="E317" s="265" t="s">
        <v>3671</v>
      </c>
      <c r="F317" s="265"/>
    </row>
    <row r="318" spans="1:6">
      <c r="A318" s="265">
        <v>102</v>
      </c>
      <c r="B318" s="265" t="s">
        <v>1177</v>
      </c>
      <c r="C318" s="266">
        <v>41293</v>
      </c>
      <c r="D318" s="267">
        <v>3375</v>
      </c>
      <c r="E318" s="265" t="s">
        <v>3671</v>
      </c>
      <c r="F318" s="265"/>
    </row>
    <row r="319" spans="1:6">
      <c r="A319" s="265">
        <v>104</v>
      </c>
      <c r="B319" s="265" t="s">
        <v>3340</v>
      </c>
      <c r="C319" s="266">
        <v>41289</v>
      </c>
      <c r="D319" s="267">
        <v>1875</v>
      </c>
      <c r="E319" s="265" t="s">
        <v>3665</v>
      </c>
      <c r="F319" s="265"/>
    </row>
    <row r="320" spans="1:6">
      <c r="A320" s="265"/>
      <c r="B320" s="265"/>
      <c r="C320" s="266">
        <v>41289</v>
      </c>
      <c r="D320" s="267">
        <v>2625</v>
      </c>
      <c r="E320" s="265" t="s">
        <v>3665</v>
      </c>
      <c r="F320" s="265"/>
    </row>
    <row r="321" spans="1:6">
      <c r="A321" s="265">
        <v>106</v>
      </c>
      <c r="B321" s="265" t="s">
        <v>3341</v>
      </c>
      <c r="C321" s="266">
        <v>41295</v>
      </c>
      <c r="D321" s="267">
        <v>3000</v>
      </c>
      <c r="E321" s="265" t="s">
        <v>3672</v>
      </c>
      <c r="F321" s="265"/>
    </row>
    <row r="322" spans="1:6">
      <c r="A322" s="265"/>
      <c r="B322" s="265"/>
      <c r="C322" s="266">
        <v>41295</v>
      </c>
      <c r="D322" s="267">
        <v>2250</v>
      </c>
      <c r="E322" s="265" t="s">
        <v>3672</v>
      </c>
      <c r="F322" s="265"/>
    </row>
    <row r="323" spans="1:6">
      <c r="A323" s="265"/>
      <c r="B323" s="265"/>
      <c r="C323" s="266">
        <v>41295</v>
      </c>
      <c r="D323" s="267">
        <v>2250</v>
      </c>
      <c r="E323" s="265" t="s">
        <v>3672</v>
      </c>
      <c r="F323" s="265"/>
    </row>
    <row r="324" spans="1:6">
      <c r="A324" s="265">
        <v>107</v>
      </c>
      <c r="B324" s="265" t="s">
        <v>3771</v>
      </c>
      <c r="C324" s="266">
        <v>41285</v>
      </c>
      <c r="D324" s="267">
        <v>750</v>
      </c>
      <c r="E324" s="265" t="s">
        <v>3827</v>
      </c>
      <c r="F324" s="265"/>
    </row>
    <row r="325" spans="1:6">
      <c r="A325" s="265">
        <v>108</v>
      </c>
      <c r="B325" s="265" t="s">
        <v>3342</v>
      </c>
      <c r="C325" s="266">
        <v>41283</v>
      </c>
      <c r="D325" s="267">
        <v>750</v>
      </c>
      <c r="E325" s="265" t="s">
        <v>1377</v>
      </c>
      <c r="F325" s="265"/>
    </row>
    <row r="326" spans="1:6">
      <c r="A326" s="265"/>
      <c r="B326" s="265"/>
      <c r="C326" s="266">
        <v>41283</v>
      </c>
      <c r="D326" s="267">
        <v>1000</v>
      </c>
      <c r="E326" s="265" t="s">
        <v>1377</v>
      </c>
      <c r="F326" s="265"/>
    </row>
    <row r="327" spans="1:6">
      <c r="A327" s="265"/>
      <c r="B327" s="265"/>
      <c r="C327" s="266">
        <v>41283</v>
      </c>
      <c r="D327" s="267">
        <v>1875</v>
      </c>
      <c r="E327" s="265" t="s">
        <v>1377</v>
      </c>
      <c r="F327" s="265"/>
    </row>
    <row r="328" spans="1:6">
      <c r="A328" s="265"/>
      <c r="B328" s="265"/>
      <c r="C328" s="266">
        <v>41289</v>
      </c>
      <c r="D328" s="267">
        <v>500</v>
      </c>
      <c r="E328" s="265" t="s">
        <v>3664</v>
      </c>
      <c r="F328" s="265"/>
    </row>
    <row r="329" spans="1:6">
      <c r="A329" s="265"/>
      <c r="B329" s="265"/>
      <c r="C329" s="266">
        <v>41289</v>
      </c>
      <c r="D329" s="267">
        <v>1000</v>
      </c>
      <c r="E329" s="265" t="s">
        <v>3664</v>
      </c>
      <c r="F329" s="265"/>
    </row>
    <row r="330" spans="1:6">
      <c r="A330" s="265"/>
      <c r="B330" s="265"/>
      <c r="C330" s="266">
        <v>41289</v>
      </c>
      <c r="D330" s="267">
        <v>3500</v>
      </c>
      <c r="E330" s="265" t="s">
        <v>3664</v>
      </c>
      <c r="F330" s="265"/>
    </row>
    <row r="331" spans="1:6">
      <c r="A331" s="265"/>
      <c r="B331" s="265"/>
      <c r="C331" s="266">
        <v>41289</v>
      </c>
      <c r="D331" s="267">
        <v>1500</v>
      </c>
      <c r="E331" s="265" t="s">
        <v>3664</v>
      </c>
      <c r="F331" s="265"/>
    </row>
    <row r="332" spans="1:6">
      <c r="A332" s="265"/>
      <c r="B332" s="265"/>
      <c r="C332" s="266">
        <v>41289</v>
      </c>
      <c r="D332" s="267">
        <v>1250</v>
      </c>
      <c r="E332" s="265" t="s">
        <v>3664</v>
      </c>
      <c r="F332" s="265"/>
    </row>
    <row r="333" spans="1:6">
      <c r="A333" s="265"/>
      <c r="B333" s="265"/>
      <c r="C333" s="266">
        <v>41289</v>
      </c>
      <c r="D333" s="267">
        <v>250</v>
      </c>
      <c r="E333" s="265" t="s">
        <v>3664</v>
      </c>
      <c r="F333" s="265"/>
    </row>
    <row r="334" spans="1:6">
      <c r="A334" s="265"/>
      <c r="B334" s="265"/>
      <c r="C334" s="266">
        <v>41289</v>
      </c>
      <c r="D334" s="267">
        <v>2000</v>
      </c>
      <c r="E334" s="265" t="s">
        <v>3664</v>
      </c>
      <c r="F334" s="265"/>
    </row>
    <row r="335" spans="1:6">
      <c r="A335" s="265"/>
      <c r="B335" s="265"/>
      <c r="C335" s="266">
        <v>41289</v>
      </c>
      <c r="D335" s="267">
        <v>500</v>
      </c>
      <c r="E335" s="265" t="s">
        <v>3664</v>
      </c>
      <c r="F335" s="265"/>
    </row>
    <row r="336" spans="1:6">
      <c r="A336" s="265"/>
      <c r="B336" s="265"/>
      <c r="C336" s="266">
        <v>41289</v>
      </c>
      <c r="D336" s="267">
        <v>2000</v>
      </c>
      <c r="E336" s="265" t="s">
        <v>3664</v>
      </c>
      <c r="F336" s="265"/>
    </row>
    <row r="337" spans="1:6">
      <c r="A337" s="265"/>
      <c r="B337" s="265"/>
      <c r="C337" s="266">
        <v>41289</v>
      </c>
      <c r="D337" s="267">
        <v>750</v>
      </c>
      <c r="E337" s="265" t="s">
        <v>3664</v>
      </c>
      <c r="F337" s="265"/>
    </row>
    <row r="338" spans="1:6">
      <c r="A338" s="265"/>
      <c r="B338" s="265"/>
      <c r="C338" s="266">
        <v>41289</v>
      </c>
      <c r="D338" s="267">
        <v>750</v>
      </c>
      <c r="E338" s="265" t="s">
        <v>3664</v>
      </c>
      <c r="F338" s="265"/>
    </row>
    <row r="339" spans="1:6">
      <c r="A339" s="265"/>
      <c r="B339" s="265"/>
      <c r="C339" s="266">
        <v>41289</v>
      </c>
      <c r="D339" s="267">
        <v>1000</v>
      </c>
      <c r="E339" s="265" t="s">
        <v>3664</v>
      </c>
      <c r="F339" s="265"/>
    </row>
    <row r="340" spans="1:6">
      <c r="A340" s="265">
        <v>109</v>
      </c>
      <c r="B340" s="265" t="s">
        <v>3343</v>
      </c>
      <c r="C340" s="266">
        <v>41282</v>
      </c>
      <c r="D340" s="267">
        <v>940</v>
      </c>
      <c r="E340" s="265" t="s">
        <v>1375</v>
      </c>
      <c r="F340" s="265"/>
    </row>
    <row r="341" spans="1:6">
      <c r="A341" s="265"/>
      <c r="B341" s="265"/>
      <c r="C341" s="266">
        <v>41285</v>
      </c>
      <c r="D341" s="267">
        <v>750</v>
      </c>
      <c r="E341" s="265" t="s">
        <v>3827</v>
      </c>
      <c r="F341" s="265"/>
    </row>
    <row r="342" spans="1:6">
      <c r="A342" s="265"/>
      <c r="B342" s="265"/>
      <c r="C342" s="266">
        <v>41285</v>
      </c>
      <c r="D342" s="267">
        <v>750</v>
      </c>
      <c r="E342" s="265" t="s">
        <v>3827</v>
      </c>
      <c r="F342" s="265"/>
    </row>
    <row r="343" spans="1:6">
      <c r="A343" s="265"/>
      <c r="B343" s="265"/>
      <c r="C343" s="266">
        <v>41288</v>
      </c>
      <c r="D343" s="267">
        <v>940</v>
      </c>
      <c r="E343" s="265" t="s">
        <v>3662</v>
      </c>
      <c r="F343" s="265"/>
    </row>
    <row r="344" spans="1:6">
      <c r="A344" s="265"/>
      <c r="B344" s="265"/>
      <c r="C344" s="266">
        <v>41288</v>
      </c>
      <c r="D344" s="267">
        <v>2250</v>
      </c>
      <c r="E344" s="265" t="s">
        <v>3662</v>
      </c>
      <c r="F344" s="265"/>
    </row>
    <row r="345" spans="1:6">
      <c r="A345" s="265"/>
      <c r="B345" s="265"/>
      <c r="C345" s="266">
        <v>41290</v>
      </c>
      <c r="D345" s="267">
        <v>1875</v>
      </c>
      <c r="E345" s="265" t="s">
        <v>3666</v>
      </c>
      <c r="F345" s="265"/>
    </row>
    <row r="346" spans="1:6">
      <c r="A346" s="265"/>
      <c r="B346" s="265"/>
      <c r="C346" s="266">
        <v>41290</v>
      </c>
      <c r="D346" s="267">
        <v>375</v>
      </c>
      <c r="E346" s="265" t="s">
        <v>3666</v>
      </c>
      <c r="F346" s="265"/>
    </row>
    <row r="347" spans="1:6">
      <c r="A347" s="265"/>
      <c r="B347" s="265"/>
      <c r="C347" s="266">
        <v>41291</v>
      </c>
      <c r="D347" s="267">
        <v>375</v>
      </c>
      <c r="E347" s="265" t="s">
        <v>3668</v>
      </c>
      <c r="F347" s="265"/>
    </row>
    <row r="348" spans="1:6">
      <c r="A348" s="265"/>
      <c r="B348" s="265"/>
      <c r="C348" s="266">
        <v>41293</v>
      </c>
      <c r="D348" s="267">
        <v>375</v>
      </c>
      <c r="E348" s="265" t="s">
        <v>3671</v>
      </c>
      <c r="F348" s="265"/>
    </row>
    <row r="349" spans="1:6">
      <c r="A349" s="265"/>
      <c r="B349" s="265"/>
      <c r="C349" s="266">
        <v>41295</v>
      </c>
      <c r="D349" s="267">
        <v>375</v>
      </c>
      <c r="E349" s="265" t="s">
        <v>3672</v>
      </c>
      <c r="F349" s="265"/>
    </row>
    <row r="350" spans="1:6">
      <c r="A350" s="265"/>
      <c r="B350" s="265"/>
      <c r="C350" s="266">
        <v>41295</v>
      </c>
      <c r="D350" s="267">
        <v>375</v>
      </c>
      <c r="E350" s="265" t="s">
        <v>3672</v>
      </c>
      <c r="F350" s="265"/>
    </row>
    <row r="351" spans="1:6">
      <c r="A351" s="265"/>
      <c r="B351" s="265"/>
      <c r="C351" s="266">
        <v>41296</v>
      </c>
      <c r="D351" s="267">
        <v>940</v>
      </c>
      <c r="E351" s="265" t="s">
        <v>3674</v>
      </c>
      <c r="F351" s="265"/>
    </row>
    <row r="352" spans="1:6">
      <c r="A352" s="265">
        <v>110</v>
      </c>
      <c r="B352" s="265" t="s">
        <v>3344</v>
      </c>
      <c r="C352" s="266">
        <v>41289</v>
      </c>
      <c r="D352" s="267">
        <v>375</v>
      </c>
      <c r="E352" s="265" t="s">
        <v>3687</v>
      </c>
      <c r="F352" s="265"/>
    </row>
    <row r="353" spans="1:6">
      <c r="A353" s="265"/>
      <c r="B353" s="265"/>
      <c r="C353" s="266">
        <v>41292</v>
      </c>
      <c r="D353" s="267">
        <v>375</v>
      </c>
      <c r="E353" s="265" t="s">
        <v>3690</v>
      </c>
      <c r="F353" s="265"/>
    </row>
    <row r="354" spans="1:6">
      <c r="A354" s="265"/>
      <c r="B354" s="265"/>
      <c r="C354" s="266">
        <v>41295</v>
      </c>
      <c r="D354" s="267">
        <v>7500</v>
      </c>
      <c r="E354" s="265" t="s">
        <v>3691</v>
      </c>
      <c r="F354" s="265"/>
    </row>
    <row r="355" spans="1:6">
      <c r="A355" s="265">
        <v>111</v>
      </c>
      <c r="B355" s="265" t="s">
        <v>3345</v>
      </c>
      <c r="C355" s="266">
        <v>41284</v>
      </c>
      <c r="D355" s="267">
        <v>375</v>
      </c>
      <c r="E355" s="265" t="s">
        <v>3824</v>
      </c>
      <c r="F355" s="265"/>
    </row>
    <row r="356" spans="1:6">
      <c r="A356" s="265"/>
      <c r="B356" s="265"/>
      <c r="C356" s="266">
        <v>41284</v>
      </c>
      <c r="D356" s="267">
        <v>190</v>
      </c>
      <c r="E356" s="265" t="s">
        <v>3824</v>
      </c>
      <c r="F356" s="265"/>
    </row>
    <row r="357" spans="1:6">
      <c r="A357" s="265"/>
      <c r="B357" s="265"/>
      <c r="C357" s="266">
        <v>41290</v>
      </c>
      <c r="D357" s="267">
        <v>190</v>
      </c>
      <c r="E357" s="265" t="s">
        <v>3667</v>
      </c>
      <c r="F357" s="265"/>
    </row>
    <row r="358" spans="1:6">
      <c r="A358" s="265">
        <v>112</v>
      </c>
      <c r="B358" s="265" t="s">
        <v>3346</v>
      </c>
      <c r="C358" s="266">
        <v>41289</v>
      </c>
      <c r="D358" s="267">
        <v>750</v>
      </c>
      <c r="E358" s="265" t="s">
        <v>3665</v>
      </c>
      <c r="F358" s="265"/>
    </row>
    <row r="359" spans="1:6">
      <c r="A359" s="265">
        <v>113</v>
      </c>
      <c r="B359" s="265" t="s">
        <v>3347</v>
      </c>
      <c r="C359" s="266">
        <v>41285</v>
      </c>
      <c r="D359" s="267">
        <v>1125</v>
      </c>
      <c r="E359" s="265" t="s">
        <v>3827</v>
      </c>
      <c r="F359" s="265"/>
    </row>
    <row r="360" spans="1:6">
      <c r="A360" s="265"/>
      <c r="B360" s="265"/>
      <c r="C360" s="266">
        <v>41286</v>
      </c>
      <c r="D360" s="267">
        <v>750</v>
      </c>
      <c r="E360" s="265" t="s">
        <v>3830</v>
      </c>
      <c r="F360" s="265"/>
    </row>
    <row r="361" spans="1:6">
      <c r="A361" s="265"/>
      <c r="B361" s="265"/>
      <c r="C361" s="266">
        <v>41289</v>
      </c>
      <c r="D361" s="267">
        <v>750</v>
      </c>
      <c r="E361" s="265" t="s">
        <v>3664</v>
      </c>
      <c r="F361" s="265"/>
    </row>
    <row r="362" spans="1:6">
      <c r="A362" s="265"/>
      <c r="B362" s="265"/>
      <c r="C362" s="266">
        <v>41292</v>
      </c>
      <c r="D362" s="267">
        <v>375</v>
      </c>
      <c r="E362" s="265" t="s">
        <v>3670</v>
      </c>
      <c r="F362" s="265"/>
    </row>
    <row r="363" spans="1:6">
      <c r="A363" s="265"/>
      <c r="B363" s="265"/>
      <c r="C363" s="266">
        <v>41292</v>
      </c>
      <c r="D363" s="267">
        <v>750</v>
      </c>
      <c r="E363" s="265" t="s">
        <v>3670</v>
      </c>
      <c r="F363" s="265"/>
    </row>
    <row r="364" spans="1:6">
      <c r="A364" s="265"/>
      <c r="B364" s="265"/>
      <c r="C364" s="266">
        <v>41295</v>
      </c>
      <c r="D364" s="267">
        <v>1125</v>
      </c>
      <c r="E364" s="265" t="s">
        <v>3672</v>
      </c>
      <c r="F364" s="265"/>
    </row>
    <row r="365" spans="1:6">
      <c r="A365" s="265"/>
      <c r="B365" s="265"/>
      <c r="C365" s="266">
        <v>41295</v>
      </c>
      <c r="D365" s="267">
        <v>750</v>
      </c>
      <c r="E365" s="265" t="s">
        <v>3672</v>
      </c>
      <c r="F365" s="265"/>
    </row>
    <row r="366" spans="1:6">
      <c r="A366" s="265">
        <v>114</v>
      </c>
      <c r="B366" s="265" t="s">
        <v>3348</v>
      </c>
      <c r="C366" s="266">
        <v>41290</v>
      </c>
      <c r="D366" s="267">
        <v>750</v>
      </c>
      <c r="E366" s="265" t="s">
        <v>3666</v>
      </c>
      <c r="F366" s="265"/>
    </row>
    <row r="367" spans="1:6">
      <c r="A367" s="265">
        <v>115</v>
      </c>
      <c r="B367" s="265" t="s">
        <v>3803</v>
      </c>
      <c r="C367" s="266">
        <v>41291</v>
      </c>
      <c r="D367" s="267">
        <v>375</v>
      </c>
      <c r="E367" s="265" t="s">
        <v>3689</v>
      </c>
      <c r="F367" s="265"/>
    </row>
    <row r="368" spans="1:6">
      <c r="A368" s="265">
        <v>116</v>
      </c>
      <c r="B368" s="265" t="s">
        <v>3693</v>
      </c>
      <c r="C368" s="266">
        <v>41285</v>
      </c>
      <c r="D368" s="267">
        <v>9565</v>
      </c>
      <c r="E368" s="265" t="s">
        <v>3684</v>
      </c>
      <c r="F368" s="265"/>
    </row>
    <row r="369" spans="1:6">
      <c r="A369" s="265">
        <v>117</v>
      </c>
      <c r="B369" s="265" t="s">
        <v>3782</v>
      </c>
      <c r="C369" s="266">
        <v>41292</v>
      </c>
      <c r="D369" s="267">
        <v>1125</v>
      </c>
      <c r="E369" s="265" t="s">
        <v>3670</v>
      </c>
      <c r="F369" s="265"/>
    </row>
    <row r="370" spans="1:6">
      <c r="A370" s="265">
        <v>118</v>
      </c>
      <c r="B370" s="265" t="s">
        <v>3349</v>
      </c>
      <c r="C370" s="266">
        <v>41282</v>
      </c>
      <c r="D370" s="267">
        <v>1125</v>
      </c>
      <c r="E370" s="265" t="s">
        <v>1376</v>
      </c>
      <c r="F370" s="265"/>
    </row>
    <row r="371" spans="1:6">
      <c r="A371" s="265"/>
      <c r="B371" s="265"/>
      <c r="C371" s="266">
        <v>41284</v>
      </c>
      <c r="D371" s="267">
        <v>1875</v>
      </c>
      <c r="E371" s="265" t="s">
        <v>3824</v>
      </c>
      <c r="F371" s="265"/>
    </row>
    <row r="372" spans="1:6">
      <c r="A372" s="265"/>
      <c r="B372" s="265"/>
      <c r="C372" s="266">
        <v>41284</v>
      </c>
      <c r="D372" s="267">
        <v>1875</v>
      </c>
      <c r="E372" s="265" t="s">
        <v>3824</v>
      </c>
      <c r="F372" s="265"/>
    </row>
    <row r="373" spans="1:6">
      <c r="A373" s="265"/>
      <c r="B373" s="265"/>
      <c r="C373" s="266">
        <v>41288</v>
      </c>
      <c r="D373" s="267">
        <v>700</v>
      </c>
      <c r="E373" s="265" t="s">
        <v>3662</v>
      </c>
      <c r="F373" s="265"/>
    </row>
    <row r="374" spans="1:6">
      <c r="A374" s="265"/>
      <c r="B374" s="265"/>
      <c r="C374" s="266">
        <v>41292</v>
      </c>
      <c r="D374" s="267">
        <v>1125</v>
      </c>
      <c r="E374" s="265" t="s">
        <v>3670</v>
      </c>
      <c r="F374" s="265"/>
    </row>
    <row r="375" spans="1:6">
      <c r="A375" s="265"/>
      <c r="B375" s="265"/>
      <c r="C375" s="266">
        <v>41293</v>
      </c>
      <c r="D375" s="267">
        <v>1125</v>
      </c>
      <c r="E375" s="265" t="s">
        <v>3671</v>
      </c>
      <c r="F375" s="265"/>
    </row>
    <row r="376" spans="1:6">
      <c r="A376" s="265"/>
      <c r="B376" s="265"/>
      <c r="C376" s="266">
        <v>41295</v>
      </c>
      <c r="D376" s="267">
        <v>1125</v>
      </c>
      <c r="E376" s="265" t="s">
        <v>3673</v>
      </c>
      <c r="F376" s="265"/>
    </row>
    <row r="377" spans="1:6">
      <c r="A377" s="265">
        <v>120</v>
      </c>
      <c r="B377" s="265" t="s">
        <v>3754</v>
      </c>
      <c r="C377" s="266">
        <v>41284</v>
      </c>
      <c r="D377" s="267">
        <v>1500</v>
      </c>
      <c r="E377" s="265" t="s">
        <v>3824</v>
      </c>
      <c r="F377" s="265"/>
    </row>
    <row r="378" spans="1:6">
      <c r="A378" s="265"/>
      <c r="B378" s="265"/>
      <c r="C378" s="266">
        <v>41285</v>
      </c>
      <c r="D378" s="267">
        <v>1125</v>
      </c>
      <c r="E378" s="265" t="s">
        <v>3828</v>
      </c>
      <c r="F378" s="265"/>
    </row>
    <row r="379" spans="1:6">
      <c r="A379" s="265">
        <v>121</v>
      </c>
      <c r="B379" s="265" t="s">
        <v>3350</v>
      </c>
      <c r="C379" s="266">
        <v>41288</v>
      </c>
      <c r="D379" s="267">
        <v>1125</v>
      </c>
      <c r="E379" s="265" t="s">
        <v>3662</v>
      </c>
      <c r="F379" s="265"/>
    </row>
    <row r="380" spans="1:6">
      <c r="A380" s="265"/>
      <c r="B380" s="265"/>
      <c r="C380" s="266">
        <v>41288</v>
      </c>
      <c r="D380" s="267">
        <v>1125</v>
      </c>
      <c r="E380" s="265" t="s">
        <v>3662</v>
      </c>
      <c r="F380" s="265"/>
    </row>
    <row r="381" spans="1:6">
      <c r="A381" s="265">
        <v>122</v>
      </c>
      <c r="B381" s="265" t="s">
        <v>3762</v>
      </c>
      <c r="C381" s="266">
        <v>41285</v>
      </c>
      <c r="D381" s="267">
        <v>570</v>
      </c>
      <c r="E381" s="265" t="s">
        <v>3826</v>
      </c>
      <c r="F381" s="265"/>
    </row>
    <row r="382" spans="1:6">
      <c r="A382" s="265"/>
      <c r="B382" s="265"/>
      <c r="C382" s="266">
        <v>41285</v>
      </c>
      <c r="D382" s="267">
        <v>1500</v>
      </c>
      <c r="E382" s="265" t="s">
        <v>3826</v>
      </c>
      <c r="F382" s="265"/>
    </row>
    <row r="383" spans="1:6">
      <c r="A383" s="265"/>
      <c r="B383" s="265"/>
      <c r="C383" s="266">
        <v>41285</v>
      </c>
      <c r="D383" s="267">
        <v>2250</v>
      </c>
      <c r="E383" s="265" t="s">
        <v>3827</v>
      </c>
      <c r="F383" s="265"/>
    </row>
    <row r="384" spans="1:6">
      <c r="A384" s="265"/>
      <c r="B384" s="265"/>
      <c r="C384" s="266">
        <v>41285</v>
      </c>
      <c r="D384" s="267">
        <v>570</v>
      </c>
      <c r="E384" s="265" t="s">
        <v>3827</v>
      </c>
      <c r="F384" s="265"/>
    </row>
    <row r="385" spans="1:6">
      <c r="A385" s="265">
        <v>123</v>
      </c>
      <c r="B385" s="265" t="s">
        <v>3351</v>
      </c>
      <c r="C385" s="266">
        <v>41295</v>
      </c>
      <c r="D385" s="267">
        <v>750</v>
      </c>
      <c r="E385" s="265" t="s">
        <v>3691</v>
      </c>
      <c r="F385" s="265"/>
    </row>
    <row r="386" spans="1:6">
      <c r="A386" s="265">
        <v>124</v>
      </c>
      <c r="B386" s="265" t="s">
        <v>3352</v>
      </c>
      <c r="C386" s="266">
        <v>41284</v>
      </c>
      <c r="D386" s="267">
        <v>3375</v>
      </c>
      <c r="E386" s="265" t="s">
        <v>3824</v>
      </c>
      <c r="F386" s="265"/>
    </row>
    <row r="387" spans="1:6">
      <c r="A387" s="265"/>
      <c r="B387" s="265"/>
      <c r="C387" s="266">
        <v>41284</v>
      </c>
      <c r="D387" s="267">
        <v>1125</v>
      </c>
      <c r="E387" s="265" t="s">
        <v>3824</v>
      </c>
      <c r="F387" s="265"/>
    </row>
    <row r="388" spans="1:6">
      <c r="A388" s="265"/>
      <c r="B388" s="265"/>
      <c r="C388" s="266">
        <v>41289</v>
      </c>
      <c r="D388" s="267">
        <v>1125</v>
      </c>
      <c r="E388" s="265" t="s">
        <v>3664</v>
      </c>
      <c r="F388" s="265"/>
    </row>
    <row r="389" spans="1:6">
      <c r="A389" s="265">
        <v>125</v>
      </c>
      <c r="B389" s="265" t="s">
        <v>3353</v>
      </c>
      <c r="C389" s="266">
        <v>41282</v>
      </c>
      <c r="D389" s="267">
        <v>375</v>
      </c>
      <c r="E389" s="265" t="s">
        <v>1375</v>
      </c>
      <c r="F389" s="265"/>
    </row>
    <row r="390" spans="1:6">
      <c r="A390" s="265"/>
      <c r="B390" s="265"/>
      <c r="C390" s="266">
        <v>41282</v>
      </c>
      <c r="D390" s="267">
        <v>750</v>
      </c>
      <c r="E390" s="265" t="s">
        <v>1375</v>
      </c>
      <c r="F390" s="265"/>
    </row>
    <row r="391" spans="1:6">
      <c r="A391" s="265"/>
      <c r="B391" s="265"/>
      <c r="C391" s="266">
        <v>41282</v>
      </c>
      <c r="D391" s="267">
        <v>750</v>
      </c>
      <c r="E391" s="265" t="s">
        <v>1375</v>
      </c>
      <c r="F391" s="265"/>
    </row>
    <row r="392" spans="1:6">
      <c r="A392" s="265"/>
      <c r="B392" s="265"/>
      <c r="C392" s="266">
        <v>41282</v>
      </c>
      <c r="D392" s="267">
        <v>750</v>
      </c>
      <c r="E392" s="265" t="s">
        <v>1375</v>
      </c>
      <c r="F392" s="265"/>
    </row>
    <row r="393" spans="1:6">
      <c r="A393" s="265"/>
      <c r="B393" s="265"/>
      <c r="C393" s="266">
        <v>41284</v>
      </c>
      <c r="D393" s="267">
        <v>1125</v>
      </c>
      <c r="E393" s="265" t="s">
        <v>3825</v>
      </c>
      <c r="F393" s="265"/>
    </row>
    <row r="394" spans="1:6">
      <c r="A394" s="265"/>
      <c r="B394" s="265"/>
      <c r="C394" s="266">
        <v>41284</v>
      </c>
      <c r="D394" s="267">
        <v>750</v>
      </c>
      <c r="E394" s="265" t="s">
        <v>3825</v>
      </c>
      <c r="F394" s="265"/>
    </row>
    <row r="395" spans="1:6">
      <c r="A395" s="265"/>
      <c r="B395" s="265"/>
      <c r="C395" s="266">
        <v>41284</v>
      </c>
      <c r="D395" s="267">
        <v>1125</v>
      </c>
      <c r="E395" s="265" t="s">
        <v>3825</v>
      </c>
      <c r="F395" s="265"/>
    </row>
    <row r="396" spans="1:6">
      <c r="A396" s="265"/>
      <c r="B396" s="265"/>
      <c r="C396" s="266">
        <v>41290</v>
      </c>
      <c r="D396" s="267">
        <v>750</v>
      </c>
      <c r="E396" s="265" t="s">
        <v>3666</v>
      </c>
      <c r="F396" s="265"/>
    </row>
    <row r="397" spans="1:6">
      <c r="A397" s="265"/>
      <c r="B397" s="265"/>
      <c r="C397" s="266">
        <v>41291</v>
      </c>
      <c r="D397" s="267">
        <v>750</v>
      </c>
      <c r="E397" s="265" t="s">
        <v>3668</v>
      </c>
      <c r="F397" s="265"/>
    </row>
    <row r="398" spans="1:6">
      <c r="A398" s="265"/>
      <c r="B398" s="265"/>
      <c r="C398" s="266">
        <v>41291</v>
      </c>
      <c r="D398" s="267">
        <v>750</v>
      </c>
      <c r="E398" s="265" t="s">
        <v>3668</v>
      </c>
      <c r="F398" s="265"/>
    </row>
    <row r="399" spans="1:6">
      <c r="A399" s="265"/>
      <c r="B399" s="265"/>
      <c r="C399" s="266">
        <v>41291</v>
      </c>
      <c r="D399" s="267">
        <v>375</v>
      </c>
      <c r="E399" s="265" t="s">
        <v>3668</v>
      </c>
      <c r="F399" s="265"/>
    </row>
    <row r="400" spans="1:6">
      <c r="A400" s="265">
        <v>127</v>
      </c>
      <c r="B400" s="265" t="s">
        <v>3354</v>
      </c>
      <c r="C400" s="266">
        <v>41293</v>
      </c>
      <c r="D400" s="267">
        <v>1125</v>
      </c>
      <c r="E400" s="265" t="s">
        <v>3671</v>
      </c>
      <c r="F400" s="265"/>
    </row>
    <row r="401" spans="1:6">
      <c r="A401" s="265">
        <v>128</v>
      </c>
      <c r="B401" s="265" t="s">
        <v>1189</v>
      </c>
      <c r="C401" s="266">
        <v>41282</v>
      </c>
      <c r="D401" s="267">
        <v>750</v>
      </c>
      <c r="E401" s="265" t="s">
        <v>1375</v>
      </c>
      <c r="F401" s="265"/>
    </row>
    <row r="402" spans="1:6">
      <c r="A402" s="265"/>
      <c r="B402" s="265"/>
      <c r="C402" s="266">
        <v>41282</v>
      </c>
      <c r="D402" s="267">
        <v>750</v>
      </c>
      <c r="E402" s="265" t="s">
        <v>1375</v>
      </c>
      <c r="F402" s="265"/>
    </row>
    <row r="403" spans="1:6">
      <c r="A403" s="265">
        <v>129</v>
      </c>
      <c r="B403" s="265" t="s">
        <v>3779</v>
      </c>
      <c r="C403" s="266">
        <v>41289</v>
      </c>
      <c r="D403" s="267">
        <v>1125</v>
      </c>
      <c r="E403" s="265" t="s">
        <v>3664</v>
      </c>
      <c r="F403" s="265"/>
    </row>
    <row r="404" spans="1:6">
      <c r="A404" s="265">
        <v>130</v>
      </c>
      <c r="B404" s="265" t="s">
        <v>3355</v>
      </c>
      <c r="C404" s="266">
        <v>41284</v>
      </c>
      <c r="D404" s="267">
        <v>750</v>
      </c>
      <c r="E404" s="265" t="s">
        <v>3824</v>
      </c>
      <c r="F404" s="265"/>
    </row>
    <row r="405" spans="1:6">
      <c r="A405" s="265"/>
      <c r="B405" s="265"/>
      <c r="C405" s="266">
        <v>41288</v>
      </c>
      <c r="D405" s="267">
        <v>565</v>
      </c>
      <c r="E405" s="265" t="s">
        <v>3662</v>
      </c>
      <c r="F405" s="265"/>
    </row>
    <row r="406" spans="1:6">
      <c r="A406" s="265"/>
      <c r="B406" s="265"/>
      <c r="C406" s="266">
        <v>41288</v>
      </c>
      <c r="D406" s="267">
        <v>375</v>
      </c>
      <c r="E406" s="265" t="s">
        <v>3663</v>
      </c>
      <c r="F406" s="265"/>
    </row>
    <row r="407" spans="1:6">
      <c r="A407" s="265"/>
      <c r="B407" s="265"/>
      <c r="C407" s="266">
        <v>41295</v>
      </c>
      <c r="D407" s="267">
        <v>190</v>
      </c>
      <c r="E407" s="265" t="s">
        <v>3672</v>
      </c>
      <c r="F407" s="265"/>
    </row>
    <row r="408" spans="1:6">
      <c r="A408" s="265">
        <v>131</v>
      </c>
      <c r="B408" s="265" t="s">
        <v>3356</v>
      </c>
      <c r="C408" s="266">
        <v>41291</v>
      </c>
      <c r="D408" s="267">
        <v>940</v>
      </c>
      <c r="E408" s="265" t="s">
        <v>3668</v>
      </c>
      <c r="F408" s="265"/>
    </row>
    <row r="409" spans="1:6">
      <c r="A409" s="265"/>
      <c r="B409" s="265"/>
      <c r="C409" s="266">
        <v>41291</v>
      </c>
      <c r="D409" s="267">
        <v>375</v>
      </c>
      <c r="E409" s="265" t="s">
        <v>3669</v>
      </c>
      <c r="F409" s="265"/>
    </row>
    <row r="410" spans="1:6">
      <c r="A410" s="265"/>
      <c r="B410" s="265"/>
      <c r="C410" s="266">
        <v>41291</v>
      </c>
      <c r="D410" s="267">
        <v>375</v>
      </c>
      <c r="E410" s="265" t="s">
        <v>3669</v>
      </c>
      <c r="F410" s="265"/>
    </row>
    <row r="411" spans="1:6">
      <c r="A411" s="265"/>
      <c r="B411" s="265"/>
      <c r="C411" s="266">
        <v>41291</v>
      </c>
      <c r="D411" s="267">
        <v>375</v>
      </c>
      <c r="E411" s="265" t="s">
        <v>3669</v>
      </c>
      <c r="F411" s="265"/>
    </row>
    <row r="412" spans="1:6">
      <c r="A412" s="265">
        <v>132</v>
      </c>
      <c r="B412" s="265" t="s">
        <v>3804</v>
      </c>
      <c r="C412" s="266">
        <v>41292</v>
      </c>
      <c r="D412" s="267">
        <v>750</v>
      </c>
      <c r="E412" s="265" t="s">
        <v>3690</v>
      </c>
      <c r="F412" s="265"/>
    </row>
    <row r="413" spans="1:6">
      <c r="A413" s="265">
        <v>133</v>
      </c>
      <c r="B413" s="265" t="s">
        <v>3357</v>
      </c>
      <c r="C413" s="266">
        <v>41288</v>
      </c>
      <c r="D413" s="267">
        <v>1125</v>
      </c>
      <c r="E413" s="265" t="s">
        <v>3663</v>
      </c>
      <c r="F413" s="265"/>
    </row>
    <row r="414" spans="1:6">
      <c r="A414" s="265">
        <v>134</v>
      </c>
      <c r="B414" s="265" t="s">
        <v>3358</v>
      </c>
      <c r="C414" s="266">
        <v>41291</v>
      </c>
      <c r="D414" s="267">
        <v>375</v>
      </c>
      <c r="E414" s="265" t="s">
        <v>3689</v>
      </c>
      <c r="F414" s="265"/>
    </row>
    <row r="415" spans="1:6">
      <c r="A415" s="265">
        <v>135</v>
      </c>
      <c r="B415" s="265" t="s">
        <v>3359</v>
      </c>
      <c r="C415" s="266">
        <v>41295</v>
      </c>
      <c r="D415" s="267">
        <v>1125</v>
      </c>
      <c r="E415" s="265" t="s">
        <v>3673</v>
      </c>
      <c r="F415" s="265"/>
    </row>
    <row r="416" spans="1:6">
      <c r="A416" s="265"/>
      <c r="B416" s="265"/>
      <c r="C416" s="266">
        <v>41295</v>
      </c>
      <c r="D416" s="267">
        <v>190</v>
      </c>
      <c r="E416" s="265" t="s">
        <v>3673</v>
      </c>
      <c r="F416" s="265"/>
    </row>
    <row r="417" spans="1:6">
      <c r="A417" s="265">
        <v>136</v>
      </c>
      <c r="B417" s="265" t="s">
        <v>3360</v>
      </c>
      <c r="C417" s="266">
        <v>41296</v>
      </c>
      <c r="D417" s="267">
        <v>750</v>
      </c>
      <c r="E417" s="265" t="s">
        <v>3674</v>
      </c>
      <c r="F417" s="265"/>
    </row>
    <row r="418" spans="1:6">
      <c r="A418" s="265">
        <v>137</v>
      </c>
      <c r="B418" s="265" t="s">
        <v>3361</v>
      </c>
      <c r="C418" s="266">
        <v>41295</v>
      </c>
      <c r="D418" s="267">
        <v>375</v>
      </c>
      <c r="E418" s="265" t="s">
        <v>3673</v>
      </c>
      <c r="F418" s="265"/>
    </row>
    <row r="419" spans="1:6">
      <c r="A419" s="265">
        <v>138</v>
      </c>
      <c r="B419" s="265" t="s">
        <v>3362</v>
      </c>
      <c r="C419" s="266">
        <v>41290</v>
      </c>
      <c r="D419" s="267">
        <v>940</v>
      </c>
      <c r="E419" s="265" t="s">
        <v>3666</v>
      </c>
      <c r="F419" s="265"/>
    </row>
    <row r="420" spans="1:6">
      <c r="A420" s="265"/>
      <c r="B420" s="265"/>
      <c r="C420" s="266">
        <v>41290</v>
      </c>
      <c r="D420" s="267">
        <v>190</v>
      </c>
      <c r="E420" s="265" t="s">
        <v>3666</v>
      </c>
      <c r="F420" s="265"/>
    </row>
    <row r="421" spans="1:6">
      <c r="A421" s="265"/>
      <c r="B421" s="265"/>
      <c r="C421" s="266">
        <v>41290</v>
      </c>
      <c r="D421" s="267">
        <v>750</v>
      </c>
      <c r="E421" s="265" t="s">
        <v>3666</v>
      </c>
      <c r="F421" s="265"/>
    </row>
    <row r="422" spans="1:6">
      <c r="A422" s="265"/>
      <c r="B422" s="265"/>
      <c r="C422" s="266">
        <v>41290</v>
      </c>
      <c r="D422" s="267">
        <v>750</v>
      </c>
      <c r="E422" s="265" t="s">
        <v>3666</v>
      </c>
      <c r="F422" s="265"/>
    </row>
    <row r="423" spans="1:6">
      <c r="A423" s="265">
        <v>139</v>
      </c>
      <c r="B423" s="265" t="s">
        <v>3363</v>
      </c>
      <c r="C423" s="266">
        <v>41284</v>
      </c>
      <c r="D423" s="267">
        <v>375</v>
      </c>
      <c r="E423" s="265" t="s">
        <v>3825</v>
      </c>
      <c r="F423" s="265"/>
    </row>
    <row r="424" spans="1:6">
      <c r="A424" s="265"/>
      <c r="B424" s="265"/>
      <c r="C424" s="266">
        <v>41284</v>
      </c>
      <c r="D424" s="267">
        <v>750</v>
      </c>
      <c r="E424" s="265" t="s">
        <v>3825</v>
      </c>
      <c r="F424" s="265"/>
    </row>
    <row r="425" spans="1:6">
      <c r="A425" s="265"/>
      <c r="B425" s="265"/>
      <c r="C425" s="266">
        <v>41284</v>
      </c>
      <c r="D425" s="267">
        <v>750</v>
      </c>
      <c r="E425" s="265" t="s">
        <v>3825</v>
      </c>
      <c r="F425" s="265"/>
    </row>
    <row r="426" spans="1:6">
      <c r="A426" s="265"/>
      <c r="B426" s="265"/>
      <c r="C426" s="266">
        <v>41284</v>
      </c>
      <c r="D426" s="267">
        <v>750</v>
      </c>
      <c r="E426" s="265" t="s">
        <v>3825</v>
      </c>
      <c r="F426" s="265"/>
    </row>
    <row r="427" spans="1:6">
      <c r="A427" s="265"/>
      <c r="B427" s="265"/>
      <c r="C427" s="266">
        <v>41290</v>
      </c>
      <c r="D427" s="267">
        <v>750</v>
      </c>
      <c r="E427" s="265" t="s">
        <v>3667</v>
      </c>
      <c r="F427" s="265"/>
    </row>
    <row r="428" spans="1:6">
      <c r="A428" s="265"/>
      <c r="B428" s="265"/>
      <c r="C428" s="266">
        <v>41290</v>
      </c>
      <c r="D428" s="267">
        <v>375</v>
      </c>
      <c r="E428" s="265" t="s">
        <v>3667</v>
      </c>
      <c r="F428" s="265"/>
    </row>
    <row r="429" spans="1:6">
      <c r="A429" s="265"/>
      <c r="B429" s="265"/>
      <c r="C429" s="266">
        <v>41295</v>
      </c>
      <c r="D429" s="267">
        <v>1125</v>
      </c>
      <c r="E429" s="265" t="s">
        <v>3673</v>
      </c>
      <c r="F429" s="265"/>
    </row>
    <row r="430" spans="1:6">
      <c r="A430" s="265">
        <v>140</v>
      </c>
      <c r="B430" s="265" t="s">
        <v>1192</v>
      </c>
      <c r="C430" s="266">
        <v>41284</v>
      </c>
      <c r="D430" s="267">
        <v>750</v>
      </c>
      <c r="E430" s="265" t="s">
        <v>3824</v>
      </c>
      <c r="F430" s="265"/>
    </row>
    <row r="431" spans="1:6">
      <c r="A431" s="265">
        <v>141</v>
      </c>
      <c r="B431" s="265" t="s">
        <v>3761</v>
      </c>
      <c r="C431" s="266">
        <v>41284</v>
      </c>
      <c r="D431" s="267">
        <v>750</v>
      </c>
      <c r="E431" s="265" t="s">
        <v>3825</v>
      </c>
      <c r="F431" s="265"/>
    </row>
    <row r="432" spans="1:6">
      <c r="A432" s="265"/>
      <c r="B432" s="265"/>
      <c r="C432" s="266">
        <v>41286</v>
      </c>
      <c r="D432" s="267">
        <v>750</v>
      </c>
      <c r="E432" s="265" t="s">
        <v>3830</v>
      </c>
      <c r="F432" s="265"/>
    </row>
    <row r="433" spans="1:6">
      <c r="A433" s="265"/>
      <c r="B433" s="265"/>
      <c r="C433" s="266">
        <v>41291</v>
      </c>
      <c r="D433" s="267">
        <v>1875</v>
      </c>
      <c r="E433" s="265" t="s">
        <v>3668</v>
      </c>
      <c r="F433" s="265"/>
    </row>
    <row r="434" spans="1:6">
      <c r="A434" s="265">
        <v>142</v>
      </c>
      <c r="B434" s="265" t="s">
        <v>3364</v>
      </c>
      <c r="C434" s="266">
        <v>41291</v>
      </c>
      <c r="D434" s="267">
        <v>750</v>
      </c>
      <c r="E434" s="265" t="s">
        <v>3689</v>
      </c>
      <c r="F434" s="265"/>
    </row>
    <row r="435" spans="1:6">
      <c r="A435" s="265">
        <v>144</v>
      </c>
      <c r="B435" s="265" t="s">
        <v>3482</v>
      </c>
      <c r="C435" s="266">
        <v>41284</v>
      </c>
      <c r="D435" s="267">
        <v>1125</v>
      </c>
      <c r="E435" s="265" t="s">
        <v>3824</v>
      </c>
      <c r="F435" s="265"/>
    </row>
    <row r="436" spans="1:6">
      <c r="A436" s="265">
        <v>145</v>
      </c>
      <c r="B436" s="265" t="s">
        <v>3365</v>
      </c>
      <c r="C436" s="266">
        <v>41295</v>
      </c>
      <c r="D436" s="267">
        <v>1125</v>
      </c>
      <c r="E436" s="265" t="s">
        <v>3672</v>
      </c>
      <c r="F436" s="265"/>
    </row>
    <row r="437" spans="1:6">
      <c r="A437" s="265"/>
      <c r="B437" s="265"/>
      <c r="C437" s="266">
        <v>41295</v>
      </c>
      <c r="D437" s="267">
        <v>375</v>
      </c>
      <c r="E437" s="265" t="s">
        <v>3672</v>
      </c>
      <c r="F437" s="265"/>
    </row>
    <row r="438" spans="1:6">
      <c r="A438" s="265"/>
      <c r="B438" s="268" t="s">
        <v>335</v>
      </c>
      <c r="C438" s="265"/>
      <c r="D438" s="267">
        <f>SUM(D2:D437)</f>
        <v>521905</v>
      </c>
      <c r="E438" s="265"/>
    </row>
  </sheetData>
  <phoneticPr fontId="2" type="noConversion"/>
  <pageMargins left="0.75" right="0.75" top="0.81" bottom="0.49" header="0.5" footer="0.24"/>
  <pageSetup paperSize="9" orientation="portrait" r:id="rId1"/>
  <headerFooter alignWithMargins="0">
    <oddHeader>&amp;C附表一之2之1：被告蕭睿軒102年1月8日至同年月23日止之收款明細彙總</oddHeader>
    <oddFooter>&amp;C&amp;P</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G590"/>
  <sheetViews>
    <sheetView workbookViewId="0">
      <pane ySplit="1" topLeftCell="A2" activePane="bottomLeft" state="frozen"/>
      <selection pane="bottomLeft" activeCell="G13" sqref="G13"/>
    </sheetView>
  </sheetViews>
  <sheetFormatPr defaultRowHeight="16.2"/>
  <cols>
    <col min="1" max="1" width="6" style="31" bestFit="1" customWidth="1"/>
    <col min="2" max="2" width="8.21875" style="31" customWidth="1"/>
    <col min="3" max="3" width="9.6640625" style="35" bestFit="1" customWidth="1"/>
    <col min="4" max="4" width="10.44140625" style="36" bestFit="1" customWidth="1"/>
    <col min="5" max="5" width="36.6640625" style="34" customWidth="1"/>
    <col min="6" max="6" width="12.88671875" style="31" bestFit="1" customWidth="1"/>
    <col min="7" max="7" width="19.21875" style="37" customWidth="1"/>
    <col min="8" max="16384" width="8.88671875" style="31"/>
  </cols>
  <sheetData>
    <row r="1" spans="1:7" s="25" customFormat="1" ht="32.4">
      <c r="A1" s="19" t="s">
        <v>281</v>
      </c>
      <c r="B1" s="20" t="s">
        <v>4030</v>
      </c>
      <c r="C1" s="21" t="s">
        <v>3816</v>
      </c>
      <c r="D1" s="22" t="s">
        <v>3817</v>
      </c>
      <c r="E1" s="23" t="s">
        <v>2011</v>
      </c>
      <c r="F1" s="24" t="s">
        <v>1815</v>
      </c>
      <c r="G1" s="24" t="s">
        <v>1328</v>
      </c>
    </row>
    <row r="2" spans="1:7">
      <c r="A2" s="26">
        <v>1</v>
      </c>
      <c r="B2" s="27" t="s">
        <v>3821</v>
      </c>
      <c r="C2" s="28">
        <v>41214</v>
      </c>
      <c r="D2" s="29">
        <f>3145-1275</f>
        <v>1870</v>
      </c>
      <c r="E2" s="30" t="s">
        <v>3822</v>
      </c>
      <c r="F2" s="26" t="s">
        <v>1325</v>
      </c>
      <c r="G2" s="12"/>
    </row>
    <row r="3" spans="1:7">
      <c r="A3" s="26">
        <v>2</v>
      </c>
      <c r="B3" s="27" t="s">
        <v>1030</v>
      </c>
      <c r="C3" s="28">
        <v>41233</v>
      </c>
      <c r="D3" s="29">
        <f>3750+1125</f>
        <v>4875</v>
      </c>
      <c r="E3" s="30" t="s">
        <v>1031</v>
      </c>
      <c r="F3" s="26" t="s">
        <v>1326</v>
      </c>
      <c r="G3" s="12"/>
    </row>
    <row r="4" spans="1:7">
      <c r="A4" s="26">
        <v>3</v>
      </c>
      <c r="B4" s="27" t="s">
        <v>1017</v>
      </c>
      <c r="C4" s="28">
        <v>41229</v>
      </c>
      <c r="D4" s="29">
        <f>2625+1125+375</f>
        <v>4125</v>
      </c>
      <c r="E4" s="30" t="s">
        <v>1018</v>
      </c>
      <c r="F4" s="26" t="s">
        <v>1327</v>
      </c>
      <c r="G4" s="12"/>
    </row>
    <row r="5" spans="1:7">
      <c r="A5" s="26"/>
      <c r="B5" s="27"/>
      <c r="C5" s="28">
        <v>41232</v>
      </c>
      <c r="D5" s="29">
        <v>1125</v>
      </c>
      <c r="E5" s="30" t="s">
        <v>1025</v>
      </c>
      <c r="F5" s="26" t="s">
        <v>1327</v>
      </c>
      <c r="G5" s="12"/>
    </row>
    <row r="6" spans="1:7">
      <c r="A6" s="26"/>
      <c r="B6" s="27"/>
      <c r="C6" s="28">
        <v>41235</v>
      </c>
      <c r="D6" s="29">
        <v>1125</v>
      </c>
      <c r="E6" s="30" t="s">
        <v>4004</v>
      </c>
      <c r="F6" s="26" t="s">
        <v>1327</v>
      </c>
      <c r="G6" s="12"/>
    </row>
    <row r="7" spans="1:7">
      <c r="A7" s="26"/>
      <c r="B7" s="27"/>
      <c r="C7" s="28">
        <v>41238</v>
      </c>
      <c r="D7" s="29">
        <v>2625</v>
      </c>
      <c r="E7" s="30" t="s">
        <v>1198</v>
      </c>
      <c r="F7" s="26" t="s">
        <v>1327</v>
      </c>
      <c r="G7" s="12"/>
    </row>
    <row r="8" spans="1:7">
      <c r="A8" s="26"/>
      <c r="B8" s="27"/>
      <c r="C8" s="28">
        <v>41240</v>
      </c>
      <c r="D8" s="29">
        <f>1125+375+1125</f>
        <v>2625</v>
      </c>
      <c r="E8" s="30" t="s">
        <v>1208</v>
      </c>
      <c r="F8" s="26" t="s">
        <v>1327</v>
      </c>
      <c r="G8" s="12"/>
    </row>
    <row r="9" spans="1:7" ht="32.4">
      <c r="A9" s="26"/>
      <c r="B9" s="27"/>
      <c r="C9" s="28">
        <v>41243</v>
      </c>
      <c r="D9" s="29">
        <f>1125</f>
        <v>1125</v>
      </c>
      <c r="E9" s="30" t="s">
        <v>1032</v>
      </c>
      <c r="F9" s="26" t="s">
        <v>1327</v>
      </c>
      <c r="G9" s="12" t="s">
        <v>286</v>
      </c>
    </row>
    <row r="10" spans="1:7">
      <c r="A10" s="26"/>
      <c r="B10" s="27"/>
      <c r="C10" s="28">
        <v>41248</v>
      </c>
      <c r="D10" s="29">
        <v>4125</v>
      </c>
      <c r="E10" s="30" t="s">
        <v>1240</v>
      </c>
      <c r="F10" s="26" t="s">
        <v>1327</v>
      </c>
      <c r="G10" s="12"/>
    </row>
    <row r="11" spans="1:7">
      <c r="A11" s="26"/>
      <c r="B11" s="27"/>
      <c r="C11" s="28">
        <v>41250</v>
      </c>
      <c r="D11" s="29">
        <v>1125</v>
      </c>
      <c r="E11" s="30" t="s">
        <v>1246</v>
      </c>
      <c r="F11" s="26" t="s">
        <v>1327</v>
      </c>
      <c r="G11" s="12"/>
    </row>
    <row r="12" spans="1:7">
      <c r="A12" s="26"/>
      <c r="B12" s="27"/>
      <c r="C12" s="28">
        <v>41251</v>
      </c>
      <c r="D12" s="29">
        <v>1125</v>
      </c>
      <c r="E12" s="30" t="s">
        <v>1241</v>
      </c>
      <c r="F12" s="26" t="s">
        <v>1327</v>
      </c>
      <c r="G12" s="12" t="s">
        <v>282</v>
      </c>
    </row>
    <row r="13" spans="1:7">
      <c r="A13" s="26"/>
      <c r="B13" s="27"/>
      <c r="C13" s="28">
        <v>41255</v>
      </c>
      <c r="D13" s="29">
        <v>2625</v>
      </c>
      <c r="E13" s="30" t="s">
        <v>1329</v>
      </c>
      <c r="F13" s="26" t="s">
        <v>1327</v>
      </c>
      <c r="G13" s="12"/>
    </row>
    <row r="14" spans="1:7">
      <c r="A14" s="26"/>
      <c r="B14" s="27"/>
      <c r="C14" s="28">
        <v>41257</v>
      </c>
      <c r="D14" s="29">
        <v>1125</v>
      </c>
      <c r="E14" s="30" t="s">
        <v>46</v>
      </c>
      <c r="F14" s="26" t="s">
        <v>1327</v>
      </c>
      <c r="G14" s="12"/>
    </row>
    <row r="15" spans="1:7">
      <c r="A15" s="26"/>
      <c r="B15" s="27"/>
      <c r="C15" s="28">
        <v>41260</v>
      </c>
      <c r="D15" s="29">
        <v>375</v>
      </c>
      <c r="E15" s="30" t="s">
        <v>170</v>
      </c>
      <c r="F15" s="26" t="s">
        <v>1327</v>
      </c>
      <c r="G15" s="12"/>
    </row>
    <row r="16" spans="1:7">
      <c r="A16" s="26"/>
      <c r="B16" s="27"/>
      <c r="C16" s="28">
        <v>41263</v>
      </c>
      <c r="D16" s="29">
        <v>1125</v>
      </c>
      <c r="E16" s="32" t="s">
        <v>180</v>
      </c>
      <c r="F16" s="26" t="s">
        <v>1327</v>
      </c>
      <c r="G16" s="12"/>
    </row>
    <row r="17" spans="1:7">
      <c r="A17" s="26"/>
      <c r="B17" s="27"/>
      <c r="C17" s="28">
        <v>41267</v>
      </c>
      <c r="D17" s="29">
        <f>1125+2625</f>
        <v>3750</v>
      </c>
      <c r="E17" s="30" t="s">
        <v>182</v>
      </c>
      <c r="F17" s="26" t="s">
        <v>1327</v>
      </c>
      <c r="G17" s="12"/>
    </row>
    <row r="18" spans="1:7">
      <c r="A18" s="26"/>
      <c r="B18" s="27"/>
      <c r="C18" s="28">
        <v>41270</v>
      </c>
      <c r="D18" s="29">
        <v>1125</v>
      </c>
      <c r="E18" s="30" t="s">
        <v>1303</v>
      </c>
      <c r="F18" s="26" t="s">
        <v>1327</v>
      </c>
      <c r="G18" s="12"/>
    </row>
    <row r="19" spans="1:7">
      <c r="A19" s="26"/>
      <c r="B19" s="27"/>
      <c r="C19" s="28">
        <v>41275</v>
      </c>
      <c r="D19" s="29">
        <v>375</v>
      </c>
      <c r="E19" s="30" t="s">
        <v>1321</v>
      </c>
      <c r="F19" s="26" t="s">
        <v>1331</v>
      </c>
      <c r="G19" s="12"/>
    </row>
    <row r="20" spans="1:7">
      <c r="A20" s="26"/>
      <c r="B20" s="27"/>
      <c r="C20" s="28">
        <v>41277</v>
      </c>
      <c r="D20" s="29">
        <v>1125</v>
      </c>
      <c r="E20" s="30" t="s">
        <v>2490</v>
      </c>
      <c r="F20" s="26" t="s">
        <v>1331</v>
      </c>
      <c r="G20" s="12"/>
    </row>
    <row r="21" spans="1:7">
      <c r="A21" s="26"/>
      <c r="B21" s="27"/>
      <c r="C21" s="28">
        <v>41279</v>
      </c>
      <c r="D21" s="29">
        <v>1125</v>
      </c>
      <c r="E21" s="30" t="s">
        <v>2495</v>
      </c>
      <c r="F21" s="26" t="s">
        <v>1331</v>
      </c>
      <c r="G21" s="12"/>
    </row>
    <row r="22" spans="1:7">
      <c r="A22" s="26"/>
      <c r="B22" s="27"/>
      <c r="C22" s="28">
        <v>41281</v>
      </c>
      <c r="D22" s="29">
        <v>2625</v>
      </c>
      <c r="E22" s="30" t="s">
        <v>2736</v>
      </c>
      <c r="F22" s="26" t="s">
        <v>1331</v>
      </c>
      <c r="G22" s="12"/>
    </row>
    <row r="23" spans="1:7">
      <c r="A23" s="26"/>
      <c r="B23" s="27"/>
      <c r="C23" s="28">
        <v>41286</v>
      </c>
      <c r="D23" s="29">
        <f>1125+375+1125+1125</f>
        <v>3750</v>
      </c>
      <c r="E23" s="30" t="s">
        <v>1330</v>
      </c>
      <c r="F23" s="26" t="s">
        <v>1331</v>
      </c>
      <c r="G23" s="12"/>
    </row>
    <row r="24" spans="1:7">
      <c r="A24" s="26"/>
      <c r="B24" s="27"/>
      <c r="C24" s="28">
        <v>41296</v>
      </c>
      <c r="D24" s="29">
        <v>2625</v>
      </c>
      <c r="E24" s="30" t="s">
        <v>2907</v>
      </c>
      <c r="F24" s="26" t="s">
        <v>1331</v>
      </c>
      <c r="G24" s="12"/>
    </row>
    <row r="25" spans="1:7" ht="48.6">
      <c r="A25" s="26">
        <v>4</v>
      </c>
      <c r="B25" s="27" t="s">
        <v>1212</v>
      </c>
      <c r="C25" s="28">
        <v>41241</v>
      </c>
      <c r="D25" s="29">
        <f>4125+4125+4125+4125+2250+2250+2250+1310+1310+1310</f>
        <v>27180</v>
      </c>
      <c r="E25" s="33" t="s">
        <v>1213</v>
      </c>
      <c r="F25" s="26" t="s">
        <v>1332</v>
      </c>
      <c r="G25" s="12"/>
    </row>
    <row r="26" spans="1:7" ht="32.4">
      <c r="A26" s="26"/>
      <c r="B26" s="27"/>
      <c r="C26" s="28">
        <v>41274</v>
      </c>
      <c r="D26" s="29">
        <f>4125+4125+4125+2250+2250+1310+1310</f>
        <v>19495</v>
      </c>
      <c r="E26" s="30" t="s">
        <v>1316</v>
      </c>
      <c r="F26" s="26" t="s">
        <v>1332</v>
      </c>
      <c r="G26" s="12"/>
    </row>
    <row r="27" spans="1:7">
      <c r="A27" s="26">
        <v>5</v>
      </c>
      <c r="B27" s="27" t="s">
        <v>1019</v>
      </c>
      <c r="C27" s="28">
        <v>41229</v>
      </c>
      <c r="D27" s="29">
        <v>1875</v>
      </c>
      <c r="E27" s="32" t="s">
        <v>1020</v>
      </c>
      <c r="F27" s="26" t="s">
        <v>1333</v>
      </c>
      <c r="G27" s="12"/>
    </row>
    <row r="28" spans="1:7">
      <c r="A28" s="26"/>
      <c r="B28" s="27"/>
      <c r="C28" s="28">
        <v>41241</v>
      </c>
      <c r="D28" s="29">
        <v>1125</v>
      </c>
      <c r="E28" s="30" t="s">
        <v>1214</v>
      </c>
      <c r="F28" s="26" t="s">
        <v>1333</v>
      </c>
      <c r="G28" s="12"/>
    </row>
    <row r="29" spans="1:7">
      <c r="A29" s="26"/>
      <c r="B29" s="27"/>
      <c r="C29" s="28">
        <v>41243</v>
      </c>
      <c r="D29" s="29">
        <v>1875</v>
      </c>
      <c r="E29" s="30" t="s">
        <v>1225</v>
      </c>
      <c r="F29" s="26" t="s">
        <v>1333</v>
      </c>
      <c r="G29" s="12"/>
    </row>
    <row r="30" spans="1:7">
      <c r="A30" s="26"/>
      <c r="B30" s="27"/>
      <c r="C30" s="28">
        <v>41256</v>
      </c>
      <c r="D30" s="29">
        <v>1125</v>
      </c>
      <c r="E30" s="30" t="s">
        <v>45</v>
      </c>
      <c r="F30" s="26" t="s">
        <v>1333</v>
      </c>
      <c r="G30" s="12"/>
    </row>
    <row r="31" spans="1:7">
      <c r="A31" s="26"/>
      <c r="B31" s="27"/>
      <c r="C31" s="28">
        <v>41260</v>
      </c>
      <c r="D31" s="29">
        <v>1875</v>
      </c>
      <c r="E31" s="32" t="s">
        <v>171</v>
      </c>
      <c r="F31" s="26" t="s">
        <v>1333</v>
      </c>
      <c r="G31" s="12"/>
    </row>
    <row r="32" spans="1:7">
      <c r="A32" s="26"/>
      <c r="B32" s="27"/>
      <c r="C32" s="28">
        <v>41271</v>
      </c>
      <c r="D32" s="29">
        <v>1125</v>
      </c>
      <c r="E32" s="30" t="s">
        <v>1306</v>
      </c>
      <c r="F32" s="26" t="s">
        <v>1333</v>
      </c>
      <c r="G32" s="12"/>
    </row>
    <row r="33" spans="1:7">
      <c r="A33" s="26"/>
      <c r="B33" s="27"/>
      <c r="C33" s="28">
        <v>41274</v>
      </c>
      <c r="D33" s="29">
        <v>1875</v>
      </c>
      <c r="E33" s="30" t="s">
        <v>1317</v>
      </c>
      <c r="F33" s="26" t="s">
        <v>1333</v>
      </c>
      <c r="G33" s="12"/>
    </row>
    <row r="34" spans="1:7">
      <c r="A34" s="26"/>
      <c r="B34" s="27"/>
      <c r="C34" s="28">
        <v>41288</v>
      </c>
      <c r="D34" s="29">
        <v>1125</v>
      </c>
      <c r="E34" s="30" t="s">
        <v>304</v>
      </c>
      <c r="F34" s="26" t="s">
        <v>1334</v>
      </c>
      <c r="G34" s="12"/>
    </row>
    <row r="35" spans="1:7">
      <c r="A35" s="26"/>
      <c r="B35" s="27"/>
      <c r="C35" s="28">
        <v>41290</v>
      </c>
      <c r="D35" s="29">
        <v>1875</v>
      </c>
      <c r="E35" s="30" t="s">
        <v>308</v>
      </c>
      <c r="F35" s="26" t="s">
        <v>1334</v>
      </c>
      <c r="G35" s="12"/>
    </row>
    <row r="36" spans="1:7">
      <c r="A36" s="26">
        <v>6</v>
      </c>
      <c r="B36" s="27" t="s">
        <v>3818</v>
      </c>
      <c r="C36" s="28">
        <v>41216</v>
      </c>
      <c r="D36" s="29">
        <v>185</v>
      </c>
      <c r="E36" s="30" t="s">
        <v>3990</v>
      </c>
      <c r="F36" s="26" t="s">
        <v>1337</v>
      </c>
      <c r="G36" s="12"/>
    </row>
    <row r="37" spans="1:7">
      <c r="A37" s="26"/>
      <c r="B37" s="27"/>
      <c r="C37" s="28">
        <v>41219</v>
      </c>
      <c r="D37" s="29">
        <v>1125</v>
      </c>
      <c r="E37" s="30" t="s">
        <v>4004</v>
      </c>
      <c r="F37" s="26" t="s">
        <v>1337</v>
      </c>
      <c r="G37" s="12"/>
    </row>
    <row r="38" spans="1:7">
      <c r="A38" s="26"/>
      <c r="B38" s="27"/>
      <c r="C38" s="28">
        <v>41220</v>
      </c>
      <c r="D38" s="29">
        <v>375</v>
      </c>
      <c r="E38" s="30" t="s">
        <v>4010</v>
      </c>
      <c r="F38" s="26" t="s">
        <v>1337</v>
      </c>
      <c r="G38" s="12"/>
    </row>
    <row r="39" spans="1:7">
      <c r="A39" s="26"/>
      <c r="B39" s="27"/>
      <c r="C39" s="28">
        <v>41223</v>
      </c>
      <c r="D39" s="29">
        <f>560+2250</f>
        <v>2810</v>
      </c>
      <c r="E39" s="30" t="s">
        <v>4017</v>
      </c>
      <c r="F39" s="26" t="s">
        <v>1337</v>
      </c>
      <c r="G39" s="12"/>
    </row>
    <row r="40" spans="1:7">
      <c r="A40" s="26"/>
      <c r="B40" s="27"/>
      <c r="C40" s="28">
        <v>41223</v>
      </c>
      <c r="D40" s="29">
        <v>1350</v>
      </c>
      <c r="E40" s="30" t="s">
        <v>4018</v>
      </c>
      <c r="F40" s="26" t="s">
        <v>1337</v>
      </c>
      <c r="G40" s="12"/>
    </row>
    <row r="41" spans="1:7">
      <c r="A41" s="26"/>
      <c r="B41" s="27"/>
      <c r="C41" s="28">
        <v>41225</v>
      </c>
      <c r="D41" s="29">
        <v>1875</v>
      </c>
      <c r="E41" s="30" t="s">
        <v>4023</v>
      </c>
      <c r="F41" s="26" t="s">
        <v>1337</v>
      </c>
      <c r="G41" s="12"/>
    </row>
    <row r="42" spans="1:7">
      <c r="A42" s="26"/>
      <c r="B42" s="27"/>
      <c r="C42" s="28">
        <v>41227</v>
      </c>
      <c r="D42" s="29">
        <v>375</v>
      </c>
      <c r="E42" s="30" t="s">
        <v>1012</v>
      </c>
      <c r="F42" s="26" t="s">
        <v>1337</v>
      </c>
      <c r="G42" s="12"/>
    </row>
    <row r="43" spans="1:7">
      <c r="A43" s="26"/>
      <c r="B43" s="27"/>
      <c r="C43" s="28">
        <v>41232</v>
      </c>
      <c r="D43" s="29">
        <v>185</v>
      </c>
      <c r="E43" s="30" t="s">
        <v>1026</v>
      </c>
      <c r="F43" s="26" t="s">
        <v>1337</v>
      </c>
      <c r="G43" s="12"/>
    </row>
    <row r="44" spans="1:7">
      <c r="A44" s="26"/>
      <c r="B44" s="27"/>
      <c r="C44" s="28">
        <v>41233</v>
      </c>
      <c r="D44" s="29">
        <v>1125</v>
      </c>
      <c r="E44" s="30" t="s">
        <v>1032</v>
      </c>
      <c r="F44" s="26" t="s">
        <v>1337</v>
      </c>
      <c r="G44" s="12"/>
    </row>
    <row r="45" spans="1:7">
      <c r="A45" s="26"/>
      <c r="B45" s="27"/>
      <c r="C45" s="28">
        <v>41235</v>
      </c>
      <c r="D45" s="29">
        <v>375</v>
      </c>
      <c r="E45" s="30" t="s">
        <v>1038</v>
      </c>
      <c r="F45" s="26" t="s">
        <v>1337</v>
      </c>
      <c r="G45" s="12"/>
    </row>
    <row r="46" spans="1:7">
      <c r="A46" s="26"/>
      <c r="B46" s="27"/>
      <c r="C46" s="28">
        <v>41237</v>
      </c>
      <c r="D46" s="29">
        <f>560</f>
        <v>560</v>
      </c>
      <c r="E46" s="30" t="s">
        <v>1043</v>
      </c>
      <c r="F46" s="26" t="s">
        <v>1337</v>
      </c>
      <c r="G46" s="12"/>
    </row>
    <row r="47" spans="1:7">
      <c r="A47" s="26"/>
      <c r="B47" s="27"/>
      <c r="C47" s="28">
        <v>41237</v>
      </c>
      <c r="D47" s="29">
        <v>1350</v>
      </c>
      <c r="E47" s="30" t="s">
        <v>1044</v>
      </c>
      <c r="F47" s="26" t="s">
        <v>1337</v>
      </c>
      <c r="G47" s="12"/>
    </row>
    <row r="48" spans="1:7">
      <c r="A48" s="26"/>
      <c r="B48" s="27"/>
      <c r="C48" s="28">
        <v>41239</v>
      </c>
      <c r="D48" s="29">
        <v>2250</v>
      </c>
      <c r="E48" s="30" t="s">
        <v>3819</v>
      </c>
      <c r="F48" s="26" t="s">
        <v>1337</v>
      </c>
      <c r="G48" s="12"/>
    </row>
    <row r="49" spans="1:7">
      <c r="A49" s="26"/>
      <c r="B49" s="27"/>
      <c r="C49" s="28">
        <v>41240</v>
      </c>
      <c r="D49" s="29">
        <v>1875</v>
      </c>
      <c r="E49" s="30" t="s">
        <v>1209</v>
      </c>
      <c r="F49" s="26" t="s">
        <v>1337</v>
      </c>
      <c r="G49" s="12"/>
    </row>
    <row r="50" spans="1:7">
      <c r="A50" s="26"/>
      <c r="B50" s="27"/>
      <c r="C50" s="28">
        <v>41242</v>
      </c>
      <c r="D50" s="29">
        <v>375</v>
      </c>
      <c r="E50" s="30" t="s">
        <v>1217</v>
      </c>
      <c r="F50" s="26" t="s">
        <v>1337</v>
      </c>
      <c r="G50" s="12"/>
    </row>
    <row r="51" spans="1:7">
      <c r="A51" s="26"/>
      <c r="B51" s="27"/>
      <c r="C51" s="28">
        <v>41247</v>
      </c>
      <c r="D51" s="29">
        <v>185</v>
      </c>
      <c r="E51" s="30" t="s">
        <v>1239</v>
      </c>
      <c r="F51" s="26" t="s">
        <v>1337</v>
      </c>
      <c r="G51" s="12"/>
    </row>
    <row r="52" spans="1:7">
      <c r="A52" s="26"/>
      <c r="B52" s="27"/>
      <c r="C52" s="28">
        <v>41248</v>
      </c>
      <c r="D52" s="29">
        <v>1125</v>
      </c>
      <c r="E52" s="30" t="s">
        <v>1241</v>
      </c>
      <c r="F52" s="26" t="s">
        <v>1337</v>
      </c>
      <c r="G52" s="12"/>
    </row>
    <row r="53" spans="1:7">
      <c r="A53" s="26"/>
      <c r="B53" s="27"/>
      <c r="C53" s="28">
        <v>41250</v>
      </c>
      <c r="D53" s="29">
        <v>375</v>
      </c>
      <c r="E53" s="30" t="s">
        <v>1247</v>
      </c>
      <c r="F53" s="26" t="s">
        <v>1337</v>
      </c>
      <c r="G53" s="12"/>
    </row>
    <row r="54" spans="1:7">
      <c r="A54" s="26"/>
      <c r="B54" s="27"/>
      <c r="C54" s="28">
        <v>41253</v>
      </c>
      <c r="D54" s="29">
        <f>560</f>
        <v>560</v>
      </c>
      <c r="E54" s="30" t="s">
        <v>1250</v>
      </c>
      <c r="F54" s="26" t="s">
        <v>1337</v>
      </c>
      <c r="G54" s="12"/>
    </row>
    <row r="55" spans="1:7">
      <c r="A55" s="26"/>
      <c r="B55" s="27"/>
      <c r="C55" s="28">
        <v>41253</v>
      </c>
      <c r="D55" s="29">
        <v>1350</v>
      </c>
      <c r="E55" s="30" t="s">
        <v>1251</v>
      </c>
      <c r="F55" s="26" t="s">
        <v>1337</v>
      </c>
      <c r="G55" s="12"/>
    </row>
    <row r="56" spans="1:7">
      <c r="A56" s="26"/>
      <c r="B56" s="27"/>
      <c r="C56" s="28">
        <v>41254</v>
      </c>
      <c r="D56" s="29">
        <v>2250</v>
      </c>
      <c r="E56" s="30" t="s">
        <v>38</v>
      </c>
      <c r="F56" s="26" t="s">
        <v>1337</v>
      </c>
      <c r="G56" s="12"/>
    </row>
    <row r="57" spans="1:7">
      <c r="A57" s="26"/>
      <c r="B57" s="27"/>
      <c r="C57" s="28">
        <v>41255</v>
      </c>
      <c r="D57" s="29">
        <v>1875</v>
      </c>
      <c r="E57" s="30" t="s">
        <v>41</v>
      </c>
      <c r="F57" s="26" t="s">
        <v>1337</v>
      </c>
      <c r="G57" s="12"/>
    </row>
    <row r="58" spans="1:7">
      <c r="A58" s="26"/>
      <c r="B58" s="27"/>
      <c r="C58" s="28">
        <v>41257</v>
      </c>
      <c r="D58" s="29">
        <v>375</v>
      </c>
      <c r="E58" s="30" t="s">
        <v>2437</v>
      </c>
      <c r="F58" s="26" t="s">
        <v>1337</v>
      </c>
      <c r="G58" s="12"/>
    </row>
    <row r="59" spans="1:7">
      <c r="A59" s="26"/>
      <c r="B59" s="27"/>
      <c r="C59" s="21" t="s">
        <v>1335</v>
      </c>
      <c r="D59" s="29">
        <v>2245</v>
      </c>
      <c r="E59" s="30" t="s">
        <v>1338</v>
      </c>
      <c r="F59" s="26" t="s">
        <v>1337</v>
      </c>
      <c r="G59" s="12"/>
    </row>
    <row r="60" spans="1:7">
      <c r="A60" s="26"/>
      <c r="B60" s="27"/>
      <c r="C60" s="21" t="s">
        <v>1335</v>
      </c>
      <c r="D60" s="29">
        <v>1350</v>
      </c>
      <c r="E60" s="30" t="s">
        <v>1336</v>
      </c>
      <c r="F60" s="26" t="s">
        <v>1337</v>
      </c>
      <c r="G60" s="12"/>
    </row>
    <row r="61" spans="1:7">
      <c r="A61" s="26"/>
      <c r="B61" s="27"/>
      <c r="C61" s="21" t="s">
        <v>1335</v>
      </c>
      <c r="D61" s="29">
        <v>2250</v>
      </c>
      <c r="E61" s="30" t="s">
        <v>1339</v>
      </c>
      <c r="F61" s="26" t="s">
        <v>1337</v>
      </c>
      <c r="G61" s="12"/>
    </row>
    <row r="62" spans="1:7">
      <c r="A62" s="26"/>
      <c r="B62" s="27"/>
      <c r="C62" s="21" t="s">
        <v>1335</v>
      </c>
      <c r="D62" s="29">
        <v>2250</v>
      </c>
      <c r="E62" s="30" t="s">
        <v>1340</v>
      </c>
      <c r="F62" s="26" t="s">
        <v>1337</v>
      </c>
      <c r="G62" s="12"/>
    </row>
    <row r="63" spans="1:7">
      <c r="A63" s="26"/>
      <c r="B63" s="27"/>
      <c r="C63" s="21" t="s">
        <v>1335</v>
      </c>
      <c r="D63" s="29">
        <v>185</v>
      </c>
      <c r="E63" s="30" t="s">
        <v>1341</v>
      </c>
      <c r="F63" s="26" t="s">
        <v>2363</v>
      </c>
      <c r="G63" s="12"/>
    </row>
    <row r="64" spans="1:7">
      <c r="A64" s="26"/>
      <c r="B64" s="27"/>
      <c r="C64" s="21" t="s">
        <v>1335</v>
      </c>
      <c r="D64" s="29">
        <v>1500</v>
      </c>
      <c r="E64" s="30" t="s">
        <v>2362</v>
      </c>
      <c r="F64" s="26" t="s">
        <v>2363</v>
      </c>
      <c r="G64" s="12"/>
    </row>
    <row r="65" spans="1:7">
      <c r="A65" s="26"/>
      <c r="B65" s="27"/>
      <c r="C65" s="21" t="s">
        <v>1335</v>
      </c>
      <c r="D65" s="29">
        <v>1350</v>
      </c>
      <c r="E65" s="30" t="s">
        <v>2911</v>
      </c>
      <c r="F65" s="26" t="s">
        <v>2363</v>
      </c>
      <c r="G65" s="12"/>
    </row>
    <row r="66" spans="1:7">
      <c r="A66" s="26">
        <v>7</v>
      </c>
      <c r="B66" s="27" t="s">
        <v>3823</v>
      </c>
      <c r="C66" s="28">
        <v>41214</v>
      </c>
      <c r="D66" s="29">
        <v>375</v>
      </c>
      <c r="E66" s="30" t="s">
        <v>3977</v>
      </c>
      <c r="F66" s="26" t="s">
        <v>2364</v>
      </c>
      <c r="G66" s="12"/>
    </row>
    <row r="67" spans="1:7">
      <c r="A67" s="26"/>
      <c r="B67" s="27"/>
      <c r="C67" s="28">
        <v>41223</v>
      </c>
      <c r="D67" s="29">
        <f>1125+1500</f>
        <v>2625</v>
      </c>
      <c r="E67" s="30" t="s">
        <v>4019</v>
      </c>
      <c r="F67" s="26" t="s">
        <v>2364</v>
      </c>
      <c r="G67" s="12"/>
    </row>
    <row r="68" spans="1:7">
      <c r="A68" s="26"/>
      <c r="B68" s="27"/>
      <c r="C68" s="28">
        <v>41227</v>
      </c>
      <c r="D68" s="29">
        <f>375+2250</f>
        <v>2625</v>
      </c>
      <c r="E68" s="30" t="s">
        <v>1013</v>
      </c>
      <c r="F68" s="26" t="s">
        <v>2364</v>
      </c>
      <c r="G68" s="12"/>
    </row>
    <row r="69" spans="1:7">
      <c r="A69" s="26"/>
      <c r="B69" s="27"/>
      <c r="C69" s="28">
        <v>41232</v>
      </c>
      <c r="D69" s="29">
        <v>375</v>
      </c>
      <c r="E69" s="30" t="s">
        <v>1027</v>
      </c>
      <c r="F69" s="26" t="s">
        <v>2364</v>
      </c>
      <c r="G69" s="12"/>
    </row>
    <row r="70" spans="1:7">
      <c r="A70" s="26"/>
      <c r="B70" s="27"/>
      <c r="C70" s="28" t="s">
        <v>1335</v>
      </c>
      <c r="D70" s="29">
        <f>1125+1500+375</f>
        <v>3000</v>
      </c>
      <c r="E70" s="30" t="s">
        <v>2912</v>
      </c>
      <c r="F70" s="26" t="s">
        <v>2364</v>
      </c>
      <c r="G70" s="12"/>
    </row>
    <row r="71" spans="1:7">
      <c r="A71" s="26"/>
      <c r="B71" s="27"/>
      <c r="C71" s="28">
        <v>41241</v>
      </c>
      <c r="D71" s="29">
        <v>2250</v>
      </c>
      <c r="E71" s="30" t="s">
        <v>1215</v>
      </c>
      <c r="F71" s="26" t="s">
        <v>2364</v>
      </c>
      <c r="G71" s="12"/>
    </row>
    <row r="72" spans="1:7">
      <c r="A72" s="26"/>
      <c r="B72" s="27"/>
      <c r="C72" s="28">
        <v>41244</v>
      </c>
      <c r="D72" s="29">
        <v>375</v>
      </c>
      <c r="E72" s="30" t="s">
        <v>1230</v>
      </c>
      <c r="F72" s="26" t="s">
        <v>2364</v>
      </c>
      <c r="G72" s="12"/>
    </row>
    <row r="73" spans="1:7">
      <c r="A73" s="26"/>
      <c r="B73" s="27"/>
      <c r="C73" s="28">
        <v>41255</v>
      </c>
      <c r="D73" s="29">
        <f>1125+1500+375</f>
        <v>3000</v>
      </c>
      <c r="E73" s="30" t="s">
        <v>42</v>
      </c>
      <c r="F73" s="26" t="s">
        <v>2364</v>
      </c>
      <c r="G73" s="12"/>
    </row>
    <row r="74" spans="1:7">
      <c r="A74" s="26"/>
      <c r="B74" s="27"/>
      <c r="C74" s="28">
        <v>41260</v>
      </c>
      <c r="D74" s="29">
        <v>2250</v>
      </c>
      <c r="E74" s="30" t="s">
        <v>172</v>
      </c>
      <c r="F74" s="26" t="s">
        <v>2364</v>
      </c>
      <c r="G74" s="12"/>
    </row>
    <row r="75" spans="1:7">
      <c r="A75" s="26"/>
      <c r="B75" s="27"/>
      <c r="C75" s="28" t="s">
        <v>1335</v>
      </c>
      <c r="D75" s="29">
        <v>375</v>
      </c>
      <c r="E75" s="30" t="s">
        <v>2913</v>
      </c>
      <c r="F75" s="26" t="s">
        <v>2364</v>
      </c>
      <c r="G75" s="12"/>
    </row>
    <row r="76" spans="1:7" ht="32.4">
      <c r="A76" s="26"/>
      <c r="B76" s="27"/>
      <c r="C76" s="28">
        <v>41272</v>
      </c>
      <c r="D76" s="29">
        <f>1125+1500+375+2250+375</f>
        <v>5625</v>
      </c>
      <c r="E76" s="30" t="s">
        <v>1308</v>
      </c>
      <c r="F76" s="26" t="s">
        <v>2364</v>
      </c>
      <c r="G76" s="12"/>
    </row>
    <row r="77" spans="1:7">
      <c r="A77" s="26"/>
      <c r="B77" s="27"/>
      <c r="C77" s="28">
        <v>41285</v>
      </c>
      <c r="D77" s="29">
        <v>1125</v>
      </c>
      <c r="E77" s="30" t="s">
        <v>2747</v>
      </c>
      <c r="F77" s="26" t="s">
        <v>2365</v>
      </c>
      <c r="G77" s="12"/>
    </row>
    <row r="78" spans="1:7">
      <c r="A78" s="26"/>
      <c r="B78" s="27"/>
      <c r="C78" s="28">
        <v>41289</v>
      </c>
      <c r="D78" s="29">
        <f>1500+375</f>
        <v>1875</v>
      </c>
      <c r="E78" s="30" t="s">
        <v>305</v>
      </c>
      <c r="F78" s="26" t="s">
        <v>2365</v>
      </c>
      <c r="G78" s="12"/>
    </row>
    <row r="79" spans="1:7">
      <c r="A79" s="26"/>
      <c r="B79" s="27"/>
      <c r="C79" s="28">
        <v>41293</v>
      </c>
      <c r="D79" s="29">
        <f>2250+375</f>
        <v>2625</v>
      </c>
      <c r="E79" s="30" t="s">
        <v>2894</v>
      </c>
      <c r="F79" s="26" t="s">
        <v>2365</v>
      </c>
      <c r="G79" s="12"/>
    </row>
    <row r="80" spans="1:7">
      <c r="A80" s="26">
        <v>8</v>
      </c>
      <c r="B80" s="27" t="s">
        <v>4005</v>
      </c>
      <c r="C80" s="28">
        <v>41219</v>
      </c>
      <c r="D80" s="29">
        <f>1125+375</f>
        <v>1500</v>
      </c>
      <c r="E80" s="30" t="s">
        <v>4006</v>
      </c>
      <c r="F80" s="26" t="s">
        <v>2366</v>
      </c>
      <c r="G80" s="12"/>
    </row>
    <row r="81" spans="1:7">
      <c r="A81" s="26"/>
      <c r="B81" s="27"/>
      <c r="C81" s="28">
        <v>41222</v>
      </c>
      <c r="D81" s="29">
        <v>4125</v>
      </c>
      <c r="E81" s="30" t="s">
        <v>4015</v>
      </c>
      <c r="F81" s="26" t="s">
        <v>2366</v>
      </c>
      <c r="G81" s="12"/>
    </row>
    <row r="82" spans="1:7">
      <c r="A82" s="26"/>
      <c r="B82" s="27"/>
      <c r="C82" s="28">
        <v>41232</v>
      </c>
      <c r="D82" s="29">
        <f>1125+375</f>
        <v>1500</v>
      </c>
      <c r="E82" s="30" t="s">
        <v>1028</v>
      </c>
      <c r="F82" s="26" t="s">
        <v>2366</v>
      </c>
      <c r="G82" s="12"/>
    </row>
    <row r="83" spans="1:7">
      <c r="A83" s="26"/>
      <c r="B83" s="27"/>
      <c r="C83" s="28">
        <v>41239</v>
      </c>
      <c r="D83" s="29">
        <v>4125</v>
      </c>
      <c r="E83" s="30" t="s">
        <v>1202</v>
      </c>
      <c r="F83" s="26" t="s">
        <v>2366</v>
      </c>
      <c r="G83" s="12"/>
    </row>
    <row r="84" spans="1:7">
      <c r="A84" s="26"/>
      <c r="B84" s="27"/>
      <c r="C84" s="28">
        <v>41248</v>
      </c>
      <c r="D84" s="29">
        <f>1125+375</f>
        <v>1500</v>
      </c>
      <c r="E84" s="30" t="s">
        <v>1242</v>
      </c>
      <c r="F84" s="26" t="s">
        <v>2366</v>
      </c>
      <c r="G84" s="12"/>
    </row>
    <row r="85" spans="1:7" ht="32.4">
      <c r="A85" s="26"/>
      <c r="B85" s="27"/>
      <c r="C85" s="28">
        <v>41268</v>
      </c>
      <c r="D85" s="29">
        <f>4125+1125+375+4125</f>
        <v>9750</v>
      </c>
      <c r="E85" s="30" t="s">
        <v>1299</v>
      </c>
      <c r="F85" s="26" t="s">
        <v>2366</v>
      </c>
      <c r="G85" s="12"/>
    </row>
    <row r="86" spans="1:7">
      <c r="A86" s="26"/>
      <c r="B86" s="27"/>
      <c r="C86" s="28">
        <v>41281</v>
      </c>
      <c r="D86" s="29">
        <f>1125+375</f>
        <v>1500</v>
      </c>
      <c r="E86" s="30" t="s">
        <v>2737</v>
      </c>
      <c r="F86" s="26" t="s">
        <v>2367</v>
      </c>
      <c r="G86" s="12"/>
    </row>
    <row r="87" spans="1:7">
      <c r="A87" s="26"/>
      <c r="B87" s="27"/>
      <c r="C87" s="28">
        <v>41287</v>
      </c>
      <c r="D87" s="29">
        <v>4125</v>
      </c>
      <c r="E87" s="30" t="s">
        <v>2756</v>
      </c>
      <c r="F87" s="26" t="s">
        <v>2367</v>
      </c>
      <c r="G87" s="12"/>
    </row>
    <row r="88" spans="1:7">
      <c r="A88" s="26"/>
      <c r="B88" s="27"/>
      <c r="C88" s="28">
        <v>41294</v>
      </c>
      <c r="D88" s="29">
        <f>1125+375</f>
        <v>1500</v>
      </c>
      <c r="E88" s="30" t="s">
        <v>2900</v>
      </c>
      <c r="F88" s="26" t="s">
        <v>2367</v>
      </c>
      <c r="G88" s="12"/>
    </row>
    <row r="89" spans="1:7">
      <c r="A89" s="26">
        <v>9</v>
      </c>
      <c r="B89" s="27" t="s">
        <v>1226</v>
      </c>
      <c r="C89" s="28">
        <v>41243</v>
      </c>
      <c r="D89" s="29">
        <f>3750+3750</f>
        <v>7500</v>
      </c>
      <c r="E89" s="30" t="s">
        <v>1227</v>
      </c>
      <c r="F89" s="26" t="s">
        <v>1538</v>
      </c>
      <c r="G89" s="12"/>
    </row>
    <row r="90" spans="1:7" ht="32.4">
      <c r="A90" s="26"/>
      <c r="B90" s="27"/>
      <c r="C90" s="28">
        <v>41269</v>
      </c>
      <c r="D90" s="29">
        <f>3750+3750+3750+3750</f>
        <v>15000</v>
      </c>
      <c r="E90" s="30" t="s">
        <v>1537</v>
      </c>
      <c r="F90" s="26" t="s">
        <v>1538</v>
      </c>
      <c r="G90" s="12"/>
    </row>
    <row r="91" spans="1:7">
      <c r="A91" s="26"/>
      <c r="B91" s="27"/>
      <c r="C91" s="28">
        <v>41277</v>
      </c>
      <c r="D91" s="29">
        <v>935</v>
      </c>
      <c r="E91" s="30" t="s">
        <v>2491</v>
      </c>
      <c r="F91" s="26" t="s">
        <v>1539</v>
      </c>
      <c r="G91" s="12"/>
    </row>
    <row r="92" spans="1:7">
      <c r="A92" s="26"/>
      <c r="B92" s="27"/>
      <c r="C92" s="28">
        <v>41295</v>
      </c>
      <c r="D92" s="29">
        <v>935</v>
      </c>
      <c r="E92" s="30" t="s">
        <v>2904</v>
      </c>
      <c r="F92" s="26" t="s">
        <v>1539</v>
      </c>
      <c r="G92" s="12"/>
    </row>
    <row r="93" spans="1:7" ht="32.4">
      <c r="A93" s="26">
        <v>10</v>
      </c>
      <c r="B93" s="27" t="s">
        <v>1199</v>
      </c>
      <c r="C93" s="28">
        <v>41238</v>
      </c>
      <c r="D93" s="29">
        <f>4125+4125+2250+2250+3000</f>
        <v>15750</v>
      </c>
      <c r="E93" s="30" t="s">
        <v>1200</v>
      </c>
      <c r="F93" s="26" t="s">
        <v>1540</v>
      </c>
      <c r="G93" s="12"/>
    </row>
    <row r="94" spans="1:7">
      <c r="A94" s="26"/>
      <c r="B94" s="27"/>
      <c r="C94" s="28">
        <v>41273</v>
      </c>
      <c r="D94" s="29">
        <f>3000+3000+4125+2250</f>
        <v>12375</v>
      </c>
      <c r="E94" s="30" t="s">
        <v>1313</v>
      </c>
      <c r="F94" s="26" t="s">
        <v>1540</v>
      </c>
      <c r="G94" s="12"/>
    </row>
    <row r="95" spans="1:7">
      <c r="A95" s="26">
        <v>11</v>
      </c>
      <c r="B95" s="27" t="s">
        <v>3991</v>
      </c>
      <c r="C95" s="28">
        <v>41215</v>
      </c>
      <c r="D95" s="29">
        <v>750</v>
      </c>
      <c r="E95" s="30" t="s">
        <v>1236</v>
      </c>
      <c r="F95" s="26"/>
      <c r="G95" s="12"/>
    </row>
    <row r="96" spans="1:7">
      <c r="A96" s="26"/>
      <c r="C96" s="28">
        <v>41216</v>
      </c>
      <c r="D96" s="29">
        <v>1125</v>
      </c>
      <c r="E96" s="30" t="s">
        <v>3992</v>
      </c>
      <c r="F96" s="26" t="s">
        <v>1541</v>
      </c>
      <c r="G96" s="12"/>
    </row>
    <row r="97" spans="1:7">
      <c r="A97" s="26"/>
      <c r="B97" s="27"/>
      <c r="C97" s="28">
        <v>41220</v>
      </c>
      <c r="D97" s="29">
        <v>185</v>
      </c>
      <c r="E97" s="30" t="s">
        <v>4011</v>
      </c>
      <c r="F97" s="26" t="s">
        <v>1541</v>
      </c>
      <c r="G97" s="12"/>
    </row>
    <row r="98" spans="1:7">
      <c r="A98" s="26"/>
      <c r="B98" s="27"/>
      <c r="C98" s="28">
        <v>41223</v>
      </c>
      <c r="D98" s="29">
        <v>1125</v>
      </c>
      <c r="E98" s="30" t="s">
        <v>4020</v>
      </c>
      <c r="F98" s="26" t="s">
        <v>1541</v>
      </c>
      <c r="G98" s="12"/>
    </row>
    <row r="99" spans="1:7">
      <c r="A99" s="26"/>
      <c r="B99" s="27"/>
      <c r="C99" s="28">
        <v>41225</v>
      </c>
      <c r="D99" s="29">
        <v>1875</v>
      </c>
      <c r="E99" s="30" t="s">
        <v>4024</v>
      </c>
      <c r="F99" s="26" t="s">
        <v>1541</v>
      </c>
      <c r="G99" s="12"/>
    </row>
    <row r="100" spans="1:7">
      <c r="A100" s="26"/>
      <c r="B100" s="27"/>
      <c r="C100" s="28">
        <v>41227</v>
      </c>
      <c r="D100" s="29">
        <f>1310+1125</f>
        <v>2435</v>
      </c>
      <c r="E100" s="30" t="s">
        <v>1542</v>
      </c>
      <c r="F100" s="26" t="s">
        <v>1541</v>
      </c>
      <c r="G100" s="12"/>
    </row>
    <row r="101" spans="1:7">
      <c r="A101" s="26"/>
      <c r="B101" s="27"/>
      <c r="C101" s="28">
        <v>41234</v>
      </c>
      <c r="D101" s="29">
        <f>750+1125+185</f>
        <v>2060</v>
      </c>
      <c r="E101" s="30" t="s">
        <v>1034</v>
      </c>
      <c r="F101" s="26" t="s">
        <v>1541</v>
      </c>
      <c r="G101" s="12"/>
    </row>
    <row r="102" spans="1:7">
      <c r="A102" s="26"/>
      <c r="B102" s="27"/>
      <c r="C102" s="28">
        <v>41239</v>
      </c>
      <c r="D102" s="29">
        <f>1125+1875</f>
        <v>3000</v>
      </c>
      <c r="E102" s="30" t="s">
        <v>1203</v>
      </c>
      <c r="F102" s="26" t="s">
        <v>1541</v>
      </c>
      <c r="G102" s="12"/>
    </row>
    <row r="103" spans="1:7">
      <c r="A103" s="26"/>
      <c r="B103" s="27"/>
      <c r="C103" s="28">
        <v>41242</v>
      </c>
      <c r="D103" s="29">
        <f>1310+1125</f>
        <v>2435</v>
      </c>
      <c r="E103" s="30" t="s">
        <v>1543</v>
      </c>
      <c r="F103" s="26" t="s">
        <v>1541</v>
      </c>
      <c r="G103" s="12"/>
    </row>
    <row r="104" spans="1:7">
      <c r="A104" s="26"/>
      <c r="B104" s="27"/>
      <c r="C104" s="28">
        <v>41244</v>
      </c>
      <c r="D104" s="29">
        <v>750</v>
      </c>
      <c r="E104" s="30" t="s">
        <v>1231</v>
      </c>
      <c r="F104" s="26" t="s">
        <v>1541</v>
      </c>
      <c r="G104" s="12"/>
    </row>
    <row r="105" spans="1:7">
      <c r="A105" s="26"/>
      <c r="B105" s="27"/>
      <c r="C105" s="28">
        <v>41249</v>
      </c>
      <c r="D105" s="29">
        <f>1125+185</f>
        <v>1310</v>
      </c>
      <c r="E105" s="30" t="s">
        <v>1243</v>
      </c>
      <c r="F105" s="26" t="s">
        <v>1541</v>
      </c>
      <c r="G105" s="12"/>
    </row>
    <row r="106" spans="1:7">
      <c r="A106" s="26"/>
      <c r="B106" s="27"/>
      <c r="C106" s="28">
        <v>41253</v>
      </c>
      <c r="D106" s="29">
        <v>1125</v>
      </c>
      <c r="E106" s="30" t="s">
        <v>35</v>
      </c>
      <c r="F106" s="26" t="s">
        <v>1541</v>
      </c>
      <c r="G106" s="12"/>
    </row>
    <row r="107" spans="1:7">
      <c r="A107" s="26"/>
      <c r="B107" s="27"/>
      <c r="C107" s="28">
        <v>41254</v>
      </c>
      <c r="D107" s="29">
        <f>1875</f>
        <v>1875</v>
      </c>
      <c r="E107" s="30" t="s">
        <v>39</v>
      </c>
      <c r="F107" s="26" t="s">
        <v>1541</v>
      </c>
      <c r="G107" s="12"/>
    </row>
    <row r="108" spans="1:7">
      <c r="A108" s="26"/>
      <c r="B108" s="27"/>
      <c r="C108" s="28">
        <v>41255</v>
      </c>
      <c r="D108" s="29">
        <f>1310+1125</f>
        <v>2435</v>
      </c>
      <c r="E108" s="30" t="s">
        <v>1237</v>
      </c>
      <c r="F108" s="26" t="s">
        <v>1541</v>
      </c>
      <c r="G108" s="12"/>
    </row>
    <row r="109" spans="1:7">
      <c r="A109" s="26"/>
      <c r="B109" s="27"/>
      <c r="C109" s="28">
        <v>41262</v>
      </c>
      <c r="D109" s="29">
        <v>750</v>
      </c>
      <c r="E109" s="30" t="s">
        <v>178</v>
      </c>
      <c r="F109" s="26" t="s">
        <v>1541</v>
      </c>
      <c r="G109" s="12"/>
    </row>
    <row r="110" spans="1:7">
      <c r="A110" s="26"/>
      <c r="B110" s="27"/>
      <c r="C110" s="28">
        <v>41267</v>
      </c>
      <c r="D110" s="29">
        <f>1125+185+1125</f>
        <v>2435</v>
      </c>
      <c r="E110" s="30" t="s">
        <v>183</v>
      </c>
      <c r="F110" s="26" t="s">
        <v>1541</v>
      </c>
      <c r="G110" s="12"/>
    </row>
    <row r="111" spans="1:7">
      <c r="A111" s="26"/>
      <c r="B111" s="27"/>
      <c r="C111" s="28">
        <v>41270</v>
      </c>
      <c r="D111" s="29">
        <f>1875+1310+1125</f>
        <v>4310</v>
      </c>
      <c r="E111" s="30" t="s">
        <v>1545</v>
      </c>
      <c r="F111" s="26" t="s">
        <v>1541</v>
      </c>
      <c r="G111" s="12"/>
    </row>
    <row r="112" spans="1:7">
      <c r="A112" s="26"/>
      <c r="B112" s="27"/>
      <c r="C112" s="28">
        <v>41275</v>
      </c>
      <c r="D112" s="29">
        <v>750</v>
      </c>
      <c r="E112" s="30" t="s">
        <v>1322</v>
      </c>
      <c r="F112" s="26" t="s">
        <v>1544</v>
      </c>
      <c r="G112" s="12"/>
    </row>
    <row r="113" spans="1:7">
      <c r="A113" s="26"/>
      <c r="B113" s="27"/>
      <c r="C113" s="28">
        <v>41278</v>
      </c>
      <c r="D113" s="29">
        <v>1125</v>
      </c>
      <c r="E113" s="30" t="s">
        <v>2493</v>
      </c>
      <c r="F113" s="26" t="s">
        <v>1544</v>
      </c>
      <c r="G113" s="12"/>
    </row>
    <row r="114" spans="1:7">
      <c r="A114" s="26"/>
      <c r="B114" s="27"/>
      <c r="C114" s="28">
        <v>41279</v>
      </c>
      <c r="D114" s="29">
        <v>185</v>
      </c>
      <c r="E114" s="30" t="s">
        <v>2496</v>
      </c>
      <c r="F114" s="26" t="s">
        <v>1544</v>
      </c>
      <c r="G114" s="12"/>
    </row>
    <row r="115" spans="1:7">
      <c r="A115" s="26"/>
      <c r="B115" s="27"/>
      <c r="C115" s="28">
        <v>41283</v>
      </c>
      <c r="D115" s="29">
        <v>1125</v>
      </c>
      <c r="E115" s="30" t="s">
        <v>2744</v>
      </c>
      <c r="F115" s="26" t="s">
        <v>1544</v>
      </c>
      <c r="G115" s="12"/>
    </row>
    <row r="116" spans="1:7" ht="32.4">
      <c r="A116" s="26"/>
      <c r="B116" s="27"/>
      <c r="C116" s="28">
        <v>41287</v>
      </c>
      <c r="D116" s="29">
        <f>1875+1310</f>
        <v>3185</v>
      </c>
      <c r="E116" s="30" t="s">
        <v>2757</v>
      </c>
      <c r="F116" s="26" t="s">
        <v>1544</v>
      </c>
      <c r="G116" s="12" t="s">
        <v>283</v>
      </c>
    </row>
    <row r="117" spans="1:7">
      <c r="A117" s="26"/>
      <c r="B117" s="27"/>
      <c r="C117" s="28">
        <v>41290</v>
      </c>
      <c r="D117" s="29">
        <v>1125</v>
      </c>
      <c r="E117" s="30" t="s">
        <v>1546</v>
      </c>
      <c r="F117" s="26" t="s">
        <v>1544</v>
      </c>
      <c r="G117" s="12" t="s">
        <v>282</v>
      </c>
    </row>
    <row r="118" spans="1:7" ht="32.4">
      <c r="A118" s="26"/>
      <c r="B118" s="27"/>
      <c r="C118" s="28">
        <v>41292</v>
      </c>
      <c r="D118" s="29">
        <v>750</v>
      </c>
      <c r="E118" s="30" t="s">
        <v>309</v>
      </c>
      <c r="F118" s="26" t="s">
        <v>1544</v>
      </c>
      <c r="G118" s="12" t="s">
        <v>287</v>
      </c>
    </row>
    <row r="119" spans="1:7">
      <c r="A119" s="26"/>
      <c r="B119" s="27"/>
      <c r="C119" s="28">
        <v>41294</v>
      </c>
      <c r="D119" s="29">
        <f>1125+185</f>
        <v>1310</v>
      </c>
      <c r="E119" s="32" t="s">
        <v>2901</v>
      </c>
      <c r="F119" s="26" t="s">
        <v>1544</v>
      </c>
      <c r="G119" s="12"/>
    </row>
    <row r="120" spans="1:7">
      <c r="A120" s="26">
        <v>12</v>
      </c>
      <c r="B120" s="27" t="s">
        <v>3984</v>
      </c>
      <c r="C120" s="28">
        <v>41215</v>
      </c>
      <c r="D120" s="29">
        <v>375</v>
      </c>
      <c r="E120" s="30" t="s">
        <v>3985</v>
      </c>
      <c r="F120" s="26" t="s">
        <v>1547</v>
      </c>
      <c r="G120" s="12"/>
    </row>
    <row r="121" spans="1:7">
      <c r="A121" s="26"/>
      <c r="B121" s="27"/>
      <c r="C121" s="28">
        <v>41218</v>
      </c>
      <c r="D121" s="29">
        <v>4125</v>
      </c>
      <c r="E121" s="30" t="s">
        <v>4000</v>
      </c>
      <c r="F121" s="26" t="s">
        <v>1547</v>
      </c>
      <c r="G121" s="12"/>
    </row>
    <row r="122" spans="1:7">
      <c r="A122" s="26"/>
      <c r="B122" s="27"/>
      <c r="C122" s="28">
        <v>41220</v>
      </c>
      <c r="D122" s="29">
        <v>375</v>
      </c>
      <c r="E122" s="30" t="s">
        <v>4010</v>
      </c>
      <c r="F122" s="26" t="s">
        <v>1547</v>
      </c>
      <c r="G122" s="12"/>
    </row>
    <row r="123" spans="1:7">
      <c r="A123" s="26"/>
      <c r="B123" s="27"/>
      <c r="C123" s="28">
        <v>41223</v>
      </c>
      <c r="D123" s="29">
        <f>750+750+1125</f>
        <v>2625</v>
      </c>
      <c r="E123" s="30" t="s">
        <v>4021</v>
      </c>
      <c r="F123" s="26" t="s">
        <v>1547</v>
      </c>
      <c r="G123" s="12"/>
    </row>
    <row r="124" spans="1:7">
      <c r="A124" s="26"/>
      <c r="B124" s="27"/>
      <c r="C124" s="28">
        <v>41226</v>
      </c>
      <c r="D124" s="29">
        <v>375</v>
      </c>
      <c r="E124" s="30" t="s">
        <v>4025</v>
      </c>
      <c r="F124" s="26" t="s">
        <v>1547</v>
      </c>
      <c r="G124" s="12"/>
    </row>
    <row r="125" spans="1:7">
      <c r="A125" s="26"/>
      <c r="B125" s="27"/>
      <c r="C125" s="28">
        <v>41230</v>
      </c>
      <c r="D125" s="29">
        <f>375+4125</f>
        <v>4500</v>
      </c>
      <c r="E125" s="30" t="s">
        <v>1022</v>
      </c>
      <c r="F125" s="26" t="s">
        <v>1547</v>
      </c>
      <c r="G125" s="12"/>
    </row>
    <row r="126" spans="1:7">
      <c r="A126" s="26"/>
      <c r="B126" s="27"/>
      <c r="C126" s="28">
        <v>41235</v>
      </c>
      <c r="D126" s="29">
        <v>375</v>
      </c>
      <c r="E126" s="30" t="s">
        <v>1038</v>
      </c>
      <c r="F126" s="26" t="s">
        <v>1547</v>
      </c>
      <c r="G126" s="12"/>
    </row>
    <row r="127" spans="1:7">
      <c r="A127" s="26"/>
      <c r="B127" s="27"/>
      <c r="C127" s="28">
        <v>41237</v>
      </c>
      <c r="D127" s="29">
        <f>750+750</f>
        <v>1500</v>
      </c>
      <c r="E127" s="30" t="s">
        <v>1045</v>
      </c>
      <c r="F127" s="26" t="s">
        <v>1547</v>
      </c>
      <c r="G127" s="12"/>
    </row>
    <row r="128" spans="1:7">
      <c r="A128" s="26"/>
      <c r="B128" s="27"/>
      <c r="C128" s="28">
        <v>41244</v>
      </c>
      <c r="D128" s="29">
        <f>375+375+1125</f>
        <v>1875</v>
      </c>
      <c r="E128" s="30" t="s">
        <v>1232</v>
      </c>
      <c r="F128" s="26" t="s">
        <v>1547</v>
      </c>
      <c r="G128" s="12"/>
    </row>
    <row r="129" spans="1:7">
      <c r="A129" s="26"/>
      <c r="B129" s="27"/>
      <c r="C129" s="28">
        <v>41261</v>
      </c>
      <c r="D129" s="29">
        <f>4125+375</f>
        <v>4500</v>
      </c>
      <c r="E129" s="30" t="s">
        <v>173</v>
      </c>
      <c r="F129" s="26" t="s">
        <v>1547</v>
      </c>
      <c r="G129" s="12"/>
    </row>
    <row r="130" spans="1:7" ht="32.4">
      <c r="A130" s="26"/>
      <c r="B130" s="27"/>
      <c r="C130" s="28">
        <v>41267</v>
      </c>
      <c r="D130" s="29">
        <f>750+750+1125+375+375</f>
        <v>3375</v>
      </c>
      <c r="E130" s="30" t="s">
        <v>184</v>
      </c>
      <c r="F130" s="26" t="s">
        <v>1547</v>
      </c>
      <c r="G130" s="12"/>
    </row>
    <row r="131" spans="1:7">
      <c r="A131" s="26"/>
      <c r="B131" s="27"/>
      <c r="C131" s="28">
        <v>41270</v>
      </c>
      <c r="D131" s="29">
        <f>4125+375</f>
        <v>4500</v>
      </c>
      <c r="E131" s="30" t="s">
        <v>1304</v>
      </c>
      <c r="F131" s="26" t="s">
        <v>1547</v>
      </c>
      <c r="G131" s="12"/>
    </row>
    <row r="132" spans="1:7" ht="32.4">
      <c r="A132" s="26"/>
      <c r="B132" s="27"/>
      <c r="C132" s="28">
        <v>41274</v>
      </c>
      <c r="D132" s="29">
        <f>750+750+1125+375</f>
        <v>3000</v>
      </c>
      <c r="E132" s="30" t="s">
        <v>1318</v>
      </c>
      <c r="F132" s="26" t="s">
        <v>1547</v>
      </c>
      <c r="G132" s="12"/>
    </row>
    <row r="133" spans="1:7">
      <c r="A133" s="26"/>
      <c r="B133" s="27"/>
      <c r="C133" s="28">
        <v>41276</v>
      </c>
      <c r="D133" s="29">
        <v>375</v>
      </c>
      <c r="E133" s="30" t="s">
        <v>1321</v>
      </c>
      <c r="F133" s="26" t="s">
        <v>1548</v>
      </c>
      <c r="G133" s="12"/>
    </row>
    <row r="134" spans="1:7">
      <c r="A134" s="26"/>
      <c r="B134" s="27"/>
      <c r="C134" s="28">
        <v>41277</v>
      </c>
      <c r="D134" s="29">
        <v>4125</v>
      </c>
      <c r="E134" s="30" t="s">
        <v>2492</v>
      </c>
      <c r="F134" s="26" t="s">
        <v>1548</v>
      </c>
      <c r="G134" s="12"/>
    </row>
    <row r="135" spans="1:7">
      <c r="A135" s="26"/>
      <c r="B135" s="27"/>
      <c r="C135" s="28">
        <v>41281</v>
      </c>
      <c r="D135" s="29">
        <v>375</v>
      </c>
      <c r="E135" s="30" t="s">
        <v>2738</v>
      </c>
      <c r="F135" s="26" t="s">
        <v>1548</v>
      </c>
      <c r="G135" s="12"/>
    </row>
    <row r="136" spans="1:7">
      <c r="A136" s="26"/>
      <c r="B136" s="27"/>
      <c r="C136" s="28">
        <v>41282</v>
      </c>
      <c r="D136" s="29">
        <f>750+750</f>
        <v>1500</v>
      </c>
      <c r="E136" s="30" t="s">
        <v>2741</v>
      </c>
      <c r="F136" s="26" t="s">
        <v>1548</v>
      </c>
      <c r="G136" s="12"/>
    </row>
    <row r="137" spans="1:7">
      <c r="A137" s="26"/>
      <c r="B137" s="27"/>
      <c r="C137" s="28">
        <v>41286</v>
      </c>
      <c r="D137" s="29">
        <f>1125+375</f>
        <v>1500</v>
      </c>
      <c r="E137" s="30" t="s">
        <v>2751</v>
      </c>
      <c r="F137" s="26" t="s">
        <v>1548</v>
      </c>
      <c r="G137" s="12"/>
    </row>
    <row r="138" spans="1:7">
      <c r="A138" s="26"/>
      <c r="B138" s="27"/>
      <c r="C138" s="28">
        <v>41293</v>
      </c>
      <c r="D138" s="29">
        <f>375+4125</f>
        <v>4500</v>
      </c>
      <c r="E138" s="30" t="s">
        <v>2895</v>
      </c>
      <c r="F138" s="26" t="s">
        <v>1548</v>
      </c>
      <c r="G138" s="12"/>
    </row>
    <row r="139" spans="1:7">
      <c r="A139" s="26"/>
      <c r="B139" s="27"/>
      <c r="C139" s="28">
        <v>41296</v>
      </c>
      <c r="D139" s="29">
        <v>375</v>
      </c>
      <c r="E139" s="30" t="s">
        <v>2908</v>
      </c>
      <c r="F139" s="26" t="s">
        <v>1548</v>
      </c>
      <c r="G139" s="12"/>
    </row>
    <row r="140" spans="1:7" ht="32.4">
      <c r="A140" s="26">
        <v>13</v>
      </c>
      <c r="B140" s="27" t="s">
        <v>1218</v>
      </c>
      <c r="C140" s="28">
        <v>41242</v>
      </c>
      <c r="D140" s="29">
        <f>6750+6750+6750+750+750</f>
        <v>21750</v>
      </c>
      <c r="E140" s="30" t="s">
        <v>1219</v>
      </c>
      <c r="F140" s="26" t="s">
        <v>1549</v>
      </c>
      <c r="G140" s="12"/>
    </row>
    <row r="141" spans="1:7">
      <c r="A141" s="26"/>
      <c r="B141" s="27"/>
      <c r="C141" s="28">
        <v>41243</v>
      </c>
      <c r="D141" s="29">
        <v>750</v>
      </c>
      <c r="E141" s="30" t="s">
        <v>1228</v>
      </c>
      <c r="F141" s="26" t="s">
        <v>1549</v>
      </c>
      <c r="G141" s="12"/>
    </row>
    <row r="142" spans="1:7" ht="32.4">
      <c r="A142" s="26"/>
      <c r="B142" s="27"/>
      <c r="C142" s="28">
        <v>41273</v>
      </c>
      <c r="D142" s="29">
        <f>6750+6750+6750+750+750</f>
        <v>21750</v>
      </c>
      <c r="E142" s="30" t="s">
        <v>1314</v>
      </c>
      <c r="F142" s="26" t="s">
        <v>1549</v>
      </c>
      <c r="G142" s="12"/>
    </row>
    <row r="143" spans="1:7">
      <c r="A143" s="26">
        <v>14</v>
      </c>
      <c r="B143" s="27" t="s">
        <v>3993</v>
      </c>
      <c r="C143" s="28">
        <v>41216</v>
      </c>
      <c r="D143" s="29">
        <v>1500</v>
      </c>
      <c r="E143" s="30" t="s">
        <v>3994</v>
      </c>
      <c r="F143" s="26" t="s">
        <v>1550</v>
      </c>
      <c r="G143" s="12"/>
    </row>
    <row r="144" spans="1:7">
      <c r="A144" s="26"/>
      <c r="B144" s="27"/>
      <c r="C144" s="28">
        <v>41219</v>
      </c>
      <c r="D144" s="29">
        <v>560</v>
      </c>
      <c r="E144" s="30" t="s">
        <v>4007</v>
      </c>
      <c r="F144" s="26" t="s">
        <v>1550</v>
      </c>
      <c r="G144" s="12"/>
    </row>
    <row r="145" spans="1:7">
      <c r="A145" s="26"/>
      <c r="B145" s="27"/>
      <c r="C145" s="28">
        <v>41221</v>
      </c>
      <c r="D145" s="29">
        <v>1500</v>
      </c>
      <c r="E145" s="30" t="s">
        <v>4013</v>
      </c>
      <c r="F145" s="26" t="s">
        <v>1550</v>
      </c>
      <c r="G145" s="12"/>
    </row>
    <row r="146" spans="1:7">
      <c r="A146" s="26"/>
      <c r="B146" s="27"/>
      <c r="C146" s="28">
        <v>41222</v>
      </c>
      <c r="D146" s="29">
        <v>935</v>
      </c>
      <c r="E146" s="30" t="s">
        <v>4016</v>
      </c>
      <c r="F146" s="26" t="s">
        <v>1550</v>
      </c>
      <c r="G146" s="12"/>
    </row>
    <row r="147" spans="1:7">
      <c r="A147" s="26"/>
      <c r="B147" s="27"/>
      <c r="C147" s="28">
        <v>41225</v>
      </c>
      <c r="D147" s="29">
        <v>375</v>
      </c>
      <c r="E147" s="30" t="s">
        <v>4025</v>
      </c>
      <c r="F147" s="26" t="s">
        <v>1550</v>
      </c>
      <c r="G147" s="12"/>
    </row>
    <row r="148" spans="1:7">
      <c r="A148" s="26"/>
      <c r="B148" s="27"/>
      <c r="C148" s="28">
        <v>41227</v>
      </c>
      <c r="D148" s="29">
        <v>935</v>
      </c>
      <c r="E148" s="30" t="s">
        <v>1014</v>
      </c>
      <c r="F148" s="26" t="s">
        <v>1550</v>
      </c>
      <c r="G148" s="12"/>
    </row>
    <row r="149" spans="1:7">
      <c r="A149" s="26"/>
      <c r="B149" s="27"/>
      <c r="C149" s="28">
        <v>41230</v>
      </c>
      <c r="D149" s="29">
        <v>1500</v>
      </c>
      <c r="E149" s="32" t="s">
        <v>1023</v>
      </c>
      <c r="F149" s="26" t="s">
        <v>1550</v>
      </c>
      <c r="G149" s="12"/>
    </row>
    <row r="150" spans="1:7">
      <c r="A150" s="26"/>
      <c r="B150" s="27"/>
      <c r="C150" s="28">
        <v>41234</v>
      </c>
      <c r="D150" s="29">
        <f>185+185</f>
        <v>370</v>
      </c>
      <c r="E150" s="30" t="s">
        <v>1035</v>
      </c>
      <c r="F150" s="26" t="s">
        <v>1550</v>
      </c>
      <c r="G150" s="12"/>
    </row>
    <row r="151" spans="1:7">
      <c r="A151" s="26"/>
      <c r="B151" s="27"/>
      <c r="C151" s="28">
        <v>41236</v>
      </c>
      <c r="D151" s="29">
        <v>1500</v>
      </c>
      <c r="E151" s="30" t="s">
        <v>1041</v>
      </c>
      <c r="F151" s="26" t="s">
        <v>1550</v>
      </c>
      <c r="G151" s="12"/>
    </row>
    <row r="152" spans="1:7">
      <c r="A152" s="26"/>
      <c r="B152" s="27"/>
      <c r="C152" s="28">
        <v>41237</v>
      </c>
      <c r="D152" s="29">
        <v>935</v>
      </c>
      <c r="E152" s="30" t="s">
        <v>1197</v>
      </c>
      <c r="F152" s="26" t="s">
        <v>1550</v>
      </c>
      <c r="G152" s="12"/>
    </row>
    <row r="153" spans="1:7">
      <c r="A153" s="26"/>
      <c r="B153" s="27"/>
      <c r="C153" s="28">
        <v>41240</v>
      </c>
      <c r="D153" s="29">
        <v>375</v>
      </c>
      <c r="E153" s="30" t="s">
        <v>1210</v>
      </c>
      <c r="F153" s="26" t="s">
        <v>1550</v>
      </c>
      <c r="G153" s="12"/>
    </row>
    <row r="154" spans="1:7">
      <c r="A154" s="26"/>
      <c r="B154" s="27"/>
      <c r="C154" s="28">
        <v>41242</v>
      </c>
      <c r="D154" s="29">
        <v>935</v>
      </c>
      <c r="E154" s="30" t="s">
        <v>1220</v>
      </c>
      <c r="F154" s="26" t="s">
        <v>1550</v>
      </c>
      <c r="G154" s="12"/>
    </row>
    <row r="155" spans="1:7">
      <c r="A155" s="26"/>
      <c r="B155" s="27"/>
      <c r="C155" s="28">
        <v>41246</v>
      </c>
      <c r="D155" s="29">
        <v>1500</v>
      </c>
      <c r="E155" s="30" t="s">
        <v>1238</v>
      </c>
      <c r="F155" s="26" t="s">
        <v>1550</v>
      </c>
      <c r="G155" s="12"/>
    </row>
    <row r="156" spans="1:7">
      <c r="A156" s="26"/>
      <c r="B156" s="27"/>
      <c r="C156" s="28">
        <v>41251</v>
      </c>
      <c r="D156" s="29">
        <v>375</v>
      </c>
      <c r="E156" s="30" t="s">
        <v>1248</v>
      </c>
      <c r="F156" s="26" t="s">
        <v>1550</v>
      </c>
      <c r="G156" s="12"/>
    </row>
    <row r="157" spans="1:7">
      <c r="A157" s="26"/>
      <c r="B157" s="27"/>
      <c r="C157" s="28">
        <v>41252</v>
      </c>
      <c r="D157" s="29">
        <f>1500+935</f>
        <v>2435</v>
      </c>
      <c r="E157" s="30" t="s">
        <v>1249</v>
      </c>
      <c r="F157" s="26" t="s">
        <v>1550</v>
      </c>
      <c r="G157" s="12"/>
    </row>
    <row r="158" spans="1:7">
      <c r="A158" s="26"/>
      <c r="B158" s="27"/>
      <c r="C158" s="28">
        <v>41255</v>
      </c>
      <c r="D158" s="29">
        <v>375</v>
      </c>
      <c r="E158" s="30" t="s">
        <v>43</v>
      </c>
      <c r="F158" s="26" t="s">
        <v>1550</v>
      </c>
      <c r="G158" s="12"/>
    </row>
    <row r="159" spans="1:7">
      <c r="A159" s="26"/>
      <c r="B159" s="27"/>
      <c r="C159" s="28">
        <v>41258</v>
      </c>
      <c r="D159" s="29">
        <v>935</v>
      </c>
      <c r="E159" s="30" t="s">
        <v>2439</v>
      </c>
      <c r="F159" s="26" t="s">
        <v>1550</v>
      </c>
      <c r="G159" s="12"/>
    </row>
    <row r="160" spans="1:7">
      <c r="A160" s="26"/>
      <c r="B160" s="27"/>
      <c r="C160" s="28">
        <v>41261</v>
      </c>
      <c r="D160" s="29">
        <v>1500</v>
      </c>
      <c r="E160" s="30" t="s">
        <v>174</v>
      </c>
      <c r="F160" s="26" t="s">
        <v>1550</v>
      </c>
      <c r="G160" s="12"/>
    </row>
    <row r="161" spans="1:7">
      <c r="A161" s="26"/>
      <c r="B161" s="27"/>
      <c r="C161" s="28">
        <v>41267</v>
      </c>
      <c r="D161" s="29">
        <f>375+1500+935</f>
        <v>2810</v>
      </c>
      <c r="E161" s="30" t="s">
        <v>185</v>
      </c>
      <c r="F161" s="26" t="s">
        <v>1550</v>
      </c>
      <c r="G161" s="12"/>
    </row>
    <row r="162" spans="1:7">
      <c r="A162" s="26"/>
      <c r="B162" s="27"/>
      <c r="C162" s="28">
        <v>41270</v>
      </c>
      <c r="D162" s="29">
        <v>375</v>
      </c>
      <c r="E162" s="30" t="s">
        <v>1305</v>
      </c>
      <c r="F162" s="26" t="s">
        <v>1550</v>
      </c>
      <c r="G162" s="12"/>
    </row>
    <row r="163" spans="1:7">
      <c r="A163" s="26"/>
      <c r="B163" s="27"/>
      <c r="C163" s="28">
        <v>41273</v>
      </c>
      <c r="D163" s="29">
        <v>935</v>
      </c>
      <c r="E163" s="30" t="s">
        <v>1315</v>
      </c>
      <c r="F163" s="26" t="s">
        <v>1550</v>
      </c>
      <c r="G163" s="12"/>
    </row>
    <row r="164" spans="1:7">
      <c r="A164" s="26"/>
      <c r="B164" s="27"/>
      <c r="C164" s="28">
        <v>41276</v>
      </c>
      <c r="D164" s="29">
        <v>1500</v>
      </c>
      <c r="E164" s="30" t="s">
        <v>1324</v>
      </c>
      <c r="F164" s="26" t="s">
        <v>1551</v>
      </c>
      <c r="G164" s="12"/>
    </row>
    <row r="165" spans="1:7">
      <c r="A165" s="26"/>
      <c r="B165" s="27"/>
      <c r="C165" s="28">
        <v>41280</v>
      </c>
      <c r="D165" s="29">
        <v>375</v>
      </c>
      <c r="E165" s="30" t="s">
        <v>2734</v>
      </c>
      <c r="F165" s="26" t="s">
        <v>1551</v>
      </c>
      <c r="G165" s="12"/>
    </row>
    <row r="166" spans="1:7">
      <c r="A166" s="26"/>
      <c r="B166" s="27"/>
      <c r="C166" s="28">
        <v>41281</v>
      </c>
      <c r="D166" s="29">
        <v>1500</v>
      </c>
      <c r="E166" s="30" t="s">
        <v>2739</v>
      </c>
      <c r="F166" s="26" t="s">
        <v>1551</v>
      </c>
      <c r="G166" s="12"/>
    </row>
    <row r="167" spans="1:7">
      <c r="A167" s="26"/>
      <c r="B167" s="27"/>
      <c r="C167" s="28">
        <v>41282</v>
      </c>
      <c r="D167" s="29">
        <v>935</v>
      </c>
      <c r="E167" s="30" t="s">
        <v>2742</v>
      </c>
      <c r="F167" s="26" t="s">
        <v>1551</v>
      </c>
      <c r="G167" s="12"/>
    </row>
    <row r="168" spans="1:7">
      <c r="A168" s="26"/>
      <c r="B168" s="27"/>
      <c r="C168" s="28">
        <v>41285</v>
      </c>
      <c r="D168" s="29">
        <v>375</v>
      </c>
      <c r="E168" s="30" t="s">
        <v>2748</v>
      </c>
      <c r="F168" s="26" t="s">
        <v>1551</v>
      </c>
      <c r="G168" s="12"/>
    </row>
    <row r="169" spans="1:7">
      <c r="A169" s="26"/>
      <c r="B169" s="27"/>
      <c r="C169" s="28">
        <v>41287</v>
      </c>
      <c r="D169" s="29">
        <v>935</v>
      </c>
      <c r="E169" s="30" t="s">
        <v>2758</v>
      </c>
      <c r="F169" s="26" t="s">
        <v>1551</v>
      </c>
      <c r="G169" s="12"/>
    </row>
    <row r="170" spans="1:7">
      <c r="A170" s="26"/>
      <c r="B170" s="27"/>
      <c r="C170" s="28">
        <v>41292</v>
      </c>
      <c r="D170" s="29">
        <v>1500</v>
      </c>
      <c r="E170" s="30" t="s">
        <v>312</v>
      </c>
      <c r="F170" s="26" t="s">
        <v>1551</v>
      </c>
      <c r="G170" s="12"/>
    </row>
    <row r="171" spans="1:7">
      <c r="A171" s="26"/>
      <c r="B171" s="27"/>
      <c r="C171" s="28">
        <v>41293</v>
      </c>
      <c r="D171" s="29">
        <v>375</v>
      </c>
      <c r="E171" s="30" t="s">
        <v>2896</v>
      </c>
      <c r="F171" s="26" t="s">
        <v>1551</v>
      </c>
      <c r="G171" s="12"/>
    </row>
    <row r="172" spans="1:7">
      <c r="A172" s="26"/>
      <c r="B172" s="27"/>
      <c r="C172" s="28">
        <v>41296</v>
      </c>
      <c r="D172" s="29">
        <v>1500</v>
      </c>
      <c r="E172" s="30" t="s">
        <v>2909</v>
      </c>
      <c r="F172" s="26" t="s">
        <v>1551</v>
      </c>
      <c r="G172" s="12"/>
    </row>
    <row r="173" spans="1:7">
      <c r="A173" s="26">
        <v>15</v>
      </c>
      <c r="B173" s="27" t="s">
        <v>3995</v>
      </c>
      <c r="C173" s="28">
        <v>41216</v>
      </c>
      <c r="D173" s="29">
        <v>2250</v>
      </c>
      <c r="E173" s="30" t="s">
        <v>1552</v>
      </c>
      <c r="F173" s="26" t="s">
        <v>1570</v>
      </c>
      <c r="G173" s="12"/>
    </row>
    <row r="174" spans="1:7">
      <c r="A174" s="26"/>
      <c r="B174" s="27"/>
      <c r="C174" s="28">
        <v>41218</v>
      </c>
      <c r="D174" s="29">
        <v>750</v>
      </c>
      <c r="E174" s="30" t="s">
        <v>1553</v>
      </c>
      <c r="F174" s="26" t="s">
        <v>1570</v>
      </c>
      <c r="G174" s="12"/>
    </row>
    <row r="175" spans="1:7">
      <c r="A175" s="26"/>
      <c r="B175" s="27"/>
      <c r="C175" s="28">
        <v>41220</v>
      </c>
      <c r="D175" s="29">
        <v>375</v>
      </c>
      <c r="E175" s="30" t="s">
        <v>4010</v>
      </c>
      <c r="F175" s="26" t="s">
        <v>1570</v>
      </c>
      <c r="G175" s="12"/>
    </row>
    <row r="176" spans="1:7">
      <c r="A176" s="26"/>
      <c r="B176" s="27"/>
      <c r="C176" s="28">
        <v>41221</v>
      </c>
      <c r="D176" s="29">
        <v>1125</v>
      </c>
      <c r="E176" s="30" t="s">
        <v>1554</v>
      </c>
      <c r="F176" s="26" t="s">
        <v>1570</v>
      </c>
      <c r="G176" s="12"/>
    </row>
    <row r="177" spans="1:7">
      <c r="A177" s="26"/>
      <c r="B177" s="27"/>
      <c r="C177" s="28">
        <v>41223</v>
      </c>
      <c r="D177" s="29">
        <v>1125</v>
      </c>
      <c r="E177" s="30" t="s">
        <v>1555</v>
      </c>
      <c r="F177" s="26" t="s">
        <v>1570</v>
      </c>
      <c r="G177" s="12"/>
    </row>
    <row r="178" spans="1:7">
      <c r="A178" s="26"/>
      <c r="B178" s="27"/>
      <c r="C178" s="28">
        <v>41227</v>
      </c>
      <c r="D178" s="29">
        <v>750</v>
      </c>
      <c r="E178" s="30" t="s">
        <v>1556</v>
      </c>
      <c r="F178" s="26" t="s">
        <v>1570</v>
      </c>
      <c r="G178" s="12"/>
    </row>
    <row r="179" spans="1:7">
      <c r="A179" s="26"/>
      <c r="B179" s="27"/>
      <c r="C179" s="28">
        <v>41228</v>
      </c>
      <c r="D179" s="29">
        <v>1125</v>
      </c>
      <c r="E179" s="30" t="s">
        <v>1557</v>
      </c>
      <c r="F179" s="26" t="s">
        <v>1570</v>
      </c>
      <c r="G179" s="12"/>
    </row>
    <row r="180" spans="1:7">
      <c r="A180" s="26"/>
      <c r="B180" s="27"/>
      <c r="C180" s="28">
        <v>41230</v>
      </c>
      <c r="D180" s="29">
        <v>2250</v>
      </c>
      <c r="E180" s="30" t="s">
        <v>1558</v>
      </c>
      <c r="F180" s="26" t="s">
        <v>1570</v>
      </c>
      <c r="G180" s="12"/>
    </row>
    <row r="181" spans="1:7">
      <c r="A181" s="26"/>
      <c r="B181" s="27"/>
      <c r="C181" s="28">
        <v>41233</v>
      </c>
      <c r="D181" s="29">
        <v>750</v>
      </c>
      <c r="E181" s="30" t="s">
        <v>1559</v>
      </c>
      <c r="F181" s="26" t="s">
        <v>1570</v>
      </c>
      <c r="G181" s="12"/>
    </row>
    <row r="182" spans="1:7">
      <c r="A182" s="26"/>
      <c r="B182" s="27"/>
      <c r="C182" s="28">
        <v>41235</v>
      </c>
      <c r="D182" s="29">
        <v>375</v>
      </c>
      <c r="E182" s="30" t="s">
        <v>1038</v>
      </c>
      <c r="F182" s="26" t="s">
        <v>1570</v>
      </c>
      <c r="G182" s="12"/>
    </row>
    <row r="183" spans="1:7">
      <c r="A183" s="26"/>
      <c r="B183" s="27"/>
      <c r="C183" s="28">
        <v>41236</v>
      </c>
      <c r="D183" s="29">
        <v>1125</v>
      </c>
      <c r="E183" s="30" t="s">
        <v>1560</v>
      </c>
      <c r="F183" s="26" t="s">
        <v>1570</v>
      </c>
      <c r="G183" s="12"/>
    </row>
    <row r="184" spans="1:7">
      <c r="A184" s="26"/>
      <c r="B184" s="27"/>
      <c r="C184" s="28">
        <v>41239</v>
      </c>
      <c r="D184" s="29">
        <v>1125</v>
      </c>
      <c r="E184" s="30" t="s">
        <v>1561</v>
      </c>
      <c r="F184" s="26" t="s">
        <v>1570</v>
      </c>
      <c r="G184" s="12"/>
    </row>
    <row r="185" spans="1:7">
      <c r="A185" s="26"/>
      <c r="B185" s="27"/>
      <c r="C185" s="28">
        <v>41242</v>
      </c>
      <c r="D185" s="29">
        <f>750+1125</f>
        <v>1875</v>
      </c>
      <c r="E185" s="30" t="s">
        <v>1221</v>
      </c>
      <c r="F185" s="26" t="s">
        <v>1570</v>
      </c>
      <c r="G185" s="12"/>
    </row>
    <row r="186" spans="1:7">
      <c r="A186" s="26"/>
      <c r="B186" s="27"/>
      <c r="C186" s="28">
        <v>41246</v>
      </c>
      <c r="D186" s="29">
        <v>2250</v>
      </c>
      <c r="E186" s="30" t="s">
        <v>1562</v>
      </c>
      <c r="F186" s="26" t="s">
        <v>1570</v>
      </c>
      <c r="G186" s="12"/>
    </row>
    <row r="187" spans="1:7">
      <c r="A187" s="26"/>
      <c r="B187" s="27"/>
      <c r="C187" s="28">
        <v>41248</v>
      </c>
      <c r="D187" s="29">
        <v>750</v>
      </c>
      <c r="E187" s="30" t="s">
        <v>1563</v>
      </c>
      <c r="F187" s="26" t="s">
        <v>1570</v>
      </c>
      <c r="G187" s="12"/>
    </row>
    <row r="188" spans="1:7">
      <c r="A188" s="26"/>
      <c r="B188" s="27"/>
      <c r="C188" s="28">
        <v>41250</v>
      </c>
      <c r="D188" s="29">
        <v>375</v>
      </c>
      <c r="E188" s="30" t="s">
        <v>1247</v>
      </c>
      <c r="F188" s="26" t="s">
        <v>1570</v>
      </c>
      <c r="G188" s="12"/>
    </row>
    <row r="189" spans="1:7">
      <c r="A189" s="26"/>
      <c r="B189" s="27"/>
      <c r="C189" s="28">
        <v>41251</v>
      </c>
      <c r="D189" s="29">
        <v>1125</v>
      </c>
      <c r="E189" s="30" t="s">
        <v>1564</v>
      </c>
      <c r="F189" s="26" t="s">
        <v>1570</v>
      </c>
      <c r="G189" s="12"/>
    </row>
    <row r="190" spans="1:7">
      <c r="A190" s="26"/>
      <c r="B190" s="27"/>
      <c r="C190" s="28">
        <v>41254</v>
      </c>
      <c r="D190" s="29">
        <v>1125</v>
      </c>
      <c r="E190" s="30" t="s">
        <v>1565</v>
      </c>
      <c r="F190" s="26" t="s">
        <v>1570</v>
      </c>
      <c r="G190" s="12"/>
    </row>
    <row r="191" spans="1:7">
      <c r="A191" s="26"/>
      <c r="B191" s="27"/>
      <c r="C191" s="28">
        <v>41257</v>
      </c>
      <c r="D191" s="29">
        <v>750</v>
      </c>
      <c r="E191" s="30" t="s">
        <v>1566</v>
      </c>
      <c r="F191" s="26" t="s">
        <v>1570</v>
      </c>
      <c r="G191" s="12"/>
    </row>
    <row r="192" spans="1:7">
      <c r="A192" s="26"/>
      <c r="B192" s="27"/>
      <c r="C192" s="28">
        <v>41258</v>
      </c>
      <c r="D192" s="29">
        <v>1125</v>
      </c>
      <c r="E192" s="30" t="s">
        <v>1567</v>
      </c>
      <c r="F192" s="26" t="s">
        <v>1570</v>
      </c>
      <c r="G192" s="12"/>
    </row>
    <row r="193" spans="1:7">
      <c r="A193" s="26"/>
      <c r="B193" s="27"/>
      <c r="C193" s="28">
        <v>41262</v>
      </c>
      <c r="D193" s="29">
        <v>2250</v>
      </c>
      <c r="E193" s="30" t="s">
        <v>1568</v>
      </c>
      <c r="F193" s="26" t="s">
        <v>1570</v>
      </c>
      <c r="G193" s="12"/>
    </row>
    <row r="194" spans="1:7">
      <c r="A194" s="26"/>
      <c r="B194" s="27"/>
      <c r="C194" s="28">
        <v>41267</v>
      </c>
      <c r="D194" s="29">
        <f>750+375+1125</f>
        <v>2250</v>
      </c>
      <c r="E194" s="30" t="s">
        <v>186</v>
      </c>
      <c r="F194" s="26" t="s">
        <v>1570</v>
      </c>
      <c r="G194" s="12"/>
    </row>
    <row r="195" spans="1:7">
      <c r="A195" s="26"/>
      <c r="B195" s="27"/>
      <c r="C195" s="28">
        <v>41269</v>
      </c>
      <c r="D195" s="29">
        <v>1125</v>
      </c>
      <c r="E195" s="30" t="s">
        <v>1569</v>
      </c>
      <c r="F195" s="26" t="s">
        <v>1570</v>
      </c>
      <c r="G195" s="12"/>
    </row>
    <row r="196" spans="1:7">
      <c r="A196" s="26"/>
      <c r="B196" s="27"/>
      <c r="C196" s="28">
        <v>41278</v>
      </c>
      <c r="D196" s="29">
        <v>750</v>
      </c>
      <c r="E196" s="30" t="s">
        <v>1571</v>
      </c>
      <c r="F196" s="26" t="s">
        <v>1574</v>
      </c>
      <c r="G196" s="12"/>
    </row>
    <row r="197" spans="1:7">
      <c r="A197" s="26"/>
      <c r="B197" s="27"/>
      <c r="C197" s="28">
        <v>41279</v>
      </c>
      <c r="D197" s="29">
        <v>1125</v>
      </c>
      <c r="E197" s="30" t="s">
        <v>1572</v>
      </c>
      <c r="F197" s="26" t="s">
        <v>1574</v>
      </c>
      <c r="G197" s="12"/>
    </row>
    <row r="198" spans="1:7">
      <c r="A198" s="26"/>
      <c r="B198" s="27"/>
      <c r="C198" s="28">
        <v>41280</v>
      </c>
      <c r="D198" s="29">
        <f>2250+750+375+1125</f>
        <v>4500</v>
      </c>
      <c r="E198" s="30" t="s">
        <v>2735</v>
      </c>
      <c r="F198" s="26" t="s">
        <v>1574</v>
      </c>
      <c r="G198" s="12"/>
    </row>
    <row r="199" spans="1:7">
      <c r="A199" s="26"/>
      <c r="B199" s="27"/>
      <c r="C199" s="28">
        <v>41286</v>
      </c>
      <c r="D199" s="29">
        <f>1125+750</f>
        <v>1875</v>
      </c>
      <c r="E199" s="30" t="s">
        <v>2752</v>
      </c>
      <c r="F199" s="26" t="s">
        <v>1574</v>
      </c>
      <c r="G199" s="12"/>
    </row>
    <row r="200" spans="1:7">
      <c r="A200" s="26"/>
      <c r="B200" s="27"/>
      <c r="C200" s="28">
        <v>41291</v>
      </c>
      <c r="D200" s="29">
        <v>1125</v>
      </c>
      <c r="E200" s="30" t="s">
        <v>1573</v>
      </c>
      <c r="F200" s="26" t="s">
        <v>1574</v>
      </c>
      <c r="G200" s="12"/>
    </row>
    <row r="201" spans="1:7">
      <c r="A201" s="26">
        <v>16</v>
      </c>
      <c r="B201" s="27" t="s">
        <v>3996</v>
      </c>
      <c r="C201" s="28">
        <v>41216</v>
      </c>
      <c r="D201" s="29">
        <v>2625</v>
      </c>
      <c r="E201" s="30" t="s">
        <v>1575</v>
      </c>
      <c r="F201" s="26" t="s">
        <v>1595</v>
      </c>
      <c r="G201" s="12"/>
    </row>
    <row r="202" spans="1:7">
      <c r="A202" s="26"/>
      <c r="B202" s="27"/>
      <c r="C202" s="28">
        <v>41219</v>
      </c>
      <c r="D202" s="29">
        <v>375</v>
      </c>
      <c r="E202" s="30" t="s">
        <v>1576</v>
      </c>
      <c r="F202" s="26" t="s">
        <v>1595</v>
      </c>
      <c r="G202" s="12"/>
    </row>
    <row r="203" spans="1:7">
      <c r="A203" s="26"/>
      <c r="B203" s="27"/>
      <c r="C203" s="28">
        <v>41221</v>
      </c>
      <c r="D203" s="29">
        <v>375</v>
      </c>
      <c r="E203" s="30" t="s">
        <v>1577</v>
      </c>
      <c r="F203" s="26" t="s">
        <v>1595</v>
      </c>
      <c r="G203" s="12"/>
    </row>
    <row r="204" spans="1:7">
      <c r="A204" s="26"/>
      <c r="B204" s="27"/>
      <c r="C204" s="28">
        <v>41223</v>
      </c>
      <c r="D204" s="29">
        <v>185</v>
      </c>
      <c r="E204" s="30" t="s">
        <v>1578</v>
      </c>
      <c r="F204" s="26" t="s">
        <v>1595</v>
      </c>
      <c r="G204" s="12"/>
    </row>
    <row r="205" spans="1:7" ht="32.4">
      <c r="A205" s="26"/>
      <c r="B205" s="27"/>
      <c r="C205" s="28">
        <v>41225</v>
      </c>
      <c r="D205" s="29">
        <v>185</v>
      </c>
      <c r="E205" s="30" t="s">
        <v>1579</v>
      </c>
      <c r="F205" s="26" t="s">
        <v>1595</v>
      </c>
      <c r="G205" s="12" t="s">
        <v>286</v>
      </c>
    </row>
    <row r="206" spans="1:7">
      <c r="A206" s="26"/>
      <c r="B206" s="27"/>
      <c r="C206" s="28">
        <v>41227</v>
      </c>
      <c r="D206" s="29">
        <v>750</v>
      </c>
      <c r="E206" s="30" t="s">
        <v>1580</v>
      </c>
      <c r="F206" s="26" t="s">
        <v>1595</v>
      </c>
      <c r="G206" s="12"/>
    </row>
    <row r="207" spans="1:7">
      <c r="A207" s="26"/>
      <c r="B207" s="27"/>
      <c r="C207" s="28">
        <v>41230</v>
      </c>
      <c r="D207" s="29">
        <v>560</v>
      </c>
      <c r="E207" s="34" t="s">
        <v>1581</v>
      </c>
      <c r="F207" s="26" t="s">
        <v>1595</v>
      </c>
      <c r="G207" s="12"/>
    </row>
    <row r="208" spans="1:7">
      <c r="A208" s="26"/>
      <c r="B208" s="27"/>
      <c r="C208" s="28">
        <v>41232</v>
      </c>
      <c r="D208" s="29">
        <v>2625</v>
      </c>
      <c r="E208" s="30" t="s">
        <v>1582</v>
      </c>
      <c r="F208" s="26" t="s">
        <v>1595</v>
      </c>
      <c r="G208" s="12"/>
    </row>
    <row r="209" spans="1:7">
      <c r="A209" s="26"/>
      <c r="B209" s="27"/>
      <c r="C209" s="28">
        <v>41233</v>
      </c>
      <c r="D209" s="29">
        <v>375</v>
      </c>
      <c r="E209" s="34" t="s">
        <v>1583</v>
      </c>
      <c r="F209" s="26" t="s">
        <v>1595</v>
      </c>
      <c r="G209" s="12"/>
    </row>
    <row r="210" spans="1:7">
      <c r="A210" s="26"/>
      <c r="B210" s="27"/>
      <c r="C210" s="28">
        <v>41235</v>
      </c>
      <c r="D210" s="29">
        <v>375</v>
      </c>
      <c r="E210" s="30" t="s">
        <v>1584</v>
      </c>
      <c r="F210" s="26" t="s">
        <v>1595</v>
      </c>
      <c r="G210" s="12"/>
    </row>
    <row r="211" spans="1:7">
      <c r="A211" s="26"/>
      <c r="B211" s="27"/>
      <c r="C211" s="28">
        <v>41237</v>
      </c>
      <c r="D211" s="29">
        <v>185</v>
      </c>
      <c r="E211" s="30" t="s">
        <v>1585</v>
      </c>
      <c r="F211" s="26" t="s">
        <v>1595</v>
      </c>
      <c r="G211" s="12"/>
    </row>
    <row r="212" spans="1:7">
      <c r="A212" s="26"/>
      <c r="B212" s="27"/>
      <c r="C212" s="28">
        <v>41239</v>
      </c>
      <c r="D212" s="29">
        <f>560+185</f>
        <v>745</v>
      </c>
      <c r="E212" s="30" t="s">
        <v>1204</v>
      </c>
      <c r="F212" s="26" t="s">
        <v>1595</v>
      </c>
      <c r="G212" s="12"/>
    </row>
    <row r="213" spans="1:7">
      <c r="A213" s="26"/>
      <c r="B213" s="27"/>
      <c r="C213" s="28">
        <v>41242</v>
      </c>
      <c r="D213" s="29">
        <v>750</v>
      </c>
      <c r="E213" s="30" t="s">
        <v>1586</v>
      </c>
      <c r="F213" s="26" t="s">
        <v>1595</v>
      </c>
      <c r="G213" s="12"/>
    </row>
    <row r="214" spans="1:7">
      <c r="A214" s="26"/>
      <c r="B214" s="27"/>
      <c r="C214" s="28">
        <v>41247</v>
      </c>
      <c r="D214" s="29">
        <v>2625</v>
      </c>
      <c r="E214" s="30" t="s">
        <v>1587</v>
      </c>
      <c r="F214" s="26" t="s">
        <v>1595</v>
      </c>
      <c r="G214" s="12"/>
    </row>
    <row r="215" spans="1:7">
      <c r="A215" s="26"/>
      <c r="B215" s="27"/>
      <c r="C215" s="28">
        <v>41248</v>
      </c>
      <c r="D215" s="29">
        <v>375</v>
      </c>
      <c r="E215" s="30" t="s">
        <v>1588</v>
      </c>
      <c r="F215" s="26" t="s">
        <v>1595</v>
      </c>
      <c r="G215" s="12"/>
    </row>
    <row r="216" spans="1:7">
      <c r="A216" s="26"/>
      <c r="B216" s="27"/>
      <c r="C216" s="28">
        <v>41250</v>
      </c>
      <c r="D216" s="29">
        <v>375</v>
      </c>
      <c r="E216" s="30" t="s">
        <v>1589</v>
      </c>
      <c r="F216" s="26" t="s">
        <v>1595</v>
      </c>
      <c r="G216" s="12"/>
    </row>
    <row r="217" spans="1:7">
      <c r="A217" s="26"/>
      <c r="B217" s="27"/>
      <c r="C217" s="28">
        <v>41251</v>
      </c>
      <c r="D217" s="29">
        <v>185</v>
      </c>
      <c r="E217" s="30" t="s">
        <v>1590</v>
      </c>
      <c r="F217" s="26" t="s">
        <v>1595</v>
      </c>
      <c r="G217" s="12"/>
    </row>
    <row r="218" spans="1:7">
      <c r="A218" s="26"/>
      <c r="B218" s="27"/>
      <c r="C218" s="28">
        <v>41254</v>
      </c>
      <c r="D218" s="29">
        <f>560+185</f>
        <v>745</v>
      </c>
      <c r="E218" s="30" t="s">
        <v>40</v>
      </c>
      <c r="F218" s="26" t="s">
        <v>1595</v>
      </c>
      <c r="G218" s="12"/>
    </row>
    <row r="219" spans="1:7">
      <c r="A219" s="26"/>
      <c r="B219" s="27"/>
      <c r="C219" s="28">
        <v>41257</v>
      </c>
      <c r="D219" s="29">
        <v>750</v>
      </c>
      <c r="E219" s="30" t="s">
        <v>1591</v>
      </c>
      <c r="F219" s="26" t="s">
        <v>1595</v>
      </c>
      <c r="G219" s="12"/>
    </row>
    <row r="220" spans="1:7">
      <c r="A220" s="26"/>
      <c r="B220" s="27"/>
      <c r="C220" s="28">
        <v>41267</v>
      </c>
      <c r="D220" s="29">
        <f>2625+375+375+185</f>
        <v>3560</v>
      </c>
      <c r="E220" s="30" t="s">
        <v>187</v>
      </c>
      <c r="F220" s="26" t="s">
        <v>1595</v>
      </c>
      <c r="G220" s="12"/>
    </row>
    <row r="221" spans="1:7">
      <c r="A221" s="26"/>
      <c r="B221" s="27"/>
      <c r="C221" s="28">
        <v>41268</v>
      </c>
      <c r="D221" s="29">
        <v>560</v>
      </c>
      <c r="E221" s="30" t="s">
        <v>1592</v>
      </c>
      <c r="F221" s="26" t="s">
        <v>1595</v>
      </c>
      <c r="G221" s="12"/>
    </row>
    <row r="222" spans="1:7">
      <c r="A222" s="26"/>
      <c r="B222" s="27"/>
      <c r="C222" s="28">
        <v>41269</v>
      </c>
      <c r="D222" s="29">
        <v>185</v>
      </c>
      <c r="E222" s="30" t="s">
        <v>1593</v>
      </c>
      <c r="F222" s="26" t="s">
        <v>1595</v>
      </c>
      <c r="G222" s="12"/>
    </row>
    <row r="223" spans="1:7">
      <c r="A223" s="26"/>
      <c r="B223" s="27"/>
      <c r="C223" s="28">
        <v>41272</v>
      </c>
      <c r="D223" s="29">
        <v>750</v>
      </c>
      <c r="E223" s="30" t="s">
        <v>1594</v>
      </c>
      <c r="F223" s="26" t="s">
        <v>1595</v>
      </c>
      <c r="G223" s="12"/>
    </row>
    <row r="224" spans="1:7">
      <c r="A224" s="26"/>
      <c r="B224" s="27"/>
      <c r="C224" s="28">
        <v>41277</v>
      </c>
      <c r="D224" s="29">
        <v>2625</v>
      </c>
      <c r="E224" s="30" t="s">
        <v>1596</v>
      </c>
      <c r="F224" s="26" t="s">
        <v>1604</v>
      </c>
      <c r="G224" s="12"/>
    </row>
    <row r="225" spans="1:7">
      <c r="A225" s="26"/>
      <c r="B225" s="27"/>
      <c r="C225" s="28">
        <v>41278</v>
      </c>
      <c r="D225" s="29">
        <v>375</v>
      </c>
      <c r="E225" s="30" t="s">
        <v>1597</v>
      </c>
      <c r="F225" s="26" t="s">
        <v>1604</v>
      </c>
      <c r="G225" s="12"/>
    </row>
    <row r="226" spans="1:7">
      <c r="A226" s="26"/>
      <c r="B226" s="27"/>
      <c r="C226" s="28">
        <v>41279</v>
      </c>
      <c r="D226" s="29">
        <v>375</v>
      </c>
      <c r="E226" s="30" t="s">
        <v>1598</v>
      </c>
      <c r="F226" s="26" t="s">
        <v>1604</v>
      </c>
      <c r="G226" s="12"/>
    </row>
    <row r="227" spans="1:7">
      <c r="A227" s="26"/>
      <c r="B227" s="27"/>
      <c r="C227" s="28">
        <v>41282</v>
      </c>
      <c r="D227" s="29">
        <v>185</v>
      </c>
      <c r="E227" s="30" t="s">
        <v>1599</v>
      </c>
      <c r="F227" s="26" t="s">
        <v>1604</v>
      </c>
      <c r="G227" s="12"/>
    </row>
    <row r="228" spans="1:7">
      <c r="A228" s="26"/>
      <c r="B228" s="27"/>
      <c r="C228" s="28">
        <v>41283</v>
      </c>
      <c r="D228" s="29">
        <v>560</v>
      </c>
      <c r="E228" s="30" t="s">
        <v>1600</v>
      </c>
      <c r="F228" s="26" t="s">
        <v>1604</v>
      </c>
      <c r="G228" s="12"/>
    </row>
    <row r="229" spans="1:7">
      <c r="A229" s="26"/>
      <c r="B229" s="27"/>
      <c r="C229" s="28">
        <v>41285</v>
      </c>
      <c r="D229" s="29">
        <v>185</v>
      </c>
      <c r="E229" s="30" t="s">
        <v>1601</v>
      </c>
      <c r="F229" s="26" t="s">
        <v>1604</v>
      </c>
      <c r="G229" s="12"/>
    </row>
    <row r="230" spans="1:7">
      <c r="A230" s="26"/>
      <c r="B230" s="27"/>
      <c r="C230" s="28">
        <v>41288</v>
      </c>
      <c r="D230" s="29">
        <v>750</v>
      </c>
      <c r="E230" s="30" t="s">
        <v>1602</v>
      </c>
      <c r="F230" s="26" t="s">
        <v>1604</v>
      </c>
      <c r="G230" s="12"/>
    </row>
    <row r="231" spans="1:7">
      <c r="A231" s="26"/>
      <c r="B231" s="27"/>
      <c r="C231" s="28">
        <v>41293</v>
      </c>
      <c r="D231" s="29">
        <f>2625+375</f>
        <v>3000</v>
      </c>
      <c r="E231" s="30" t="s">
        <v>2897</v>
      </c>
      <c r="F231" s="26" t="s">
        <v>1604</v>
      </c>
      <c r="G231" s="12"/>
    </row>
    <row r="232" spans="1:7">
      <c r="A232" s="26"/>
      <c r="B232" s="27"/>
      <c r="C232" s="28">
        <v>41295</v>
      </c>
      <c r="D232" s="29">
        <v>375</v>
      </c>
      <c r="E232" s="30" t="s">
        <v>1603</v>
      </c>
      <c r="F232" s="26" t="s">
        <v>1604</v>
      </c>
      <c r="G232" s="12"/>
    </row>
    <row r="233" spans="1:7">
      <c r="A233" s="26">
        <v>17</v>
      </c>
      <c r="B233" s="27" t="s">
        <v>4026</v>
      </c>
      <c r="C233" s="28">
        <v>41225</v>
      </c>
      <c r="D233" s="29">
        <v>6375</v>
      </c>
      <c r="E233" s="30" t="s">
        <v>1606</v>
      </c>
      <c r="F233" s="26" t="s">
        <v>1605</v>
      </c>
      <c r="G233" s="12"/>
    </row>
    <row r="234" spans="1:7">
      <c r="A234" s="26"/>
      <c r="B234" s="27"/>
      <c r="C234" s="28">
        <v>41227</v>
      </c>
      <c r="D234" s="29">
        <v>375</v>
      </c>
      <c r="E234" s="30" t="s">
        <v>1607</v>
      </c>
      <c r="F234" s="26" t="s">
        <v>1605</v>
      </c>
      <c r="G234" s="12"/>
    </row>
    <row r="235" spans="1:7">
      <c r="A235" s="26"/>
      <c r="B235" s="27"/>
      <c r="C235" s="28">
        <v>41239</v>
      </c>
      <c r="D235" s="29">
        <v>6375</v>
      </c>
      <c r="E235" s="30" t="s">
        <v>1608</v>
      </c>
      <c r="F235" s="26" t="s">
        <v>1605</v>
      </c>
      <c r="G235" s="12"/>
    </row>
    <row r="236" spans="1:7">
      <c r="A236" s="26"/>
      <c r="B236" s="27"/>
      <c r="C236" s="28">
        <v>41242</v>
      </c>
      <c r="D236" s="29">
        <v>375</v>
      </c>
      <c r="E236" s="30" t="s">
        <v>1609</v>
      </c>
      <c r="F236" s="26" t="s">
        <v>1605</v>
      </c>
      <c r="G236" s="12"/>
    </row>
    <row r="237" spans="1:7">
      <c r="A237" s="26"/>
      <c r="B237" s="27"/>
      <c r="C237" s="28">
        <v>41254</v>
      </c>
      <c r="D237" s="29">
        <v>6375</v>
      </c>
      <c r="E237" s="30" t="s">
        <v>1610</v>
      </c>
      <c r="F237" s="26" t="s">
        <v>1605</v>
      </c>
      <c r="G237" s="12"/>
    </row>
    <row r="238" spans="1:7">
      <c r="A238" s="26"/>
      <c r="B238" s="27"/>
      <c r="C238" s="28">
        <v>41257</v>
      </c>
      <c r="D238" s="29">
        <v>375</v>
      </c>
      <c r="E238" s="30" t="s">
        <v>1611</v>
      </c>
      <c r="F238" s="26" t="s">
        <v>1605</v>
      </c>
      <c r="G238" s="12"/>
    </row>
    <row r="239" spans="1:7">
      <c r="A239" s="26"/>
      <c r="B239" s="27"/>
      <c r="C239" s="28">
        <v>41268</v>
      </c>
      <c r="D239" s="29">
        <v>6375</v>
      </c>
      <c r="E239" s="30" t="s">
        <v>1612</v>
      </c>
      <c r="F239" s="26" t="s">
        <v>1605</v>
      </c>
      <c r="G239" s="12"/>
    </row>
    <row r="240" spans="1:7">
      <c r="A240" s="26"/>
      <c r="B240" s="27"/>
      <c r="C240" s="28">
        <v>41273</v>
      </c>
      <c r="D240" s="29">
        <v>375</v>
      </c>
      <c r="E240" s="30" t="s">
        <v>1613</v>
      </c>
      <c r="F240" s="26" t="s">
        <v>1605</v>
      </c>
      <c r="G240" s="12"/>
    </row>
    <row r="241" spans="1:7">
      <c r="A241" s="26"/>
      <c r="B241" s="27"/>
      <c r="C241" s="28">
        <v>41284</v>
      </c>
      <c r="D241" s="29">
        <v>6375</v>
      </c>
      <c r="E241" s="30" t="s">
        <v>1614</v>
      </c>
      <c r="F241" s="26" t="s">
        <v>1616</v>
      </c>
      <c r="G241" s="12"/>
    </row>
    <row r="242" spans="1:7">
      <c r="A242" s="26"/>
      <c r="B242" s="27"/>
      <c r="C242" s="28">
        <v>41288</v>
      </c>
      <c r="D242" s="29">
        <v>375</v>
      </c>
      <c r="E242" s="30" t="s">
        <v>1615</v>
      </c>
      <c r="F242" s="26" t="s">
        <v>1616</v>
      </c>
      <c r="G242" s="12"/>
    </row>
    <row r="243" spans="1:7">
      <c r="A243" s="26">
        <v>18</v>
      </c>
      <c r="B243" s="27" t="s">
        <v>3978</v>
      </c>
      <c r="C243" s="28">
        <v>41214</v>
      </c>
      <c r="D243" s="29">
        <v>750</v>
      </c>
      <c r="E243" s="30" t="s">
        <v>1618</v>
      </c>
      <c r="F243" s="26" t="s">
        <v>1617</v>
      </c>
      <c r="G243" s="12"/>
    </row>
    <row r="244" spans="1:7">
      <c r="A244" s="26"/>
      <c r="B244" s="27"/>
      <c r="C244" s="28">
        <v>41223</v>
      </c>
      <c r="D244" s="29">
        <v>1125</v>
      </c>
      <c r="E244" s="30" t="s">
        <v>1619</v>
      </c>
      <c r="F244" s="26" t="s">
        <v>1617</v>
      </c>
      <c r="G244" s="12"/>
    </row>
    <row r="245" spans="1:7">
      <c r="A245" s="26"/>
      <c r="B245" s="27"/>
      <c r="C245" s="28">
        <v>41225</v>
      </c>
      <c r="D245" s="29">
        <v>1685</v>
      </c>
      <c r="E245" s="30" t="s">
        <v>1620</v>
      </c>
      <c r="F245" s="26" t="s">
        <v>1617</v>
      </c>
      <c r="G245" s="12"/>
    </row>
    <row r="246" spans="1:7">
      <c r="A246" s="26"/>
      <c r="B246" s="27"/>
      <c r="C246" s="28">
        <v>41226</v>
      </c>
      <c r="D246" s="29">
        <v>1500</v>
      </c>
      <c r="E246" s="30" t="s">
        <v>1621</v>
      </c>
      <c r="F246" s="26" t="s">
        <v>1617</v>
      </c>
      <c r="G246" s="12"/>
    </row>
    <row r="247" spans="1:7">
      <c r="A247" s="26"/>
      <c r="B247" s="27"/>
      <c r="C247" s="28">
        <v>41227</v>
      </c>
      <c r="D247" s="29">
        <v>1125</v>
      </c>
      <c r="E247" s="30" t="s">
        <v>1622</v>
      </c>
      <c r="F247" s="26" t="s">
        <v>1617</v>
      </c>
      <c r="G247" s="12"/>
    </row>
    <row r="248" spans="1:7">
      <c r="A248" s="26"/>
      <c r="B248" s="27"/>
      <c r="C248" s="28">
        <v>41228</v>
      </c>
      <c r="D248" s="29">
        <v>560</v>
      </c>
      <c r="E248" s="30" t="s">
        <v>1623</v>
      </c>
      <c r="F248" s="26" t="s">
        <v>1617</v>
      </c>
      <c r="G248" s="12"/>
    </row>
    <row r="249" spans="1:7">
      <c r="A249" s="26"/>
      <c r="B249" s="27"/>
      <c r="C249" s="28">
        <v>41229</v>
      </c>
      <c r="D249" s="29">
        <v>375</v>
      </c>
      <c r="E249" s="30" t="s">
        <v>1624</v>
      </c>
      <c r="F249" s="26" t="s">
        <v>1617</v>
      </c>
      <c r="G249" s="12"/>
    </row>
    <row r="250" spans="1:7">
      <c r="A250" s="26"/>
      <c r="B250" s="27"/>
      <c r="C250" s="28">
        <v>41239</v>
      </c>
      <c r="D250" s="29">
        <v>1125</v>
      </c>
      <c r="E250" s="30" t="s">
        <v>1625</v>
      </c>
      <c r="F250" s="26" t="s">
        <v>1617</v>
      </c>
      <c r="G250" s="12"/>
    </row>
    <row r="251" spans="1:7">
      <c r="A251" s="26"/>
      <c r="B251" s="27"/>
      <c r="C251" s="28">
        <v>41240</v>
      </c>
      <c r="D251" s="29">
        <v>1685</v>
      </c>
      <c r="E251" s="30" t="s">
        <v>1626</v>
      </c>
      <c r="F251" s="26" t="s">
        <v>1617</v>
      </c>
      <c r="G251" s="12"/>
    </row>
    <row r="252" spans="1:7">
      <c r="A252" s="26"/>
      <c r="B252" s="27"/>
      <c r="C252" s="28">
        <v>41241</v>
      </c>
      <c r="D252" s="29">
        <v>1500</v>
      </c>
      <c r="E252" s="30" t="s">
        <v>1627</v>
      </c>
      <c r="F252" s="26" t="s">
        <v>1617</v>
      </c>
      <c r="G252" s="12"/>
    </row>
    <row r="253" spans="1:7">
      <c r="A253" s="26"/>
      <c r="B253" s="27"/>
      <c r="C253" s="28">
        <v>41242</v>
      </c>
      <c r="D253" s="29">
        <f>1125+560</f>
        <v>1685</v>
      </c>
      <c r="E253" s="30" t="s">
        <v>1222</v>
      </c>
      <c r="F253" s="26" t="s">
        <v>1617</v>
      </c>
      <c r="G253" s="12"/>
    </row>
    <row r="254" spans="1:7">
      <c r="A254" s="26"/>
      <c r="B254" s="27"/>
      <c r="C254" s="28">
        <v>41244</v>
      </c>
      <c r="D254" s="29">
        <v>375</v>
      </c>
      <c r="E254" s="30" t="s">
        <v>1628</v>
      </c>
      <c r="F254" s="26" t="s">
        <v>1617</v>
      </c>
      <c r="G254" s="12"/>
    </row>
    <row r="255" spans="1:7">
      <c r="A255" s="26"/>
      <c r="B255" s="27"/>
      <c r="C255" s="28">
        <v>41254</v>
      </c>
      <c r="D255" s="29">
        <v>1125</v>
      </c>
      <c r="E255" s="30" t="s">
        <v>1629</v>
      </c>
      <c r="F255" s="26" t="s">
        <v>1617</v>
      </c>
      <c r="G255" s="12"/>
    </row>
    <row r="256" spans="1:7">
      <c r="A256" s="26"/>
      <c r="B256" s="27"/>
      <c r="C256" s="28">
        <v>41255</v>
      </c>
      <c r="D256" s="29">
        <v>1685</v>
      </c>
      <c r="E256" s="30" t="s">
        <v>1630</v>
      </c>
      <c r="F256" s="26" t="s">
        <v>1617</v>
      </c>
      <c r="G256" s="12"/>
    </row>
    <row r="257" spans="1:7">
      <c r="A257" s="26"/>
      <c r="B257" s="27"/>
      <c r="C257" s="28">
        <v>41257</v>
      </c>
      <c r="D257" s="29">
        <f>1500+1125</f>
        <v>2625</v>
      </c>
      <c r="E257" s="30" t="s">
        <v>2438</v>
      </c>
      <c r="F257" s="26" t="s">
        <v>1617</v>
      </c>
      <c r="G257" s="12"/>
    </row>
    <row r="258" spans="1:7">
      <c r="A258" s="26"/>
      <c r="B258" s="27"/>
      <c r="C258" s="28">
        <v>41258</v>
      </c>
      <c r="D258" s="29">
        <f>560+375</f>
        <v>935</v>
      </c>
      <c r="E258" s="30" t="s">
        <v>2440</v>
      </c>
      <c r="F258" s="26" t="s">
        <v>1617</v>
      </c>
      <c r="G258" s="12"/>
    </row>
    <row r="259" spans="1:7">
      <c r="A259" s="26"/>
      <c r="B259" s="27"/>
      <c r="C259" s="28">
        <v>41269</v>
      </c>
      <c r="D259" s="29">
        <v>1125</v>
      </c>
      <c r="E259" s="30" t="s">
        <v>1631</v>
      </c>
      <c r="F259" s="26" t="s">
        <v>1617</v>
      </c>
      <c r="G259" s="12"/>
    </row>
    <row r="260" spans="1:7">
      <c r="A260" s="26"/>
      <c r="B260" s="27"/>
      <c r="C260" s="28">
        <v>41270</v>
      </c>
      <c r="D260" s="29">
        <v>1685</v>
      </c>
      <c r="E260" s="30" t="s">
        <v>1632</v>
      </c>
      <c r="F260" s="26" t="s">
        <v>1617</v>
      </c>
      <c r="G260" s="12"/>
    </row>
    <row r="261" spans="1:7" ht="32.4">
      <c r="A261" s="26"/>
      <c r="B261" s="27"/>
      <c r="C261" s="28">
        <v>41271</v>
      </c>
      <c r="D261" s="29">
        <v>1500</v>
      </c>
      <c r="E261" s="34" t="s">
        <v>1633</v>
      </c>
      <c r="F261" s="26" t="s">
        <v>1617</v>
      </c>
      <c r="G261" s="12" t="s">
        <v>288</v>
      </c>
    </row>
    <row r="262" spans="1:7">
      <c r="A262" s="26"/>
      <c r="B262" s="27"/>
      <c r="C262" s="28">
        <v>41272</v>
      </c>
      <c r="D262" s="29">
        <f>1125+560</f>
        <v>1685</v>
      </c>
      <c r="E262" s="30" t="s">
        <v>1309</v>
      </c>
      <c r="F262" s="26" t="s">
        <v>1617</v>
      </c>
      <c r="G262" s="12"/>
    </row>
    <row r="263" spans="1:7">
      <c r="A263" s="26"/>
      <c r="B263" s="27"/>
      <c r="C263" s="28">
        <v>41285</v>
      </c>
      <c r="D263" s="29">
        <f>1125+1685+1500+1125</f>
        <v>5435</v>
      </c>
      <c r="E263" s="30" t="s">
        <v>2749</v>
      </c>
      <c r="F263" s="26" t="s">
        <v>1919</v>
      </c>
      <c r="G263" s="12"/>
    </row>
    <row r="264" spans="1:7">
      <c r="A264" s="26"/>
      <c r="B264" s="27"/>
      <c r="C264" s="28">
        <v>41290</v>
      </c>
      <c r="D264" s="29">
        <v>560</v>
      </c>
      <c r="E264" s="30" t="s">
        <v>1918</v>
      </c>
      <c r="F264" s="26" t="s">
        <v>1919</v>
      </c>
      <c r="G264" s="12"/>
    </row>
    <row r="265" spans="1:7">
      <c r="A265" s="26">
        <v>19</v>
      </c>
      <c r="B265" s="27" t="s">
        <v>3820</v>
      </c>
      <c r="C265" s="28">
        <v>41216</v>
      </c>
      <c r="D265" s="29">
        <v>750</v>
      </c>
      <c r="E265" s="30" t="s">
        <v>1920</v>
      </c>
      <c r="F265" s="26" t="s">
        <v>1933</v>
      </c>
      <c r="G265" s="12"/>
    </row>
    <row r="266" spans="1:7">
      <c r="A266" s="26"/>
      <c r="B266" s="27"/>
      <c r="C266" s="28">
        <v>41219</v>
      </c>
      <c r="D266" s="29">
        <v>375</v>
      </c>
      <c r="E266" s="30" t="s">
        <v>1576</v>
      </c>
      <c r="F266" s="26" t="s">
        <v>1933</v>
      </c>
      <c r="G266" s="12"/>
    </row>
    <row r="267" spans="1:7">
      <c r="A267" s="26"/>
      <c r="B267" s="27"/>
      <c r="C267" s="28">
        <v>41227</v>
      </c>
      <c r="D267" s="29">
        <v>560</v>
      </c>
      <c r="E267" s="30" t="s">
        <v>1921</v>
      </c>
      <c r="F267" s="26" t="s">
        <v>1933</v>
      </c>
      <c r="G267" s="12"/>
    </row>
    <row r="268" spans="1:7">
      <c r="A268" s="26"/>
      <c r="B268" s="27"/>
      <c r="C268" s="28">
        <v>41228</v>
      </c>
      <c r="D268" s="29">
        <v>375</v>
      </c>
      <c r="E268" s="30" t="s">
        <v>1923</v>
      </c>
      <c r="F268" s="26" t="s">
        <v>1933</v>
      </c>
      <c r="G268" s="12"/>
    </row>
    <row r="269" spans="1:7">
      <c r="A269" s="26"/>
      <c r="B269" s="27"/>
      <c r="C269" s="28">
        <v>41232</v>
      </c>
      <c r="D269" s="29">
        <v>750</v>
      </c>
      <c r="E269" s="30" t="s">
        <v>1922</v>
      </c>
      <c r="F269" s="26" t="s">
        <v>1933</v>
      </c>
      <c r="G269" s="12"/>
    </row>
    <row r="270" spans="1:7">
      <c r="A270" s="26"/>
      <c r="B270" s="27"/>
      <c r="C270" s="28">
        <v>41233</v>
      </c>
      <c r="D270" s="29">
        <v>375</v>
      </c>
      <c r="E270" s="30" t="s">
        <v>1583</v>
      </c>
      <c r="F270" s="26" t="s">
        <v>1933</v>
      </c>
      <c r="G270" s="12"/>
    </row>
    <row r="271" spans="1:7">
      <c r="A271" s="26"/>
      <c r="B271" s="27"/>
      <c r="C271" s="28">
        <v>41242</v>
      </c>
      <c r="D271" s="29">
        <v>560</v>
      </c>
      <c r="E271" s="30" t="s">
        <v>1924</v>
      </c>
      <c r="F271" s="26" t="s">
        <v>1933</v>
      </c>
      <c r="G271" s="12"/>
    </row>
    <row r="272" spans="1:7">
      <c r="A272" s="26"/>
      <c r="B272" s="27"/>
      <c r="C272" s="28">
        <v>41243</v>
      </c>
      <c r="D272" s="29">
        <v>375</v>
      </c>
      <c r="E272" s="30" t="s">
        <v>1925</v>
      </c>
      <c r="F272" s="26" t="s">
        <v>1933</v>
      </c>
      <c r="G272" s="12"/>
    </row>
    <row r="273" spans="1:7">
      <c r="A273" s="26"/>
      <c r="B273" s="27"/>
      <c r="C273" s="28">
        <v>41247</v>
      </c>
      <c r="D273" s="29">
        <v>750</v>
      </c>
      <c r="E273" s="30" t="s">
        <v>1926</v>
      </c>
      <c r="F273" s="26" t="s">
        <v>1933</v>
      </c>
      <c r="G273" s="12"/>
    </row>
    <row r="274" spans="1:7">
      <c r="A274" s="26"/>
      <c r="B274" s="27"/>
      <c r="C274" s="28">
        <v>41249</v>
      </c>
      <c r="D274" s="29">
        <v>375</v>
      </c>
      <c r="E274" s="30" t="s">
        <v>1588</v>
      </c>
      <c r="F274" s="26" t="s">
        <v>1933</v>
      </c>
      <c r="G274" s="12"/>
    </row>
    <row r="275" spans="1:7">
      <c r="A275" s="26"/>
      <c r="B275" s="27"/>
      <c r="C275" s="28">
        <v>41257</v>
      </c>
      <c r="D275" s="29">
        <v>560</v>
      </c>
      <c r="E275" s="30" t="s">
        <v>1927</v>
      </c>
      <c r="F275" s="26" t="s">
        <v>1933</v>
      </c>
      <c r="G275" s="12"/>
    </row>
    <row r="276" spans="1:7">
      <c r="A276" s="26"/>
      <c r="B276" s="27"/>
      <c r="C276" s="28">
        <v>41260</v>
      </c>
      <c r="D276" s="29">
        <v>375</v>
      </c>
      <c r="E276" s="30" t="s">
        <v>1928</v>
      </c>
      <c r="F276" s="26" t="s">
        <v>1933</v>
      </c>
      <c r="G276" s="12"/>
    </row>
    <row r="277" spans="1:7">
      <c r="A277" s="26"/>
      <c r="B277" s="27"/>
      <c r="C277" s="28">
        <v>41262</v>
      </c>
      <c r="D277" s="29">
        <v>750</v>
      </c>
      <c r="E277" s="30" t="s">
        <v>1929</v>
      </c>
      <c r="F277" s="26" t="s">
        <v>1933</v>
      </c>
      <c r="G277" s="12"/>
    </row>
    <row r="278" spans="1:7">
      <c r="A278" s="26"/>
      <c r="B278" s="27"/>
      <c r="C278" s="28">
        <v>41268</v>
      </c>
      <c r="D278" s="29">
        <v>375</v>
      </c>
      <c r="E278" s="30" t="s">
        <v>1930</v>
      </c>
      <c r="F278" s="26" t="s">
        <v>1933</v>
      </c>
      <c r="G278" s="12"/>
    </row>
    <row r="279" spans="1:7">
      <c r="A279" s="26"/>
      <c r="B279" s="27"/>
      <c r="C279" s="28">
        <v>41272</v>
      </c>
      <c r="D279" s="29">
        <v>560</v>
      </c>
      <c r="E279" s="30" t="s">
        <v>1931</v>
      </c>
      <c r="F279" s="26" t="s">
        <v>1933</v>
      </c>
      <c r="G279" s="12"/>
    </row>
    <row r="280" spans="1:7">
      <c r="A280" s="26"/>
      <c r="B280" s="27"/>
      <c r="C280" s="28">
        <v>41274</v>
      </c>
      <c r="D280" s="29">
        <v>375</v>
      </c>
      <c r="E280" s="30" t="s">
        <v>1932</v>
      </c>
      <c r="F280" s="26" t="s">
        <v>1933</v>
      </c>
      <c r="G280" s="12"/>
    </row>
    <row r="281" spans="1:7">
      <c r="A281" s="26"/>
      <c r="B281" s="27"/>
      <c r="C281" s="28">
        <v>41277</v>
      </c>
      <c r="D281" s="29">
        <v>750</v>
      </c>
      <c r="E281" s="30" t="s">
        <v>1934</v>
      </c>
      <c r="F281" s="26" t="s">
        <v>1937</v>
      </c>
      <c r="G281" s="12"/>
    </row>
    <row r="282" spans="1:7">
      <c r="A282" s="26"/>
      <c r="B282" s="27"/>
      <c r="C282" s="28">
        <v>41279</v>
      </c>
      <c r="D282" s="29">
        <v>375</v>
      </c>
      <c r="E282" s="30" t="s">
        <v>1597</v>
      </c>
      <c r="F282" s="26" t="s">
        <v>1937</v>
      </c>
      <c r="G282" s="12"/>
    </row>
    <row r="283" spans="1:7">
      <c r="A283" s="26"/>
      <c r="B283" s="27"/>
      <c r="C283" s="28">
        <v>41288</v>
      </c>
      <c r="D283" s="29">
        <v>560</v>
      </c>
      <c r="E283" s="30" t="s">
        <v>1935</v>
      </c>
      <c r="F283" s="26" t="s">
        <v>1937</v>
      </c>
      <c r="G283" s="12"/>
    </row>
    <row r="284" spans="1:7">
      <c r="A284" s="26"/>
      <c r="B284" s="27"/>
      <c r="C284" s="28">
        <v>41291</v>
      </c>
      <c r="D284" s="29">
        <v>375</v>
      </c>
      <c r="E284" s="30" t="s">
        <v>1936</v>
      </c>
      <c r="F284" s="26" t="s">
        <v>1937</v>
      </c>
      <c r="G284" s="12"/>
    </row>
    <row r="285" spans="1:7">
      <c r="A285" s="26"/>
      <c r="B285" s="27"/>
      <c r="C285" s="28">
        <v>41295</v>
      </c>
      <c r="D285" s="29">
        <f>750+375</f>
        <v>1125</v>
      </c>
      <c r="E285" s="30" t="s">
        <v>2905</v>
      </c>
      <c r="F285" s="26" t="s">
        <v>1937</v>
      </c>
      <c r="G285" s="12"/>
    </row>
    <row r="286" spans="1:7">
      <c r="A286" s="26">
        <v>20</v>
      </c>
      <c r="B286" s="27" t="s">
        <v>3986</v>
      </c>
      <c r="C286" s="28">
        <v>41215</v>
      </c>
      <c r="D286" s="29">
        <v>560</v>
      </c>
      <c r="E286" s="30" t="s">
        <v>1938</v>
      </c>
      <c r="F286" s="26" t="s">
        <v>1863</v>
      </c>
      <c r="G286" s="12"/>
    </row>
    <row r="287" spans="1:7">
      <c r="A287" s="26"/>
      <c r="B287" s="27"/>
      <c r="C287" s="28">
        <v>41216</v>
      </c>
      <c r="D287" s="29">
        <f>1125+1875</f>
        <v>3000</v>
      </c>
      <c r="E287" s="30" t="s">
        <v>1939</v>
      </c>
      <c r="F287" s="26" t="s">
        <v>1863</v>
      </c>
      <c r="G287" s="12"/>
    </row>
    <row r="288" spans="1:7">
      <c r="A288" s="26"/>
      <c r="B288" s="27"/>
      <c r="C288" s="28">
        <v>41218</v>
      </c>
      <c r="D288" s="29">
        <v>560</v>
      </c>
      <c r="E288" s="30" t="s">
        <v>1940</v>
      </c>
      <c r="F288" s="26" t="s">
        <v>1863</v>
      </c>
      <c r="G288" s="12"/>
    </row>
    <row r="289" spans="1:7">
      <c r="A289" s="26"/>
      <c r="B289" s="27"/>
      <c r="C289" s="28">
        <v>41220</v>
      </c>
      <c r="D289" s="29">
        <v>935</v>
      </c>
      <c r="E289" s="30" t="s">
        <v>1941</v>
      </c>
      <c r="F289" s="26" t="s">
        <v>1863</v>
      </c>
      <c r="G289" s="12"/>
    </row>
    <row r="290" spans="1:7">
      <c r="A290" s="26"/>
      <c r="B290" s="27"/>
      <c r="C290" s="28">
        <v>41225</v>
      </c>
      <c r="D290" s="29">
        <v>750</v>
      </c>
      <c r="E290" s="30" t="s">
        <v>1942</v>
      </c>
      <c r="F290" s="26" t="s">
        <v>1863</v>
      </c>
      <c r="G290" s="12"/>
    </row>
    <row r="291" spans="1:7">
      <c r="A291" s="26"/>
      <c r="B291" s="27"/>
      <c r="C291" s="28">
        <v>41229</v>
      </c>
      <c r="D291" s="29">
        <v>1310</v>
      </c>
      <c r="E291" s="30" t="s">
        <v>1943</v>
      </c>
      <c r="F291" s="26" t="s">
        <v>1863</v>
      </c>
      <c r="G291" s="12"/>
    </row>
    <row r="292" spans="1:7" ht="32.4">
      <c r="A292" s="26"/>
      <c r="B292" s="27"/>
      <c r="C292" s="28">
        <v>41233</v>
      </c>
      <c r="D292" s="29">
        <f>560+1125+1875+560</f>
        <v>4120</v>
      </c>
      <c r="E292" s="30" t="s">
        <v>1039</v>
      </c>
      <c r="F292" s="26" t="s">
        <v>1863</v>
      </c>
      <c r="G292" s="12"/>
    </row>
    <row r="293" spans="1:7">
      <c r="A293" s="26"/>
      <c r="B293" s="27"/>
      <c r="C293" s="28">
        <v>41235</v>
      </c>
      <c r="D293" s="29">
        <v>935</v>
      </c>
      <c r="E293" s="30" t="s">
        <v>1944</v>
      </c>
      <c r="F293" s="26" t="s">
        <v>1863</v>
      </c>
      <c r="G293" s="12"/>
    </row>
    <row r="294" spans="1:7">
      <c r="A294" s="26"/>
      <c r="B294" s="27"/>
      <c r="C294" s="28">
        <v>41239</v>
      </c>
      <c r="D294" s="29">
        <v>750</v>
      </c>
      <c r="E294" s="30" t="s">
        <v>1945</v>
      </c>
      <c r="F294" s="26" t="s">
        <v>1863</v>
      </c>
      <c r="G294" s="12"/>
    </row>
    <row r="295" spans="1:7">
      <c r="A295" s="26"/>
      <c r="B295" s="27"/>
      <c r="C295" s="28">
        <v>41242</v>
      </c>
      <c r="D295" s="29">
        <v>1310</v>
      </c>
      <c r="E295" s="30" t="s">
        <v>1946</v>
      </c>
      <c r="F295" s="26" t="s">
        <v>1863</v>
      </c>
      <c r="G295" s="12"/>
    </row>
    <row r="296" spans="1:7">
      <c r="A296" s="26"/>
      <c r="B296" s="27"/>
      <c r="C296" s="28">
        <v>41244</v>
      </c>
      <c r="D296" s="29">
        <v>560</v>
      </c>
      <c r="E296" s="30" t="s">
        <v>1947</v>
      </c>
      <c r="F296" s="26" t="s">
        <v>1863</v>
      </c>
      <c r="G296" s="12"/>
    </row>
    <row r="297" spans="1:7">
      <c r="A297" s="26"/>
      <c r="B297" s="27"/>
      <c r="C297" s="28">
        <v>41246</v>
      </c>
      <c r="D297" s="29">
        <v>1125</v>
      </c>
      <c r="E297" s="30" t="s">
        <v>1855</v>
      </c>
      <c r="F297" s="26" t="s">
        <v>1863</v>
      </c>
      <c r="G297" s="12"/>
    </row>
    <row r="298" spans="1:7">
      <c r="A298" s="26"/>
      <c r="B298" s="27"/>
      <c r="C298" s="28">
        <v>41247</v>
      </c>
      <c r="D298" s="29">
        <v>1875</v>
      </c>
      <c r="E298" s="30" t="s">
        <v>1856</v>
      </c>
      <c r="F298" s="26" t="s">
        <v>1863</v>
      </c>
      <c r="G298" s="12"/>
    </row>
    <row r="299" spans="1:7">
      <c r="A299" s="26"/>
      <c r="B299" s="27"/>
      <c r="C299" s="28">
        <v>41248</v>
      </c>
      <c r="D299" s="29">
        <v>560</v>
      </c>
      <c r="E299" s="30" t="s">
        <v>1857</v>
      </c>
      <c r="F299" s="26" t="s">
        <v>1863</v>
      </c>
      <c r="G299" s="12"/>
    </row>
    <row r="300" spans="1:7">
      <c r="A300" s="26"/>
      <c r="B300" s="27"/>
      <c r="C300" s="28">
        <v>41250</v>
      </c>
      <c r="D300" s="29">
        <v>935</v>
      </c>
      <c r="E300" s="30" t="s">
        <v>1858</v>
      </c>
      <c r="F300" s="26" t="s">
        <v>1863</v>
      </c>
      <c r="G300" s="12"/>
    </row>
    <row r="301" spans="1:7">
      <c r="A301" s="26"/>
      <c r="B301" s="27"/>
      <c r="C301" s="28">
        <v>41254</v>
      </c>
      <c r="D301" s="29">
        <v>750</v>
      </c>
      <c r="E301" s="30" t="s">
        <v>1859</v>
      </c>
      <c r="F301" s="26" t="s">
        <v>1863</v>
      </c>
      <c r="G301" s="12"/>
    </row>
    <row r="302" spans="1:7">
      <c r="A302" s="26"/>
      <c r="B302" s="27"/>
      <c r="C302" s="28">
        <v>41257</v>
      </c>
      <c r="D302" s="29">
        <v>1310</v>
      </c>
      <c r="E302" s="30" t="s">
        <v>1860</v>
      </c>
      <c r="F302" s="26" t="s">
        <v>1863</v>
      </c>
      <c r="G302" s="12"/>
    </row>
    <row r="303" spans="1:7">
      <c r="A303" s="26"/>
      <c r="B303" s="27"/>
      <c r="C303" s="28">
        <v>41261</v>
      </c>
      <c r="D303" s="29">
        <f>560+1125</f>
        <v>1685</v>
      </c>
      <c r="E303" s="30" t="s">
        <v>175</v>
      </c>
      <c r="F303" s="26" t="s">
        <v>1863</v>
      </c>
      <c r="G303" s="12"/>
    </row>
    <row r="304" spans="1:7">
      <c r="A304" s="26"/>
      <c r="B304" s="27"/>
      <c r="C304" s="28">
        <v>41267</v>
      </c>
      <c r="D304" s="29">
        <f>1875+560+935</f>
        <v>3370</v>
      </c>
      <c r="E304" s="30" t="s">
        <v>188</v>
      </c>
      <c r="F304" s="26" t="s">
        <v>1863</v>
      </c>
      <c r="G304" s="12"/>
    </row>
    <row r="305" spans="1:7">
      <c r="A305" s="26"/>
      <c r="B305" s="27"/>
      <c r="C305" s="28">
        <v>41269</v>
      </c>
      <c r="D305" s="29">
        <v>750</v>
      </c>
      <c r="E305" s="30" t="s">
        <v>1861</v>
      </c>
      <c r="F305" s="26" t="s">
        <v>1863</v>
      </c>
      <c r="G305" s="12"/>
    </row>
    <row r="306" spans="1:7">
      <c r="A306" s="26"/>
      <c r="B306" s="27"/>
      <c r="C306" s="28">
        <v>41273</v>
      </c>
      <c r="D306" s="29">
        <v>1310</v>
      </c>
      <c r="E306" s="30" t="s">
        <v>1862</v>
      </c>
      <c r="F306" s="26" t="s">
        <v>1863</v>
      </c>
      <c r="G306" s="12"/>
    </row>
    <row r="307" spans="1:7">
      <c r="A307" s="26"/>
      <c r="B307" s="27"/>
      <c r="C307" s="28">
        <v>41275</v>
      </c>
      <c r="D307" s="29">
        <v>560</v>
      </c>
      <c r="E307" s="30" t="s">
        <v>1864</v>
      </c>
      <c r="F307" s="26" t="s">
        <v>1482</v>
      </c>
      <c r="G307" s="12"/>
    </row>
    <row r="308" spans="1:7">
      <c r="A308" s="26"/>
      <c r="B308" s="27"/>
      <c r="C308" s="28">
        <v>41276</v>
      </c>
      <c r="D308" s="29">
        <v>1125</v>
      </c>
      <c r="E308" s="30" t="s">
        <v>1865</v>
      </c>
      <c r="F308" s="26" t="s">
        <v>1482</v>
      </c>
      <c r="G308" s="12"/>
    </row>
    <row r="309" spans="1:7">
      <c r="A309" s="26"/>
      <c r="B309" s="27"/>
      <c r="C309" s="28">
        <v>41277</v>
      </c>
      <c r="D309" s="29">
        <v>1875</v>
      </c>
      <c r="E309" s="30" t="s">
        <v>1866</v>
      </c>
      <c r="F309" s="26" t="s">
        <v>1482</v>
      </c>
      <c r="G309" s="12"/>
    </row>
    <row r="310" spans="1:7">
      <c r="A310" s="26"/>
      <c r="B310" s="27"/>
      <c r="C310" s="28">
        <v>41278</v>
      </c>
      <c r="D310" s="29">
        <v>560</v>
      </c>
      <c r="E310" s="30" t="s">
        <v>1867</v>
      </c>
      <c r="F310" s="26" t="s">
        <v>1482</v>
      </c>
      <c r="G310" s="12"/>
    </row>
    <row r="311" spans="1:7">
      <c r="A311" s="26"/>
      <c r="B311" s="27"/>
      <c r="C311" s="28">
        <v>41280</v>
      </c>
      <c r="D311" s="29">
        <v>935</v>
      </c>
      <c r="E311" s="30" t="s">
        <v>1868</v>
      </c>
      <c r="F311" s="26" t="s">
        <v>1482</v>
      </c>
      <c r="G311" s="12"/>
    </row>
    <row r="312" spans="1:7">
      <c r="A312" s="26"/>
      <c r="B312" s="27"/>
      <c r="C312" s="28">
        <v>41285</v>
      </c>
      <c r="D312" s="29">
        <v>750</v>
      </c>
      <c r="E312" s="30" t="s">
        <v>1869</v>
      </c>
      <c r="F312" s="26" t="s">
        <v>1482</v>
      </c>
      <c r="G312" s="12"/>
    </row>
    <row r="313" spans="1:7">
      <c r="A313" s="26"/>
      <c r="B313" s="27"/>
      <c r="C313" s="28">
        <v>41287</v>
      </c>
      <c r="D313" s="29">
        <v>1310</v>
      </c>
      <c r="E313" s="30" t="s">
        <v>1479</v>
      </c>
      <c r="F313" s="26" t="s">
        <v>1482</v>
      </c>
      <c r="G313" s="12"/>
    </row>
    <row r="314" spans="1:7">
      <c r="A314" s="26"/>
      <c r="B314" s="27"/>
      <c r="C314" s="28">
        <v>41292</v>
      </c>
      <c r="D314" s="29">
        <v>1125</v>
      </c>
      <c r="E314" s="30" t="s">
        <v>1480</v>
      </c>
      <c r="F314" s="26" t="s">
        <v>1482</v>
      </c>
      <c r="G314" s="12"/>
    </row>
    <row r="315" spans="1:7">
      <c r="A315" s="26"/>
      <c r="B315" s="27"/>
      <c r="C315" s="28">
        <v>41294</v>
      </c>
      <c r="D315" s="29">
        <f>1875+560</f>
        <v>2435</v>
      </c>
      <c r="E315" s="30" t="s">
        <v>2902</v>
      </c>
      <c r="F315" s="26" t="s">
        <v>1482</v>
      </c>
      <c r="G315" s="12"/>
    </row>
    <row r="316" spans="1:7">
      <c r="A316" s="26"/>
      <c r="B316" s="27"/>
      <c r="C316" s="28">
        <v>41295</v>
      </c>
      <c r="D316" s="29">
        <v>935</v>
      </c>
      <c r="E316" s="30" t="s">
        <v>1481</v>
      </c>
      <c r="F316" s="26" t="s">
        <v>1482</v>
      </c>
      <c r="G316" s="12"/>
    </row>
    <row r="317" spans="1:7">
      <c r="A317" s="26">
        <v>21</v>
      </c>
      <c r="B317" s="27" t="s">
        <v>3979</v>
      </c>
      <c r="C317" s="28">
        <v>41214</v>
      </c>
      <c r="D317" s="29">
        <v>1125</v>
      </c>
      <c r="E317" s="30" t="s">
        <v>1483</v>
      </c>
      <c r="F317" s="26" t="s">
        <v>1491</v>
      </c>
      <c r="G317" s="12"/>
    </row>
    <row r="318" spans="1:7">
      <c r="A318" s="26"/>
      <c r="B318" s="27"/>
      <c r="C318" s="28">
        <v>41220</v>
      </c>
      <c r="D318" s="29">
        <v>375</v>
      </c>
      <c r="E318" s="30" t="s">
        <v>1484</v>
      </c>
      <c r="F318" s="26" t="s">
        <v>1491</v>
      </c>
      <c r="G318" s="12"/>
    </row>
    <row r="319" spans="1:7">
      <c r="A319" s="26"/>
      <c r="B319" s="27"/>
      <c r="C319" s="28">
        <v>41227</v>
      </c>
      <c r="D319" s="29">
        <v>375</v>
      </c>
      <c r="E319" s="30" t="s">
        <v>1607</v>
      </c>
      <c r="F319" s="26" t="s">
        <v>1491</v>
      </c>
      <c r="G319" s="12"/>
    </row>
    <row r="320" spans="1:7">
      <c r="A320" s="26"/>
      <c r="B320" s="27"/>
      <c r="C320" s="28">
        <v>41228</v>
      </c>
      <c r="D320" s="29">
        <v>1125</v>
      </c>
      <c r="E320" s="30" t="s">
        <v>1485</v>
      </c>
      <c r="F320" s="26" t="s">
        <v>1491</v>
      </c>
      <c r="G320" s="12"/>
    </row>
    <row r="321" spans="1:7">
      <c r="A321" s="26"/>
      <c r="B321" s="27"/>
      <c r="C321" s="28">
        <v>41230</v>
      </c>
      <c r="D321" s="29">
        <v>1125</v>
      </c>
      <c r="E321" s="30" t="s">
        <v>1486</v>
      </c>
      <c r="F321" s="26" t="s">
        <v>1491</v>
      </c>
      <c r="G321" s="12"/>
    </row>
    <row r="322" spans="1:7">
      <c r="A322" s="26"/>
      <c r="B322" s="27"/>
      <c r="C322" s="28">
        <v>41234</v>
      </c>
      <c r="D322" s="29">
        <v>375</v>
      </c>
      <c r="E322" s="30" t="s">
        <v>1487</v>
      </c>
      <c r="F322" s="26" t="s">
        <v>1491</v>
      </c>
      <c r="G322" s="12"/>
    </row>
    <row r="323" spans="1:7">
      <c r="A323" s="26"/>
      <c r="B323" s="27"/>
      <c r="C323" s="28">
        <v>41242</v>
      </c>
      <c r="D323" s="29">
        <f>375+1125</f>
        <v>1500</v>
      </c>
      <c r="E323" s="30" t="s">
        <v>1223</v>
      </c>
      <c r="F323" s="26" t="s">
        <v>1491</v>
      </c>
      <c r="G323" s="12"/>
    </row>
    <row r="324" spans="1:7">
      <c r="A324" s="26"/>
      <c r="B324" s="27"/>
      <c r="C324" s="28">
        <v>41245</v>
      </c>
      <c r="D324" s="29">
        <v>1125</v>
      </c>
      <c r="E324" s="30" t="s">
        <v>1488</v>
      </c>
      <c r="F324" s="26" t="s">
        <v>1491</v>
      </c>
      <c r="G324" s="12"/>
    </row>
    <row r="325" spans="1:7">
      <c r="A325" s="26"/>
      <c r="B325" s="27"/>
      <c r="C325" s="28">
        <v>41249</v>
      </c>
      <c r="D325" s="29">
        <v>375</v>
      </c>
      <c r="E325" s="30" t="s">
        <v>1489</v>
      </c>
      <c r="F325" s="26" t="s">
        <v>1491</v>
      </c>
      <c r="G325" s="12"/>
    </row>
    <row r="326" spans="1:7">
      <c r="A326" s="26"/>
      <c r="B326" s="27"/>
      <c r="C326" s="28">
        <v>41257</v>
      </c>
      <c r="D326" s="29">
        <v>375</v>
      </c>
      <c r="E326" s="30" t="s">
        <v>1611</v>
      </c>
      <c r="F326" s="26" t="s">
        <v>1491</v>
      </c>
      <c r="G326" s="12"/>
    </row>
    <row r="327" spans="1:7">
      <c r="A327" s="26"/>
      <c r="B327" s="27"/>
      <c r="C327" s="28">
        <v>41258</v>
      </c>
      <c r="D327" s="29">
        <f>1125+1125</f>
        <v>2250</v>
      </c>
      <c r="E327" s="30" t="s">
        <v>2441</v>
      </c>
      <c r="F327" s="26" t="s">
        <v>1491</v>
      </c>
      <c r="G327" s="12"/>
    </row>
    <row r="328" spans="1:7">
      <c r="A328" s="26"/>
      <c r="B328" s="27"/>
      <c r="C328" s="28">
        <v>41267</v>
      </c>
      <c r="D328" s="29">
        <v>375</v>
      </c>
      <c r="E328" s="30" t="s">
        <v>1490</v>
      </c>
      <c r="F328" s="26" t="s">
        <v>1491</v>
      </c>
      <c r="G328" s="12"/>
    </row>
    <row r="329" spans="1:7" ht="32.4">
      <c r="A329" s="26"/>
      <c r="B329" s="27"/>
      <c r="C329" s="28">
        <v>41274</v>
      </c>
      <c r="D329" s="29">
        <f>375+375+1125+1125</f>
        <v>3000</v>
      </c>
      <c r="E329" s="30" t="s">
        <v>1319</v>
      </c>
      <c r="F329" s="26" t="s">
        <v>1491</v>
      </c>
      <c r="G329" s="12"/>
    </row>
    <row r="330" spans="1:7">
      <c r="A330" s="26"/>
      <c r="B330" s="27"/>
      <c r="C330" s="28">
        <v>41279</v>
      </c>
      <c r="D330" s="29">
        <v>375</v>
      </c>
      <c r="E330" s="30" t="s">
        <v>1493</v>
      </c>
      <c r="F330" s="26" t="s">
        <v>1492</v>
      </c>
      <c r="G330" s="12"/>
    </row>
    <row r="331" spans="1:7">
      <c r="A331" s="26"/>
      <c r="B331" s="27"/>
      <c r="C331" s="28">
        <v>41286</v>
      </c>
      <c r="D331" s="29">
        <f>375+375</f>
        <v>750</v>
      </c>
      <c r="E331" s="30" t="s">
        <v>2755</v>
      </c>
      <c r="F331" s="26" t="s">
        <v>1492</v>
      </c>
      <c r="G331" s="12"/>
    </row>
    <row r="332" spans="1:7">
      <c r="A332" s="26"/>
      <c r="B332" s="27"/>
      <c r="C332" s="28">
        <v>41289</v>
      </c>
      <c r="D332" s="29">
        <f>1125+1125</f>
        <v>2250</v>
      </c>
      <c r="E332" s="30" t="s">
        <v>307</v>
      </c>
      <c r="F332" s="26" t="s">
        <v>1492</v>
      </c>
      <c r="G332" s="12"/>
    </row>
    <row r="333" spans="1:7">
      <c r="A333" s="26"/>
      <c r="B333" s="27"/>
      <c r="C333" s="28">
        <v>41293</v>
      </c>
      <c r="D333" s="29">
        <v>375</v>
      </c>
      <c r="E333" s="30" t="s">
        <v>1494</v>
      </c>
      <c r="F333" s="26" t="s">
        <v>1492</v>
      </c>
      <c r="G333" s="12"/>
    </row>
    <row r="334" spans="1:7">
      <c r="A334" s="26">
        <v>22</v>
      </c>
      <c r="B334" s="27" t="s">
        <v>4008</v>
      </c>
      <c r="C334" s="28">
        <v>41219</v>
      </c>
      <c r="D334" s="29">
        <v>375</v>
      </c>
      <c r="E334" s="30" t="s">
        <v>1576</v>
      </c>
      <c r="F334" s="26" t="s">
        <v>1496</v>
      </c>
      <c r="G334" s="12"/>
    </row>
    <row r="335" spans="1:7">
      <c r="A335" s="26"/>
      <c r="B335" s="27"/>
      <c r="C335" s="28">
        <v>41223</v>
      </c>
      <c r="D335" s="29">
        <v>4875</v>
      </c>
      <c r="E335" s="30" t="s">
        <v>1495</v>
      </c>
      <c r="F335" s="26" t="s">
        <v>1496</v>
      </c>
      <c r="G335" s="12"/>
    </row>
    <row r="336" spans="1:7">
      <c r="A336" s="26"/>
      <c r="B336" s="27"/>
      <c r="C336" s="28">
        <v>41225</v>
      </c>
      <c r="D336" s="29">
        <v>375</v>
      </c>
      <c r="E336" s="30" t="s">
        <v>1606</v>
      </c>
      <c r="F336" s="26" t="s">
        <v>1496</v>
      </c>
      <c r="G336" s="12"/>
    </row>
    <row r="337" spans="1:7">
      <c r="A337" s="26"/>
      <c r="B337" s="27"/>
      <c r="C337" s="28">
        <v>41229</v>
      </c>
      <c r="D337" s="29">
        <v>750</v>
      </c>
      <c r="E337" s="30" t="s">
        <v>1580</v>
      </c>
      <c r="F337" s="26" t="s">
        <v>1496</v>
      </c>
      <c r="G337" s="12"/>
    </row>
    <row r="338" spans="1:7">
      <c r="A338" s="26"/>
      <c r="B338" s="27"/>
      <c r="C338" s="28">
        <v>41234</v>
      </c>
      <c r="D338" s="29">
        <v>375</v>
      </c>
      <c r="E338" s="30" t="s">
        <v>1583</v>
      </c>
      <c r="F338" s="26" t="s">
        <v>1496</v>
      </c>
      <c r="G338" s="12"/>
    </row>
    <row r="339" spans="1:7">
      <c r="A339" s="26"/>
      <c r="B339" s="27"/>
      <c r="C339" s="28">
        <v>41238</v>
      </c>
      <c r="D339" s="29">
        <f>4875+375+750</f>
        <v>6000</v>
      </c>
      <c r="E339" s="30" t="s">
        <v>1201</v>
      </c>
      <c r="F339" s="26" t="s">
        <v>1496</v>
      </c>
      <c r="G339" s="12"/>
    </row>
    <row r="340" spans="1:7">
      <c r="A340" s="26"/>
      <c r="B340" s="27"/>
      <c r="C340" s="28">
        <v>41252</v>
      </c>
      <c r="D340" s="29">
        <v>375</v>
      </c>
      <c r="E340" s="30" t="s">
        <v>1588</v>
      </c>
      <c r="F340" s="26" t="s">
        <v>1496</v>
      </c>
      <c r="G340" s="12"/>
    </row>
    <row r="341" spans="1:7">
      <c r="A341" s="26"/>
      <c r="B341" s="27"/>
      <c r="C341" s="28">
        <v>41261</v>
      </c>
      <c r="D341" s="29">
        <f>4875+375</f>
        <v>5250</v>
      </c>
      <c r="E341" s="30" t="s">
        <v>176</v>
      </c>
      <c r="F341" s="26" t="s">
        <v>1496</v>
      </c>
      <c r="G341" s="12"/>
    </row>
    <row r="342" spans="1:7">
      <c r="A342" s="26">
        <v>23</v>
      </c>
      <c r="B342" s="27" t="s">
        <v>4001</v>
      </c>
      <c r="C342" s="28">
        <v>41218</v>
      </c>
      <c r="D342" s="29">
        <f>750+750</f>
        <v>1500</v>
      </c>
      <c r="E342" s="30" t="s">
        <v>4002</v>
      </c>
      <c r="F342" s="26" t="s">
        <v>1497</v>
      </c>
      <c r="G342" s="12"/>
    </row>
    <row r="343" spans="1:7">
      <c r="A343" s="26"/>
      <c r="B343" s="27"/>
      <c r="C343" s="28">
        <v>41221</v>
      </c>
      <c r="D343" s="29">
        <v>375</v>
      </c>
      <c r="E343" s="30" t="s">
        <v>1576</v>
      </c>
      <c r="F343" s="26" t="s">
        <v>1497</v>
      </c>
      <c r="G343" s="12"/>
    </row>
    <row r="344" spans="1:7">
      <c r="A344" s="26"/>
      <c r="B344" s="27"/>
      <c r="C344" s="28">
        <v>41225</v>
      </c>
      <c r="D344" s="29">
        <f>4500+750</f>
        <v>5250</v>
      </c>
      <c r="E344" s="30" t="s">
        <v>4027</v>
      </c>
      <c r="F344" s="26" t="s">
        <v>1497</v>
      </c>
      <c r="G344" s="12"/>
    </row>
    <row r="345" spans="1:7">
      <c r="A345" s="26"/>
      <c r="B345" s="27"/>
      <c r="C345" s="28">
        <v>41228</v>
      </c>
      <c r="D345" s="29">
        <v>750</v>
      </c>
      <c r="E345" s="30" t="s">
        <v>1580</v>
      </c>
      <c r="F345" s="26" t="s">
        <v>1497</v>
      </c>
      <c r="G345" s="12"/>
    </row>
    <row r="346" spans="1:7">
      <c r="A346" s="26"/>
      <c r="B346" s="27"/>
      <c r="C346" s="28">
        <v>41232</v>
      </c>
      <c r="D346" s="29">
        <f>750+375</f>
        <v>1125</v>
      </c>
      <c r="E346" s="30" t="s">
        <v>1029</v>
      </c>
      <c r="F346" s="26" t="s">
        <v>1497</v>
      </c>
      <c r="G346" s="12"/>
    </row>
    <row r="347" spans="1:7">
      <c r="A347" s="26"/>
      <c r="B347" s="27"/>
      <c r="C347" s="28">
        <v>41235</v>
      </c>
      <c r="D347" s="29">
        <v>375</v>
      </c>
      <c r="E347" s="30" t="s">
        <v>1583</v>
      </c>
      <c r="F347" s="26" t="s">
        <v>1497</v>
      </c>
      <c r="G347" s="12"/>
    </row>
    <row r="348" spans="1:7">
      <c r="A348" s="26"/>
      <c r="B348" s="27"/>
      <c r="C348" s="28">
        <v>41239</v>
      </c>
      <c r="D348" s="29">
        <f>4500+750</f>
        <v>5250</v>
      </c>
      <c r="E348" s="30" t="s">
        <v>1205</v>
      </c>
      <c r="F348" s="26" t="s">
        <v>1497</v>
      </c>
      <c r="G348" s="12"/>
    </row>
    <row r="349" spans="1:7">
      <c r="A349" s="26"/>
      <c r="B349" s="27"/>
      <c r="C349" s="28">
        <v>41244</v>
      </c>
      <c r="D349" s="29">
        <f>375+750+750</f>
        <v>1875</v>
      </c>
      <c r="E349" s="30" t="s">
        <v>1233</v>
      </c>
      <c r="F349" s="26" t="s">
        <v>1497</v>
      </c>
      <c r="G349" s="12"/>
    </row>
    <row r="350" spans="1:7">
      <c r="A350" s="26"/>
      <c r="B350" s="27"/>
      <c r="C350" s="28">
        <v>41249</v>
      </c>
      <c r="D350" s="29">
        <v>375</v>
      </c>
      <c r="E350" s="30" t="s">
        <v>1588</v>
      </c>
      <c r="F350" s="26" t="s">
        <v>1497</v>
      </c>
      <c r="G350" s="12"/>
    </row>
    <row r="351" spans="1:7">
      <c r="A351" s="26"/>
      <c r="B351" s="27"/>
      <c r="C351" s="28">
        <v>41253</v>
      </c>
      <c r="D351" s="29">
        <f>4500+750</f>
        <v>5250</v>
      </c>
      <c r="E351" s="30" t="s">
        <v>36</v>
      </c>
      <c r="F351" s="26" t="s">
        <v>1497</v>
      </c>
      <c r="G351" s="12"/>
    </row>
    <row r="352" spans="1:7">
      <c r="A352" s="26"/>
      <c r="B352" s="27"/>
      <c r="C352" s="28">
        <v>41257</v>
      </c>
      <c r="D352" s="29">
        <v>750</v>
      </c>
      <c r="E352" s="30" t="s">
        <v>1591</v>
      </c>
      <c r="F352" s="26" t="s">
        <v>1497</v>
      </c>
      <c r="G352" s="12"/>
    </row>
    <row r="353" spans="1:7">
      <c r="A353" s="26"/>
      <c r="B353" s="27"/>
      <c r="C353" s="28">
        <v>41260</v>
      </c>
      <c r="D353" s="29">
        <v>750</v>
      </c>
      <c r="E353" s="30" t="s">
        <v>1498</v>
      </c>
      <c r="F353" s="26" t="s">
        <v>1497</v>
      </c>
      <c r="G353" s="12"/>
    </row>
    <row r="354" spans="1:7">
      <c r="A354" s="26"/>
      <c r="B354" s="27"/>
      <c r="C354" s="28">
        <v>41264</v>
      </c>
      <c r="D354" s="29">
        <v>375</v>
      </c>
      <c r="E354" s="30" t="s">
        <v>1499</v>
      </c>
      <c r="F354" s="26" t="s">
        <v>1497</v>
      </c>
      <c r="G354" s="12"/>
    </row>
    <row r="355" spans="1:7">
      <c r="A355" s="26"/>
      <c r="B355" s="27"/>
      <c r="C355" s="28">
        <v>41267</v>
      </c>
      <c r="D355" s="29">
        <f>375+4500+750</f>
        <v>5625</v>
      </c>
      <c r="E355" s="30" t="s">
        <v>189</v>
      </c>
      <c r="F355" s="26" t="s">
        <v>1497</v>
      </c>
      <c r="G355" s="12"/>
    </row>
    <row r="356" spans="1:7">
      <c r="A356" s="26"/>
      <c r="B356" s="27"/>
      <c r="C356" s="28">
        <v>41275</v>
      </c>
      <c r="D356" s="29">
        <f>750+750+375</f>
        <v>1875</v>
      </c>
      <c r="E356" s="30" t="s">
        <v>1323</v>
      </c>
      <c r="F356" s="26" t="s">
        <v>1502</v>
      </c>
      <c r="G356" s="12"/>
    </row>
    <row r="357" spans="1:7">
      <c r="A357" s="26"/>
      <c r="B357" s="27"/>
      <c r="C357" s="28">
        <v>41278</v>
      </c>
      <c r="D357" s="29">
        <v>375</v>
      </c>
      <c r="E357" s="30" t="s">
        <v>1597</v>
      </c>
      <c r="F357" s="26" t="s">
        <v>1502</v>
      </c>
      <c r="G357" s="12"/>
    </row>
    <row r="358" spans="1:7">
      <c r="A358" s="26"/>
      <c r="B358" s="27"/>
      <c r="C358" s="28">
        <v>41284</v>
      </c>
      <c r="D358" s="29">
        <f>4500+750</f>
        <v>5250</v>
      </c>
      <c r="E358" s="30" t="s">
        <v>2746</v>
      </c>
      <c r="F358" s="26" t="s">
        <v>1502</v>
      </c>
      <c r="G358" s="12"/>
    </row>
    <row r="359" spans="1:7">
      <c r="A359" s="26"/>
      <c r="B359" s="27"/>
      <c r="C359" s="28">
        <v>41288</v>
      </c>
      <c r="D359" s="29">
        <v>750</v>
      </c>
      <c r="E359" s="30" t="s">
        <v>1602</v>
      </c>
      <c r="F359" s="26" t="s">
        <v>1502</v>
      </c>
      <c r="G359" s="12"/>
    </row>
    <row r="360" spans="1:7">
      <c r="A360" s="26"/>
      <c r="B360" s="27"/>
      <c r="C360" s="28">
        <v>41290</v>
      </c>
      <c r="D360" s="29">
        <v>750</v>
      </c>
      <c r="E360" s="30" t="s">
        <v>1500</v>
      </c>
      <c r="F360" s="26" t="s">
        <v>1502</v>
      </c>
      <c r="G360" s="12"/>
    </row>
    <row r="361" spans="1:7">
      <c r="A361" s="26"/>
      <c r="B361" s="27"/>
      <c r="C361" s="28">
        <v>41293</v>
      </c>
      <c r="D361" s="29">
        <v>375</v>
      </c>
      <c r="E361" s="30" t="s">
        <v>1501</v>
      </c>
      <c r="F361" s="26" t="s">
        <v>1502</v>
      </c>
      <c r="G361" s="12"/>
    </row>
    <row r="362" spans="1:7">
      <c r="A362" s="26"/>
      <c r="B362" s="27"/>
      <c r="C362" s="28">
        <v>41295</v>
      </c>
      <c r="D362" s="29">
        <f>375+4500</f>
        <v>4875</v>
      </c>
      <c r="E362" s="30" t="s">
        <v>2906</v>
      </c>
      <c r="F362" s="26" t="s">
        <v>1502</v>
      </c>
      <c r="G362" s="12"/>
    </row>
    <row r="363" spans="1:7">
      <c r="A363" s="26">
        <v>24</v>
      </c>
      <c r="B363" s="27" t="s">
        <v>4003</v>
      </c>
      <c r="C363" s="28">
        <v>41218</v>
      </c>
      <c r="D363" s="29">
        <v>560</v>
      </c>
      <c r="E363" s="30" t="s">
        <v>1503</v>
      </c>
      <c r="F363" s="26" t="s">
        <v>3896</v>
      </c>
      <c r="G363" s="12"/>
    </row>
    <row r="364" spans="1:7">
      <c r="A364" s="26"/>
      <c r="B364" s="27"/>
      <c r="C364" s="28">
        <v>41222</v>
      </c>
      <c r="D364" s="29">
        <v>375</v>
      </c>
      <c r="E364" s="30" t="s">
        <v>1484</v>
      </c>
      <c r="F364" s="26" t="s">
        <v>3896</v>
      </c>
      <c r="G364" s="12"/>
    </row>
    <row r="365" spans="1:7">
      <c r="A365" s="26"/>
      <c r="B365" s="27"/>
      <c r="C365" s="28">
        <v>41223</v>
      </c>
      <c r="D365" s="29">
        <v>750</v>
      </c>
      <c r="E365" s="30" t="s">
        <v>1942</v>
      </c>
      <c r="F365" s="26" t="s">
        <v>3896</v>
      </c>
      <c r="G365" s="12"/>
    </row>
    <row r="366" spans="1:7" ht="32.4">
      <c r="A366" s="26"/>
      <c r="B366" s="27"/>
      <c r="C366" s="28">
        <v>41234</v>
      </c>
      <c r="D366" s="29">
        <f>1685+1685+560+375</f>
        <v>4305</v>
      </c>
      <c r="E366" s="30" t="s">
        <v>1036</v>
      </c>
      <c r="F366" s="26" t="s">
        <v>3896</v>
      </c>
      <c r="G366" s="12"/>
    </row>
    <row r="367" spans="1:7">
      <c r="A367" s="26"/>
      <c r="B367" s="27"/>
      <c r="C367" s="28">
        <v>41240</v>
      </c>
      <c r="D367" s="29">
        <v>750</v>
      </c>
      <c r="E367" s="30" t="s">
        <v>1945</v>
      </c>
      <c r="F367" s="26" t="s">
        <v>3896</v>
      </c>
      <c r="G367" s="12"/>
    </row>
    <row r="368" spans="1:7">
      <c r="A368" s="26"/>
      <c r="B368" s="27"/>
      <c r="C368" s="28">
        <v>41242</v>
      </c>
      <c r="D368" s="29">
        <f>1685+1685</f>
        <v>3370</v>
      </c>
      <c r="E368" s="30" t="s">
        <v>1224</v>
      </c>
      <c r="F368" s="26" t="s">
        <v>3896</v>
      </c>
      <c r="G368" s="12"/>
    </row>
    <row r="369" spans="1:7">
      <c r="A369" s="26"/>
      <c r="B369" s="27"/>
      <c r="C369" s="28">
        <v>41249</v>
      </c>
      <c r="D369" s="29">
        <f>560+375</f>
        <v>935</v>
      </c>
      <c r="E369" s="30" t="s">
        <v>1244</v>
      </c>
      <c r="F369" s="26" t="s">
        <v>3896</v>
      </c>
      <c r="G369" s="12"/>
    </row>
    <row r="370" spans="1:7">
      <c r="A370" s="26"/>
      <c r="B370" s="27"/>
      <c r="C370" s="28">
        <v>41255</v>
      </c>
      <c r="D370" s="29">
        <v>750</v>
      </c>
      <c r="E370" s="30" t="s">
        <v>1859</v>
      </c>
      <c r="F370" s="26" t="s">
        <v>3896</v>
      </c>
      <c r="G370" s="12"/>
    </row>
    <row r="371" spans="1:7">
      <c r="A371" s="26"/>
      <c r="B371" s="27"/>
      <c r="C371" s="28">
        <v>41256</v>
      </c>
      <c r="D371" s="29">
        <v>1685</v>
      </c>
      <c r="E371" s="30" t="s">
        <v>1504</v>
      </c>
      <c r="F371" s="26" t="s">
        <v>3896</v>
      </c>
      <c r="G371" s="12"/>
    </row>
    <row r="372" spans="1:7">
      <c r="A372" s="26"/>
      <c r="B372" s="27"/>
      <c r="C372" s="28">
        <v>41258</v>
      </c>
      <c r="D372" s="29">
        <v>1685</v>
      </c>
      <c r="E372" s="30" t="s">
        <v>1505</v>
      </c>
      <c r="F372" s="26" t="s">
        <v>3896</v>
      </c>
      <c r="G372" s="12"/>
    </row>
    <row r="373" spans="1:7">
      <c r="A373" s="26"/>
      <c r="B373" s="27"/>
      <c r="C373" s="28">
        <v>41264</v>
      </c>
      <c r="D373" s="29">
        <f>560+375+750</f>
        <v>1685</v>
      </c>
      <c r="E373" s="30" t="s">
        <v>181</v>
      </c>
      <c r="F373" s="26" t="s">
        <v>3896</v>
      </c>
      <c r="G373" s="12"/>
    </row>
    <row r="374" spans="1:7">
      <c r="A374" s="26"/>
      <c r="B374" s="27"/>
      <c r="C374" s="28">
        <v>41272</v>
      </c>
      <c r="D374" s="29">
        <f>1685+1685</f>
        <v>3370</v>
      </c>
      <c r="E374" s="30" t="s">
        <v>1310</v>
      </c>
      <c r="F374" s="26" t="s">
        <v>3896</v>
      </c>
      <c r="G374" s="12"/>
    </row>
    <row r="375" spans="1:7">
      <c r="A375" s="26"/>
      <c r="B375" s="27"/>
      <c r="C375" s="28">
        <v>41279</v>
      </c>
      <c r="D375" s="29">
        <f>560+375+750+1685</f>
        <v>3370</v>
      </c>
      <c r="E375" s="30" t="s">
        <v>2733</v>
      </c>
      <c r="F375" s="26" t="s">
        <v>3897</v>
      </c>
      <c r="G375" s="12"/>
    </row>
    <row r="376" spans="1:7">
      <c r="A376" s="26">
        <v>25</v>
      </c>
      <c r="B376" s="27" t="s">
        <v>3987</v>
      </c>
      <c r="C376" s="28">
        <v>41215</v>
      </c>
      <c r="D376" s="29">
        <v>2435</v>
      </c>
      <c r="E376" s="30" t="s">
        <v>3899</v>
      </c>
      <c r="F376" s="26" t="s">
        <v>3898</v>
      </c>
      <c r="G376" s="12"/>
    </row>
    <row r="377" spans="1:7">
      <c r="A377" s="26"/>
      <c r="B377" s="27"/>
      <c r="C377" s="28">
        <v>41219</v>
      </c>
      <c r="D377" s="29">
        <f>375+1125</f>
        <v>1500</v>
      </c>
      <c r="E377" s="30" t="s">
        <v>4009</v>
      </c>
      <c r="F377" s="26" t="s">
        <v>3898</v>
      </c>
      <c r="G377" s="12"/>
    </row>
    <row r="378" spans="1:7">
      <c r="A378" s="26"/>
      <c r="B378" s="27"/>
      <c r="C378" s="28">
        <v>41221</v>
      </c>
      <c r="D378" s="29">
        <v>1875</v>
      </c>
      <c r="E378" s="32" t="s">
        <v>4014</v>
      </c>
      <c r="F378" s="26" t="s">
        <v>3898</v>
      </c>
      <c r="G378" s="12"/>
    </row>
    <row r="379" spans="1:7" ht="32.4">
      <c r="A379" s="26">
        <v>26</v>
      </c>
      <c r="B379" s="27" t="s">
        <v>2227</v>
      </c>
      <c r="C379" s="28" t="s">
        <v>1335</v>
      </c>
      <c r="D379" s="29">
        <f>375+2250+375+560+2435</f>
        <v>5995</v>
      </c>
      <c r="E379" s="30" t="s">
        <v>2914</v>
      </c>
      <c r="F379" s="26" t="s">
        <v>3900</v>
      </c>
      <c r="G379" s="12"/>
    </row>
    <row r="380" spans="1:7">
      <c r="A380" s="26"/>
      <c r="C380" s="28">
        <v>41233</v>
      </c>
      <c r="D380" s="29">
        <f>375+2250</f>
        <v>2625</v>
      </c>
      <c r="E380" s="30" t="s">
        <v>3901</v>
      </c>
      <c r="F380" s="26" t="s">
        <v>3900</v>
      </c>
      <c r="G380" s="12"/>
    </row>
    <row r="381" spans="1:7">
      <c r="A381" s="26"/>
      <c r="B381" s="27"/>
      <c r="C381" s="28">
        <v>41235</v>
      </c>
      <c r="D381" s="29">
        <v>375</v>
      </c>
      <c r="E381" s="30" t="s">
        <v>1584</v>
      </c>
      <c r="F381" s="26" t="s">
        <v>3900</v>
      </c>
      <c r="G381" s="12"/>
    </row>
    <row r="382" spans="1:7">
      <c r="A382" s="26"/>
      <c r="B382" s="27"/>
      <c r="C382" s="28">
        <v>41237</v>
      </c>
      <c r="D382" s="29">
        <v>560</v>
      </c>
      <c r="E382" s="30" t="s">
        <v>3902</v>
      </c>
      <c r="F382" s="26" t="s">
        <v>3900</v>
      </c>
      <c r="G382" s="12"/>
    </row>
    <row r="383" spans="1:7">
      <c r="A383" s="26"/>
      <c r="B383" s="27"/>
      <c r="C383" s="28">
        <v>41242</v>
      </c>
      <c r="D383" s="29">
        <v>2435</v>
      </c>
      <c r="E383" s="30" t="s">
        <v>3903</v>
      </c>
      <c r="F383" s="26" t="s">
        <v>3900</v>
      </c>
      <c r="G383" s="12"/>
    </row>
    <row r="384" spans="1:7">
      <c r="A384" s="26"/>
      <c r="B384" s="27"/>
      <c r="C384" s="28">
        <v>41244</v>
      </c>
      <c r="D384" s="29">
        <f>375+2250</f>
        <v>2625</v>
      </c>
      <c r="E384" s="30" t="s">
        <v>1234</v>
      </c>
      <c r="F384" s="26" t="s">
        <v>3900</v>
      </c>
      <c r="G384" s="12"/>
    </row>
    <row r="385" spans="1:7">
      <c r="A385" s="26"/>
      <c r="B385" s="27"/>
      <c r="C385" s="28">
        <v>41250</v>
      </c>
      <c r="D385" s="29">
        <v>375</v>
      </c>
      <c r="E385" s="30" t="s">
        <v>1589</v>
      </c>
      <c r="F385" s="26" t="s">
        <v>3900</v>
      </c>
      <c r="G385" s="12"/>
    </row>
    <row r="386" spans="1:7">
      <c r="A386" s="26"/>
      <c r="B386" s="27"/>
      <c r="C386" s="28">
        <v>41253</v>
      </c>
      <c r="D386" s="29">
        <v>560</v>
      </c>
      <c r="E386" s="30" t="s">
        <v>3904</v>
      </c>
      <c r="F386" s="26" t="s">
        <v>3900</v>
      </c>
      <c r="G386" s="12"/>
    </row>
    <row r="387" spans="1:7">
      <c r="A387" s="26"/>
      <c r="B387" s="27"/>
      <c r="C387" s="28">
        <v>41258</v>
      </c>
      <c r="D387" s="29">
        <f>2435+375</f>
        <v>2810</v>
      </c>
      <c r="E387" s="30" t="s">
        <v>2442</v>
      </c>
      <c r="F387" s="26" t="s">
        <v>3900</v>
      </c>
      <c r="G387" s="12"/>
    </row>
    <row r="388" spans="1:7" ht="32.4">
      <c r="A388" s="26"/>
      <c r="B388" s="27"/>
      <c r="C388" s="28">
        <v>41260</v>
      </c>
      <c r="D388" s="29">
        <v>2250</v>
      </c>
      <c r="E388" s="30" t="s">
        <v>3905</v>
      </c>
      <c r="F388" s="26" t="s">
        <v>3900</v>
      </c>
      <c r="G388" s="12" t="s">
        <v>289</v>
      </c>
    </row>
    <row r="389" spans="1:7">
      <c r="A389" s="26"/>
      <c r="B389" s="27"/>
      <c r="C389" s="28">
        <v>41267</v>
      </c>
      <c r="D389" s="29">
        <v>375</v>
      </c>
      <c r="E389" s="34" t="s">
        <v>3906</v>
      </c>
      <c r="F389" s="26" t="s">
        <v>3900</v>
      </c>
      <c r="G389" s="12"/>
    </row>
    <row r="390" spans="1:7">
      <c r="A390" s="26"/>
      <c r="B390" s="27"/>
      <c r="C390" s="28">
        <v>41268</v>
      </c>
      <c r="D390" s="29">
        <v>560</v>
      </c>
      <c r="E390" s="30" t="s">
        <v>1592</v>
      </c>
      <c r="F390" s="26" t="s">
        <v>3900</v>
      </c>
      <c r="G390" s="12"/>
    </row>
    <row r="391" spans="1:7">
      <c r="A391" s="26"/>
      <c r="B391" s="27"/>
      <c r="C391" s="28">
        <v>41272</v>
      </c>
      <c r="D391" s="29">
        <v>2435</v>
      </c>
      <c r="E391" s="30" t="s">
        <v>3907</v>
      </c>
      <c r="F391" s="26" t="s">
        <v>3900</v>
      </c>
      <c r="G391" s="12"/>
    </row>
    <row r="392" spans="1:7">
      <c r="A392" s="26"/>
      <c r="B392" s="27"/>
      <c r="C392" s="28">
        <v>41274</v>
      </c>
      <c r="D392" s="29">
        <v>375</v>
      </c>
      <c r="E392" s="30" t="s">
        <v>3908</v>
      </c>
      <c r="F392" s="26" t="s">
        <v>3900</v>
      </c>
      <c r="G392" s="12"/>
    </row>
    <row r="393" spans="1:7">
      <c r="A393" s="26"/>
      <c r="B393" s="27"/>
      <c r="C393" s="28">
        <v>41277</v>
      </c>
      <c r="D393" s="29">
        <v>2250</v>
      </c>
      <c r="E393" s="30" t="s">
        <v>3909</v>
      </c>
      <c r="F393" s="26" t="s">
        <v>3911</v>
      </c>
      <c r="G393" s="12"/>
    </row>
    <row r="394" spans="1:7">
      <c r="A394" s="26"/>
      <c r="B394" s="27"/>
      <c r="C394" s="28">
        <v>41282</v>
      </c>
      <c r="D394" s="29">
        <v>375</v>
      </c>
      <c r="E394" s="30" t="s">
        <v>1598</v>
      </c>
      <c r="F394" s="26" t="s">
        <v>3911</v>
      </c>
      <c r="G394" s="12"/>
    </row>
    <row r="395" spans="1:7">
      <c r="A395" s="26"/>
      <c r="B395" s="27"/>
      <c r="C395" s="28">
        <v>41283</v>
      </c>
      <c r="D395" s="29">
        <v>560</v>
      </c>
      <c r="E395" s="30" t="s">
        <v>1600</v>
      </c>
      <c r="F395" s="26" t="s">
        <v>3911</v>
      </c>
      <c r="G395" s="12"/>
    </row>
    <row r="396" spans="1:7">
      <c r="A396" s="26"/>
      <c r="B396" s="27"/>
      <c r="C396" s="28">
        <v>41289</v>
      </c>
      <c r="D396" s="29">
        <f>2435+375</f>
        <v>2810</v>
      </c>
      <c r="E396" s="30" t="s">
        <v>306</v>
      </c>
      <c r="F396" s="26" t="s">
        <v>3911</v>
      </c>
      <c r="G396" s="12"/>
    </row>
    <row r="397" spans="1:7">
      <c r="A397" s="26"/>
      <c r="B397" s="27"/>
      <c r="C397" s="28">
        <v>41290</v>
      </c>
      <c r="D397" s="29">
        <v>1125</v>
      </c>
      <c r="E397" s="30" t="s">
        <v>3910</v>
      </c>
      <c r="F397" s="26" t="s">
        <v>3911</v>
      </c>
      <c r="G397" s="12"/>
    </row>
    <row r="398" spans="1:7">
      <c r="A398" s="26"/>
      <c r="B398" s="27"/>
      <c r="C398" s="28">
        <v>41296</v>
      </c>
      <c r="D398" s="29">
        <v>375</v>
      </c>
      <c r="E398" s="30" t="s">
        <v>1603</v>
      </c>
      <c r="F398" s="26" t="s">
        <v>3911</v>
      </c>
      <c r="G398" s="12"/>
    </row>
    <row r="399" spans="1:7">
      <c r="A399" s="26">
        <v>27</v>
      </c>
      <c r="B399" s="27" t="s">
        <v>4028</v>
      </c>
      <c r="C399" s="28">
        <v>41225</v>
      </c>
      <c r="D399" s="29">
        <f>375+750+1500+1500</f>
        <v>4125</v>
      </c>
      <c r="E399" s="30" t="s">
        <v>4029</v>
      </c>
      <c r="F399" s="26" t="s">
        <v>3912</v>
      </c>
      <c r="G399" s="12"/>
    </row>
    <row r="400" spans="1:7">
      <c r="A400" s="26"/>
      <c r="B400" s="27"/>
      <c r="C400" s="28">
        <v>41236</v>
      </c>
      <c r="D400" s="29">
        <f>375+750</f>
        <v>1125</v>
      </c>
      <c r="E400" s="30" t="s">
        <v>1042</v>
      </c>
      <c r="F400" s="26" t="s">
        <v>3912</v>
      </c>
      <c r="G400" s="12"/>
    </row>
    <row r="401" spans="1:7">
      <c r="A401" s="26"/>
      <c r="B401" s="27"/>
      <c r="C401" s="28">
        <v>41239</v>
      </c>
      <c r="D401" s="29">
        <v>750</v>
      </c>
      <c r="E401" s="30" t="s">
        <v>1945</v>
      </c>
      <c r="F401" s="26" t="s">
        <v>3912</v>
      </c>
      <c r="G401" s="12"/>
    </row>
    <row r="402" spans="1:7">
      <c r="A402" s="26"/>
      <c r="B402" s="27"/>
      <c r="C402" s="28">
        <v>41240</v>
      </c>
      <c r="D402" s="29">
        <f>375+1500+1500</f>
        <v>3375</v>
      </c>
      <c r="E402" s="30" t="s">
        <v>1211</v>
      </c>
      <c r="F402" s="26" t="s">
        <v>3912</v>
      </c>
      <c r="G402" s="12"/>
    </row>
    <row r="403" spans="1:7">
      <c r="A403" s="26"/>
      <c r="B403" s="27"/>
      <c r="C403" s="28">
        <v>41250</v>
      </c>
      <c r="D403" s="29">
        <v>375</v>
      </c>
      <c r="E403" s="30" t="s">
        <v>1589</v>
      </c>
      <c r="F403" s="26" t="s">
        <v>3912</v>
      </c>
      <c r="G403" s="12"/>
    </row>
    <row r="404" spans="1:7">
      <c r="A404" s="26"/>
      <c r="B404" s="27"/>
      <c r="C404" s="28">
        <v>41251</v>
      </c>
      <c r="D404" s="29">
        <v>750</v>
      </c>
      <c r="E404" s="30" t="s">
        <v>3913</v>
      </c>
      <c r="F404" s="26" t="s">
        <v>3912</v>
      </c>
      <c r="G404" s="12"/>
    </row>
    <row r="405" spans="1:7">
      <c r="A405" s="26"/>
      <c r="B405" s="27"/>
      <c r="C405" s="28">
        <v>41254</v>
      </c>
      <c r="D405" s="29">
        <v>750</v>
      </c>
      <c r="E405" s="30" t="s">
        <v>1859</v>
      </c>
      <c r="F405" s="26" t="s">
        <v>3912</v>
      </c>
      <c r="G405" s="12"/>
    </row>
    <row r="406" spans="1:7">
      <c r="A406" s="26"/>
      <c r="B406" s="27"/>
      <c r="C406" s="28">
        <v>41256</v>
      </c>
      <c r="D406" s="29">
        <v>375</v>
      </c>
      <c r="E406" s="30" t="s">
        <v>3914</v>
      </c>
      <c r="F406" s="26" t="s">
        <v>3912</v>
      </c>
      <c r="G406" s="12"/>
    </row>
    <row r="407" spans="1:7">
      <c r="A407" s="26"/>
      <c r="B407" s="27"/>
      <c r="C407" s="28">
        <v>41258</v>
      </c>
      <c r="D407" s="29">
        <f>1500+1500</f>
        <v>3000</v>
      </c>
      <c r="E407" s="30" t="s">
        <v>168</v>
      </c>
      <c r="F407" s="26" t="s">
        <v>3912</v>
      </c>
      <c r="G407" s="12"/>
    </row>
    <row r="408" spans="1:7">
      <c r="A408" s="26"/>
      <c r="B408" s="27"/>
      <c r="C408" s="28">
        <v>41267</v>
      </c>
      <c r="D408" s="29">
        <f>375+750+1875</f>
        <v>3000</v>
      </c>
      <c r="E408" s="30" t="s">
        <v>190</v>
      </c>
      <c r="F408" s="26" t="s">
        <v>3912</v>
      </c>
      <c r="G408" s="12"/>
    </row>
    <row r="409" spans="1:7">
      <c r="A409" s="26"/>
      <c r="B409" s="27"/>
      <c r="C409" s="28">
        <v>41268</v>
      </c>
      <c r="D409" s="29">
        <f>750+375</f>
        <v>1125</v>
      </c>
      <c r="E409" s="30" t="s">
        <v>1300</v>
      </c>
      <c r="F409" s="26" t="s">
        <v>3912</v>
      </c>
      <c r="G409" s="12"/>
    </row>
    <row r="410" spans="1:7">
      <c r="A410" s="26"/>
      <c r="B410" s="27"/>
      <c r="C410" s="28">
        <v>41271</v>
      </c>
      <c r="D410" s="29">
        <f>1500+1500</f>
        <v>3000</v>
      </c>
      <c r="E410" s="30" t="s">
        <v>1307</v>
      </c>
      <c r="F410" s="26" t="s">
        <v>3912</v>
      </c>
      <c r="G410" s="12"/>
    </row>
    <row r="411" spans="1:7">
      <c r="A411" s="26"/>
      <c r="B411" s="27"/>
      <c r="C411" s="28">
        <v>41282</v>
      </c>
      <c r="D411" s="29">
        <f>375+750+1875</f>
        <v>3000</v>
      </c>
      <c r="E411" s="30" t="s">
        <v>2743</v>
      </c>
      <c r="F411" s="26" t="s">
        <v>3915</v>
      </c>
      <c r="G411" s="12"/>
    </row>
    <row r="412" spans="1:7">
      <c r="A412" s="26"/>
      <c r="B412" s="27"/>
      <c r="C412" s="28">
        <v>41286</v>
      </c>
      <c r="D412" s="29">
        <f>750+375</f>
        <v>1125</v>
      </c>
      <c r="E412" s="30" t="s">
        <v>2754</v>
      </c>
      <c r="F412" s="26" t="s">
        <v>3915</v>
      </c>
      <c r="G412" s="12"/>
    </row>
    <row r="413" spans="1:7">
      <c r="A413" s="26"/>
      <c r="B413" s="27"/>
      <c r="C413" s="28">
        <v>41288</v>
      </c>
      <c r="D413" s="29">
        <v>1500</v>
      </c>
      <c r="E413" s="30" t="s">
        <v>3916</v>
      </c>
      <c r="F413" s="26" t="s">
        <v>3915</v>
      </c>
      <c r="G413" s="12"/>
    </row>
    <row r="414" spans="1:7">
      <c r="A414" s="26"/>
      <c r="B414" s="27"/>
      <c r="C414" s="28">
        <v>41294</v>
      </c>
      <c r="D414" s="29">
        <f>1500+375+750</f>
        <v>2625</v>
      </c>
      <c r="E414" s="30" t="s">
        <v>2903</v>
      </c>
      <c r="F414" s="26" t="s">
        <v>3915</v>
      </c>
      <c r="G414" s="12"/>
    </row>
    <row r="415" spans="1:7">
      <c r="A415" s="26">
        <v>28</v>
      </c>
      <c r="B415" s="27" t="s">
        <v>3980</v>
      </c>
      <c r="C415" s="28" t="s">
        <v>1335</v>
      </c>
      <c r="D415" s="29">
        <f>1125</f>
        <v>1125</v>
      </c>
      <c r="E415" s="30" t="s">
        <v>3981</v>
      </c>
      <c r="F415" s="26" t="s">
        <v>3917</v>
      </c>
      <c r="G415" s="12"/>
    </row>
    <row r="416" spans="1:7">
      <c r="A416" s="26"/>
      <c r="B416" s="27"/>
      <c r="C416" s="28" t="s">
        <v>1335</v>
      </c>
      <c r="D416" s="29">
        <f>375</f>
        <v>375</v>
      </c>
      <c r="E416" s="30" t="s">
        <v>1606</v>
      </c>
      <c r="F416" s="26" t="s">
        <v>3917</v>
      </c>
      <c r="G416" s="12"/>
    </row>
    <row r="417" spans="1:7">
      <c r="A417" s="26"/>
      <c r="B417" s="27"/>
      <c r="C417" s="28" t="s">
        <v>1335</v>
      </c>
      <c r="D417" s="29">
        <v>1125</v>
      </c>
      <c r="E417" s="30" t="s">
        <v>3918</v>
      </c>
      <c r="F417" s="26" t="s">
        <v>3917</v>
      </c>
      <c r="G417" s="12"/>
    </row>
    <row r="418" spans="1:7">
      <c r="A418" s="26"/>
      <c r="B418" s="27"/>
      <c r="C418" s="28" t="s">
        <v>1335</v>
      </c>
      <c r="D418" s="29">
        <v>375</v>
      </c>
      <c r="E418" s="30" t="s">
        <v>3919</v>
      </c>
      <c r="F418" s="26" t="s">
        <v>3917</v>
      </c>
      <c r="G418" s="12"/>
    </row>
    <row r="419" spans="1:7">
      <c r="A419" s="26"/>
      <c r="B419" s="27"/>
      <c r="C419" s="28" t="s">
        <v>1335</v>
      </c>
      <c r="D419" s="29">
        <f>1125</f>
        <v>1125</v>
      </c>
      <c r="E419" s="30" t="s">
        <v>3920</v>
      </c>
      <c r="F419" s="26" t="s">
        <v>3917</v>
      </c>
      <c r="G419" s="12" t="s">
        <v>282</v>
      </c>
    </row>
    <row r="420" spans="1:7">
      <c r="A420" s="26"/>
      <c r="B420" s="27"/>
      <c r="C420" s="28" t="s">
        <v>1335</v>
      </c>
      <c r="D420" s="29">
        <v>375</v>
      </c>
      <c r="E420" s="30" t="s">
        <v>3921</v>
      </c>
      <c r="F420" s="26" t="s">
        <v>3917</v>
      </c>
      <c r="G420" s="12" t="s">
        <v>282</v>
      </c>
    </row>
    <row r="421" spans="1:7">
      <c r="A421" s="26"/>
      <c r="B421" s="27"/>
      <c r="C421" s="28" t="s">
        <v>1335</v>
      </c>
      <c r="D421" s="29">
        <v>1125</v>
      </c>
      <c r="E421" s="30" t="s">
        <v>3923</v>
      </c>
      <c r="F421" s="26" t="s">
        <v>3917</v>
      </c>
      <c r="G421" s="12" t="s">
        <v>282</v>
      </c>
    </row>
    <row r="422" spans="1:7">
      <c r="A422" s="26"/>
      <c r="B422" s="27"/>
      <c r="C422" s="28" t="s">
        <v>1335</v>
      </c>
      <c r="D422" s="29">
        <v>375</v>
      </c>
      <c r="E422" s="30" t="s">
        <v>3922</v>
      </c>
      <c r="F422" s="26" t="s">
        <v>3917</v>
      </c>
      <c r="G422" s="12" t="s">
        <v>282</v>
      </c>
    </row>
    <row r="423" spans="1:7">
      <c r="A423" s="26"/>
      <c r="B423" s="27"/>
      <c r="C423" s="28">
        <v>41278</v>
      </c>
      <c r="D423" s="29">
        <v>1125</v>
      </c>
      <c r="E423" s="30" t="s">
        <v>3924</v>
      </c>
      <c r="F423" s="26" t="s">
        <v>3926</v>
      </c>
      <c r="G423" s="12"/>
    </row>
    <row r="424" spans="1:7">
      <c r="A424" s="26"/>
      <c r="B424" s="27"/>
      <c r="C424" s="28">
        <v>41288</v>
      </c>
      <c r="D424" s="29">
        <v>375</v>
      </c>
      <c r="E424" s="30" t="s">
        <v>3925</v>
      </c>
      <c r="F424" s="26" t="s">
        <v>3926</v>
      </c>
      <c r="G424" s="12"/>
    </row>
    <row r="425" spans="1:7">
      <c r="A425" s="26"/>
      <c r="B425" s="27"/>
      <c r="C425" s="28">
        <v>41293</v>
      </c>
      <c r="D425" s="29">
        <f>1125+750</f>
        <v>1875</v>
      </c>
      <c r="E425" s="30" t="s">
        <v>2899</v>
      </c>
      <c r="F425" s="26" t="s">
        <v>3926</v>
      </c>
      <c r="G425" s="12"/>
    </row>
    <row r="426" spans="1:7">
      <c r="A426" s="26">
        <v>29</v>
      </c>
      <c r="B426" s="27" t="s">
        <v>4022</v>
      </c>
      <c r="C426" s="28">
        <v>41223</v>
      </c>
      <c r="D426" s="29">
        <v>1310</v>
      </c>
      <c r="E426" s="30" t="s">
        <v>3928</v>
      </c>
      <c r="F426" s="26" t="s">
        <v>3927</v>
      </c>
      <c r="G426" s="12"/>
    </row>
    <row r="427" spans="1:7">
      <c r="A427" s="26"/>
      <c r="B427" s="27"/>
      <c r="C427" s="28">
        <v>41226</v>
      </c>
      <c r="D427" s="29">
        <v>4875</v>
      </c>
      <c r="E427" s="30" t="s">
        <v>3929</v>
      </c>
      <c r="F427" s="26" t="s">
        <v>3927</v>
      </c>
      <c r="G427" s="12"/>
    </row>
    <row r="428" spans="1:7">
      <c r="A428" s="26"/>
      <c r="B428" s="27"/>
      <c r="C428" s="28">
        <v>41239</v>
      </c>
      <c r="D428" s="29">
        <v>1310</v>
      </c>
      <c r="E428" s="30" t="s">
        <v>3930</v>
      </c>
      <c r="F428" s="26" t="s">
        <v>3927</v>
      </c>
      <c r="G428" s="12"/>
    </row>
    <row r="429" spans="1:7">
      <c r="A429" s="26"/>
      <c r="B429" s="27"/>
      <c r="C429" s="28">
        <v>41242</v>
      </c>
      <c r="D429" s="29">
        <v>4875</v>
      </c>
      <c r="E429" s="30" t="s">
        <v>3931</v>
      </c>
      <c r="F429" s="26" t="s">
        <v>3927</v>
      </c>
      <c r="G429" s="12"/>
    </row>
    <row r="430" spans="1:7">
      <c r="A430" s="26"/>
      <c r="B430" s="27"/>
      <c r="C430" s="28">
        <v>41255</v>
      </c>
      <c r="D430" s="29">
        <v>1310</v>
      </c>
      <c r="E430" s="30" t="s">
        <v>3932</v>
      </c>
      <c r="F430" s="26" t="s">
        <v>3927</v>
      </c>
      <c r="G430" s="12"/>
    </row>
    <row r="431" spans="1:7">
      <c r="A431" s="26"/>
      <c r="B431" s="27"/>
      <c r="C431" s="28">
        <v>41256</v>
      </c>
      <c r="D431" s="29">
        <v>4875</v>
      </c>
      <c r="E431" s="30" t="s">
        <v>3933</v>
      </c>
      <c r="F431" s="26" t="s">
        <v>3927</v>
      </c>
      <c r="G431" s="12"/>
    </row>
    <row r="432" spans="1:7">
      <c r="A432" s="26"/>
      <c r="B432" s="27"/>
      <c r="C432" s="28">
        <v>41269</v>
      </c>
      <c r="D432" s="29">
        <v>1310</v>
      </c>
      <c r="E432" s="30" t="s">
        <v>3934</v>
      </c>
      <c r="F432" s="26" t="s">
        <v>3927</v>
      </c>
      <c r="G432" s="12"/>
    </row>
    <row r="433" spans="1:7">
      <c r="A433" s="26"/>
      <c r="B433" s="27"/>
      <c r="C433" s="28">
        <v>41273</v>
      </c>
      <c r="D433" s="29">
        <v>4875</v>
      </c>
      <c r="E433" s="30" t="s">
        <v>3935</v>
      </c>
      <c r="F433" s="26" t="s">
        <v>3927</v>
      </c>
      <c r="G433" s="12"/>
    </row>
    <row r="434" spans="1:7">
      <c r="A434" s="26"/>
      <c r="B434" s="27"/>
      <c r="C434" s="28">
        <v>41283</v>
      </c>
      <c r="D434" s="29">
        <v>185</v>
      </c>
      <c r="E434" s="30" t="s">
        <v>3937</v>
      </c>
      <c r="F434" s="26" t="s">
        <v>3936</v>
      </c>
      <c r="G434" s="12"/>
    </row>
    <row r="435" spans="1:7">
      <c r="A435" s="26"/>
      <c r="B435" s="27"/>
      <c r="C435" s="28">
        <v>41285</v>
      </c>
      <c r="D435" s="29">
        <v>1310</v>
      </c>
      <c r="E435" s="30" t="s">
        <v>3938</v>
      </c>
      <c r="F435" s="26" t="s">
        <v>3936</v>
      </c>
      <c r="G435" s="12"/>
    </row>
    <row r="436" spans="1:7">
      <c r="A436" s="26"/>
      <c r="B436" s="27"/>
      <c r="C436" s="28">
        <v>41287</v>
      </c>
      <c r="D436" s="29">
        <v>4875</v>
      </c>
      <c r="E436" s="30" t="s">
        <v>3939</v>
      </c>
      <c r="F436" s="26" t="s">
        <v>3936</v>
      </c>
      <c r="G436" s="12"/>
    </row>
    <row r="437" spans="1:7">
      <c r="A437" s="26">
        <v>30</v>
      </c>
      <c r="B437" s="27" t="s">
        <v>1010</v>
      </c>
      <c r="C437" s="28">
        <v>41225</v>
      </c>
      <c r="D437" s="29">
        <v>375</v>
      </c>
      <c r="E437" s="30" t="s">
        <v>3941</v>
      </c>
      <c r="F437" s="26" t="s">
        <v>3940</v>
      </c>
      <c r="G437" s="12"/>
    </row>
    <row r="438" spans="1:7">
      <c r="A438" s="26"/>
      <c r="B438" s="27"/>
      <c r="C438" s="28">
        <v>41227</v>
      </c>
      <c r="D438" s="29">
        <v>185</v>
      </c>
      <c r="E438" s="30" t="s">
        <v>1579</v>
      </c>
      <c r="F438" s="26" t="s">
        <v>3940</v>
      </c>
      <c r="G438" s="12"/>
    </row>
    <row r="439" spans="1:7">
      <c r="A439" s="26"/>
      <c r="B439" s="27"/>
      <c r="C439" s="28">
        <v>41230</v>
      </c>
      <c r="D439" s="29">
        <v>6185</v>
      </c>
      <c r="E439" s="30" t="s">
        <v>3942</v>
      </c>
      <c r="F439" s="26" t="s">
        <v>3940</v>
      </c>
      <c r="G439" s="12"/>
    </row>
    <row r="440" spans="1:7">
      <c r="A440" s="26"/>
      <c r="B440" s="27"/>
      <c r="C440" s="28">
        <v>41239</v>
      </c>
      <c r="D440" s="29">
        <v>375</v>
      </c>
      <c r="E440" s="30" t="s">
        <v>3943</v>
      </c>
      <c r="F440" s="26" t="s">
        <v>3940</v>
      </c>
      <c r="G440" s="12"/>
    </row>
    <row r="441" spans="1:7">
      <c r="A441" s="26"/>
      <c r="B441" s="27"/>
      <c r="C441" s="28">
        <v>41241</v>
      </c>
      <c r="D441" s="29">
        <v>185</v>
      </c>
      <c r="E441" s="30" t="s">
        <v>3944</v>
      </c>
      <c r="F441" s="26" t="s">
        <v>3940</v>
      </c>
      <c r="G441" s="12"/>
    </row>
    <row r="442" spans="1:7">
      <c r="A442" s="26"/>
      <c r="B442" s="27"/>
      <c r="C442" s="28">
        <v>41242</v>
      </c>
      <c r="D442" s="29">
        <v>6185</v>
      </c>
      <c r="E442" s="30" t="s">
        <v>3945</v>
      </c>
      <c r="F442" s="26" t="s">
        <v>3940</v>
      </c>
      <c r="G442" s="12"/>
    </row>
    <row r="443" spans="1:7">
      <c r="A443" s="26"/>
      <c r="B443" s="27"/>
      <c r="C443" s="28">
        <v>41244</v>
      </c>
      <c r="D443" s="29">
        <v>375</v>
      </c>
      <c r="E443" s="30" t="s">
        <v>3946</v>
      </c>
      <c r="F443" s="26" t="s">
        <v>3940</v>
      </c>
      <c r="G443" s="12"/>
    </row>
    <row r="444" spans="1:7">
      <c r="A444" s="26"/>
      <c r="B444" s="27"/>
      <c r="C444" s="28">
        <v>41254</v>
      </c>
      <c r="D444" s="29">
        <v>185</v>
      </c>
      <c r="E444" s="30" t="s">
        <v>3947</v>
      </c>
      <c r="F444" s="26" t="s">
        <v>3940</v>
      </c>
      <c r="G444" s="12"/>
    </row>
    <row r="445" spans="1:7">
      <c r="A445" s="26"/>
      <c r="B445" s="27"/>
      <c r="C445" s="28">
        <v>41257</v>
      </c>
      <c r="D445" s="29">
        <v>6185</v>
      </c>
      <c r="E445" s="30" t="s">
        <v>3948</v>
      </c>
      <c r="F445" s="26" t="s">
        <v>3940</v>
      </c>
      <c r="G445" s="12"/>
    </row>
    <row r="446" spans="1:7">
      <c r="A446" s="26"/>
      <c r="B446" s="27"/>
      <c r="C446" s="28">
        <v>41260</v>
      </c>
      <c r="D446" s="29">
        <v>375</v>
      </c>
      <c r="E446" s="30" t="s">
        <v>1499</v>
      </c>
      <c r="F446" s="26" t="s">
        <v>3940</v>
      </c>
      <c r="G446" s="12"/>
    </row>
    <row r="447" spans="1:7">
      <c r="A447" s="26"/>
      <c r="B447" s="27"/>
      <c r="C447" s="28">
        <v>41270</v>
      </c>
      <c r="D447" s="29">
        <v>185</v>
      </c>
      <c r="E447" s="30" t="s">
        <v>1593</v>
      </c>
      <c r="F447" s="26" t="s">
        <v>3940</v>
      </c>
      <c r="G447" s="12"/>
    </row>
    <row r="448" spans="1:7">
      <c r="A448" s="26"/>
      <c r="B448" s="27"/>
      <c r="C448" s="28">
        <v>41271</v>
      </c>
      <c r="D448" s="29">
        <v>6185</v>
      </c>
      <c r="E448" s="30" t="s">
        <v>3949</v>
      </c>
      <c r="F448" s="26" t="s">
        <v>3940</v>
      </c>
      <c r="G448" s="12"/>
    </row>
    <row r="449" spans="1:7">
      <c r="A449" s="26"/>
      <c r="B449" s="27"/>
      <c r="C449" s="28">
        <v>41275</v>
      </c>
      <c r="D449" s="29">
        <v>375</v>
      </c>
      <c r="E449" s="30" t="s">
        <v>3950</v>
      </c>
      <c r="F449" s="26" t="s">
        <v>3952</v>
      </c>
      <c r="G449" s="12"/>
    </row>
    <row r="450" spans="1:7">
      <c r="A450" s="26"/>
      <c r="B450" s="27"/>
      <c r="C450" s="28">
        <v>41286</v>
      </c>
      <c r="D450" s="29">
        <v>185</v>
      </c>
      <c r="E450" s="30" t="s">
        <v>1601</v>
      </c>
      <c r="F450" s="26" t="s">
        <v>3952</v>
      </c>
      <c r="G450" s="12"/>
    </row>
    <row r="451" spans="1:7">
      <c r="A451" s="26"/>
      <c r="B451" s="27"/>
      <c r="C451" s="28">
        <v>41288</v>
      </c>
      <c r="D451" s="29">
        <v>6185</v>
      </c>
      <c r="E451" s="30" t="s">
        <v>3951</v>
      </c>
      <c r="F451" s="26" t="s">
        <v>3952</v>
      </c>
      <c r="G451" s="12"/>
    </row>
    <row r="452" spans="1:7">
      <c r="A452" s="26"/>
      <c r="B452" s="27"/>
      <c r="C452" s="28">
        <v>41292</v>
      </c>
      <c r="D452" s="29">
        <v>375</v>
      </c>
      <c r="E452" s="30" t="s">
        <v>1501</v>
      </c>
      <c r="F452" s="26" t="s">
        <v>3952</v>
      </c>
      <c r="G452" s="12"/>
    </row>
    <row r="453" spans="1:7">
      <c r="A453" s="26">
        <v>31</v>
      </c>
      <c r="B453" s="27" t="s">
        <v>4012</v>
      </c>
      <c r="C453" s="28">
        <v>41220</v>
      </c>
      <c r="D453" s="29">
        <v>1125</v>
      </c>
      <c r="E453" s="30" t="s">
        <v>3954</v>
      </c>
      <c r="F453" s="26" t="s">
        <v>3953</v>
      </c>
      <c r="G453" s="12"/>
    </row>
    <row r="454" spans="1:7">
      <c r="A454" s="26"/>
      <c r="B454" s="27"/>
      <c r="C454" s="28">
        <v>41221</v>
      </c>
      <c r="D454" s="29">
        <v>2250</v>
      </c>
      <c r="E454" s="30" t="s">
        <v>3955</v>
      </c>
      <c r="F454" s="26" t="s">
        <v>3953</v>
      </c>
      <c r="G454" s="12"/>
    </row>
    <row r="455" spans="1:7">
      <c r="A455" s="26"/>
      <c r="B455" s="27"/>
      <c r="C455" s="28">
        <v>41223</v>
      </c>
      <c r="D455" s="29">
        <v>1500</v>
      </c>
      <c r="E455" s="30" t="s">
        <v>3956</v>
      </c>
      <c r="F455" s="26" t="s">
        <v>3953</v>
      </c>
      <c r="G455" s="12"/>
    </row>
    <row r="456" spans="1:7">
      <c r="A456" s="26"/>
      <c r="B456" s="27"/>
      <c r="C456" s="28">
        <v>41225</v>
      </c>
      <c r="D456" s="29">
        <v>560</v>
      </c>
      <c r="E456" s="30" t="s">
        <v>3957</v>
      </c>
      <c r="F456" s="26" t="s">
        <v>3953</v>
      </c>
      <c r="G456" s="12"/>
    </row>
    <row r="457" spans="1:7">
      <c r="A457" s="26"/>
      <c r="B457" s="27"/>
      <c r="C457" s="28">
        <v>41227</v>
      </c>
      <c r="D457" s="29">
        <v>2810</v>
      </c>
      <c r="E457" s="30" t="s">
        <v>3958</v>
      </c>
      <c r="F457" s="26" t="s">
        <v>3953</v>
      </c>
      <c r="G457" s="12"/>
    </row>
    <row r="458" spans="1:7">
      <c r="A458" s="26"/>
      <c r="B458" s="27"/>
      <c r="C458" s="28">
        <v>41234</v>
      </c>
      <c r="D458" s="29">
        <v>1125</v>
      </c>
      <c r="E458" s="30" t="s">
        <v>3959</v>
      </c>
      <c r="F458" s="26" t="s">
        <v>3953</v>
      </c>
      <c r="G458" s="12"/>
    </row>
    <row r="459" spans="1:7">
      <c r="A459" s="26"/>
      <c r="B459" s="27"/>
      <c r="C459" s="28">
        <v>41235</v>
      </c>
      <c r="D459" s="29">
        <v>2250</v>
      </c>
      <c r="E459" s="30" t="s">
        <v>3960</v>
      </c>
      <c r="F459" s="26" t="s">
        <v>3953</v>
      </c>
      <c r="G459" s="12"/>
    </row>
    <row r="460" spans="1:7">
      <c r="A460" s="26"/>
      <c r="B460" s="27"/>
      <c r="C460" s="28">
        <v>41237</v>
      </c>
      <c r="D460" s="29">
        <v>1500</v>
      </c>
      <c r="E460" s="30" t="s">
        <v>3961</v>
      </c>
      <c r="F460" s="26" t="s">
        <v>3953</v>
      </c>
      <c r="G460" s="12"/>
    </row>
    <row r="461" spans="1:7">
      <c r="A461" s="26"/>
      <c r="B461" s="27"/>
      <c r="C461" s="28">
        <v>41240</v>
      </c>
      <c r="D461" s="29">
        <v>560</v>
      </c>
      <c r="E461" s="30" t="s">
        <v>3962</v>
      </c>
      <c r="F461" s="26" t="s">
        <v>3953</v>
      </c>
      <c r="G461" s="12"/>
    </row>
    <row r="462" spans="1:7">
      <c r="A462" s="26"/>
      <c r="B462" s="27"/>
      <c r="C462" s="28">
        <v>41242</v>
      </c>
      <c r="D462" s="29">
        <v>2810</v>
      </c>
      <c r="E462" s="30" t="s">
        <v>3963</v>
      </c>
      <c r="F462" s="26" t="s">
        <v>3953</v>
      </c>
      <c r="G462" s="12"/>
    </row>
    <row r="463" spans="1:7">
      <c r="A463" s="26"/>
      <c r="B463" s="27"/>
      <c r="C463" s="28">
        <v>41249</v>
      </c>
      <c r="D463" s="29">
        <v>1125</v>
      </c>
      <c r="E463" s="30" t="s">
        <v>3964</v>
      </c>
      <c r="F463" s="26" t="s">
        <v>3953</v>
      </c>
      <c r="G463" s="12"/>
    </row>
    <row r="464" spans="1:7">
      <c r="A464" s="26"/>
      <c r="B464" s="27"/>
      <c r="C464" s="28">
        <v>41252</v>
      </c>
      <c r="D464" s="29">
        <v>2250</v>
      </c>
      <c r="E464" s="30" t="s">
        <v>3965</v>
      </c>
      <c r="F464" s="26" t="s">
        <v>3953</v>
      </c>
      <c r="G464" s="12"/>
    </row>
    <row r="465" spans="1:7">
      <c r="A465" s="26"/>
      <c r="B465" s="27"/>
      <c r="C465" s="28">
        <v>41253</v>
      </c>
      <c r="D465" s="29">
        <v>1500</v>
      </c>
      <c r="E465" s="30" t="s">
        <v>3966</v>
      </c>
      <c r="F465" s="26" t="s">
        <v>3953</v>
      </c>
      <c r="G465" s="12"/>
    </row>
    <row r="466" spans="1:7">
      <c r="A466" s="26"/>
      <c r="B466" s="27"/>
      <c r="C466" s="28">
        <v>41255</v>
      </c>
      <c r="D466" s="29">
        <v>560</v>
      </c>
      <c r="E466" s="30" t="s">
        <v>2674</v>
      </c>
      <c r="F466" s="26" t="s">
        <v>3953</v>
      </c>
      <c r="G466" s="12"/>
    </row>
    <row r="467" spans="1:7">
      <c r="A467" s="26"/>
      <c r="B467" s="27"/>
      <c r="C467" s="28">
        <v>41257</v>
      </c>
      <c r="D467" s="29">
        <v>2810</v>
      </c>
      <c r="E467" s="30" t="s">
        <v>2675</v>
      </c>
      <c r="F467" s="26" t="s">
        <v>3953</v>
      </c>
      <c r="G467" s="12"/>
    </row>
    <row r="468" spans="1:7">
      <c r="A468" s="26"/>
      <c r="B468" s="27"/>
      <c r="C468" s="28">
        <v>41267</v>
      </c>
      <c r="D468" s="29">
        <f>1125+2250</f>
        <v>3375</v>
      </c>
      <c r="E468" s="30" t="s">
        <v>1296</v>
      </c>
      <c r="F468" s="26" t="s">
        <v>3953</v>
      </c>
      <c r="G468" s="12"/>
    </row>
    <row r="469" spans="1:7">
      <c r="A469" s="26"/>
      <c r="B469" s="27"/>
      <c r="C469" s="28">
        <v>41268</v>
      </c>
      <c r="D469" s="29">
        <v>1500</v>
      </c>
      <c r="E469" s="30" t="s">
        <v>2676</v>
      </c>
      <c r="F469" s="26" t="s">
        <v>3953</v>
      </c>
      <c r="G469" s="12"/>
    </row>
    <row r="470" spans="1:7">
      <c r="A470" s="26"/>
      <c r="B470" s="27"/>
      <c r="C470" s="28">
        <v>41270</v>
      </c>
      <c r="D470" s="29">
        <v>560</v>
      </c>
      <c r="E470" s="30" t="s">
        <v>2677</v>
      </c>
      <c r="F470" s="26" t="s">
        <v>3953</v>
      </c>
      <c r="G470" s="12"/>
    </row>
    <row r="471" spans="1:7">
      <c r="A471" s="26"/>
      <c r="B471" s="27"/>
      <c r="C471" s="28">
        <v>41271</v>
      </c>
      <c r="D471" s="29">
        <v>2810</v>
      </c>
      <c r="E471" s="30" t="s">
        <v>2678</v>
      </c>
      <c r="F471" s="26" t="s">
        <v>3953</v>
      </c>
      <c r="G471" s="12"/>
    </row>
    <row r="472" spans="1:7">
      <c r="A472" s="26"/>
      <c r="B472" s="27"/>
      <c r="C472" s="28">
        <v>41279</v>
      </c>
      <c r="D472" s="29">
        <v>1125</v>
      </c>
      <c r="E472" s="30" t="s">
        <v>2680</v>
      </c>
      <c r="F472" s="26" t="s">
        <v>2679</v>
      </c>
      <c r="G472" s="12"/>
    </row>
    <row r="473" spans="1:7">
      <c r="A473" s="26"/>
      <c r="B473" s="27"/>
      <c r="C473" s="28">
        <v>41281</v>
      </c>
      <c r="D473" s="29">
        <v>2250</v>
      </c>
      <c r="E473" s="30" t="s">
        <v>2681</v>
      </c>
      <c r="F473" s="26" t="s">
        <v>2679</v>
      </c>
      <c r="G473" s="12"/>
    </row>
    <row r="474" spans="1:7">
      <c r="A474" s="26"/>
      <c r="B474" s="27"/>
      <c r="C474" s="28">
        <v>41286</v>
      </c>
      <c r="D474" s="29">
        <f>1500+560</f>
        <v>2060</v>
      </c>
      <c r="E474" s="30" t="s">
        <v>2753</v>
      </c>
      <c r="F474" s="26" t="s">
        <v>2679</v>
      </c>
      <c r="G474" s="12"/>
    </row>
    <row r="475" spans="1:7">
      <c r="A475" s="26"/>
      <c r="B475" s="27"/>
      <c r="C475" s="28">
        <v>41292</v>
      </c>
      <c r="D475" s="29">
        <v>2810</v>
      </c>
      <c r="E475" s="30" t="s">
        <v>2682</v>
      </c>
      <c r="F475" s="26" t="s">
        <v>2679</v>
      </c>
      <c r="G475" s="12"/>
    </row>
    <row r="476" spans="1:7">
      <c r="A476" s="26"/>
      <c r="B476" s="27"/>
      <c r="C476" s="28">
        <v>41294</v>
      </c>
      <c r="D476" s="29">
        <v>1125</v>
      </c>
      <c r="E476" s="30" t="s">
        <v>2683</v>
      </c>
      <c r="F476" s="26" t="s">
        <v>2679</v>
      </c>
      <c r="G476" s="12"/>
    </row>
    <row r="477" spans="1:7">
      <c r="A477" s="26"/>
      <c r="B477" s="27"/>
      <c r="C477" s="28">
        <v>41296</v>
      </c>
      <c r="D477" s="29">
        <f>2250+185</f>
        <v>2435</v>
      </c>
      <c r="E477" s="30" t="s">
        <v>2910</v>
      </c>
      <c r="F477" s="26" t="s">
        <v>2679</v>
      </c>
      <c r="G477" s="12"/>
    </row>
    <row r="478" spans="1:7">
      <c r="A478" s="26">
        <v>32</v>
      </c>
      <c r="B478" s="27" t="s">
        <v>1015</v>
      </c>
      <c r="C478" s="28">
        <v>41227</v>
      </c>
      <c r="D478" s="29">
        <v>3750</v>
      </c>
      <c r="E478" s="30" t="s">
        <v>2684</v>
      </c>
      <c r="F478" s="26" t="s">
        <v>2688</v>
      </c>
      <c r="G478" s="12"/>
    </row>
    <row r="479" spans="1:7">
      <c r="A479" s="26"/>
      <c r="B479" s="27"/>
      <c r="C479" s="28">
        <v>41241</v>
      </c>
      <c r="D479" s="29">
        <v>3750</v>
      </c>
      <c r="E479" s="30" t="s">
        <v>2685</v>
      </c>
      <c r="F479" s="26" t="s">
        <v>2688</v>
      </c>
      <c r="G479" s="12"/>
    </row>
    <row r="480" spans="1:7">
      <c r="A480" s="26"/>
      <c r="B480" s="27"/>
      <c r="C480" s="28">
        <v>41261</v>
      </c>
      <c r="D480" s="29">
        <v>3750</v>
      </c>
      <c r="E480" s="30" t="s">
        <v>2686</v>
      </c>
      <c r="F480" s="26" t="s">
        <v>2688</v>
      </c>
      <c r="G480" s="12"/>
    </row>
    <row r="481" spans="1:7">
      <c r="A481" s="26"/>
      <c r="B481" s="27"/>
      <c r="C481" s="28">
        <v>41274</v>
      </c>
      <c r="D481" s="29">
        <v>3750</v>
      </c>
      <c r="E481" s="30" t="s">
        <v>2687</v>
      </c>
      <c r="F481" s="26" t="s">
        <v>2688</v>
      </c>
      <c r="G481" s="12"/>
    </row>
    <row r="482" spans="1:7">
      <c r="A482" s="26"/>
      <c r="B482" s="27"/>
      <c r="C482" s="28">
        <v>41277</v>
      </c>
      <c r="D482" s="29">
        <v>750</v>
      </c>
      <c r="E482" s="30" t="s">
        <v>1934</v>
      </c>
      <c r="F482" s="26" t="s">
        <v>2689</v>
      </c>
      <c r="G482" s="12"/>
    </row>
    <row r="483" spans="1:7">
      <c r="A483" s="26"/>
      <c r="B483" s="27"/>
      <c r="C483" s="28">
        <v>41288</v>
      </c>
      <c r="D483" s="29">
        <v>3750</v>
      </c>
      <c r="E483" s="30" t="s">
        <v>2690</v>
      </c>
      <c r="F483" s="26" t="s">
        <v>2689</v>
      </c>
      <c r="G483" s="12"/>
    </row>
    <row r="484" spans="1:7">
      <c r="A484" s="26"/>
      <c r="B484" s="27"/>
      <c r="C484" s="28">
        <v>41292</v>
      </c>
      <c r="D484" s="29">
        <v>750</v>
      </c>
      <c r="E484" s="30" t="s">
        <v>2691</v>
      </c>
      <c r="F484" s="26" t="s">
        <v>2689</v>
      </c>
      <c r="G484" s="12"/>
    </row>
    <row r="485" spans="1:7">
      <c r="A485" s="26">
        <v>33</v>
      </c>
      <c r="B485" s="27" t="s">
        <v>3997</v>
      </c>
      <c r="C485" s="28">
        <v>41217</v>
      </c>
      <c r="D485" s="29">
        <v>750</v>
      </c>
      <c r="E485" s="30" t="s">
        <v>2693</v>
      </c>
      <c r="F485" s="26" t="s">
        <v>2692</v>
      </c>
      <c r="G485" s="12"/>
    </row>
    <row r="486" spans="1:7">
      <c r="A486" s="26"/>
      <c r="B486" s="27"/>
      <c r="C486" s="28">
        <v>41218</v>
      </c>
      <c r="D486" s="29">
        <v>1310</v>
      </c>
      <c r="E486" s="30" t="s">
        <v>2694</v>
      </c>
      <c r="F486" s="26" t="s">
        <v>2692</v>
      </c>
      <c r="G486" s="12"/>
    </row>
    <row r="487" spans="1:7">
      <c r="A487" s="26"/>
      <c r="B487" s="27"/>
      <c r="C487" s="28">
        <v>41222</v>
      </c>
      <c r="D487" s="29">
        <v>375</v>
      </c>
      <c r="E487" s="30" t="s">
        <v>1606</v>
      </c>
      <c r="F487" s="26" t="s">
        <v>2692</v>
      </c>
      <c r="G487" s="12"/>
    </row>
    <row r="488" spans="1:7">
      <c r="A488" s="26"/>
      <c r="B488" s="27"/>
      <c r="C488" s="28">
        <v>41224</v>
      </c>
      <c r="D488" s="29">
        <v>375</v>
      </c>
      <c r="E488" s="30" t="s">
        <v>2695</v>
      </c>
      <c r="F488" s="26" t="s">
        <v>2692</v>
      </c>
      <c r="G488" s="12"/>
    </row>
    <row r="489" spans="1:7">
      <c r="A489" s="26"/>
      <c r="B489" s="27"/>
      <c r="C489" s="28">
        <v>41226</v>
      </c>
      <c r="D489" s="29">
        <v>375</v>
      </c>
      <c r="E489" s="30" t="s">
        <v>2696</v>
      </c>
      <c r="F489" s="26" t="s">
        <v>2692</v>
      </c>
      <c r="G489" s="12"/>
    </row>
    <row r="490" spans="1:7">
      <c r="A490" s="26"/>
      <c r="B490" s="27"/>
      <c r="C490" s="28">
        <v>41228</v>
      </c>
      <c r="D490" s="29">
        <v>560</v>
      </c>
      <c r="E490" s="30" t="s">
        <v>1623</v>
      </c>
      <c r="F490" s="26" t="s">
        <v>2692</v>
      </c>
      <c r="G490" s="12"/>
    </row>
    <row r="491" spans="1:7">
      <c r="A491" s="26"/>
      <c r="B491" s="27"/>
      <c r="C491" s="28">
        <v>41232</v>
      </c>
      <c r="D491" s="29">
        <v>750</v>
      </c>
      <c r="E491" s="30" t="s">
        <v>2697</v>
      </c>
      <c r="F491" s="26" t="s">
        <v>2692</v>
      </c>
      <c r="G491" s="12"/>
    </row>
    <row r="492" spans="1:7">
      <c r="A492" s="26"/>
      <c r="B492" s="27"/>
      <c r="C492" s="28">
        <v>41233</v>
      </c>
      <c r="D492" s="29">
        <v>1310</v>
      </c>
      <c r="E492" s="30" t="s">
        <v>2698</v>
      </c>
      <c r="F492" s="26" t="s">
        <v>2692</v>
      </c>
      <c r="G492" s="12"/>
    </row>
    <row r="493" spans="1:7">
      <c r="A493" s="26"/>
      <c r="B493" s="27"/>
      <c r="C493" s="28">
        <v>41239</v>
      </c>
      <c r="D493" s="29">
        <v>375</v>
      </c>
      <c r="E493" s="30" t="s">
        <v>3919</v>
      </c>
      <c r="F493" s="26" t="s">
        <v>2692</v>
      </c>
      <c r="G493" s="12"/>
    </row>
    <row r="494" spans="1:7">
      <c r="A494" s="26"/>
      <c r="B494" s="27"/>
      <c r="C494" s="28">
        <v>41240</v>
      </c>
      <c r="D494" s="29">
        <v>375</v>
      </c>
      <c r="E494" s="30" t="s">
        <v>2699</v>
      </c>
      <c r="F494" s="26" t="s">
        <v>2692</v>
      </c>
      <c r="G494" s="12"/>
    </row>
    <row r="495" spans="1:7">
      <c r="A495" s="26"/>
      <c r="B495" s="27"/>
      <c r="C495" s="28">
        <v>41241</v>
      </c>
      <c r="D495" s="29">
        <v>375</v>
      </c>
      <c r="E495" s="30" t="s">
        <v>2700</v>
      </c>
      <c r="F495" s="26" t="s">
        <v>2692</v>
      </c>
      <c r="G495" s="12"/>
    </row>
    <row r="496" spans="1:7">
      <c r="A496" s="26"/>
      <c r="B496" s="27"/>
      <c r="C496" s="28">
        <v>41242</v>
      </c>
      <c r="D496" s="29">
        <v>560</v>
      </c>
      <c r="E496" s="30" t="s">
        <v>2701</v>
      </c>
      <c r="F496" s="26" t="s">
        <v>2692</v>
      </c>
      <c r="G496" s="12"/>
    </row>
    <row r="497" spans="1:7">
      <c r="A497" s="26"/>
      <c r="B497" s="27"/>
      <c r="C497" s="28">
        <v>41247</v>
      </c>
      <c r="D497" s="29">
        <v>750</v>
      </c>
      <c r="E497" s="30" t="s">
        <v>2702</v>
      </c>
      <c r="F497" s="26" t="s">
        <v>2692</v>
      </c>
      <c r="G497" s="12"/>
    </row>
    <row r="498" spans="1:7">
      <c r="A498" s="26"/>
      <c r="B498" s="27"/>
      <c r="C498" s="28">
        <v>41248</v>
      </c>
      <c r="D498" s="29">
        <v>1310</v>
      </c>
      <c r="E498" s="30" t="s">
        <v>2703</v>
      </c>
      <c r="F498" s="26" t="s">
        <v>2692</v>
      </c>
      <c r="G498" s="12"/>
    </row>
    <row r="499" spans="1:7">
      <c r="A499" s="26"/>
      <c r="B499" s="27"/>
      <c r="C499" s="28">
        <v>41252</v>
      </c>
      <c r="D499" s="29">
        <v>375</v>
      </c>
      <c r="E499" s="30" t="s">
        <v>3921</v>
      </c>
      <c r="F499" s="26" t="s">
        <v>2692</v>
      </c>
      <c r="G499" s="12"/>
    </row>
    <row r="500" spans="1:7">
      <c r="A500" s="26"/>
      <c r="B500" s="27"/>
      <c r="C500" s="28">
        <v>41254</v>
      </c>
      <c r="D500" s="29">
        <v>375</v>
      </c>
      <c r="E500" s="30" t="s">
        <v>2704</v>
      </c>
      <c r="F500" s="26" t="s">
        <v>2692</v>
      </c>
      <c r="G500" s="12"/>
    </row>
    <row r="501" spans="1:7">
      <c r="A501" s="26"/>
      <c r="B501" s="27"/>
      <c r="C501" s="28">
        <v>41256</v>
      </c>
      <c r="D501" s="29">
        <v>375</v>
      </c>
      <c r="E501" s="30" t="s">
        <v>2705</v>
      </c>
      <c r="F501" s="26" t="s">
        <v>2692</v>
      </c>
      <c r="G501" s="12"/>
    </row>
    <row r="502" spans="1:7">
      <c r="A502" s="26"/>
      <c r="B502" s="27"/>
      <c r="C502" s="28">
        <v>41258</v>
      </c>
      <c r="D502" s="29">
        <v>560</v>
      </c>
      <c r="E502" s="30" t="s">
        <v>2706</v>
      </c>
      <c r="F502" s="26" t="s">
        <v>2692</v>
      </c>
      <c r="G502" s="12"/>
    </row>
    <row r="503" spans="1:7">
      <c r="A503" s="26"/>
      <c r="B503" s="27"/>
      <c r="C503" s="28">
        <v>41267</v>
      </c>
      <c r="D503" s="29">
        <f>750+1310+375</f>
        <v>2435</v>
      </c>
      <c r="E503" s="30" t="s">
        <v>1297</v>
      </c>
      <c r="F503" s="26" t="s">
        <v>2692</v>
      </c>
      <c r="G503" s="12"/>
    </row>
    <row r="504" spans="1:7">
      <c r="A504" s="26"/>
      <c r="B504" s="27"/>
      <c r="C504" s="28">
        <v>41269</v>
      </c>
      <c r="D504" s="29">
        <v>375</v>
      </c>
      <c r="E504" s="30" t="s">
        <v>2707</v>
      </c>
      <c r="F504" s="26" t="s">
        <v>2692</v>
      </c>
      <c r="G504" s="12"/>
    </row>
    <row r="505" spans="1:7">
      <c r="A505" s="26"/>
      <c r="B505" s="27"/>
      <c r="C505" s="28">
        <v>41272</v>
      </c>
      <c r="D505" s="29">
        <f>375+560</f>
        <v>935</v>
      </c>
      <c r="E505" s="30" t="s">
        <v>1311</v>
      </c>
      <c r="F505" s="26" t="s">
        <v>2692</v>
      </c>
      <c r="G505" s="12"/>
    </row>
    <row r="506" spans="1:7">
      <c r="A506" s="26"/>
      <c r="B506" s="27"/>
      <c r="C506" s="28">
        <v>41278</v>
      </c>
      <c r="D506" s="29">
        <f>750+1310</f>
        <v>2060</v>
      </c>
      <c r="E506" s="30" t="s">
        <v>2494</v>
      </c>
      <c r="F506" s="26" t="s">
        <v>2708</v>
      </c>
      <c r="G506" s="12"/>
    </row>
    <row r="507" spans="1:7">
      <c r="A507" s="26"/>
      <c r="B507" s="27"/>
      <c r="C507" s="28">
        <v>41285</v>
      </c>
      <c r="D507" s="29">
        <f>375+375+375</f>
        <v>1125</v>
      </c>
      <c r="E507" s="30" t="s">
        <v>2750</v>
      </c>
      <c r="F507" s="26" t="s">
        <v>2708</v>
      </c>
      <c r="G507" s="12"/>
    </row>
    <row r="508" spans="1:7">
      <c r="A508" s="26"/>
      <c r="B508" s="27"/>
      <c r="C508" s="28">
        <v>41289</v>
      </c>
      <c r="D508" s="29">
        <v>560</v>
      </c>
      <c r="E508" s="30" t="s">
        <v>1918</v>
      </c>
      <c r="F508" s="26" t="s">
        <v>2708</v>
      </c>
      <c r="G508" s="12"/>
    </row>
    <row r="509" spans="1:7">
      <c r="A509" s="26"/>
      <c r="B509" s="27"/>
      <c r="C509" s="28">
        <v>41293</v>
      </c>
      <c r="D509" s="29">
        <f>750+1310</f>
        <v>2060</v>
      </c>
      <c r="E509" s="30" t="s">
        <v>2898</v>
      </c>
      <c r="F509" s="26" t="s">
        <v>2708</v>
      </c>
      <c r="G509" s="12"/>
    </row>
    <row r="510" spans="1:7">
      <c r="A510" s="26">
        <v>34</v>
      </c>
      <c r="B510" s="27" t="s">
        <v>3998</v>
      </c>
      <c r="C510" s="28">
        <v>41217</v>
      </c>
      <c r="D510" s="29">
        <f>750+3000</f>
        <v>3750</v>
      </c>
      <c r="E510" s="30" t="s">
        <v>3999</v>
      </c>
      <c r="F510" s="26" t="s">
        <v>2709</v>
      </c>
      <c r="G510" s="12"/>
    </row>
    <row r="511" spans="1:7">
      <c r="A511" s="26"/>
      <c r="B511" s="27"/>
      <c r="C511" s="28">
        <v>41242</v>
      </c>
      <c r="D511" s="29">
        <v>750</v>
      </c>
      <c r="E511" s="30" t="s">
        <v>2710</v>
      </c>
      <c r="F511" s="26" t="s">
        <v>2709</v>
      </c>
      <c r="G511" s="12"/>
    </row>
    <row r="512" spans="1:7">
      <c r="A512" s="26"/>
      <c r="B512" s="27"/>
      <c r="C512" s="28">
        <v>41244</v>
      </c>
      <c r="D512" s="29">
        <v>3000</v>
      </c>
      <c r="E512" s="30" t="s">
        <v>2711</v>
      </c>
      <c r="F512" s="26" t="s">
        <v>2709</v>
      </c>
      <c r="G512" s="12"/>
    </row>
    <row r="513" spans="1:7">
      <c r="A513" s="26"/>
      <c r="B513" s="27"/>
      <c r="C513" s="28">
        <v>41262</v>
      </c>
      <c r="D513" s="29">
        <f>750+3000</f>
        <v>3750</v>
      </c>
      <c r="E513" s="30" t="s">
        <v>179</v>
      </c>
      <c r="F513" s="26" t="s">
        <v>2709</v>
      </c>
      <c r="G513" s="12"/>
    </row>
    <row r="514" spans="1:7">
      <c r="A514" s="26"/>
      <c r="B514" s="27"/>
      <c r="C514" s="28">
        <v>41269</v>
      </c>
      <c r="D514" s="29">
        <f>750+2060</f>
        <v>2810</v>
      </c>
      <c r="E514" s="30" t="s">
        <v>1301</v>
      </c>
      <c r="F514" s="26" t="s">
        <v>2709</v>
      </c>
      <c r="G514" s="12"/>
    </row>
    <row r="515" spans="1:7" ht="32.4">
      <c r="A515" s="26"/>
      <c r="B515" s="27"/>
      <c r="C515" s="28">
        <v>41276</v>
      </c>
      <c r="D515" s="29">
        <f>3000+185</f>
        <v>3185</v>
      </c>
      <c r="E515" s="30" t="s">
        <v>2719</v>
      </c>
      <c r="F515" s="26" t="s">
        <v>2715</v>
      </c>
      <c r="G515" s="12" t="s">
        <v>285</v>
      </c>
    </row>
    <row r="516" spans="1:7" ht="32.4">
      <c r="A516" s="26"/>
      <c r="B516" s="27"/>
      <c r="C516" s="28">
        <v>41288</v>
      </c>
      <c r="D516" s="29">
        <f>750+2060</f>
        <v>2810</v>
      </c>
      <c r="E516" s="30" t="s">
        <v>2712</v>
      </c>
      <c r="F516" s="26" t="s">
        <v>2715</v>
      </c>
      <c r="G516" s="12" t="s">
        <v>285</v>
      </c>
    </row>
    <row r="517" spans="1:7" ht="32.4">
      <c r="A517" s="26"/>
      <c r="B517" s="27"/>
      <c r="C517" s="28">
        <v>41290</v>
      </c>
      <c r="D517" s="29">
        <v>3000</v>
      </c>
      <c r="E517" s="30" t="s">
        <v>2713</v>
      </c>
      <c r="F517" s="26" t="s">
        <v>2715</v>
      </c>
      <c r="G517" s="12" t="s">
        <v>285</v>
      </c>
    </row>
    <row r="518" spans="1:7" ht="32.4">
      <c r="A518" s="26"/>
      <c r="B518" s="27"/>
      <c r="C518" s="28">
        <v>41292</v>
      </c>
      <c r="D518" s="29">
        <v>185</v>
      </c>
      <c r="E518" s="30" t="s">
        <v>2714</v>
      </c>
      <c r="F518" s="26" t="s">
        <v>2715</v>
      </c>
      <c r="G518" s="12" t="s">
        <v>285</v>
      </c>
    </row>
    <row r="519" spans="1:7">
      <c r="A519" s="26">
        <v>35</v>
      </c>
      <c r="B519" s="27" t="s">
        <v>284</v>
      </c>
      <c r="C519" s="28">
        <v>41223</v>
      </c>
      <c r="D519" s="29">
        <v>2250</v>
      </c>
      <c r="E519" s="30" t="s">
        <v>3955</v>
      </c>
      <c r="F519" s="26" t="s">
        <v>2716</v>
      </c>
      <c r="G519" s="12"/>
    </row>
    <row r="520" spans="1:7">
      <c r="A520" s="26"/>
      <c r="B520" s="27"/>
      <c r="C520" s="28">
        <v>41226</v>
      </c>
      <c r="D520" s="29">
        <v>1125</v>
      </c>
      <c r="E520" s="30" t="s">
        <v>1619</v>
      </c>
      <c r="F520" s="26" t="s">
        <v>2716</v>
      </c>
      <c r="G520" s="12"/>
    </row>
    <row r="521" spans="1:7">
      <c r="A521" s="26"/>
      <c r="B521" s="27"/>
      <c r="C521" s="28">
        <v>41228</v>
      </c>
      <c r="D521" s="29">
        <v>1125</v>
      </c>
      <c r="E521" s="30" t="s">
        <v>2717</v>
      </c>
      <c r="F521" s="26" t="s">
        <v>2716</v>
      </c>
      <c r="G521" s="12"/>
    </row>
    <row r="522" spans="1:7">
      <c r="A522" s="26"/>
      <c r="B522" s="27"/>
      <c r="C522" s="28">
        <v>41232</v>
      </c>
      <c r="D522" s="29">
        <v>1875</v>
      </c>
      <c r="E522" s="30" t="s">
        <v>2718</v>
      </c>
      <c r="F522" s="26" t="s">
        <v>2716</v>
      </c>
      <c r="G522" s="12"/>
    </row>
    <row r="523" spans="1:7">
      <c r="A523" s="26"/>
      <c r="B523" s="27"/>
      <c r="C523" s="28">
        <v>41239</v>
      </c>
      <c r="D523" s="29">
        <f>2250+1125</f>
        <v>3375</v>
      </c>
      <c r="E523" s="30" t="s">
        <v>1206</v>
      </c>
      <c r="F523" s="26" t="s">
        <v>2716</v>
      </c>
      <c r="G523" s="12"/>
    </row>
    <row r="524" spans="1:7">
      <c r="A524" s="26"/>
      <c r="B524" s="27"/>
      <c r="C524" s="28">
        <v>41241</v>
      </c>
      <c r="D524" s="29">
        <f>1125+1875</f>
        <v>3000</v>
      </c>
      <c r="E524" s="30" t="s">
        <v>1216</v>
      </c>
      <c r="F524" s="26" t="s">
        <v>2716</v>
      </c>
      <c r="G524" s="12"/>
    </row>
    <row r="525" spans="1:7">
      <c r="A525" s="26"/>
      <c r="B525" s="27"/>
      <c r="C525" s="28">
        <v>41253</v>
      </c>
      <c r="D525" s="29">
        <f>2250+1125</f>
        <v>3375</v>
      </c>
      <c r="E525" s="30" t="s">
        <v>37</v>
      </c>
      <c r="F525" s="26" t="s">
        <v>2716</v>
      </c>
      <c r="G525" s="12"/>
    </row>
    <row r="526" spans="1:7">
      <c r="A526" s="26">
        <v>36</v>
      </c>
      <c r="B526" s="27" t="s">
        <v>2720</v>
      </c>
      <c r="C526" s="28">
        <v>41214</v>
      </c>
      <c r="D526" s="29">
        <v>2625</v>
      </c>
      <c r="E526" s="30" t="s">
        <v>2721</v>
      </c>
      <c r="F526" s="26" t="s">
        <v>2722</v>
      </c>
      <c r="G526" s="12"/>
    </row>
    <row r="527" spans="1:7">
      <c r="A527" s="26"/>
      <c r="B527" s="27"/>
      <c r="C527" s="28">
        <v>41275</v>
      </c>
      <c r="D527" s="29">
        <v>2625</v>
      </c>
      <c r="E527" s="30" t="s">
        <v>2724</v>
      </c>
      <c r="F527" s="26" t="s">
        <v>2723</v>
      </c>
      <c r="G527" s="12"/>
    </row>
    <row r="528" spans="1:7">
      <c r="A528" s="26">
        <v>37</v>
      </c>
      <c r="B528" s="27" t="s">
        <v>3988</v>
      </c>
      <c r="C528" s="28">
        <v>41215</v>
      </c>
      <c r="D528" s="29">
        <f>1875+750</f>
        <v>2625</v>
      </c>
      <c r="E528" s="30" t="s">
        <v>3989</v>
      </c>
      <c r="F528" s="26" t="s">
        <v>2725</v>
      </c>
      <c r="G528" s="12"/>
    </row>
    <row r="529" spans="1:7">
      <c r="A529" s="26"/>
      <c r="B529" s="27"/>
      <c r="C529" s="28" t="s">
        <v>1335</v>
      </c>
      <c r="D529" s="29">
        <f>1875+750</f>
        <v>2625</v>
      </c>
      <c r="E529" s="30" t="s">
        <v>1229</v>
      </c>
      <c r="F529" s="26" t="s">
        <v>2725</v>
      </c>
      <c r="G529" s="12"/>
    </row>
    <row r="530" spans="1:7">
      <c r="A530" s="26"/>
      <c r="B530" s="27"/>
      <c r="C530" s="28">
        <v>41244</v>
      </c>
      <c r="D530" s="29">
        <v>750</v>
      </c>
      <c r="E530" s="30" t="s">
        <v>2726</v>
      </c>
      <c r="F530" s="26" t="s">
        <v>2725</v>
      </c>
      <c r="G530" s="12"/>
    </row>
    <row r="531" spans="1:7">
      <c r="A531" s="26"/>
      <c r="B531" s="27"/>
      <c r="C531" s="28">
        <v>41246</v>
      </c>
      <c r="D531" s="29">
        <v>1875</v>
      </c>
      <c r="E531" s="30" t="s">
        <v>2727</v>
      </c>
      <c r="F531" s="26" t="s">
        <v>2725</v>
      </c>
      <c r="G531" s="12"/>
    </row>
    <row r="532" spans="1:7">
      <c r="A532" s="26"/>
      <c r="B532" s="27"/>
      <c r="C532" s="28">
        <v>41264</v>
      </c>
      <c r="D532" s="29">
        <f>1875</f>
        <v>1875</v>
      </c>
      <c r="E532" s="30" t="s">
        <v>2728</v>
      </c>
      <c r="F532" s="26" t="s">
        <v>2725</v>
      </c>
      <c r="G532" s="12"/>
    </row>
    <row r="533" spans="1:7">
      <c r="A533" s="26"/>
      <c r="B533" s="27"/>
      <c r="C533" s="28" t="s">
        <v>1335</v>
      </c>
      <c r="D533" s="29">
        <f>750+1875</f>
        <v>2625</v>
      </c>
      <c r="E533" s="30" t="s">
        <v>2729</v>
      </c>
      <c r="F533" s="26" t="s">
        <v>2725</v>
      </c>
      <c r="G533" s="12"/>
    </row>
    <row r="534" spans="1:7">
      <c r="A534" s="26"/>
      <c r="B534" s="27"/>
      <c r="C534" s="28">
        <v>41282</v>
      </c>
      <c r="D534" s="29">
        <v>750</v>
      </c>
      <c r="E534" s="30" t="s">
        <v>2730</v>
      </c>
      <c r="F534" s="26" t="s">
        <v>2732</v>
      </c>
      <c r="G534" s="12"/>
    </row>
    <row r="535" spans="1:7">
      <c r="A535" s="26"/>
      <c r="B535" s="27"/>
      <c r="C535" s="28">
        <v>41289</v>
      </c>
      <c r="D535" s="29">
        <v>1875</v>
      </c>
      <c r="E535" s="30" t="s">
        <v>2731</v>
      </c>
      <c r="F535" s="26" t="s">
        <v>2732</v>
      </c>
      <c r="G535" s="12"/>
    </row>
    <row r="536" spans="1:7">
      <c r="A536" s="26"/>
      <c r="B536" s="27"/>
      <c r="C536" s="28">
        <v>41291</v>
      </c>
      <c r="D536" s="29">
        <f>750+375</f>
        <v>1125</v>
      </c>
      <c r="E536" s="30" t="s">
        <v>311</v>
      </c>
      <c r="F536" s="26" t="s">
        <v>2732</v>
      </c>
      <c r="G536" s="12"/>
    </row>
    <row r="537" spans="1:7">
      <c r="A537" s="26">
        <v>38</v>
      </c>
      <c r="B537" s="27" t="s">
        <v>3982</v>
      </c>
      <c r="C537" s="28">
        <v>41214</v>
      </c>
      <c r="D537" s="29">
        <f>375+375</f>
        <v>750</v>
      </c>
      <c r="E537" s="30" t="s">
        <v>3983</v>
      </c>
      <c r="F537" s="26" t="s">
        <v>2497</v>
      </c>
      <c r="G537" s="12"/>
    </row>
    <row r="538" spans="1:7">
      <c r="A538" s="26"/>
      <c r="B538" s="27"/>
      <c r="C538" s="28">
        <v>41220</v>
      </c>
      <c r="D538" s="29">
        <v>1125</v>
      </c>
      <c r="E538" s="30" t="s">
        <v>2498</v>
      </c>
      <c r="F538" s="26" t="s">
        <v>2497</v>
      </c>
      <c r="G538" s="12"/>
    </row>
    <row r="539" spans="1:7">
      <c r="A539" s="26"/>
      <c r="B539" s="27"/>
      <c r="C539" s="28">
        <v>41222</v>
      </c>
      <c r="D539" s="29">
        <v>1125</v>
      </c>
      <c r="E539" s="30" t="s">
        <v>2499</v>
      </c>
      <c r="F539" s="26" t="s">
        <v>2497</v>
      </c>
      <c r="G539" s="12"/>
    </row>
    <row r="540" spans="1:7">
      <c r="A540" s="26"/>
      <c r="B540" s="27"/>
      <c r="C540" s="28">
        <v>41223</v>
      </c>
      <c r="D540" s="29">
        <v>750</v>
      </c>
      <c r="E540" s="30" t="s">
        <v>2500</v>
      </c>
      <c r="F540" s="26" t="s">
        <v>2497</v>
      </c>
      <c r="G540" s="12"/>
    </row>
    <row r="541" spans="1:7">
      <c r="A541" s="26"/>
      <c r="B541" s="27"/>
      <c r="C541" s="28">
        <v>41229</v>
      </c>
      <c r="D541" s="29">
        <f>375+375</f>
        <v>750</v>
      </c>
      <c r="E541" s="30" t="s">
        <v>1021</v>
      </c>
      <c r="F541" s="26" t="s">
        <v>2497</v>
      </c>
      <c r="G541" s="12"/>
    </row>
    <row r="542" spans="1:7">
      <c r="A542" s="26"/>
      <c r="B542" s="27"/>
      <c r="C542" s="28">
        <v>41235</v>
      </c>
      <c r="D542" s="29">
        <f>1125+1125+750</f>
        <v>3000</v>
      </c>
      <c r="E542" s="30" t="s">
        <v>1040</v>
      </c>
      <c r="F542" s="26" t="s">
        <v>2497</v>
      </c>
      <c r="G542" s="12"/>
    </row>
    <row r="543" spans="1:7" ht="32.4">
      <c r="A543" s="26"/>
      <c r="B543" s="27"/>
      <c r="C543" s="28">
        <v>41244</v>
      </c>
      <c r="D543" s="29">
        <f>375+375+1125+1125+750+375+375</f>
        <v>4500</v>
      </c>
      <c r="E543" s="30" t="s">
        <v>1235</v>
      </c>
      <c r="F543" s="26" t="s">
        <v>2497</v>
      </c>
      <c r="G543" s="12"/>
    </row>
    <row r="544" spans="1:7">
      <c r="A544" s="26"/>
      <c r="B544" s="27"/>
      <c r="C544" s="28">
        <v>41272</v>
      </c>
      <c r="D544" s="29">
        <f>1125+1125+750</f>
        <v>3000</v>
      </c>
      <c r="E544" s="30" t="s">
        <v>1312</v>
      </c>
      <c r="F544" s="26" t="s">
        <v>2497</v>
      </c>
      <c r="G544" s="12"/>
    </row>
    <row r="545" spans="1:7">
      <c r="A545" s="26"/>
      <c r="B545" s="27"/>
      <c r="C545" s="28">
        <v>41274</v>
      </c>
      <c r="D545" s="29">
        <f>375+375</f>
        <v>750</v>
      </c>
      <c r="E545" s="30" t="s">
        <v>1320</v>
      </c>
      <c r="F545" s="26" t="s">
        <v>2497</v>
      </c>
      <c r="G545" s="12"/>
    </row>
    <row r="546" spans="1:7">
      <c r="A546" s="26"/>
      <c r="B546" s="27"/>
      <c r="C546" s="28">
        <v>41281</v>
      </c>
      <c r="D546" s="29">
        <v>1125</v>
      </c>
      <c r="E546" s="30" t="s">
        <v>2502</v>
      </c>
      <c r="F546" s="26" t="s">
        <v>2501</v>
      </c>
      <c r="G546" s="12"/>
    </row>
    <row r="547" spans="1:7">
      <c r="A547" s="26"/>
      <c r="B547" s="27"/>
      <c r="C547" s="28">
        <v>41283</v>
      </c>
      <c r="D547" s="29">
        <f>1125+750</f>
        <v>1875</v>
      </c>
      <c r="E547" s="30" t="s">
        <v>2745</v>
      </c>
      <c r="F547" s="26" t="s">
        <v>2501</v>
      </c>
      <c r="G547" s="12"/>
    </row>
    <row r="548" spans="1:7">
      <c r="A548" s="26"/>
      <c r="B548" s="27"/>
      <c r="C548" s="28">
        <v>41290</v>
      </c>
      <c r="D548" s="29">
        <f>375+375</f>
        <v>750</v>
      </c>
      <c r="E548" s="30" t="s">
        <v>310</v>
      </c>
      <c r="F548" s="26" t="s">
        <v>2501</v>
      </c>
      <c r="G548" s="12"/>
    </row>
    <row r="549" spans="1:7">
      <c r="A549" s="26"/>
      <c r="B549" s="27"/>
      <c r="C549" s="28">
        <v>41295</v>
      </c>
      <c r="D549" s="29">
        <v>1125</v>
      </c>
      <c r="E549" s="30" t="s">
        <v>2503</v>
      </c>
      <c r="F549" s="26" t="s">
        <v>2501</v>
      </c>
      <c r="G549" s="12"/>
    </row>
    <row r="550" spans="1:7">
      <c r="A550" s="26">
        <v>39</v>
      </c>
      <c r="B550" s="27" t="s">
        <v>1037</v>
      </c>
      <c r="C550" s="28">
        <v>41234</v>
      </c>
      <c r="D550" s="29">
        <v>3375</v>
      </c>
      <c r="E550" s="30" t="s">
        <v>2504</v>
      </c>
      <c r="F550" s="26" t="s">
        <v>2507</v>
      </c>
      <c r="G550" s="12"/>
    </row>
    <row r="551" spans="1:7">
      <c r="A551" s="26"/>
      <c r="B551" s="27"/>
      <c r="C551" s="28">
        <v>41239</v>
      </c>
      <c r="D551" s="29">
        <v>3375</v>
      </c>
      <c r="E551" s="30" t="s">
        <v>2505</v>
      </c>
      <c r="F551" s="26" t="s">
        <v>2507</v>
      </c>
      <c r="G551" s="12"/>
    </row>
    <row r="552" spans="1:7">
      <c r="A552" s="26"/>
      <c r="B552" s="27"/>
      <c r="C552" s="28">
        <v>41274</v>
      </c>
      <c r="D552" s="29">
        <v>3375</v>
      </c>
      <c r="E552" s="30" t="s">
        <v>2506</v>
      </c>
      <c r="F552" s="26" t="s">
        <v>2507</v>
      </c>
      <c r="G552" s="12"/>
    </row>
    <row r="553" spans="1:7">
      <c r="A553" s="26"/>
      <c r="B553" s="27"/>
      <c r="C553" s="28">
        <v>41276</v>
      </c>
      <c r="D553" s="29">
        <v>3375</v>
      </c>
      <c r="E553" s="30" t="s">
        <v>2509</v>
      </c>
      <c r="F553" s="26" t="s">
        <v>2508</v>
      </c>
      <c r="G553" s="12"/>
    </row>
    <row r="554" spans="1:7">
      <c r="A554" s="26"/>
      <c r="B554" s="27"/>
      <c r="C554" s="28">
        <v>41282</v>
      </c>
      <c r="D554" s="29">
        <v>3375</v>
      </c>
      <c r="E554" s="30" t="s">
        <v>2510</v>
      </c>
      <c r="F554" s="26" t="s">
        <v>2508</v>
      </c>
      <c r="G554" s="12"/>
    </row>
    <row r="555" spans="1:7">
      <c r="A555" s="26">
        <v>40</v>
      </c>
      <c r="B555" s="27" t="s">
        <v>1016</v>
      </c>
      <c r="C555" s="28">
        <v>41227</v>
      </c>
      <c r="D555" s="29">
        <v>750</v>
      </c>
      <c r="E555" s="30" t="s">
        <v>2512</v>
      </c>
      <c r="F555" s="26" t="s">
        <v>2511</v>
      </c>
      <c r="G555" s="12"/>
    </row>
    <row r="556" spans="1:7">
      <c r="A556" s="26"/>
      <c r="B556" s="27"/>
      <c r="C556" s="28">
        <v>41232</v>
      </c>
      <c r="D556" s="29">
        <v>375</v>
      </c>
      <c r="E556" s="30" t="s">
        <v>2513</v>
      </c>
      <c r="F556" s="26" t="s">
        <v>2511</v>
      </c>
      <c r="G556" s="12"/>
    </row>
    <row r="557" spans="1:7">
      <c r="A557" s="26"/>
      <c r="B557" s="27"/>
      <c r="C557" s="28">
        <v>41233</v>
      </c>
      <c r="D557" s="29">
        <v>375</v>
      </c>
      <c r="E557" s="30" t="s">
        <v>2514</v>
      </c>
      <c r="F557" s="26" t="s">
        <v>2511</v>
      </c>
      <c r="G557" s="12"/>
    </row>
    <row r="558" spans="1:7">
      <c r="A558" s="26"/>
      <c r="B558" s="27"/>
      <c r="C558" s="28">
        <v>41235</v>
      </c>
      <c r="D558" s="29">
        <v>750</v>
      </c>
      <c r="E558" s="30" t="s">
        <v>2515</v>
      </c>
      <c r="F558" s="26" t="s">
        <v>2511</v>
      </c>
      <c r="G558" s="12"/>
    </row>
    <row r="559" spans="1:7">
      <c r="A559" s="26"/>
      <c r="B559" s="27"/>
      <c r="C559" s="28">
        <v>41249</v>
      </c>
      <c r="D559" s="29">
        <f>375+375</f>
        <v>750</v>
      </c>
      <c r="E559" s="30" t="s">
        <v>1245</v>
      </c>
      <c r="F559" s="26" t="s">
        <v>2511</v>
      </c>
      <c r="G559" s="12"/>
    </row>
    <row r="560" spans="1:7">
      <c r="A560" s="26"/>
      <c r="B560" s="27"/>
      <c r="C560" s="28">
        <v>41258</v>
      </c>
      <c r="D560" s="29">
        <f>750+560</f>
        <v>1310</v>
      </c>
      <c r="E560" s="30" t="s">
        <v>169</v>
      </c>
      <c r="F560" s="26" t="s">
        <v>2511</v>
      </c>
      <c r="G560" s="12"/>
    </row>
    <row r="561" spans="1:7">
      <c r="A561" s="26"/>
      <c r="B561" s="27"/>
      <c r="C561" s="28">
        <v>41261</v>
      </c>
      <c r="D561" s="29">
        <v>375</v>
      </c>
      <c r="E561" s="30" t="s">
        <v>2516</v>
      </c>
      <c r="F561" s="26" t="s">
        <v>2511</v>
      </c>
      <c r="G561" s="12"/>
    </row>
    <row r="562" spans="1:7">
      <c r="A562" s="26"/>
      <c r="B562" s="27"/>
      <c r="C562" s="28">
        <v>41268</v>
      </c>
      <c r="D562" s="29">
        <v>375</v>
      </c>
      <c r="E562" s="30" t="s">
        <v>2517</v>
      </c>
      <c r="F562" s="26" t="s">
        <v>2511</v>
      </c>
      <c r="G562" s="12"/>
    </row>
    <row r="563" spans="1:7">
      <c r="A563" s="26"/>
      <c r="B563" s="27"/>
      <c r="C563" s="28">
        <v>41269</v>
      </c>
      <c r="D563" s="29">
        <f>750+560</f>
        <v>1310</v>
      </c>
      <c r="E563" s="30" t="s">
        <v>1302</v>
      </c>
      <c r="F563" s="26" t="s">
        <v>2511</v>
      </c>
      <c r="G563" s="12"/>
    </row>
    <row r="564" spans="1:7">
      <c r="A564" s="26"/>
      <c r="B564" s="27"/>
      <c r="C564" s="28">
        <v>41275</v>
      </c>
      <c r="D564" s="29">
        <v>375</v>
      </c>
      <c r="E564" s="30" t="s">
        <v>2519</v>
      </c>
      <c r="F564" s="26" t="s">
        <v>2518</v>
      </c>
      <c r="G564" s="12"/>
    </row>
    <row r="565" spans="1:7">
      <c r="A565" s="26"/>
      <c r="B565" s="27"/>
      <c r="C565" s="28">
        <v>41278</v>
      </c>
      <c r="D565" s="29">
        <v>375</v>
      </c>
      <c r="E565" s="30" t="s">
        <v>2520</v>
      </c>
      <c r="F565" s="26" t="s">
        <v>2518</v>
      </c>
      <c r="G565" s="12"/>
    </row>
    <row r="566" spans="1:7">
      <c r="A566" s="26"/>
      <c r="B566" s="27"/>
      <c r="C566" s="28">
        <v>41287</v>
      </c>
      <c r="D566" s="29">
        <v>750</v>
      </c>
      <c r="E566" s="30" t="s">
        <v>1830</v>
      </c>
      <c r="F566" s="26" t="s">
        <v>2518</v>
      </c>
      <c r="G566" s="12"/>
    </row>
    <row r="567" spans="1:7">
      <c r="A567" s="26"/>
      <c r="B567" s="27"/>
      <c r="C567" s="28">
        <v>41292</v>
      </c>
      <c r="D567" s="29">
        <f>560+375+375</f>
        <v>1310</v>
      </c>
      <c r="E567" s="30" t="s">
        <v>2893</v>
      </c>
      <c r="F567" s="26" t="s">
        <v>2518</v>
      </c>
      <c r="G567" s="12"/>
    </row>
    <row r="568" spans="1:7">
      <c r="A568" s="26">
        <v>41</v>
      </c>
      <c r="B568" s="27" t="s">
        <v>1011</v>
      </c>
      <c r="C568" s="28">
        <v>41226</v>
      </c>
      <c r="D568" s="29">
        <v>2625</v>
      </c>
      <c r="E568" s="30" t="s">
        <v>2386</v>
      </c>
      <c r="F568" s="26" t="s">
        <v>2385</v>
      </c>
      <c r="G568" s="12"/>
    </row>
    <row r="569" spans="1:7">
      <c r="A569" s="26"/>
      <c r="B569" s="27"/>
      <c r="C569" s="28">
        <v>41230</v>
      </c>
      <c r="D569" s="29">
        <f>375+1125</f>
        <v>1500</v>
      </c>
      <c r="E569" s="30" t="s">
        <v>1024</v>
      </c>
      <c r="F569" s="26" t="s">
        <v>2385</v>
      </c>
      <c r="G569" s="12"/>
    </row>
    <row r="570" spans="1:7">
      <c r="A570" s="26">
        <v>42</v>
      </c>
      <c r="B570" s="27" t="s">
        <v>1207</v>
      </c>
      <c r="C570" s="28">
        <v>41239</v>
      </c>
      <c r="D570" s="29">
        <v>4875</v>
      </c>
      <c r="E570" s="30" t="s">
        <v>2388</v>
      </c>
      <c r="F570" s="26" t="s">
        <v>2387</v>
      </c>
      <c r="G570" s="12"/>
    </row>
    <row r="571" spans="1:7">
      <c r="A571" s="26"/>
      <c r="B571" s="27"/>
      <c r="C571" s="28">
        <v>41255</v>
      </c>
      <c r="D571" s="29">
        <v>4875</v>
      </c>
      <c r="E571" s="30" t="s">
        <v>2389</v>
      </c>
      <c r="F571" s="26" t="s">
        <v>2387</v>
      </c>
      <c r="G571" s="12"/>
    </row>
    <row r="572" spans="1:7">
      <c r="A572" s="26"/>
      <c r="B572" s="27"/>
      <c r="C572" s="28">
        <v>41270</v>
      </c>
      <c r="D572" s="29">
        <v>4875</v>
      </c>
      <c r="E572" s="30" t="s">
        <v>2390</v>
      </c>
      <c r="F572" s="26" t="s">
        <v>2387</v>
      </c>
      <c r="G572" s="12"/>
    </row>
    <row r="573" spans="1:7">
      <c r="A573" s="26"/>
      <c r="B573" s="27"/>
      <c r="C573" s="28">
        <v>41283</v>
      </c>
      <c r="D573" s="29">
        <v>4875</v>
      </c>
      <c r="E573" s="30" t="s">
        <v>2391</v>
      </c>
      <c r="F573" s="26" t="s">
        <v>2392</v>
      </c>
      <c r="G573" s="12"/>
    </row>
    <row r="574" spans="1:7">
      <c r="A574" s="26">
        <v>43</v>
      </c>
      <c r="B574" s="27" t="s">
        <v>44</v>
      </c>
      <c r="C574" s="28">
        <v>41255</v>
      </c>
      <c r="D574" s="29">
        <v>375</v>
      </c>
      <c r="E574" s="30" t="s">
        <v>1891</v>
      </c>
      <c r="F574" s="26" t="s">
        <v>2393</v>
      </c>
      <c r="G574" s="12"/>
    </row>
    <row r="575" spans="1:7">
      <c r="A575" s="26"/>
      <c r="B575" s="27"/>
      <c r="C575" s="28">
        <v>41258</v>
      </c>
      <c r="D575" s="29">
        <v>5435</v>
      </c>
      <c r="E575" s="30" t="s">
        <v>1892</v>
      </c>
      <c r="F575" s="26" t="s">
        <v>2393</v>
      </c>
      <c r="G575" s="12"/>
    </row>
    <row r="576" spans="1:7">
      <c r="A576" s="26"/>
      <c r="B576" s="27"/>
      <c r="C576" s="28">
        <v>41270</v>
      </c>
      <c r="D576" s="29">
        <v>375</v>
      </c>
      <c r="E576" s="30" t="s">
        <v>2370</v>
      </c>
      <c r="F576" s="26" t="s">
        <v>2393</v>
      </c>
      <c r="G576" s="12"/>
    </row>
    <row r="577" spans="1:7">
      <c r="A577" s="26"/>
      <c r="B577" s="27"/>
      <c r="C577" s="28">
        <v>41272</v>
      </c>
      <c r="D577" s="29">
        <v>5435</v>
      </c>
      <c r="E577" s="30" t="s">
        <v>2371</v>
      </c>
      <c r="F577" s="26" t="s">
        <v>2393</v>
      </c>
      <c r="G577" s="12"/>
    </row>
    <row r="578" spans="1:7">
      <c r="A578" s="26"/>
      <c r="B578" s="27"/>
      <c r="C578" s="28">
        <v>41285</v>
      </c>
      <c r="D578" s="29">
        <v>375</v>
      </c>
      <c r="E578" s="30" t="s">
        <v>2373</v>
      </c>
      <c r="F578" s="26" t="s">
        <v>2372</v>
      </c>
      <c r="G578" s="12"/>
    </row>
    <row r="579" spans="1:7">
      <c r="A579" s="26"/>
      <c r="B579" s="27"/>
      <c r="C579" s="28">
        <v>41287</v>
      </c>
      <c r="D579" s="29">
        <v>5435</v>
      </c>
      <c r="E579" s="30" t="s">
        <v>1948</v>
      </c>
      <c r="F579" s="26" t="s">
        <v>2372</v>
      </c>
      <c r="G579" s="12"/>
    </row>
    <row r="580" spans="1:7">
      <c r="A580" s="26">
        <v>44</v>
      </c>
      <c r="B580" s="27" t="s">
        <v>177</v>
      </c>
      <c r="C580" s="28">
        <v>41261</v>
      </c>
      <c r="D580" s="29">
        <v>3750</v>
      </c>
      <c r="E580" s="30" t="s">
        <v>1950</v>
      </c>
      <c r="F580" s="26" t="s">
        <v>1949</v>
      </c>
      <c r="G580" s="12"/>
    </row>
    <row r="581" spans="1:7">
      <c r="A581" s="26"/>
      <c r="B581" s="27"/>
      <c r="C581" s="28">
        <v>41267</v>
      </c>
      <c r="D581" s="29">
        <f>1125+1500</f>
        <v>2625</v>
      </c>
      <c r="E581" s="30" t="s">
        <v>1298</v>
      </c>
      <c r="F581" s="26" t="s">
        <v>1949</v>
      </c>
      <c r="G581" s="12"/>
    </row>
    <row r="582" spans="1:7">
      <c r="A582" s="26"/>
      <c r="B582" s="27"/>
      <c r="C582" s="28">
        <v>41272</v>
      </c>
      <c r="D582" s="29">
        <v>3750</v>
      </c>
      <c r="E582" s="30" t="s">
        <v>1951</v>
      </c>
      <c r="F582" s="26" t="s">
        <v>1949</v>
      </c>
      <c r="G582" s="12"/>
    </row>
    <row r="583" spans="1:7">
      <c r="A583" s="26"/>
      <c r="B583" s="27"/>
      <c r="C583" s="28">
        <v>41281</v>
      </c>
      <c r="D583" s="29">
        <f>1125+1500</f>
        <v>2625</v>
      </c>
      <c r="E583" s="30" t="s">
        <v>2740</v>
      </c>
      <c r="F583" s="26" t="s">
        <v>1954</v>
      </c>
      <c r="G583" s="12"/>
    </row>
    <row r="584" spans="1:7">
      <c r="A584" s="26"/>
      <c r="B584" s="27"/>
      <c r="C584" s="28">
        <v>41291</v>
      </c>
      <c r="D584" s="29">
        <v>3750</v>
      </c>
      <c r="E584" s="30" t="s">
        <v>1952</v>
      </c>
      <c r="F584" s="26" t="s">
        <v>1954</v>
      </c>
      <c r="G584" s="12"/>
    </row>
    <row r="585" spans="1:7">
      <c r="A585" s="26"/>
      <c r="B585" s="27"/>
      <c r="C585" s="28">
        <v>41296</v>
      </c>
      <c r="D585" s="29">
        <v>1125</v>
      </c>
      <c r="E585" s="30" t="s">
        <v>1953</v>
      </c>
      <c r="F585" s="26" t="s">
        <v>1954</v>
      </c>
      <c r="G585" s="12"/>
    </row>
    <row r="586" spans="1:7">
      <c r="A586" s="26"/>
      <c r="B586" s="27"/>
      <c r="C586" s="28" t="s">
        <v>3498</v>
      </c>
      <c r="D586" s="62">
        <f>SUM(D2:D585)</f>
        <v>1094395</v>
      </c>
      <c r="E586" s="72"/>
      <c r="F586" s="74"/>
      <c r="G586" s="12"/>
    </row>
    <row r="587" spans="1:7">
      <c r="A587" s="290" t="s">
        <v>1812</v>
      </c>
      <c r="B587" s="290"/>
      <c r="C587" s="290"/>
      <c r="D587" s="29">
        <f>D586/750*250</f>
        <v>364798.33333333337</v>
      </c>
      <c r="E587" s="73"/>
      <c r="F587" s="75"/>
      <c r="G587" s="12"/>
    </row>
    <row r="588" spans="1:7">
      <c r="A588" s="290" t="s">
        <v>1811</v>
      </c>
      <c r="B588" s="290"/>
      <c r="C588" s="290"/>
      <c r="D588" s="62">
        <f>D586-D587</f>
        <v>729596.66666666663</v>
      </c>
      <c r="E588" s="73"/>
      <c r="F588" s="75"/>
      <c r="G588" s="12"/>
    </row>
    <row r="589" spans="1:7" ht="67.8" customHeight="1">
      <c r="A589" s="31" t="s">
        <v>1814</v>
      </c>
      <c r="B589" s="287" t="s">
        <v>4086</v>
      </c>
      <c r="C589" s="288"/>
      <c r="D589" s="289"/>
      <c r="E589" s="289"/>
      <c r="F589" s="289"/>
      <c r="G589" s="289"/>
    </row>
    <row r="590" spans="1:7" ht="98.4" customHeight="1">
      <c r="A590" s="31" t="s">
        <v>1816</v>
      </c>
      <c r="B590" s="291" t="s">
        <v>2986</v>
      </c>
      <c r="C590" s="291"/>
      <c r="D590" s="291"/>
      <c r="E590" s="291"/>
      <c r="F590" s="291"/>
      <c r="G590" s="291"/>
    </row>
  </sheetData>
  <mergeCells count="4">
    <mergeCell ref="B589:G589"/>
    <mergeCell ref="A587:C587"/>
    <mergeCell ref="A588:C588"/>
    <mergeCell ref="B590:G590"/>
  </mergeCells>
  <phoneticPr fontId="2" type="noConversion"/>
  <pageMargins left="0.70866141732283472" right="0.70866141732283472" top="0.66" bottom="0.61" header="0.32" footer="0.31496062992125984"/>
  <pageSetup paperSize="9" scale="84" fitToHeight="28" orientation="portrait" r:id="rId1"/>
  <headerFooter>
    <oddHeader>&amp;C附表一之3:&amp;A</oddHeader>
    <oddFooter>&amp;C&amp;P</oddFooter>
  </headerFooter>
</worksheet>
</file>

<file path=xl/worksheets/sheet6.xml><?xml version="1.0" encoding="utf-8"?>
<worksheet xmlns="http://schemas.openxmlformats.org/spreadsheetml/2006/main" xmlns:r="http://schemas.openxmlformats.org/officeDocument/2006/relationships">
  <dimension ref="A1:G21"/>
  <sheetViews>
    <sheetView workbookViewId="0">
      <selection activeCell="E10" sqref="E10"/>
    </sheetView>
  </sheetViews>
  <sheetFormatPr defaultRowHeight="16.2"/>
  <cols>
    <col min="1" max="1" width="3.77734375" bestFit="1" customWidth="1"/>
    <col min="2" max="2" width="6" bestFit="1" customWidth="1"/>
    <col min="3" max="3" width="11.6640625" style="65" customWidth="1"/>
    <col min="4" max="4" width="10.44140625" style="3" bestFit="1" customWidth="1"/>
    <col min="5" max="5" width="32" style="16" customWidth="1"/>
    <col min="6" max="6" width="10.44140625" bestFit="1" customWidth="1"/>
    <col min="7" max="7" width="19.33203125" style="16" customWidth="1"/>
  </cols>
  <sheetData>
    <row r="1" spans="1:7" s="1" customFormat="1" ht="32.4">
      <c r="A1" s="24" t="s">
        <v>1506</v>
      </c>
      <c r="B1" s="2" t="s">
        <v>4030</v>
      </c>
      <c r="C1" s="63" t="s">
        <v>3816</v>
      </c>
      <c r="D1" s="9" t="s">
        <v>2915</v>
      </c>
      <c r="E1" s="66" t="s">
        <v>2010</v>
      </c>
      <c r="F1" s="40" t="s">
        <v>1507</v>
      </c>
      <c r="G1" s="24" t="s">
        <v>1328</v>
      </c>
    </row>
    <row r="2" spans="1:7">
      <c r="A2" s="4">
        <v>1</v>
      </c>
      <c r="B2" s="4" t="s">
        <v>2919</v>
      </c>
      <c r="C2" s="63">
        <v>41290</v>
      </c>
      <c r="D2" s="5">
        <v>11625</v>
      </c>
      <c r="E2" s="67" t="s">
        <v>2920</v>
      </c>
      <c r="F2" s="26" t="s">
        <v>294</v>
      </c>
      <c r="G2" s="67"/>
    </row>
    <row r="3" spans="1:7">
      <c r="A3" s="4">
        <v>2</v>
      </c>
      <c r="B3" s="4" t="s">
        <v>2916</v>
      </c>
      <c r="C3" s="63">
        <v>41278</v>
      </c>
      <c r="D3" s="5">
        <v>2440</v>
      </c>
      <c r="E3" s="67" t="s">
        <v>2917</v>
      </c>
      <c r="F3" s="26" t="s">
        <v>859</v>
      </c>
      <c r="G3" s="67"/>
    </row>
    <row r="4" spans="1:7">
      <c r="A4" s="4"/>
      <c r="B4" s="4"/>
      <c r="C4" s="63">
        <v>41290</v>
      </c>
      <c r="D4" s="5">
        <v>3190</v>
      </c>
      <c r="E4" s="67" t="s">
        <v>2918</v>
      </c>
      <c r="F4" s="26" t="s">
        <v>859</v>
      </c>
      <c r="G4" s="67"/>
    </row>
    <row r="5" spans="1:7">
      <c r="A5" s="4">
        <v>3</v>
      </c>
      <c r="B5" s="4" t="s">
        <v>2927</v>
      </c>
      <c r="C5" s="63">
        <v>41276</v>
      </c>
      <c r="D5" s="5">
        <v>190</v>
      </c>
      <c r="E5" s="67" t="s">
        <v>2928</v>
      </c>
      <c r="F5" s="26" t="s">
        <v>1327</v>
      </c>
      <c r="G5" s="67"/>
    </row>
    <row r="6" spans="1:7">
      <c r="A6" s="4"/>
      <c r="B6" s="4"/>
      <c r="C6" s="63">
        <v>41278</v>
      </c>
      <c r="D6" s="5">
        <v>190</v>
      </c>
      <c r="E6" s="68" t="s">
        <v>327</v>
      </c>
      <c r="F6" s="26" t="s">
        <v>1327</v>
      </c>
      <c r="G6" s="67"/>
    </row>
    <row r="7" spans="1:7">
      <c r="A7" s="4"/>
      <c r="B7" s="4"/>
      <c r="C7" s="63">
        <v>41278</v>
      </c>
      <c r="D7" s="5">
        <v>6000</v>
      </c>
      <c r="E7" s="67" t="s">
        <v>328</v>
      </c>
      <c r="F7" s="26" t="s">
        <v>1327</v>
      </c>
      <c r="G7" s="67"/>
    </row>
    <row r="8" spans="1:7">
      <c r="A8" s="4"/>
      <c r="B8" s="4"/>
      <c r="C8" s="63">
        <v>41286</v>
      </c>
      <c r="D8" s="5">
        <v>6000</v>
      </c>
      <c r="E8" s="67" t="s">
        <v>329</v>
      </c>
      <c r="F8" s="26" t="s">
        <v>1327</v>
      </c>
      <c r="G8" s="67"/>
    </row>
    <row r="9" spans="1:7">
      <c r="A9" s="4">
        <v>4</v>
      </c>
      <c r="B9" s="4" t="s">
        <v>330</v>
      </c>
      <c r="C9" s="63">
        <v>41281</v>
      </c>
      <c r="D9" s="5">
        <v>565</v>
      </c>
      <c r="E9" s="67" t="s">
        <v>331</v>
      </c>
      <c r="F9" s="26" t="s">
        <v>860</v>
      </c>
      <c r="G9" s="67"/>
    </row>
    <row r="10" spans="1:7" ht="32.4">
      <c r="A10" s="4"/>
      <c r="B10" s="4"/>
      <c r="C10" s="63">
        <v>41296</v>
      </c>
      <c r="D10" s="5">
        <f>375+940+190+375+375</f>
        <v>2255</v>
      </c>
      <c r="E10" s="67" t="s">
        <v>332</v>
      </c>
      <c r="F10" s="26" t="s">
        <v>860</v>
      </c>
      <c r="G10" s="67" t="s">
        <v>2012</v>
      </c>
    </row>
    <row r="11" spans="1:7">
      <c r="A11" s="4">
        <v>5</v>
      </c>
      <c r="B11" s="4" t="s">
        <v>333</v>
      </c>
      <c r="C11" s="63">
        <v>41281</v>
      </c>
      <c r="D11" s="5">
        <v>6190</v>
      </c>
      <c r="E11" s="67" t="s">
        <v>861</v>
      </c>
      <c r="F11" s="26" t="s">
        <v>1333</v>
      </c>
      <c r="G11" s="67"/>
    </row>
    <row r="12" spans="1:7">
      <c r="A12" s="4"/>
      <c r="B12" s="4"/>
      <c r="C12" s="63">
        <v>41289</v>
      </c>
      <c r="D12" s="5">
        <v>1500</v>
      </c>
      <c r="E12" s="67" t="s">
        <v>334</v>
      </c>
      <c r="F12" s="26" t="s">
        <v>1333</v>
      </c>
      <c r="G12" s="67"/>
    </row>
    <row r="13" spans="1:7">
      <c r="A13" s="4">
        <v>6</v>
      </c>
      <c r="B13" s="4" t="s">
        <v>2923</v>
      </c>
      <c r="C13" s="63">
        <v>41281</v>
      </c>
      <c r="D13" s="5">
        <f>1125+375+375+190</f>
        <v>2065</v>
      </c>
      <c r="E13" s="67" t="s">
        <v>2924</v>
      </c>
      <c r="F13" s="26" t="s">
        <v>862</v>
      </c>
      <c r="G13" s="67"/>
    </row>
    <row r="14" spans="1:7">
      <c r="A14" s="4"/>
      <c r="B14" s="4"/>
      <c r="C14" s="63">
        <v>41284</v>
      </c>
      <c r="D14" s="5">
        <v>190</v>
      </c>
      <c r="E14" s="67" t="s">
        <v>2925</v>
      </c>
      <c r="F14" s="26" t="s">
        <v>862</v>
      </c>
      <c r="G14" s="67"/>
    </row>
    <row r="15" spans="1:7" ht="32.4">
      <c r="A15" s="4"/>
      <c r="B15" s="4"/>
      <c r="C15" s="64" t="s">
        <v>863</v>
      </c>
      <c r="D15" s="5">
        <f>190+1125+190+375+190+375</f>
        <v>2445</v>
      </c>
      <c r="E15" s="67" t="s">
        <v>2926</v>
      </c>
      <c r="F15" s="26" t="s">
        <v>862</v>
      </c>
      <c r="G15" s="67" t="s">
        <v>2012</v>
      </c>
    </row>
    <row r="16" spans="1:7">
      <c r="A16" s="4">
        <v>7</v>
      </c>
      <c r="B16" s="4" t="s">
        <v>2921</v>
      </c>
      <c r="C16" s="64" t="s">
        <v>863</v>
      </c>
      <c r="D16" s="5">
        <v>2250</v>
      </c>
      <c r="E16" s="67" t="s">
        <v>2922</v>
      </c>
      <c r="F16" s="26" t="s">
        <v>864</v>
      </c>
      <c r="G16" s="67"/>
    </row>
    <row r="17" spans="1:7">
      <c r="A17" s="4"/>
      <c r="B17" s="4"/>
      <c r="C17" s="63" t="s">
        <v>335</v>
      </c>
      <c r="D17" s="70">
        <f>SUM(D2:D16)</f>
        <v>47095</v>
      </c>
      <c r="E17" s="67"/>
      <c r="F17" s="4"/>
      <c r="G17" s="67"/>
    </row>
    <row r="18" spans="1:7">
      <c r="A18" s="295" t="s">
        <v>1812</v>
      </c>
      <c r="B18" s="296"/>
      <c r="C18" s="297"/>
      <c r="D18" s="5">
        <f>47095*2.5/7.5</f>
        <v>15698.333333333334</v>
      </c>
      <c r="E18" s="67"/>
      <c r="F18" s="4"/>
      <c r="G18" s="67"/>
    </row>
    <row r="19" spans="1:7">
      <c r="A19" s="294" t="s">
        <v>1811</v>
      </c>
      <c r="B19" s="294"/>
      <c r="C19" s="294"/>
      <c r="D19" s="70">
        <f>D17-D18</f>
        <v>31396.666666666664</v>
      </c>
      <c r="E19" s="67"/>
      <c r="F19" s="4"/>
      <c r="G19" s="67"/>
    </row>
    <row r="20" spans="1:7" ht="52.2" customHeight="1">
      <c r="B20" s="57" t="s">
        <v>1509</v>
      </c>
      <c r="C20" s="292" t="s">
        <v>2983</v>
      </c>
      <c r="D20" s="292"/>
      <c r="E20" s="292"/>
      <c r="F20" s="292"/>
      <c r="G20" s="292"/>
    </row>
    <row r="21" spans="1:7" ht="114" customHeight="1">
      <c r="B21" s="69" t="s">
        <v>1510</v>
      </c>
      <c r="C21" s="293" t="s">
        <v>2987</v>
      </c>
      <c r="D21" s="293"/>
      <c r="E21" s="293"/>
      <c r="F21" s="293"/>
      <c r="G21" s="293"/>
    </row>
  </sheetData>
  <mergeCells count="4">
    <mergeCell ref="C20:G20"/>
    <mergeCell ref="C21:G21"/>
    <mergeCell ref="A19:C19"/>
    <mergeCell ref="A18:C18"/>
  </mergeCells>
  <phoneticPr fontId="2" type="noConversion"/>
  <pageMargins left="0.41" right="0.42" top="0.82" bottom="0.74803149606299213" header="0.4" footer="0.42"/>
  <pageSetup paperSize="9" orientation="portrait" r:id="rId1"/>
  <headerFooter>
    <oddHeader>&amp;C附表一之4:&amp;A</oddHeader>
    <oddFooter>&amp;C&amp;P</oddFooter>
  </headerFooter>
</worksheet>
</file>

<file path=xl/worksheets/sheet7.xml><?xml version="1.0" encoding="utf-8"?>
<worksheet xmlns="http://schemas.openxmlformats.org/spreadsheetml/2006/main" xmlns:r="http://schemas.openxmlformats.org/officeDocument/2006/relationships">
  <dimension ref="A1:M465"/>
  <sheetViews>
    <sheetView zoomScale="75" workbookViewId="0">
      <selection activeCell="I12" sqref="I12"/>
    </sheetView>
  </sheetViews>
  <sheetFormatPr defaultRowHeight="16.2"/>
  <cols>
    <col min="1" max="1" width="6" style="148" bestFit="1" customWidth="1"/>
    <col min="2" max="2" width="10.6640625" style="79" bestFit="1" customWidth="1"/>
    <col min="3" max="3" width="10.44140625" style="79" bestFit="1" customWidth="1"/>
    <col min="4" max="4" width="31.77734375" style="79" customWidth="1"/>
    <col min="5" max="5" width="11.88671875" style="80" bestFit="1" customWidth="1"/>
    <col min="6" max="6" width="37.88671875" style="79" customWidth="1"/>
    <col min="7" max="7" width="10.44140625" style="79" bestFit="1" customWidth="1"/>
    <col min="8" max="8" width="8.77734375" style="215" customWidth="1"/>
    <col min="9" max="9" width="12.21875" style="79" bestFit="1" customWidth="1"/>
    <col min="10" max="16384" width="8.88671875" style="79"/>
  </cols>
  <sheetData>
    <row r="1" spans="1:9" s="96" customFormat="1" ht="32.4">
      <c r="A1" s="146" t="s">
        <v>3619</v>
      </c>
      <c r="B1" s="95" t="s">
        <v>3878</v>
      </c>
      <c r="C1" s="95" t="s">
        <v>3877</v>
      </c>
      <c r="D1" s="95" t="s">
        <v>3876</v>
      </c>
      <c r="E1" s="93" t="s">
        <v>3871</v>
      </c>
      <c r="F1" s="94" t="s">
        <v>3875</v>
      </c>
      <c r="G1" s="95" t="s">
        <v>3872</v>
      </c>
      <c r="H1" s="211" t="s">
        <v>3873</v>
      </c>
      <c r="I1" s="94" t="s">
        <v>3874</v>
      </c>
    </row>
    <row r="2" spans="1:9" s="78" customFormat="1">
      <c r="A2" s="84">
        <v>1</v>
      </c>
      <c r="B2" s="83">
        <v>40922</v>
      </c>
      <c r="C2" s="84">
        <v>71110001</v>
      </c>
      <c r="D2" s="81" t="s">
        <v>691</v>
      </c>
      <c r="E2" s="82">
        <v>2250</v>
      </c>
      <c r="F2" s="81" t="s">
        <v>118</v>
      </c>
      <c r="G2" s="81" t="s">
        <v>3867</v>
      </c>
      <c r="H2" s="212">
        <v>7.4999999999999997E-2</v>
      </c>
      <c r="I2" s="29">
        <f t="shared" ref="I2:I65" si="0">E2*(H2-0.025)/H2</f>
        <v>1499.9999999999998</v>
      </c>
    </row>
    <row r="3" spans="1:9">
      <c r="A3" s="84">
        <v>1</v>
      </c>
      <c r="B3" s="86">
        <v>40938</v>
      </c>
      <c r="C3" s="87">
        <v>71110001</v>
      </c>
      <c r="D3" s="88" t="s">
        <v>691</v>
      </c>
      <c r="E3" s="89">
        <v>1125</v>
      </c>
      <c r="F3" s="88" t="s">
        <v>156</v>
      </c>
      <c r="G3" s="88" t="s">
        <v>3867</v>
      </c>
      <c r="H3" s="213">
        <v>7.4999999999999997E-2</v>
      </c>
      <c r="I3" s="29">
        <f t="shared" si="0"/>
        <v>749.99999999999989</v>
      </c>
    </row>
    <row r="4" spans="1:9">
      <c r="A4" s="84">
        <v>1</v>
      </c>
      <c r="B4" s="86">
        <v>40946</v>
      </c>
      <c r="C4" s="87">
        <v>71110001</v>
      </c>
      <c r="D4" s="88" t="s">
        <v>3589</v>
      </c>
      <c r="E4" s="89">
        <v>1125</v>
      </c>
      <c r="F4" s="88" t="s">
        <v>3590</v>
      </c>
      <c r="G4" s="88" t="s">
        <v>3867</v>
      </c>
      <c r="H4" s="213">
        <v>7.4999999999999997E-2</v>
      </c>
      <c r="I4" s="29">
        <f t="shared" si="0"/>
        <v>749.99999999999989</v>
      </c>
    </row>
    <row r="5" spans="1:9">
      <c r="A5" s="84">
        <v>1</v>
      </c>
      <c r="B5" s="86">
        <v>40961</v>
      </c>
      <c r="C5" s="87">
        <v>71120001</v>
      </c>
      <c r="D5" s="88" t="s">
        <v>2842</v>
      </c>
      <c r="E5" s="89">
        <v>300</v>
      </c>
      <c r="F5" s="88" t="s">
        <v>2843</v>
      </c>
      <c r="G5" s="88" t="s">
        <v>3868</v>
      </c>
      <c r="H5" s="213">
        <v>0.06</v>
      </c>
      <c r="I5" s="29">
        <f t="shared" si="0"/>
        <v>174.99999999999997</v>
      </c>
    </row>
    <row r="6" spans="1:9">
      <c r="A6" s="84">
        <v>1</v>
      </c>
      <c r="B6" s="86">
        <v>40964</v>
      </c>
      <c r="C6" s="88">
        <v>71110001</v>
      </c>
      <c r="D6" s="88" t="s">
        <v>2842</v>
      </c>
      <c r="E6" s="89">
        <v>2250</v>
      </c>
      <c r="F6" s="88" t="s">
        <v>2879</v>
      </c>
      <c r="G6" s="88" t="s">
        <v>3867</v>
      </c>
      <c r="H6" s="213">
        <v>7.4999999999999997E-2</v>
      </c>
      <c r="I6" s="29">
        <f t="shared" si="0"/>
        <v>1499.9999999999998</v>
      </c>
    </row>
    <row r="7" spans="1:9">
      <c r="A7" s="84">
        <v>1</v>
      </c>
      <c r="B7" s="86">
        <v>40964</v>
      </c>
      <c r="C7" s="88">
        <v>71110001</v>
      </c>
      <c r="D7" s="88" t="s">
        <v>2842</v>
      </c>
      <c r="E7" s="89">
        <v>2250</v>
      </c>
      <c r="F7" s="88" t="s">
        <v>2880</v>
      </c>
      <c r="G7" s="88" t="s">
        <v>3867</v>
      </c>
      <c r="H7" s="213">
        <v>7.4999999999999997E-2</v>
      </c>
      <c r="I7" s="29">
        <f t="shared" si="0"/>
        <v>1499.9999999999998</v>
      </c>
    </row>
    <row r="8" spans="1:9">
      <c r="A8" s="84">
        <v>1</v>
      </c>
      <c r="B8" s="86">
        <v>40964</v>
      </c>
      <c r="C8" s="88">
        <v>71110001</v>
      </c>
      <c r="D8" s="88" t="s">
        <v>2842</v>
      </c>
      <c r="E8" s="89">
        <v>3750</v>
      </c>
      <c r="F8" s="88" t="s">
        <v>2881</v>
      </c>
      <c r="G8" s="88" t="s">
        <v>3867</v>
      </c>
      <c r="H8" s="213">
        <v>7.4999999999999997E-2</v>
      </c>
      <c r="I8" s="29">
        <f t="shared" si="0"/>
        <v>2499.9999999999995</v>
      </c>
    </row>
    <row r="9" spans="1:9">
      <c r="A9" s="84">
        <v>1</v>
      </c>
      <c r="B9" s="86">
        <v>40964</v>
      </c>
      <c r="C9" s="88">
        <v>71110001</v>
      </c>
      <c r="D9" s="88" t="s">
        <v>2842</v>
      </c>
      <c r="E9" s="89">
        <v>3000</v>
      </c>
      <c r="F9" s="88" t="s">
        <v>2882</v>
      </c>
      <c r="G9" s="88" t="s">
        <v>3867</v>
      </c>
      <c r="H9" s="213">
        <v>7.4999999999999997E-2</v>
      </c>
      <c r="I9" s="29">
        <f t="shared" si="0"/>
        <v>2000</v>
      </c>
    </row>
    <row r="10" spans="1:9">
      <c r="A10" s="84">
        <v>1</v>
      </c>
      <c r="B10" s="86">
        <v>40968</v>
      </c>
      <c r="C10" s="88">
        <v>71120001</v>
      </c>
      <c r="D10" s="88" t="s">
        <v>2842</v>
      </c>
      <c r="E10" s="89">
        <v>300</v>
      </c>
      <c r="F10" s="88" t="s">
        <v>3048</v>
      </c>
      <c r="G10" s="88" t="s">
        <v>3868</v>
      </c>
      <c r="H10" s="213">
        <v>0.06</v>
      </c>
      <c r="I10" s="29">
        <f t="shared" si="0"/>
        <v>174.99999999999997</v>
      </c>
    </row>
    <row r="11" spans="1:9">
      <c r="A11" s="84">
        <v>1</v>
      </c>
      <c r="B11" s="86">
        <v>40968</v>
      </c>
      <c r="C11" s="88">
        <v>71110001</v>
      </c>
      <c r="D11" s="88" t="s">
        <v>2842</v>
      </c>
      <c r="E11" s="89">
        <v>10500</v>
      </c>
      <c r="F11" s="88" t="s">
        <v>3053</v>
      </c>
      <c r="G11" s="88" t="s">
        <v>3867</v>
      </c>
      <c r="H11" s="213">
        <v>7.4999999999999997E-2</v>
      </c>
      <c r="I11" s="29">
        <f t="shared" si="0"/>
        <v>7000</v>
      </c>
    </row>
    <row r="12" spans="1:9">
      <c r="A12" s="84">
        <v>1</v>
      </c>
      <c r="B12" s="86">
        <v>40975</v>
      </c>
      <c r="C12" s="88">
        <v>71120001</v>
      </c>
      <c r="D12" s="91" t="s">
        <v>2842</v>
      </c>
      <c r="E12" s="89">
        <v>300</v>
      </c>
      <c r="F12" s="91" t="s">
        <v>506</v>
      </c>
      <c r="G12" s="88" t="s">
        <v>3868</v>
      </c>
      <c r="H12" s="213">
        <v>0.06</v>
      </c>
      <c r="I12" s="29">
        <f t="shared" si="0"/>
        <v>174.99999999999997</v>
      </c>
    </row>
    <row r="13" spans="1:9">
      <c r="A13" s="84">
        <v>1</v>
      </c>
      <c r="B13" s="86">
        <v>40984</v>
      </c>
      <c r="C13" s="88">
        <v>71120001</v>
      </c>
      <c r="D13" s="91" t="s">
        <v>2842</v>
      </c>
      <c r="E13" s="89">
        <v>2100</v>
      </c>
      <c r="F13" s="91" t="s">
        <v>1267</v>
      </c>
      <c r="G13" s="88" t="s">
        <v>3868</v>
      </c>
      <c r="H13" s="213">
        <v>0.06</v>
      </c>
      <c r="I13" s="29">
        <f t="shared" si="0"/>
        <v>1224.9999999999998</v>
      </c>
    </row>
    <row r="14" spans="1:9">
      <c r="A14" s="84">
        <v>1</v>
      </c>
      <c r="B14" s="86">
        <v>40984</v>
      </c>
      <c r="C14" s="88">
        <v>71120001</v>
      </c>
      <c r="D14" s="91" t="s">
        <v>2842</v>
      </c>
      <c r="E14" s="89">
        <v>300</v>
      </c>
      <c r="F14" s="91" t="s">
        <v>1268</v>
      </c>
      <c r="G14" s="88" t="s">
        <v>3868</v>
      </c>
      <c r="H14" s="213">
        <v>0.06</v>
      </c>
      <c r="I14" s="29">
        <f t="shared" si="0"/>
        <v>174.99999999999997</v>
      </c>
    </row>
    <row r="15" spans="1:9">
      <c r="A15" s="84">
        <v>1</v>
      </c>
      <c r="B15" s="86">
        <v>40985</v>
      </c>
      <c r="C15" s="88">
        <v>71110001</v>
      </c>
      <c r="D15" s="91" t="s">
        <v>2842</v>
      </c>
      <c r="E15" s="89">
        <v>1125</v>
      </c>
      <c r="F15" s="91" t="s">
        <v>1287</v>
      </c>
      <c r="G15" s="88" t="s">
        <v>3867</v>
      </c>
      <c r="H15" s="213">
        <v>7.4999999999999997E-2</v>
      </c>
      <c r="I15" s="29">
        <f t="shared" si="0"/>
        <v>749.99999999999989</v>
      </c>
    </row>
    <row r="16" spans="1:9">
      <c r="A16" s="84">
        <v>1</v>
      </c>
      <c r="B16" s="86">
        <v>40985</v>
      </c>
      <c r="C16" s="88">
        <v>71110001</v>
      </c>
      <c r="D16" s="91" t="s">
        <v>2842</v>
      </c>
      <c r="E16" s="89">
        <v>1125</v>
      </c>
      <c r="F16" s="91" t="s">
        <v>1288</v>
      </c>
      <c r="G16" s="88" t="s">
        <v>3867</v>
      </c>
      <c r="H16" s="213">
        <v>7.4999999999999997E-2</v>
      </c>
      <c r="I16" s="29">
        <f t="shared" si="0"/>
        <v>749.99999999999989</v>
      </c>
    </row>
    <row r="17" spans="1:9">
      <c r="A17" s="84">
        <v>1</v>
      </c>
      <c r="B17" s="86">
        <v>40985</v>
      </c>
      <c r="C17" s="88">
        <v>71110001</v>
      </c>
      <c r="D17" s="91" t="s">
        <v>2842</v>
      </c>
      <c r="E17" s="89">
        <v>2250</v>
      </c>
      <c r="F17" s="91" t="s">
        <v>1289</v>
      </c>
      <c r="G17" s="88" t="s">
        <v>3867</v>
      </c>
      <c r="H17" s="213">
        <v>7.4999999999999997E-2</v>
      </c>
      <c r="I17" s="29">
        <f t="shared" si="0"/>
        <v>1499.9999999999998</v>
      </c>
    </row>
    <row r="18" spans="1:9">
      <c r="A18" s="84">
        <v>1</v>
      </c>
      <c r="B18" s="86">
        <v>40985</v>
      </c>
      <c r="C18" s="88">
        <v>71110001</v>
      </c>
      <c r="D18" s="91" t="s">
        <v>2842</v>
      </c>
      <c r="E18" s="89">
        <v>1875</v>
      </c>
      <c r="F18" s="91" t="s">
        <v>1290</v>
      </c>
      <c r="G18" s="88" t="s">
        <v>3867</v>
      </c>
      <c r="H18" s="213">
        <v>7.4999999999999997E-2</v>
      </c>
      <c r="I18" s="29">
        <f t="shared" si="0"/>
        <v>1249.9999999999998</v>
      </c>
    </row>
    <row r="19" spans="1:9">
      <c r="A19" s="84">
        <v>1</v>
      </c>
      <c r="B19" s="86">
        <v>40985</v>
      </c>
      <c r="C19" s="88">
        <v>71110001</v>
      </c>
      <c r="D19" s="91" t="s">
        <v>2842</v>
      </c>
      <c r="E19" s="89">
        <v>1500</v>
      </c>
      <c r="F19" s="91" t="s">
        <v>1291</v>
      </c>
      <c r="G19" s="88" t="s">
        <v>3867</v>
      </c>
      <c r="H19" s="213">
        <v>7.4999999999999997E-2</v>
      </c>
      <c r="I19" s="29">
        <f t="shared" si="0"/>
        <v>1000</v>
      </c>
    </row>
    <row r="20" spans="1:9">
      <c r="A20" s="84">
        <v>1</v>
      </c>
      <c r="B20" s="86">
        <v>40985</v>
      </c>
      <c r="C20" s="88">
        <v>71110001</v>
      </c>
      <c r="D20" s="91" t="s">
        <v>2842</v>
      </c>
      <c r="E20" s="89">
        <v>4540</v>
      </c>
      <c r="F20" s="91" t="s">
        <v>2485</v>
      </c>
      <c r="G20" s="88" t="s">
        <v>3867</v>
      </c>
      <c r="H20" s="213">
        <v>7.4999999999999997E-2</v>
      </c>
      <c r="I20" s="29">
        <f t="shared" si="0"/>
        <v>3026.6666666666665</v>
      </c>
    </row>
    <row r="21" spans="1:9" s="78" customFormat="1">
      <c r="A21" s="84">
        <v>2</v>
      </c>
      <c r="B21" s="83">
        <v>40924</v>
      </c>
      <c r="C21" s="84">
        <v>71110002</v>
      </c>
      <c r="D21" s="81" t="s">
        <v>119</v>
      </c>
      <c r="E21" s="82">
        <v>3750</v>
      </c>
      <c r="F21" s="81" t="s">
        <v>120</v>
      </c>
      <c r="G21" s="81" t="s">
        <v>3867</v>
      </c>
      <c r="H21" s="212">
        <v>7.4999999999999997E-2</v>
      </c>
      <c r="I21" s="29">
        <f t="shared" si="0"/>
        <v>2499.9999999999995</v>
      </c>
    </row>
    <row r="22" spans="1:9">
      <c r="A22" s="84">
        <v>2</v>
      </c>
      <c r="B22" s="86">
        <v>40938</v>
      </c>
      <c r="C22" s="87">
        <v>71110002</v>
      </c>
      <c r="D22" s="88" t="s">
        <v>119</v>
      </c>
      <c r="E22" s="89">
        <v>750</v>
      </c>
      <c r="F22" s="88" t="s">
        <v>155</v>
      </c>
      <c r="G22" s="88" t="s">
        <v>3867</v>
      </c>
      <c r="H22" s="213">
        <v>7.4999999999999997E-2</v>
      </c>
      <c r="I22" s="29">
        <f t="shared" si="0"/>
        <v>500</v>
      </c>
    </row>
    <row r="23" spans="1:9">
      <c r="A23" s="84">
        <v>2</v>
      </c>
      <c r="B23" s="86">
        <v>40958</v>
      </c>
      <c r="C23" s="87">
        <v>71120002</v>
      </c>
      <c r="D23" s="88" t="s">
        <v>3462</v>
      </c>
      <c r="E23" s="89">
        <v>150</v>
      </c>
      <c r="F23" s="88" t="s">
        <v>3463</v>
      </c>
      <c r="G23" s="88" t="s">
        <v>3868</v>
      </c>
      <c r="H23" s="213">
        <v>0.06</v>
      </c>
      <c r="I23" s="29">
        <f t="shared" si="0"/>
        <v>87.499999999999986</v>
      </c>
    </row>
    <row r="24" spans="1:9">
      <c r="A24" s="84">
        <v>2</v>
      </c>
      <c r="B24" s="86">
        <v>40964</v>
      </c>
      <c r="C24" s="88">
        <v>71120002</v>
      </c>
      <c r="D24" s="88" t="s">
        <v>2874</v>
      </c>
      <c r="E24" s="89">
        <v>150</v>
      </c>
      <c r="F24" s="88" t="s">
        <v>2875</v>
      </c>
      <c r="G24" s="88" t="s">
        <v>3868</v>
      </c>
      <c r="H24" s="213">
        <v>0.06</v>
      </c>
      <c r="I24" s="29">
        <f t="shared" si="0"/>
        <v>87.499999999999986</v>
      </c>
    </row>
    <row r="25" spans="1:9">
      <c r="A25" s="84">
        <v>2</v>
      </c>
      <c r="B25" s="86">
        <v>40964</v>
      </c>
      <c r="C25" s="88">
        <v>71110002</v>
      </c>
      <c r="D25" s="88" t="s">
        <v>2874</v>
      </c>
      <c r="E25" s="89">
        <v>1875</v>
      </c>
      <c r="F25" s="88" t="s">
        <v>2883</v>
      </c>
      <c r="G25" s="88" t="s">
        <v>3867</v>
      </c>
      <c r="H25" s="213">
        <v>7.4999999999999997E-2</v>
      </c>
      <c r="I25" s="29">
        <f t="shared" si="0"/>
        <v>1249.9999999999998</v>
      </c>
    </row>
    <row r="26" spans="1:9">
      <c r="A26" s="84">
        <v>2</v>
      </c>
      <c r="B26" s="86">
        <v>40964</v>
      </c>
      <c r="C26" s="88">
        <v>71110002</v>
      </c>
      <c r="D26" s="88" t="s">
        <v>2874</v>
      </c>
      <c r="E26" s="89">
        <v>1500</v>
      </c>
      <c r="F26" s="88" t="s">
        <v>2884</v>
      </c>
      <c r="G26" s="88" t="s">
        <v>3867</v>
      </c>
      <c r="H26" s="213">
        <v>7.4999999999999997E-2</v>
      </c>
      <c r="I26" s="29">
        <f t="shared" si="0"/>
        <v>1000</v>
      </c>
    </row>
    <row r="27" spans="1:9">
      <c r="A27" s="84">
        <v>2</v>
      </c>
      <c r="B27" s="86">
        <v>40964</v>
      </c>
      <c r="C27" s="88">
        <v>71110002</v>
      </c>
      <c r="D27" s="88" t="s">
        <v>2874</v>
      </c>
      <c r="E27" s="89">
        <v>9000</v>
      </c>
      <c r="F27" s="88" t="s">
        <v>2885</v>
      </c>
      <c r="G27" s="88" t="s">
        <v>3867</v>
      </c>
      <c r="H27" s="213">
        <v>7.4999999999999997E-2</v>
      </c>
      <c r="I27" s="29">
        <f t="shared" si="0"/>
        <v>5999.9999999999991</v>
      </c>
    </row>
    <row r="28" spans="1:9">
      <c r="A28" s="84">
        <v>2</v>
      </c>
      <c r="B28" s="86">
        <v>40964</v>
      </c>
      <c r="C28" s="88">
        <v>71110002</v>
      </c>
      <c r="D28" s="88" t="s">
        <v>2874</v>
      </c>
      <c r="E28" s="89">
        <v>1500</v>
      </c>
      <c r="F28" s="88" t="s">
        <v>2886</v>
      </c>
      <c r="G28" s="88" t="s">
        <v>3867</v>
      </c>
      <c r="H28" s="213">
        <v>7.4999999999999997E-2</v>
      </c>
      <c r="I28" s="29">
        <f t="shared" si="0"/>
        <v>1000</v>
      </c>
    </row>
    <row r="29" spans="1:9">
      <c r="A29" s="84">
        <v>2</v>
      </c>
      <c r="B29" s="86">
        <v>40964</v>
      </c>
      <c r="C29" s="88">
        <v>71110002</v>
      </c>
      <c r="D29" s="88" t="s">
        <v>2874</v>
      </c>
      <c r="E29" s="89">
        <v>750</v>
      </c>
      <c r="F29" s="88" t="s">
        <v>2887</v>
      </c>
      <c r="G29" s="88" t="s">
        <v>3867</v>
      </c>
      <c r="H29" s="213">
        <v>7.4999999999999997E-2</v>
      </c>
      <c r="I29" s="29">
        <f t="shared" si="0"/>
        <v>500</v>
      </c>
    </row>
    <row r="30" spans="1:9">
      <c r="A30" s="84">
        <v>2</v>
      </c>
      <c r="B30" s="86">
        <v>40964</v>
      </c>
      <c r="C30" s="88">
        <v>71110002</v>
      </c>
      <c r="D30" s="88" t="s">
        <v>2874</v>
      </c>
      <c r="E30" s="89">
        <v>375</v>
      </c>
      <c r="F30" s="88" t="s">
        <v>2988</v>
      </c>
      <c r="G30" s="88" t="s">
        <v>3867</v>
      </c>
      <c r="H30" s="213">
        <v>7.4999999999999997E-2</v>
      </c>
      <c r="I30" s="29">
        <f t="shared" si="0"/>
        <v>250</v>
      </c>
    </row>
    <row r="31" spans="1:9">
      <c r="A31" s="84">
        <v>2</v>
      </c>
      <c r="B31" s="86">
        <v>40964</v>
      </c>
      <c r="C31" s="88">
        <v>71110002</v>
      </c>
      <c r="D31" s="88" t="s">
        <v>2874</v>
      </c>
      <c r="E31" s="89">
        <v>1875</v>
      </c>
      <c r="F31" s="88" t="s">
        <v>2989</v>
      </c>
      <c r="G31" s="88" t="s">
        <v>3867</v>
      </c>
      <c r="H31" s="213">
        <v>7.4999999999999997E-2</v>
      </c>
      <c r="I31" s="29">
        <f t="shared" si="0"/>
        <v>1249.9999999999998</v>
      </c>
    </row>
    <row r="32" spans="1:9">
      <c r="A32" s="84">
        <v>2</v>
      </c>
      <c r="B32" s="86">
        <v>40964</v>
      </c>
      <c r="C32" s="88">
        <v>71110002</v>
      </c>
      <c r="D32" s="88" t="s">
        <v>2874</v>
      </c>
      <c r="E32" s="89">
        <v>565</v>
      </c>
      <c r="F32" s="88" t="s">
        <v>2990</v>
      </c>
      <c r="G32" s="88" t="s">
        <v>3867</v>
      </c>
      <c r="H32" s="213">
        <v>7.4999999999999997E-2</v>
      </c>
      <c r="I32" s="29">
        <f t="shared" si="0"/>
        <v>376.66666666666663</v>
      </c>
    </row>
    <row r="33" spans="1:9">
      <c r="A33" s="84">
        <v>2</v>
      </c>
      <c r="B33" s="86">
        <v>40966</v>
      </c>
      <c r="C33" s="88">
        <v>71120002</v>
      </c>
      <c r="D33" s="88" t="s">
        <v>2874</v>
      </c>
      <c r="E33" s="89">
        <v>1200</v>
      </c>
      <c r="F33" s="88" t="s">
        <v>3028</v>
      </c>
      <c r="G33" s="88" t="s">
        <v>3868</v>
      </c>
      <c r="H33" s="213">
        <v>0.06</v>
      </c>
      <c r="I33" s="29">
        <f t="shared" si="0"/>
        <v>699.99999999999989</v>
      </c>
    </row>
    <row r="34" spans="1:9">
      <c r="A34" s="84">
        <v>2</v>
      </c>
      <c r="B34" s="86">
        <v>40970</v>
      </c>
      <c r="C34" s="88">
        <v>71110002</v>
      </c>
      <c r="D34" s="91" t="s">
        <v>2874</v>
      </c>
      <c r="E34" s="89">
        <v>750</v>
      </c>
      <c r="F34" s="91" t="s">
        <v>3086</v>
      </c>
      <c r="G34" s="88" t="s">
        <v>3867</v>
      </c>
      <c r="H34" s="213">
        <v>7.4999999999999997E-2</v>
      </c>
      <c r="I34" s="29">
        <f t="shared" si="0"/>
        <v>500</v>
      </c>
    </row>
    <row r="35" spans="1:9">
      <c r="A35" s="84">
        <v>2</v>
      </c>
      <c r="B35" s="86">
        <v>40970</v>
      </c>
      <c r="C35" s="88">
        <v>71120002</v>
      </c>
      <c r="D35" s="91" t="s">
        <v>2874</v>
      </c>
      <c r="E35" s="89">
        <v>150</v>
      </c>
      <c r="F35" s="91" t="s">
        <v>3087</v>
      </c>
      <c r="G35" s="88" t="s">
        <v>3868</v>
      </c>
      <c r="H35" s="213">
        <v>0.06</v>
      </c>
      <c r="I35" s="29">
        <f t="shared" si="0"/>
        <v>87.499999999999986</v>
      </c>
    </row>
    <row r="36" spans="1:9">
      <c r="A36" s="84">
        <v>2</v>
      </c>
      <c r="B36" s="86">
        <v>40980</v>
      </c>
      <c r="C36" s="88">
        <v>71120002</v>
      </c>
      <c r="D36" s="91" t="s">
        <v>2874</v>
      </c>
      <c r="E36" s="89">
        <v>150</v>
      </c>
      <c r="F36" s="91" t="s">
        <v>547</v>
      </c>
      <c r="G36" s="88" t="s">
        <v>3868</v>
      </c>
      <c r="H36" s="213">
        <v>0.06</v>
      </c>
      <c r="I36" s="29">
        <f t="shared" si="0"/>
        <v>87.499999999999986</v>
      </c>
    </row>
    <row r="37" spans="1:9">
      <c r="A37" s="84">
        <v>2</v>
      </c>
      <c r="B37" s="86">
        <v>40985</v>
      </c>
      <c r="C37" s="88">
        <v>71110002</v>
      </c>
      <c r="D37" s="91" t="s">
        <v>2874</v>
      </c>
      <c r="E37" s="89">
        <v>3750</v>
      </c>
      <c r="F37" s="91" t="s">
        <v>2486</v>
      </c>
      <c r="G37" s="88" t="s">
        <v>3867</v>
      </c>
      <c r="H37" s="213">
        <v>7.4999999999999997E-2</v>
      </c>
      <c r="I37" s="29">
        <f t="shared" si="0"/>
        <v>2499.9999999999995</v>
      </c>
    </row>
    <row r="38" spans="1:9">
      <c r="A38" s="84">
        <v>2</v>
      </c>
      <c r="B38" s="86">
        <v>40985</v>
      </c>
      <c r="C38" s="88">
        <v>71110002</v>
      </c>
      <c r="D38" s="91" t="s">
        <v>2874</v>
      </c>
      <c r="E38" s="89">
        <v>750</v>
      </c>
      <c r="F38" s="91" t="s">
        <v>2487</v>
      </c>
      <c r="G38" s="88" t="s">
        <v>3867</v>
      </c>
      <c r="H38" s="213">
        <v>7.4999999999999997E-2</v>
      </c>
      <c r="I38" s="29">
        <f t="shared" si="0"/>
        <v>500</v>
      </c>
    </row>
    <row r="39" spans="1:9">
      <c r="A39" s="84">
        <v>2</v>
      </c>
      <c r="B39" s="86">
        <v>40985</v>
      </c>
      <c r="C39" s="88">
        <v>71110002</v>
      </c>
      <c r="D39" s="91" t="s">
        <v>2874</v>
      </c>
      <c r="E39" s="89">
        <v>4500</v>
      </c>
      <c r="F39" s="91" t="s">
        <v>2488</v>
      </c>
      <c r="G39" s="88" t="s">
        <v>3867</v>
      </c>
      <c r="H39" s="213">
        <v>7.4999999999999997E-2</v>
      </c>
      <c r="I39" s="29">
        <f t="shared" si="0"/>
        <v>2999.9999999999995</v>
      </c>
    </row>
    <row r="40" spans="1:9">
      <c r="A40" s="84">
        <v>2</v>
      </c>
      <c r="B40" s="86">
        <v>40985</v>
      </c>
      <c r="C40" s="88">
        <v>71110002</v>
      </c>
      <c r="D40" s="91" t="s">
        <v>2874</v>
      </c>
      <c r="E40" s="89">
        <v>750</v>
      </c>
      <c r="F40" s="91" t="s">
        <v>2489</v>
      </c>
      <c r="G40" s="88" t="s">
        <v>3867</v>
      </c>
      <c r="H40" s="213">
        <v>7.4999999999999997E-2</v>
      </c>
      <c r="I40" s="29">
        <f t="shared" si="0"/>
        <v>500</v>
      </c>
    </row>
    <row r="41" spans="1:9">
      <c r="A41" s="84">
        <v>2</v>
      </c>
      <c r="B41" s="86">
        <v>40985</v>
      </c>
      <c r="C41" s="88">
        <v>71110002</v>
      </c>
      <c r="D41" s="91" t="s">
        <v>2874</v>
      </c>
      <c r="E41" s="89">
        <v>375</v>
      </c>
      <c r="F41" s="91" t="s">
        <v>586</v>
      </c>
      <c r="G41" s="88" t="s">
        <v>3867</v>
      </c>
      <c r="H41" s="213">
        <v>7.4999999999999997E-2</v>
      </c>
      <c r="I41" s="29">
        <f t="shared" si="0"/>
        <v>250</v>
      </c>
    </row>
    <row r="42" spans="1:9">
      <c r="A42" s="84">
        <v>2</v>
      </c>
      <c r="B42" s="86">
        <v>40985</v>
      </c>
      <c r="C42" s="88">
        <v>71110002</v>
      </c>
      <c r="D42" s="91" t="s">
        <v>2874</v>
      </c>
      <c r="E42" s="89">
        <v>375</v>
      </c>
      <c r="F42" s="91" t="s">
        <v>587</v>
      </c>
      <c r="G42" s="88" t="s">
        <v>3867</v>
      </c>
      <c r="H42" s="213">
        <v>7.4999999999999997E-2</v>
      </c>
      <c r="I42" s="29">
        <f t="shared" si="0"/>
        <v>250</v>
      </c>
    </row>
    <row r="43" spans="1:9">
      <c r="A43" s="84">
        <v>2</v>
      </c>
      <c r="B43" s="86">
        <v>40985</v>
      </c>
      <c r="C43" s="88">
        <v>71110002</v>
      </c>
      <c r="D43" s="91" t="s">
        <v>2874</v>
      </c>
      <c r="E43" s="89">
        <v>375</v>
      </c>
      <c r="F43" s="91" t="s">
        <v>588</v>
      </c>
      <c r="G43" s="88" t="s">
        <v>3867</v>
      </c>
      <c r="H43" s="213">
        <v>7.4999999999999997E-2</v>
      </c>
      <c r="I43" s="29">
        <f t="shared" si="0"/>
        <v>250</v>
      </c>
    </row>
    <row r="44" spans="1:9">
      <c r="A44" s="84">
        <v>2</v>
      </c>
      <c r="B44" s="86">
        <v>40985</v>
      </c>
      <c r="C44" s="88">
        <v>71110002</v>
      </c>
      <c r="D44" s="91" t="s">
        <v>2874</v>
      </c>
      <c r="E44" s="89">
        <v>1875</v>
      </c>
      <c r="F44" s="91" t="s">
        <v>589</v>
      </c>
      <c r="G44" s="88" t="s">
        <v>3867</v>
      </c>
      <c r="H44" s="213">
        <v>7.4999999999999997E-2</v>
      </c>
      <c r="I44" s="29">
        <f t="shared" si="0"/>
        <v>1249.9999999999998</v>
      </c>
    </row>
    <row r="45" spans="1:9">
      <c r="A45" s="84">
        <v>2</v>
      </c>
      <c r="B45" s="86">
        <v>40985</v>
      </c>
      <c r="C45" s="88">
        <v>71110002</v>
      </c>
      <c r="D45" s="91" t="s">
        <v>2874</v>
      </c>
      <c r="E45" s="89">
        <v>565</v>
      </c>
      <c r="F45" s="91" t="s">
        <v>590</v>
      </c>
      <c r="G45" s="88" t="s">
        <v>3867</v>
      </c>
      <c r="H45" s="213">
        <v>7.4999999999999997E-2</v>
      </c>
      <c r="I45" s="29">
        <f t="shared" si="0"/>
        <v>376.66666666666663</v>
      </c>
    </row>
    <row r="46" spans="1:9">
      <c r="A46" s="84">
        <v>2</v>
      </c>
      <c r="B46" s="86">
        <v>40985</v>
      </c>
      <c r="C46" s="88">
        <v>71120002</v>
      </c>
      <c r="D46" s="91" t="s">
        <v>2874</v>
      </c>
      <c r="E46" s="89">
        <v>150</v>
      </c>
      <c r="F46" s="91" t="s">
        <v>591</v>
      </c>
      <c r="G46" s="88" t="s">
        <v>3868</v>
      </c>
      <c r="H46" s="213">
        <v>0.06</v>
      </c>
      <c r="I46" s="29">
        <f t="shared" si="0"/>
        <v>87.499999999999986</v>
      </c>
    </row>
    <row r="47" spans="1:9">
      <c r="A47" s="84">
        <v>2</v>
      </c>
      <c r="B47" s="86">
        <v>40985</v>
      </c>
      <c r="C47" s="88">
        <v>71110002</v>
      </c>
      <c r="D47" s="91" t="s">
        <v>2874</v>
      </c>
      <c r="E47" s="89">
        <v>750</v>
      </c>
      <c r="F47" s="91" t="s">
        <v>592</v>
      </c>
      <c r="G47" s="88" t="s">
        <v>3867</v>
      </c>
      <c r="H47" s="213">
        <v>7.4999999999999997E-2</v>
      </c>
      <c r="I47" s="29">
        <f t="shared" si="0"/>
        <v>500</v>
      </c>
    </row>
    <row r="48" spans="1:9">
      <c r="A48" s="84">
        <v>2</v>
      </c>
      <c r="B48" s="86">
        <v>40985</v>
      </c>
      <c r="C48" s="88">
        <v>71110002</v>
      </c>
      <c r="D48" s="91" t="s">
        <v>2874</v>
      </c>
      <c r="E48" s="89">
        <v>1875</v>
      </c>
      <c r="F48" s="91" t="s">
        <v>626</v>
      </c>
      <c r="G48" s="88" t="s">
        <v>3867</v>
      </c>
      <c r="H48" s="213">
        <v>7.4999999999999997E-2</v>
      </c>
      <c r="I48" s="29">
        <f t="shared" si="0"/>
        <v>1249.9999999999998</v>
      </c>
    </row>
    <row r="49" spans="1:9" s="78" customFormat="1">
      <c r="A49" s="84">
        <v>3</v>
      </c>
      <c r="B49" s="83">
        <v>40925</v>
      </c>
      <c r="C49" s="84">
        <v>71110003</v>
      </c>
      <c r="D49" s="81" t="s">
        <v>121</v>
      </c>
      <c r="E49" s="82">
        <v>750</v>
      </c>
      <c r="F49" s="81" t="s">
        <v>122</v>
      </c>
      <c r="G49" s="81" t="s">
        <v>3867</v>
      </c>
      <c r="H49" s="212">
        <v>7.4999999999999997E-2</v>
      </c>
      <c r="I49" s="29">
        <f t="shared" si="0"/>
        <v>500</v>
      </c>
    </row>
    <row r="50" spans="1:9" s="78" customFormat="1">
      <c r="A50" s="84">
        <v>3</v>
      </c>
      <c r="B50" s="83">
        <v>40925</v>
      </c>
      <c r="C50" s="84">
        <v>71120003</v>
      </c>
      <c r="D50" s="81" t="s">
        <v>124</v>
      </c>
      <c r="E50" s="82">
        <v>150</v>
      </c>
      <c r="F50" s="81" t="s">
        <v>3857</v>
      </c>
      <c r="G50" s="81" t="s">
        <v>3868</v>
      </c>
      <c r="H50" s="212">
        <v>0.06</v>
      </c>
      <c r="I50" s="29">
        <f t="shared" si="0"/>
        <v>87.499999999999986</v>
      </c>
    </row>
    <row r="51" spans="1:9" s="78" customFormat="1">
      <c r="A51" s="84">
        <v>3</v>
      </c>
      <c r="B51" s="83">
        <v>40925</v>
      </c>
      <c r="C51" s="84">
        <v>71110003</v>
      </c>
      <c r="D51" s="81" t="s">
        <v>121</v>
      </c>
      <c r="E51" s="82">
        <v>375</v>
      </c>
      <c r="F51" s="81" t="s">
        <v>123</v>
      </c>
      <c r="G51" s="81" t="s">
        <v>3867</v>
      </c>
      <c r="H51" s="212">
        <v>7.4999999999999997E-2</v>
      </c>
      <c r="I51" s="29">
        <f t="shared" si="0"/>
        <v>250</v>
      </c>
    </row>
    <row r="52" spans="1:9" s="78" customFormat="1">
      <c r="A52" s="84">
        <v>3</v>
      </c>
      <c r="B52" s="83">
        <v>40925</v>
      </c>
      <c r="C52" s="84">
        <v>71120003</v>
      </c>
      <c r="D52" s="81" t="s">
        <v>124</v>
      </c>
      <c r="E52" s="82">
        <v>150</v>
      </c>
      <c r="F52" s="81" t="s">
        <v>125</v>
      </c>
      <c r="G52" s="81" t="s">
        <v>3868</v>
      </c>
      <c r="H52" s="212">
        <v>0.06</v>
      </c>
      <c r="I52" s="29">
        <f t="shared" si="0"/>
        <v>87.499999999999986</v>
      </c>
    </row>
    <row r="53" spans="1:9" s="78" customFormat="1">
      <c r="A53" s="84">
        <v>3</v>
      </c>
      <c r="B53" s="83">
        <v>40925</v>
      </c>
      <c r="C53" s="84">
        <v>71110003</v>
      </c>
      <c r="D53" s="81" t="s">
        <v>121</v>
      </c>
      <c r="E53" s="82">
        <v>375</v>
      </c>
      <c r="F53" s="81" t="s">
        <v>126</v>
      </c>
      <c r="G53" s="81" t="s">
        <v>3867</v>
      </c>
      <c r="H53" s="212">
        <v>7.4999999999999997E-2</v>
      </c>
      <c r="I53" s="29">
        <f t="shared" si="0"/>
        <v>250</v>
      </c>
    </row>
    <row r="54" spans="1:9" s="78" customFormat="1">
      <c r="A54" s="84">
        <v>3</v>
      </c>
      <c r="B54" s="83">
        <v>40925</v>
      </c>
      <c r="C54" s="84">
        <v>71120003</v>
      </c>
      <c r="D54" s="81" t="s">
        <v>124</v>
      </c>
      <c r="E54" s="82">
        <v>150</v>
      </c>
      <c r="F54" s="81" t="s">
        <v>125</v>
      </c>
      <c r="G54" s="81" t="s">
        <v>3868</v>
      </c>
      <c r="H54" s="212">
        <v>0.06</v>
      </c>
      <c r="I54" s="29">
        <f t="shared" si="0"/>
        <v>87.499999999999986</v>
      </c>
    </row>
    <row r="55" spans="1:9">
      <c r="A55" s="84">
        <v>3</v>
      </c>
      <c r="B55" s="86">
        <v>40938</v>
      </c>
      <c r="C55" s="87">
        <v>71120003</v>
      </c>
      <c r="D55" s="88" t="s">
        <v>124</v>
      </c>
      <c r="E55" s="89">
        <v>150</v>
      </c>
      <c r="F55" s="88" t="s">
        <v>152</v>
      </c>
      <c r="G55" s="88" t="s">
        <v>3868</v>
      </c>
      <c r="H55" s="213">
        <v>0.06</v>
      </c>
      <c r="I55" s="29">
        <f t="shared" si="0"/>
        <v>87.499999999999986</v>
      </c>
    </row>
    <row r="56" spans="1:9">
      <c r="A56" s="84">
        <v>3</v>
      </c>
      <c r="B56" s="86">
        <v>40938</v>
      </c>
      <c r="C56" s="87">
        <v>71120003</v>
      </c>
      <c r="D56" s="88" t="s">
        <v>153</v>
      </c>
      <c r="E56" s="89">
        <v>150</v>
      </c>
      <c r="F56" s="88" t="s">
        <v>154</v>
      </c>
      <c r="G56" s="88" t="s">
        <v>3868</v>
      </c>
      <c r="H56" s="213">
        <v>0.06</v>
      </c>
      <c r="I56" s="29">
        <f t="shared" si="0"/>
        <v>87.499999999999986</v>
      </c>
    </row>
    <row r="57" spans="1:9">
      <c r="A57" s="84">
        <v>3</v>
      </c>
      <c r="B57" s="86">
        <v>40940</v>
      </c>
      <c r="C57" s="87">
        <v>71120003</v>
      </c>
      <c r="D57" s="88" t="s">
        <v>165</v>
      </c>
      <c r="E57" s="89">
        <v>300</v>
      </c>
      <c r="F57" s="88" t="s">
        <v>166</v>
      </c>
      <c r="G57" s="88" t="s">
        <v>3868</v>
      </c>
      <c r="H57" s="213">
        <v>0.06</v>
      </c>
      <c r="I57" s="29">
        <f t="shared" si="0"/>
        <v>174.99999999999997</v>
      </c>
    </row>
    <row r="58" spans="1:9">
      <c r="A58" s="84">
        <v>3</v>
      </c>
      <c r="B58" s="86">
        <v>40940</v>
      </c>
      <c r="C58" s="87">
        <v>71120003</v>
      </c>
      <c r="D58" s="88" t="s">
        <v>124</v>
      </c>
      <c r="E58" s="89">
        <v>150</v>
      </c>
      <c r="F58" s="88" t="s">
        <v>167</v>
      </c>
      <c r="G58" s="88" t="s">
        <v>3868</v>
      </c>
      <c r="H58" s="213">
        <v>0.06</v>
      </c>
      <c r="I58" s="29">
        <f t="shared" si="0"/>
        <v>87.499999999999986</v>
      </c>
    </row>
    <row r="59" spans="1:9">
      <c r="A59" s="84">
        <v>3</v>
      </c>
      <c r="B59" s="86">
        <v>40940</v>
      </c>
      <c r="C59" s="87">
        <v>71110003</v>
      </c>
      <c r="D59" s="88" t="s">
        <v>121</v>
      </c>
      <c r="E59" s="89">
        <v>750</v>
      </c>
      <c r="F59" s="88" t="s">
        <v>386</v>
      </c>
      <c r="G59" s="88" t="s">
        <v>3867</v>
      </c>
      <c r="H59" s="213">
        <v>7.4999999999999997E-2</v>
      </c>
      <c r="I59" s="29">
        <f t="shared" si="0"/>
        <v>500</v>
      </c>
    </row>
    <row r="60" spans="1:9">
      <c r="A60" s="84">
        <v>3</v>
      </c>
      <c r="B60" s="86">
        <v>40940</v>
      </c>
      <c r="C60" s="87">
        <v>71110003</v>
      </c>
      <c r="D60" s="88" t="s">
        <v>387</v>
      </c>
      <c r="E60" s="89">
        <v>375</v>
      </c>
      <c r="F60" s="88" t="s">
        <v>388</v>
      </c>
      <c r="G60" s="88" t="s">
        <v>3867</v>
      </c>
      <c r="H60" s="213">
        <v>7.4999999999999997E-2</v>
      </c>
      <c r="I60" s="29">
        <f t="shared" si="0"/>
        <v>250</v>
      </c>
    </row>
    <row r="61" spans="1:9">
      <c r="A61" s="84">
        <v>3</v>
      </c>
      <c r="B61" s="86">
        <v>40949</v>
      </c>
      <c r="C61" s="87">
        <v>71120003</v>
      </c>
      <c r="D61" s="88" t="s">
        <v>3603</v>
      </c>
      <c r="E61" s="89">
        <v>150</v>
      </c>
      <c r="F61" s="88" t="s">
        <v>3604</v>
      </c>
      <c r="G61" s="88" t="s">
        <v>3868</v>
      </c>
      <c r="H61" s="213">
        <v>0.06</v>
      </c>
      <c r="I61" s="29">
        <f t="shared" si="0"/>
        <v>87.499999999999986</v>
      </c>
    </row>
    <row r="62" spans="1:9">
      <c r="A62" s="84">
        <v>3</v>
      </c>
      <c r="B62" s="86">
        <v>40949</v>
      </c>
      <c r="C62" s="87">
        <v>71110003</v>
      </c>
      <c r="D62" s="88" t="s">
        <v>3605</v>
      </c>
      <c r="E62" s="89">
        <v>375</v>
      </c>
      <c r="F62" s="88" t="s">
        <v>3606</v>
      </c>
      <c r="G62" s="88" t="s">
        <v>3867</v>
      </c>
      <c r="H62" s="213">
        <v>7.4999999999999997E-2</v>
      </c>
      <c r="I62" s="29">
        <f t="shared" si="0"/>
        <v>250</v>
      </c>
    </row>
    <row r="63" spans="1:9">
      <c r="A63" s="84">
        <v>3</v>
      </c>
      <c r="B63" s="86">
        <v>40949</v>
      </c>
      <c r="C63" s="87">
        <v>71120003</v>
      </c>
      <c r="D63" s="88" t="s">
        <v>2892</v>
      </c>
      <c r="E63" s="89">
        <v>1200</v>
      </c>
      <c r="F63" s="88" t="s">
        <v>3607</v>
      </c>
      <c r="G63" s="88" t="s">
        <v>3868</v>
      </c>
      <c r="H63" s="213">
        <v>0.06</v>
      </c>
      <c r="I63" s="29">
        <f t="shared" si="0"/>
        <v>699.99999999999989</v>
      </c>
    </row>
    <row r="64" spans="1:9">
      <c r="A64" s="84">
        <v>3</v>
      </c>
      <c r="B64" s="86">
        <v>40964</v>
      </c>
      <c r="C64" s="88">
        <v>71110003</v>
      </c>
      <c r="D64" s="88" t="s">
        <v>2890</v>
      </c>
      <c r="E64" s="89">
        <v>1125</v>
      </c>
      <c r="F64" s="88" t="s">
        <v>2877</v>
      </c>
      <c r="G64" s="88" t="s">
        <v>3867</v>
      </c>
      <c r="H64" s="213">
        <v>7.4999999999999997E-2</v>
      </c>
      <c r="I64" s="29">
        <f t="shared" si="0"/>
        <v>749.99999999999989</v>
      </c>
    </row>
    <row r="65" spans="1:9">
      <c r="A65" s="84">
        <v>3</v>
      </c>
      <c r="B65" s="86">
        <v>40978</v>
      </c>
      <c r="C65" s="88">
        <v>71120003</v>
      </c>
      <c r="D65" s="91" t="s">
        <v>533</v>
      </c>
      <c r="E65" s="89">
        <v>1050</v>
      </c>
      <c r="F65" s="91" t="s">
        <v>534</v>
      </c>
      <c r="G65" s="88" t="s">
        <v>3868</v>
      </c>
      <c r="H65" s="213">
        <v>0.06</v>
      </c>
      <c r="I65" s="29">
        <f t="shared" si="0"/>
        <v>612.49999999999989</v>
      </c>
    </row>
    <row r="66" spans="1:9" s="78" customFormat="1">
      <c r="A66" s="84">
        <v>4</v>
      </c>
      <c r="B66" s="83">
        <v>40925</v>
      </c>
      <c r="C66" s="84">
        <v>71110004</v>
      </c>
      <c r="D66" s="81" t="s">
        <v>2891</v>
      </c>
      <c r="E66" s="82">
        <v>7500</v>
      </c>
      <c r="F66" s="81" t="s">
        <v>127</v>
      </c>
      <c r="G66" s="81" t="s">
        <v>3867</v>
      </c>
      <c r="H66" s="212">
        <v>7.4999999999999997E-2</v>
      </c>
      <c r="I66" s="29">
        <f t="shared" ref="I66:I129" si="1">E66*(H66-0.025)/H66</f>
        <v>4999.9999999999991</v>
      </c>
    </row>
    <row r="67" spans="1:9">
      <c r="A67" s="84">
        <v>4</v>
      </c>
      <c r="B67" s="86">
        <v>40961</v>
      </c>
      <c r="C67" s="87">
        <v>71110004</v>
      </c>
      <c r="D67" s="88" t="s">
        <v>2831</v>
      </c>
      <c r="E67" s="89">
        <v>3750</v>
      </c>
      <c r="F67" s="88" t="s">
        <v>2832</v>
      </c>
      <c r="G67" s="88" t="s">
        <v>3867</v>
      </c>
      <c r="H67" s="213">
        <v>7.4999999999999997E-2</v>
      </c>
      <c r="I67" s="29">
        <f t="shared" si="1"/>
        <v>2499.9999999999995</v>
      </c>
    </row>
    <row r="68" spans="1:9">
      <c r="A68" s="84">
        <v>4</v>
      </c>
      <c r="B68" s="86">
        <v>40975</v>
      </c>
      <c r="C68" s="88">
        <v>71110004</v>
      </c>
      <c r="D68" s="91" t="s">
        <v>2831</v>
      </c>
      <c r="E68" s="89">
        <v>3750</v>
      </c>
      <c r="F68" s="91" t="s">
        <v>508</v>
      </c>
      <c r="G68" s="88" t="s">
        <v>3867</v>
      </c>
      <c r="H68" s="213">
        <v>7.4999999999999997E-2</v>
      </c>
      <c r="I68" s="29">
        <f t="shared" si="1"/>
        <v>2499.9999999999995</v>
      </c>
    </row>
    <row r="69" spans="1:9">
      <c r="A69" s="84">
        <v>4</v>
      </c>
      <c r="B69" s="86">
        <v>40975</v>
      </c>
      <c r="C69" s="88">
        <v>71120004</v>
      </c>
      <c r="D69" s="91" t="s">
        <v>2831</v>
      </c>
      <c r="E69" s="89">
        <v>300</v>
      </c>
      <c r="F69" s="91" t="s">
        <v>510</v>
      </c>
      <c r="G69" s="88" t="s">
        <v>3868</v>
      </c>
      <c r="H69" s="213">
        <v>0.06</v>
      </c>
      <c r="I69" s="29">
        <f t="shared" si="1"/>
        <v>174.99999999999997</v>
      </c>
    </row>
    <row r="70" spans="1:9">
      <c r="A70" s="84">
        <v>4</v>
      </c>
      <c r="B70" s="86">
        <v>40975</v>
      </c>
      <c r="C70" s="88">
        <v>71110004</v>
      </c>
      <c r="D70" s="91" t="s">
        <v>2831</v>
      </c>
      <c r="E70" s="89">
        <v>1690</v>
      </c>
      <c r="F70" s="91" t="s">
        <v>689</v>
      </c>
      <c r="G70" s="88" t="s">
        <v>3867</v>
      </c>
      <c r="H70" s="213">
        <v>7.4999999999999997E-2</v>
      </c>
      <c r="I70" s="29">
        <f t="shared" si="1"/>
        <v>1126.6666666666667</v>
      </c>
    </row>
    <row r="71" spans="1:9" s="78" customFormat="1">
      <c r="A71" s="84">
        <v>5</v>
      </c>
      <c r="B71" s="83">
        <v>40925</v>
      </c>
      <c r="C71" s="84">
        <v>71110005</v>
      </c>
      <c r="D71" s="81" t="s">
        <v>128</v>
      </c>
      <c r="E71" s="82">
        <v>1125</v>
      </c>
      <c r="F71" s="81" t="s">
        <v>129</v>
      </c>
      <c r="G71" s="81" t="s">
        <v>3867</v>
      </c>
      <c r="H71" s="212">
        <v>7.4999999999999997E-2</v>
      </c>
      <c r="I71" s="29">
        <f t="shared" si="1"/>
        <v>749.99999999999989</v>
      </c>
    </row>
    <row r="72" spans="1:9">
      <c r="A72" s="84">
        <v>5</v>
      </c>
      <c r="B72" s="86">
        <v>40941</v>
      </c>
      <c r="C72" s="87">
        <v>71110005</v>
      </c>
      <c r="D72" s="88" t="s">
        <v>128</v>
      </c>
      <c r="E72" s="89">
        <v>1125</v>
      </c>
      <c r="F72" s="88" t="s">
        <v>394</v>
      </c>
      <c r="G72" s="88" t="s">
        <v>3867</v>
      </c>
      <c r="H72" s="213">
        <v>7.4999999999999997E-2</v>
      </c>
      <c r="I72" s="29">
        <f t="shared" si="1"/>
        <v>749.99999999999989</v>
      </c>
    </row>
    <row r="73" spans="1:9">
      <c r="A73" s="84">
        <v>5</v>
      </c>
      <c r="B73" s="86">
        <v>40956</v>
      </c>
      <c r="C73" s="87">
        <v>71110005</v>
      </c>
      <c r="D73" s="88" t="s">
        <v>3452</v>
      </c>
      <c r="E73" s="89">
        <v>1125</v>
      </c>
      <c r="F73" s="88" t="s">
        <v>3453</v>
      </c>
      <c r="G73" s="88" t="s">
        <v>3867</v>
      </c>
      <c r="H73" s="213">
        <v>7.4999999999999997E-2</v>
      </c>
      <c r="I73" s="29">
        <f t="shared" si="1"/>
        <v>749.99999999999989</v>
      </c>
    </row>
    <row r="74" spans="1:9">
      <c r="A74" s="84">
        <v>5</v>
      </c>
      <c r="B74" s="86">
        <v>40959</v>
      </c>
      <c r="C74" s="87">
        <v>71120005</v>
      </c>
      <c r="D74" s="88" t="s">
        <v>3425</v>
      </c>
      <c r="E74" s="89">
        <v>150</v>
      </c>
      <c r="F74" s="88" t="s">
        <v>3426</v>
      </c>
      <c r="G74" s="88" t="s">
        <v>3868</v>
      </c>
      <c r="H74" s="213">
        <v>0.06</v>
      </c>
      <c r="I74" s="29">
        <f t="shared" si="1"/>
        <v>87.499999999999986</v>
      </c>
    </row>
    <row r="75" spans="1:9">
      <c r="A75" s="84">
        <v>5</v>
      </c>
      <c r="B75" s="86">
        <v>40966</v>
      </c>
      <c r="C75" s="88">
        <v>71120005</v>
      </c>
      <c r="D75" s="88" t="s">
        <v>3452</v>
      </c>
      <c r="E75" s="89">
        <v>150</v>
      </c>
      <c r="F75" s="88" t="s">
        <v>3027</v>
      </c>
      <c r="G75" s="88" t="s">
        <v>3868</v>
      </c>
      <c r="H75" s="213">
        <v>0.06</v>
      </c>
      <c r="I75" s="29">
        <f t="shared" si="1"/>
        <v>87.499999999999986</v>
      </c>
    </row>
    <row r="76" spans="1:9">
      <c r="A76" s="84">
        <v>5</v>
      </c>
      <c r="B76" s="86">
        <v>40970</v>
      </c>
      <c r="C76" s="88">
        <v>71110005</v>
      </c>
      <c r="D76" s="91" t="s">
        <v>3452</v>
      </c>
      <c r="E76" s="89">
        <v>1125</v>
      </c>
      <c r="F76" s="91" t="s">
        <v>3085</v>
      </c>
      <c r="G76" s="88" t="s">
        <v>3867</v>
      </c>
      <c r="H76" s="213">
        <v>7.4999999999999997E-2</v>
      </c>
      <c r="I76" s="29">
        <f t="shared" si="1"/>
        <v>749.99999999999989</v>
      </c>
    </row>
    <row r="77" spans="1:9">
      <c r="A77" s="84">
        <v>5</v>
      </c>
      <c r="B77" s="86">
        <v>40973</v>
      </c>
      <c r="C77" s="88">
        <v>71120005</v>
      </c>
      <c r="D77" s="91" t="s">
        <v>3452</v>
      </c>
      <c r="E77" s="89">
        <v>150</v>
      </c>
      <c r="F77" s="91" t="s">
        <v>3230</v>
      </c>
      <c r="G77" s="88" t="s">
        <v>3868</v>
      </c>
      <c r="H77" s="213">
        <v>0.06</v>
      </c>
      <c r="I77" s="29">
        <f t="shared" si="1"/>
        <v>87.499999999999986</v>
      </c>
    </row>
    <row r="78" spans="1:9">
      <c r="A78" s="84">
        <v>5</v>
      </c>
      <c r="B78" s="86">
        <v>40980</v>
      </c>
      <c r="C78" s="88">
        <v>71120005</v>
      </c>
      <c r="D78" s="91" t="s">
        <v>3452</v>
      </c>
      <c r="E78" s="89">
        <v>150</v>
      </c>
      <c r="F78" s="91" t="s">
        <v>541</v>
      </c>
      <c r="G78" s="88" t="s">
        <v>3868</v>
      </c>
      <c r="H78" s="213">
        <v>0.06</v>
      </c>
      <c r="I78" s="29">
        <f t="shared" si="1"/>
        <v>87.499999999999986</v>
      </c>
    </row>
    <row r="79" spans="1:9">
      <c r="A79" s="84">
        <v>5</v>
      </c>
      <c r="B79" s="86">
        <v>40985</v>
      </c>
      <c r="C79" s="88">
        <v>71110005</v>
      </c>
      <c r="D79" s="91" t="s">
        <v>3452</v>
      </c>
      <c r="E79" s="89">
        <v>1125</v>
      </c>
      <c r="F79" s="91" t="s">
        <v>1286</v>
      </c>
      <c r="G79" s="88" t="s">
        <v>3867</v>
      </c>
      <c r="H79" s="213">
        <v>7.4999999999999997E-2</v>
      </c>
      <c r="I79" s="29">
        <f t="shared" si="1"/>
        <v>749.99999999999989</v>
      </c>
    </row>
    <row r="80" spans="1:9" s="78" customFormat="1">
      <c r="A80" s="84">
        <v>6</v>
      </c>
      <c r="B80" s="83">
        <v>40925</v>
      </c>
      <c r="C80" s="84">
        <v>71110006</v>
      </c>
      <c r="D80" s="81" t="s">
        <v>130</v>
      </c>
      <c r="E80" s="82">
        <v>1315</v>
      </c>
      <c r="F80" s="81" t="s">
        <v>131</v>
      </c>
      <c r="G80" s="81" t="s">
        <v>3867</v>
      </c>
      <c r="H80" s="212">
        <v>7.4999999999999997E-2</v>
      </c>
      <c r="I80" s="29">
        <f t="shared" si="1"/>
        <v>876.66666666666674</v>
      </c>
    </row>
    <row r="81" spans="1:9">
      <c r="A81" s="84">
        <v>6</v>
      </c>
      <c r="B81" s="86">
        <v>40941</v>
      </c>
      <c r="C81" s="87">
        <v>71110006</v>
      </c>
      <c r="D81" s="88" t="s">
        <v>130</v>
      </c>
      <c r="E81" s="89">
        <v>1315</v>
      </c>
      <c r="F81" s="88" t="s">
        <v>393</v>
      </c>
      <c r="G81" s="88" t="s">
        <v>3867</v>
      </c>
      <c r="H81" s="213">
        <v>7.4999999999999997E-2</v>
      </c>
      <c r="I81" s="29">
        <f t="shared" si="1"/>
        <v>876.66666666666674</v>
      </c>
    </row>
    <row r="82" spans="1:9">
      <c r="A82" s="84">
        <v>6</v>
      </c>
      <c r="B82" s="86">
        <v>40956</v>
      </c>
      <c r="C82" s="87">
        <v>71110006</v>
      </c>
      <c r="D82" s="88" t="s">
        <v>3454</v>
      </c>
      <c r="E82" s="89">
        <v>1315</v>
      </c>
      <c r="F82" s="88" t="s">
        <v>3455</v>
      </c>
      <c r="G82" s="88" t="s">
        <v>3867</v>
      </c>
      <c r="H82" s="213">
        <v>7.4999999999999997E-2</v>
      </c>
      <c r="I82" s="29">
        <f t="shared" si="1"/>
        <v>876.66666666666674</v>
      </c>
    </row>
    <row r="83" spans="1:9">
      <c r="A83" s="84">
        <v>6</v>
      </c>
      <c r="B83" s="86">
        <v>40970</v>
      </c>
      <c r="C83" s="88">
        <v>71110006</v>
      </c>
      <c r="D83" s="88" t="s">
        <v>3454</v>
      </c>
      <c r="E83" s="89">
        <v>1315</v>
      </c>
      <c r="F83" s="88" t="s">
        <v>3076</v>
      </c>
      <c r="G83" s="88" t="s">
        <v>3867</v>
      </c>
      <c r="H83" s="213">
        <v>7.4999999999999997E-2</v>
      </c>
      <c r="I83" s="29">
        <f t="shared" si="1"/>
        <v>876.66666666666674</v>
      </c>
    </row>
    <row r="84" spans="1:9" s="78" customFormat="1">
      <c r="A84" s="84">
        <v>7</v>
      </c>
      <c r="B84" s="83">
        <v>40927</v>
      </c>
      <c r="C84" s="84">
        <v>71110007</v>
      </c>
      <c r="D84" s="81" t="s">
        <v>132</v>
      </c>
      <c r="E84" s="82">
        <v>4125</v>
      </c>
      <c r="F84" s="81" t="s">
        <v>133</v>
      </c>
      <c r="G84" s="81" t="s">
        <v>3867</v>
      </c>
      <c r="H84" s="212">
        <v>7.4999999999999997E-2</v>
      </c>
      <c r="I84" s="29">
        <f t="shared" si="1"/>
        <v>2749.9999999999995</v>
      </c>
    </row>
    <row r="85" spans="1:9">
      <c r="A85" s="84">
        <v>7</v>
      </c>
      <c r="B85" s="86">
        <v>40943</v>
      </c>
      <c r="C85" s="87">
        <v>71110007</v>
      </c>
      <c r="D85" s="88" t="s">
        <v>132</v>
      </c>
      <c r="E85" s="89">
        <v>4125</v>
      </c>
      <c r="F85" s="88" t="s">
        <v>402</v>
      </c>
      <c r="G85" s="88" t="s">
        <v>3867</v>
      </c>
      <c r="H85" s="213">
        <v>7.4999999999999997E-2</v>
      </c>
      <c r="I85" s="29">
        <f t="shared" si="1"/>
        <v>2749.9999999999995</v>
      </c>
    </row>
    <row r="86" spans="1:9">
      <c r="A86" s="84">
        <v>7</v>
      </c>
      <c r="B86" s="86">
        <v>40959</v>
      </c>
      <c r="C86" s="87">
        <v>71110007</v>
      </c>
      <c r="D86" s="88" t="s">
        <v>3469</v>
      </c>
      <c r="E86" s="89">
        <v>4125</v>
      </c>
      <c r="F86" s="88" t="s">
        <v>3470</v>
      </c>
      <c r="G86" s="88" t="s">
        <v>3867</v>
      </c>
      <c r="H86" s="213">
        <v>7.4999999999999997E-2</v>
      </c>
      <c r="I86" s="29">
        <f t="shared" si="1"/>
        <v>2749.9999999999995</v>
      </c>
    </row>
    <row r="87" spans="1:9">
      <c r="A87" s="84">
        <v>7</v>
      </c>
      <c r="B87" s="86">
        <v>40973</v>
      </c>
      <c r="C87" s="88">
        <v>71110007</v>
      </c>
      <c r="D87" s="91" t="s">
        <v>3469</v>
      </c>
      <c r="E87" s="89">
        <v>4125</v>
      </c>
      <c r="F87" s="91" t="s">
        <v>3242</v>
      </c>
      <c r="G87" s="88" t="s">
        <v>3867</v>
      </c>
      <c r="H87" s="213">
        <v>7.4999999999999997E-2</v>
      </c>
      <c r="I87" s="29">
        <f t="shared" si="1"/>
        <v>2749.9999999999995</v>
      </c>
    </row>
    <row r="88" spans="1:9" s="78" customFormat="1">
      <c r="A88" s="84">
        <v>8</v>
      </c>
      <c r="B88" s="83">
        <v>40927</v>
      </c>
      <c r="C88" s="84">
        <v>71110008</v>
      </c>
      <c r="D88" s="81" t="s">
        <v>138</v>
      </c>
      <c r="E88" s="82">
        <v>1125</v>
      </c>
      <c r="F88" s="81" t="s">
        <v>139</v>
      </c>
      <c r="G88" s="81" t="s">
        <v>3867</v>
      </c>
      <c r="H88" s="212">
        <v>7.4999999999999997E-2</v>
      </c>
      <c r="I88" s="29">
        <f t="shared" si="1"/>
        <v>749.99999999999989</v>
      </c>
    </row>
    <row r="89" spans="1:9">
      <c r="A89" s="84">
        <v>8</v>
      </c>
      <c r="B89" s="86">
        <v>40941</v>
      </c>
      <c r="C89" s="87">
        <v>71110008</v>
      </c>
      <c r="D89" s="88" t="s">
        <v>138</v>
      </c>
      <c r="E89" s="89">
        <v>750</v>
      </c>
      <c r="F89" s="88" t="s">
        <v>392</v>
      </c>
      <c r="G89" s="88" t="s">
        <v>3867</v>
      </c>
      <c r="H89" s="213">
        <v>7.4999999999999997E-2</v>
      </c>
      <c r="I89" s="29">
        <f t="shared" si="1"/>
        <v>500</v>
      </c>
    </row>
    <row r="90" spans="1:9">
      <c r="A90" s="84">
        <v>8</v>
      </c>
      <c r="B90" s="86">
        <v>40942</v>
      </c>
      <c r="C90" s="87">
        <v>71110008</v>
      </c>
      <c r="D90" s="88" t="s">
        <v>138</v>
      </c>
      <c r="E90" s="89">
        <v>1125</v>
      </c>
      <c r="F90" s="88" t="s">
        <v>395</v>
      </c>
      <c r="G90" s="88" t="s">
        <v>3867</v>
      </c>
      <c r="H90" s="213">
        <v>7.4999999999999997E-2</v>
      </c>
      <c r="I90" s="29">
        <f t="shared" si="1"/>
        <v>749.99999999999989</v>
      </c>
    </row>
    <row r="91" spans="1:9">
      <c r="A91" s="84">
        <v>8</v>
      </c>
      <c r="B91" s="86">
        <v>40943</v>
      </c>
      <c r="C91" s="87">
        <v>71110008</v>
      </c>
      <c r="D91" s="88" t="s">
        <v>138</v>
      </c>
      <c r="E91" s="89">
        <v>1125</v>
      </c>
      <c r="F91" s="88" t="s">
        <v>405</v>
      </c>
      <c r="G91" s="88" t="s">
        <v>3867</v>
      </c>
      <c r="H91" s="213">
        <v>7.4999999999999997E-2</v>
      </c>
      <c r="I91" s="29">
        <f t="shared" si="1"/>
        <v>749.99999999999989</v>
      </c>
    </row>
    <row r="92" spans="1:9">
      <c r="A92" s="84">
        <v>8</v>
      </c>
      <c r="B92" s="86">
        <v>40949</v>
      </c>
      <c r="C92" s="87">
        <v>71110008</v>
      </c>
      <c r="D92" s="88" t="s">
        <v>138</v>
      </c>
      <c r="E92" s="89">
        <v>375</v>
      </c>
      <c r="F92" s="88" t="s">
        <v>3600</v>
      </c>
      <c r="G92" s="88" t="s">
        <v>3867</v>
      </c>
      <c r="H92" s="213">
        <v>7.4999999999999997E-2</v>
      </c>
      <c r="I92" s="29">
        <f t="shared" si="1"/>
        <v>250</v>
      </c>
    </row>
    <row r="93" spans="1:9">
      <c r="A93" s="84">
        <v>8</v>
      </c>
      <c r="B93" s="86">
        <v>40949</v>
      </c>
      <c r="C93" s="87">
        <v>71120008</v>
      </c>
      <c r="D93" s="88" t="s">
        <v>3601</v>
      </c>
      <c r="E93" s="89">
        <v>150</v>
      </c>
      <c r="F93" s="88" t="s">
        <v>3602</v>
      </c>
      <c r="G93" s="88" t="s">
        <v>3868</v>
      </c>
      <c r="H93" s="213">
        <v>0.06</v>
      </c>
      <c r="I93" s="29">
        <f t="shared" si="1"/>
        <v>87.499999999999986</v>
      </c>
    </row>
    <row r="94" spans="1:9">
      <c r="A94" s="84">
        <v>8</v>
      </c>
      <c r="B94" s="86">
        <v>40950</v>
      </c>
      <c r="C94" s="87">
        <v>71110008</v>
      </c>
      <c r="D94" s="88" t="s">
        <v>138</v>
      </c>
      <c r="E94" s="89">
        <v>375</v>
      </c>
      <c r="F94" s="88" t="s">
        <v>3614</v>
      </c>
      <c r="G94" s="88" t="s">
        <v>3867</v>
      </c>
      <c r="H94" s="213">
        <v>7.4999999999999997E-2</v>
      </c>
      <c r="I94" s="29">
        <f t="shared" si="1"/>
        <v>250</v>
      </c>
    </row>
    <row r="95" spans="1:9">
      <c r="A95" s="84">
        <v>8</v>
      </c>
      <c r="B95" s="86">
        <v>40953</v>
      </c>
      <c r="C95" s="87">
        <v>71110008</v>
      </c>
      <c r="D95" s="88" t="s">
        <v>3860</v>
      </c>
      <c r="E95" s="89">
        <v>750</v>
      </c>
      <c r="F95" s="88" t="s">
        <v>3861</v>
      </c>
      <c r="G95" s="88" t="s">
        <v>3867</v>
      </c>
      <c r="H95" s="213">
        <v>7.4999999999999997E-2</v>
      </c>
      <c r="I95" s="29">
        <f t="shared" si="1"/>
        <v>500</v>
      </c>
    </row>
    <row r="96" spans="1:9">
      <c r="A96" s="84">
        <v>8</v>
      </c>
      <c r="B96" s="86">
        <v>40954</v>
      </c>
      <c r="C96" s="87">
        <v>71110008</v>
      </c>
      <c r="D96" s="88" t="s">
        <v>138</v>
      </c>
      <c r="E96" s="89">
        <v>750</v>
      </c>
      <c r="F96" s="88" t="s">
        <v>3436</v>
      </c>
      <c r="G96" s="88" t="s">
        <v>3867</v>
      </c>
      <c r="H96" s="213">
        <v>7.4999999999999997E-2</v>
      </c>
      <c r="I96" s="29">
        <f t="shared" si="1"/>
        <v>500</v>
      </c>
    </row>
    <row r="97" spans="1:9">
      <c r="A97" s="84">
        <v>8</v>
      </c>
      <c r="B97" s="86">
        <v>40956</v>
      </c>
      <c r="C97" s="87">
        <v>71120008</v>
      </c>
      <c r="D97" s="88" t="s">
        <v>3446</v>
      </c>
      <c r="E97" s="89">
        <v>150</v>
      </c>
      <c r="F97" s="88" t="s">
        <v>3447</v>
      </c>
      <c r="G97" s="88" t="s">
        <v>3868</v>
      </c>
      <c r="H97" s="213">
        <v>0.06</v>
      </c>
      <c r="I97" s="29">
        <f t="shared" si="1"/>
        <v>87.499999999999986</v>
      </c>
    </row>
    <row r="98" spans="1:9">
      <c r="A98" s="84">
        <v>8</v>
      </c>
      <c r="B98" s="86">
        <v>40958</v>
      </c>
      <c r="C98" s="87">
        <v>71120008</v>
      </c>
      <c r="D98" s="88" t="s">
        <v>3446</v>
      </c>
      <c r="E98" s="89">
        <v>300</v>
      </c>
      <c r="F98" s="88" t="s">
        <v>3464</v>
      </c>
      <c r="G98" s="88" t="s">
        <v>3868</v>
      </c>
      <c r="H98" s="213">
        <v>0.06</v>
      </c>
      <c r="I98" s="29">
        <f t="shared" si="1"/>
        <v>174.99999999999997</v>
      </c>
    </row>
    <row r="99" spans="1:9">
      <c r="A99" s="84">
        <v>8</v>
      </c>
      <c r="B99" s="86">
        <v>40963</v>
      </c>
      <c r="C99" s="88">
        <v>71120008</v>
      </c>
      <c r="D99" s="88" t="s">
        <v>2868</v>
      </c>
      <c r="E99" s="89">
        <v>150</v>
      </c>
      <c r="F99" s="88" t="s">
        <v>2869</v>
      </c>
      <c r="G99" s="88" t="s">
        <v>3868</v>
      </c>
      <c r="H99" s="213">
        <v>0.06</v>
      </c>
      <c r="I99" s="29">
        <f t="shared" si="1"/>
        <v>87.499999999999986</v>
      </c>
    </row>
    <row r="100" spans="1:9">
      <c r="A100" s="84">
        <v>8</v>
      </c>
      <c r="B100" s="86">
        <v>40964</v>
      </c>
      <c r="C100" s="88">
        <v>71110008</v>
      </c>
      <c r="D100" s="88" t="s">
        <v>2991</v>
      </c>
      <c r="E100" s="89">
        <v>1125</v>
      </c>
      <c r="F100" s="88" t="s">
        <v>2992</v>
      </c>
      <c r="G100" s="88" t="s">
        <v>3867</v>
      </c>
      <c r="H100" s="213">
        <v>7.4999999999999997E-2</v>
      </c>
      <c r="I100" s="29">
        <f t="shared" si="1"/>
        <v>749.99999999999989</v>
      </c>
    </row>
    <row r="101" spans="1:9">
      <c r="A101" s="84">
        <v>8</v>
      </c>
      <c r="B101" s="86">
        <v>40964</v>
      </c>
      <c r="C101" s="88">
        <v>71110008</v>
      </c>
      <c r="D101" s="88" t="s">
        <v>2991</v>
      </c>
      <c r="E101" s="89">
        <v>750</v>
      </c>
      <c r="F101" s="88" t="s">
        <v>2993</v>
      </c>
      <c r="G101" s="88" t="s">
        <v>3867</v>
      </c>
      <c r="H101" s="213">
        <v>7.4999999999999997E-2</v>
      </c>
      <c r="I101" s="29">
        <f t="shared" si="1"/>
        <v>500</v>
      </c>
    </row>
    <row r="102" spans="1:9">
      <c r="A102" s="84">
        <v>8</v>
      </c>
      <c r="B102" s="86">
        <v>40964</v>
      </c>
      <c r="C102" s="88">
        <v>71110008</v>
      </c>
      <c r="D102" s="88" t="s">
        <v>2991</v>
      </c>
      <c r="E102" s="89">
        <v>1125</v>
      </c>
      <c r="F102" s="88" t="s">
        <v>2992</v>
      </c>
      <c r="G102" s="88" t="s">
        <v>3867</v>
      </c>
      <c r="H102" s="213">
        <v>7.4999999999999997E-2</v>
      </c>
      <c r="I102" s="29">
        <f t="shared" si="1"/>
        <v>749.99999999999989</v>
      </c>
    </row>
    <row r="103" spans="1:9">
      <c r="A103" s="84">
        <v>8</v>
      </c>
      <c r="B103" s="86">
        <v>40964</v>
      </c>
      <c r="C103" s="88">
        <v>71110008</v>
      </c>
      <c r="D103" s="88" t="s">
        <v>2991</v>
      </c>
      <c r="E103" s="89">
        <v>375</v>
      </c>
      <c r="F103" s="88" t="s">
        <v>2994</v>
      </c>
      <c r="G103" s="88" t="s">
        <v>3867</v>
      </c>
      <c r="H103" s="213">
        <v>7.4999999999999997E-2</v>
      </c>
      <c r="I103" s="29">
        <f t="shared" si="1"/>
        <v>250</v>
      </c>
    </row>
    <row r="104" spans="1:9">
      <c r="A104" s="84">
        <v>8</v>
      </c>
      <c r="B104" s="86">
        <v>40964</v>
      </c>
      <c r="C104" s="88">
        <v>71110008</v>
      </c>
      <c r="D104" s="88" t="s">
        <v>2991</v>
      </c>
      <c r="E104" s="89">
        <v>375</v>
      </c>
      <c r="F104" s="88" t="s">
        <v>2995</v>
      </c>
      <c r="G104" s="88" t="s">
        <v>3867</v>
      </c>
      <c r="H104" s="213">
        <v>7.4999999999999997E-2</v>
      </c>
      <c r="I104" s="29">
        <f t="shared" si="1"/>
        <v>250</v>
      </c>
    </row>
    <row r="105" spans="1:9">
      <c r="A105" s="84">
        <v>8</v>
      </c>
      <c r="B105" s="86">
        <v>40964</v>
      </c>
      <c r="C105" s="88">
        <v>71110008</v>
      </c>
      <c r="D105" s="88" t="s">
        <v>2991</v>
      </c>
      <c r="E105" s="89">
        <v>750</v>
      </c>
      <c r="F105" s="88" t="s">
        <v>2996</v>
      </c>
      <c r="G105" s="88" t="s">
        <v>3867</v>
      </c>
      <c r="H105" s="213">
        <v>7.4999999999999997E-2</v>
      </c>
      <c r="I105" s="29">
        <f t="shared" si="1"/>
        <v>500</v>
      </c>
    </row>
    <row r="106" spans="1:9">
      <c r="A106" s="84">
        <v>8</v>
      </c>
      <c r="B106" s="86">
        <v>40964</v>
      </c>
      <c r="C106" s="88">
        <v>71110008</v>
      </c>
      <c r="D106" s="88" t="s">
        <v>2991</v>
      </c>
      <c r="E106" s="89">
        <v>750</v>
      </c>
      <c r="F106" s="88" t="s">
        <v>2997</v>
      </c>
      <c r="G106" s="88" t="s">
        <v>3867</v>
      </c>
      <c r="H106" s="213">
        <v>7.4999999999999997E-2</v>
      </c>
      <c r="I106" s="29">
        <f t="shared" si="1"/>
        <v>500</v>
      </c>
    </row>
    <row r="107" spans="1:9">
      <c r="A107" s="84">
        <v>8</v>
      </c>
      <c r="B107" s="86">
        <v>40964</v>
      </c>
      <c r="C107" s="88">
        <v>71110008</v>
      </c>
      <c r="D107" s="88" t="s">
        <v>2991</v>
      </c>
      <c r="E107" s="89">
        <v>375</v>
      </c>
      <c r="F107" s="88" t="s">
        <v>2998</v>
      </c>
      <c r="G107" s="88" t="s">
        <v>3867</v>
      </c>
      <c r="H107" s="213">
        <v>7.4999999999999997E-2</v>
      </c>
      <c r="I107" s="29">
        <f t="shared" si="1"/>
        <v>250</v>
      </c>
    </row>
    <row r="108" spans="1:9">
      <c r="A108" s="84">
        <v>8</v>
      </c>
      <c r="B108" s="86">
        <v>40966</v>
      </c>
      <c r="C108" s="88">
        <v>71120008</v>
      </c>
      <c r="D108" s="88" t="s">
        <v>2868</v>
      </c>
      <c r="E108" s="89">
        <v>300</v>
      </c>
      <c r="F108" s="88" t="s">
        <v>3013</v>
      </c>
      <c r="G108" s="88" t="s">
        <v>3868</v>
      </c>
      <c r="H108" s="213">
        <v>0.06</v>
      </c>
      <c r="I108" s="29">
        <f t="shared" si="1"/>
        <v>174.99999999999997</v>
      </c>
    </row>
    <row r="109" spans="1:9">
      <c r="A109" s="84">
        <v>8</v>
      </c>
      <c r="B109" s="86">
        <v>40966</v>
      </c>
      <c r="C109" s="88">
        <v>71110008</v>
      </c>
      <c r="D109" s="88" t="s">
        <v>2868</v>
      </c>
      <c r="E109" s="89">
        <v>375</v>
      </c>
      <c r="F109" s="88" t="s">
        <v>3015</v>
      </c>
      <c r="G109" s="88" t="s">
        <v>3867</v>
      </c>
      <c r="H109" s="213">
        <v>7.4999999999999997E-2</v>
      </c>
      <c r="I109" s="29">
        <f t="shared" si="1"/>
        <v>250</v>
      </c>
    </row>
    <row r="110" spans="1:9">
      <c r="A110" s="84">
        <v>8</v>
      </c>
      <c r="B110" s="86">
        <v>40967</v>
      </c>
      <c r="C110" s="88">
        <v>71110008</v>
      </c>
      <c r="D110" s="88" t="s">
        <v>2868</v>
      </c>
      <c r="E110" s="89">
        <v>375</v>
      </c>
      <c r="F110" s="88" t="s">
        <v>3040</v>
      </c>
      <c r="G110" s="88" t="s">
        <v>3867</v>
      </c>
      <c r="H110" s="213">
        <v>7.4999999999999997E-2</v>
      </c>
      <c r="I110" s="29">
        <f t="shared" si="1"/>
        <v>250</v>
      </c>
    </row>
    <row r="111" spans="1:9">
      <c r="A111" s="84">
        <v>8</v>
      </c>
      <c r="B111" s="86">
        <v>40970</v>
      </c>
      <c r="C111" s="88">
        <v>71120008</v>
      </c>
      <c r="D111" s="88" t="s">
        <v>2868</v>
      </c>
      <c r="E111" s="89">
        <v>150</v>
      </c>
      <c r="F111" s="88" t="s">
        <v>3081</v>
      </c>
      <c r="G111" s="88" t="s">
        <v>3868</v>
      </c>
      <c r="H111" s="213">
        <v>0.06</v>
      </c>
      <c r="I111" s="29">
        <f t="shared" si="1"/>
        <v>87.499999999999986</v>
      </c>
    </row>
    <row r="112" spans="1:9">
      <c r="A112" s="84">
        <v>8</v>
      </c>
      <c r="B112" s="86">
        <v>40971</v>
      </c>
      <c r="C112" s="88">
        <v>71110008</v>
      </c>
      <c r="D112" s="91" t="s">
        <v>2868</v>
      </c>
      <c r="E112" s="89">
        <v>1125</v>
      </c>
      <c r="F112" s="91" t="s">
        <v>3091</v>
      </c>
      <c r="G112" s="88" t="s">
        <v>3867</v>
      </c>
      <c r="H112" s="213">
        <v>7.4999999999999997E-2</v>
      </c>
      <c r="I112" s="29">
        <f t="shared" si="1"/>
        <v>749.99999999999989</v>
      </c>
    </row>
    <row r="113" spans="1:9">
      <c r="A113" s="84">
        <v>8</v>
      </c>
      <c r="B113" s="86">
        <v>40972</v>
      </c>
      <c r="C113" s="88">
        <v>71120008</v>
      </c>
      <c r="D113" s="91" t="s">
        <v>2868</v>
      </c>
      <c r="E113" s="89">
        <v>300</v>
      </c>
      <c r="F113" s="91" t="s">
        <v>3098</v>
      </c>
      <c r="G113" s="88" t="s">
        <v>3868</v>
      </c>
      <c r="H113" s="213">
        <v>0.06</v>
      </c>
      <c r="I113" s="29">
        <f t="shared" si="1"/>
        <v>174.99999999999997</v>
      </c>
    </row>
    <row r="114" spans="1:9">
      <c r="A114" s="84">
        <v>8</v>
      </c>
      <c r="B114" s="86">
        <v>40974</v>
      </c>
      <c r="C114" s="88">
        <v>71110008</v>
      </c>
      <c r="D114" s="91" t="s">
        <v>2868</v>
      </c>
      <c r="E114" s="89">
        <v>1125</v>
      </c>
      <c r="F114" s="91" t="s">
        <v>2760</v>
      </c>
      <c r="G114" s="88" t="s">
        <v>3867</v>
      </c>
      <c r="H114" s="213">
        <v>7.4999999999999997E-2</v>
      </c>
      <c r="I114" s="29">
        <f t="shared" si="1"/>
        <v>749.99999999999989</v>
      </c>
    </row>
    <row r="115" spans="1:9">
      <c r="A115" s="84">
        <v>8</v>
      </c>
      <c r="B115" s="86">
        <v>40977</v>
      </c>
      <c r="C115" s="88">
        <v>71120008</v>
      </c>
      <c r="D115" s="91" t="s">
        <v>2868</v>
      </c>
      <c r="E115" s="89">
        <v>150</v>
      </c>
      <c r="F115" s="91" t="s">
        <v>524</v>
      </c>
      <c r="G115" s="88" t="s">
        <v>3868</v>
      </c>
      <c r="H115" s="213">
        <v>0.06</v>
      </c>
      <c r="I115" s="29">
        <f t="shared" si="1"/>
        <v>87.499999999999986</v>
      </c>
    </row>
    <row r="116" spans="1:9">
      <c r="A116" s="84">
        <v>8</v>
      </c>
      <c r="B116" s="86">
        <v>40981</v>
      </c>
      <c r="C116" s="88">
        <v>71110008</v>
      </c>
      <c r="D116" s="91" t="s">
        <v>2868</v>
      </c>
      <c r="E116" s="89">
        <v>1125</v>
      </c>
      <c r="F116" s="91" t="s">
        <v>565</v>
      </c>
      <c r="G116" s="88" t="s">
        <v>3867</v>
      </c>
      <c r="H116" s="213">
        <v>7.4999999999999997E-2</v>
      </c>
      <c r="I116" s="29">
        <f t="shared" si="1"/>
        <v>749.99999999999989</v>
      </c>
    </row>
    <row r="117" spans="1:9">
      <c r="A117" s="84">
        <v>8</v>
      </c>
      <c r="B117" s="86">
        <v>40981</v>
      </c>
      <c r="C117" s="88">
        <v>71120008</v>
      </c>
      <c r="D117" s="91" t="s">
        <v>2868</v>
      </c>
      <c r="E117" s="89">
        <v>300</v>
      </c>
      <c r="F117" s="91" t="s">
        <v>566</v>
      </c>
      <c r="G117" s="88" t="s">
        <v>3868</v>
      </c>
      <c r="H117" s="213">
        <v>0.06</v>
      </c>
      <c r="I117" s="29">
        <f t="shared" si="1"/>
        <v>174.99999999999997</v>
      </c>
    </row>
    <row r="118" spans="1:9">
      <c r="A118" s="84">
        <v>8</v>
      </c>
      <c r="B118" s="86">
        <v>40984</v>
      </c>
      <c r="C118" s="88">
        <v>71120008</v>
      </c>
      <c r="D118" s="91" t="s">
        <v>2868</v>
      </c>
      <c r="E118" s="89">
        <v>150</v>
      </c>
      <c r="F118" s="91" t="s">
        <v>1278</v>
      </c>
      <c r="G118" s="88" t="s">
        <v>3868</v>
      </c>
      <c r="H118" s="213">
        <v>0.06</v>
      </c>
      <c r="I118" s="29">
        <f t="shared" si="1"/>
        <v>87.499999999999986</v>
      </c>
    </row>
    <row r="119" spans="1:9">
      <c r="A119" s="84">
        <v>8</v>
      </c>
      <c r="B119" s="86">
        <v>40985</v>
      </c>
      <c r="C119" s="88">
        <v>71110008</v>
      </c>
      <c r="D119" s="91" t="s">
        <v>2868</v>
      </c>
      <c r="E119" s="89">
        <v>2250</v>
      </c>
      <c r="F119" s="91" t="s">
        <v>593</v>
      </c>
      <c r="G119" s="88" t="s">
        <v>3867</v>
      </c>
      <c r="H119" s="213">
        <v>7.4999999999999997E-2</v>
      </c>
      <c r="I119" s="29">
        <f t="shared" si="1"/>
        <v>1499.9999999999998</v>
      </c>
    </row>
    <row r="120" spans="1:9">
      <c r="A120" s="84">
        <v>8</v>
      </c>
      <c r="B120" s="86">
        <v>40985</v>
      </c>
      <c r="C120" s="88">
        <v>71110008</v>
      </c>
      <c r="D120" s="91" t="s">
        <v>2868</v>
      </c>
      <c r="E120" s="89">
        <v>1500</v>
      </c>
      <c r="F120" s="91" t="s">
        <v>594</v>
      </c>
      <c r="G120" s="88" t="s">
        <v>3867</v>
      </c>
      <c r="H120" s="213">
        <v>7.4999999999999997E-2</v>
      </c>
      <c r="I120" s="29">
        <f t="shared" si="1"/>
        <v>1000</v>
      </c>
    </row>
    <row r="121" spans="1:9">
      <c r="A121" s="84">
        <v>8</v>
      </c>
      <c r="B121" s="86">
        <v>40985</v>
      </c>
      <c r="C121" s="88">
        <v>71110008</v>
      </c>
      <c r="D121" s="91" t="s">
        <v>2868</v>
      </c>
      <c r="E121" s="89">
        <v>2250</v>
      </c>
      <c r="F121" s="91" t="s">
        <v>593</v>
      </c>
      <c r="G121" s="88" t="s">
        <v>3867</v>
      </c>
      <c r="H121" s="213">
        <v>7.4999999999999997E-2</v>
      </c>
      <c r="I121" s="29">
        <f t="shared" si="1"/>
        <v>1499.9999999999998</v>
      </c>
    </row>
    <row r="122" spans="1:9">
      <c r="A122" s="84">
        <v>8</v>
      </c>
      <c r="B122" s="86">
        <v>40985</v>
      </c>
      <c r="C122" s="88">
        <v>71110008</v>
      </c>
      <c r="D122" s="91" t="s">
        <v>2868</v>
      </c>
      <c r="E122" s="89">
        <v>375</v>
      </c>
      <c r="F122" s="91" t="s">
        <v>595</v>
      </c>
      <c r="G122" s="88" t="s">
        <v>3867</v>
      </c>
      <c r="H122" s="213">
        <v>7.4999999999999997E-2</v>
      </c>
      <c r="I122" s="29">
        <f t="shared" si="1"/>
        <v>250</v>
      </c>
    </row>
    <row r="123" spans="1:9">
      <c r="A123" s="84">
        <v>8</v>
      </c>
      <c r="B123" s="86">
        <v>40985</v>
      </c>
      <c r="C123" s="88">
        <v>71110008</v>
      </c>
      <c r="D123" s="91" t="s">
        <v>2868</v>
      </c>
      <c r="E123" s="89">
        <v>375</v>
      </c>
      <c r="F123" s="91" t="s">
        <v>596</v>
      </c>
      <c r="G123" s="88" t="s">
        <v>3867</v>
      </c>
      <c r="H123" s="213">
        <v>7.4999999999999997E-2</v>
      </c>
      <c r="I123" s="29">
        <f t="shared" si="1"/>
        <v>250</v>
      </c>
    </row>
    <row r="124" spans="1:9">
      <c r="A124" s="84">
        <v>8</v>
      </c>
      <c r="B124" s="86">
        <v>40985</v>
      </c>
      <c r="C124" s="88">
        <v>71110008</v>
      </c>
      <c r="D124" s="91" t="s">
        <v>2868</v>
      </c>
      <c r="E124" s="89">
        <v>750</v>
      </c>
      <c r="F124" s="91" t="s">
        <v>597</v>
      </c>
      <c r="G124" s="88" t="s">
        <v>3867</v>
      </c>
      <c r="H124" s="213">
        <v>7.4999999999999997E-2</v>
      </c>
      <c r="I124" s="29">
        <f t="shared" si="1"/>
        <v>500</v>
      </c>
    </row>
    <row r="125" spans="1:9">
      <c r="A125" s="84">
        <v>8</v>
      </c>
      <c r="B125" s="86">
        <v>40985</v>
      </c>
      <c r="C125" s="88">
        <v>71110008</v>
      </c>
      <c r="D125" s="91" t="s">
        <v>2868</v>
      </c>
      <c r="E125" s="89">
        <v>750</v>
      </c>
      <c r="F125" s="91" t="s">
        <v>598</v>
      </c>
      <c r="G125" s="88" t="s">
        <v>3867</v>
      </c>
      <c r="H125" s="213">
        <v>7.4999999999999997E-2</v>
      </c>
      <c r="I125" s="29">
        <f t="shared" si="1"/>
        <v>500</v>
      </c>
    </row>
    <row r="126" spans="1:9">
      <c r="A126" s="84">
        <v>8</v>
      </c>
      <c r="B126" s="86">
        <v>40985</v>
      </c>
      <c r="C126" s="88">
        <v>71120008</v>
      </c>
      <c r="D126" s="91" t="s">
        <v>2868</v>
      </c>
      <c r="E126" s="89">
        <v>300</v>
      </c>
      <c r="F126" s="91" t="s">
        <v>599</v>
      </c>
      <c r="G126" s="88" t="s">
        <v>3868</v>
      </c>
      <c r="H126" s="213">
        <v>0.06</v>
      </c>
      <c r="I126" s="29">
        <f t="shared" si="1"/>
        <v>174.99999999999997</v>
      </c>
    </row>
    <row r="127" spans="1:9">
      <c r="A127" s="84">
        <v>8</v>
      </c>
      <c r="B127" s="86">
        <v>40985</v>
      </c>
      <c r="C127" s="88">
        <v>71110008</v>
      </c>
      <c r="D127" s="91" t="s">
        <v>2868</v>
      </c>
      <c r="E127" s="89">
        <v>375</v>
      </c>
      <c r="F127" s="91" t="s">
        <v>600</v>
      </c>
      <c r="G127" s="88" t="s">
        <v>3867</v>
      </c>
      <c r="H127" s="213">
        <v>7.4999999999999997E-2</v>
      </c>
      <c r="I127" s="29">
        <f t="shared" si="1"/>
        <v>250</v>
      </c>
    </row>
    <row r="128" spans="1:9">
      <c r="A128" s="84">
        <v>8</v>
      </c>
      <c r="B128" s="86">
        <v>40985</v>
      </c>
      <c r="C128" s="88">
        <v>71110008</v>
      </c>
      <c r="D128" s="91" t="s">
        <v>2868</v>
      </c>
      <c r="E128" s="89">
        <v>375</v>
      </c>
      <c r="F128" s="91" t="s">
        <v>601</v>
      </c>
      <c r="G128" s="88" t="s">
        <v>3867</v>
      </c>
      <c r="H128" s="213">
        <v>7.4999999999999997E-2</v>
      </c>
      <c r="I128" s="29">
        <f t="shared" si="1"/>
        <v>250</v>
      </c>
    </row>
    <row r="129" spans="1:9">
      <c r="A129" s="84">
        <v>8</v>
      </c>
      <c r="B129" s="86">
        <v>40985</v>
      </c>
      <c r="C129" s="88">
        <v>71110008</v>
      </c>
      <c r="D129" s="91" t="s">
        <v>2868</v>
      </c>
      <c r="E129" s="89">
        <v>375</v>
      </c>
      <c r="F129" s="91" t="s">
        <v>602</v>
      </c>
      <c r="G129" s="88" t="s">
        <v>3867</v>
      </c>
      <c r="H129" s="213">
        <v>7.4999999999999997E-2</v>
      </c>
      <c r="I129" s="29">
        <f t="shared" si="1"/>
        <v>250</v>
      </c>
    </row>
    <row r="130" spans="1:9">
      <c r="A130" s="84">
        <v>8</v>
      </c>
      <c r="B130" s="86">
        <v>40985</v>
      </c>
      <c r="C130" s="88">
        <v>71110008</v>
      </c>
      <c r="D130" s="91" t="s">
        <v>2868</v>
      </c>
      <c r="E130" s="89">
        <v>1125</v>
      </c>
      <c r="F130" s="91" t="s">
        <v>603</v>
      </c>
      <c r="G130" s="88" t="s">
        <v>3867</v>
      </c>
      <c r="H130" s="213">
        <v>7.4999999999999997E-2</v>
      </c>
      <c r="I130" s="29">
        <f t="shared" ref="I130:I193" si="2">E130*(H130-0.025)/H130</f>
        <v>749.99999999999989</v>
      </c>
    </row>
    <row r="131" spans="1:9" s="78" customFormat="1">
      <c r="A131" s="84">
        <v>9</v>
      </c>
      <c r="B131" s="83">
        <v>40927</v>
      </c>
      <c r="C131" s="84">
        <v>71110009</v>
      </c>
      <c r="D131" s="81" t="s">
        <v>134</v>
      </c>
      <c r="E131" s="82">
        <v>750</v>
      </c>
      <c r="F131" s="81" t="s">
        <v>135</v>
      </c>
      <c r="G131" s="81" t="s">
        <v>3867</v>
      </c>
      <c r="H131" s="212">
        <v>7.4999999999999997E-2</v>
      </c>
      <c r="I131" s="29">
        <f t="shared" si="2"/>
        <v>500</v>
      </c>
    </row>
    <row r="132" spans="1:9" s="78" customFormat="1">
      <c r="A132" s="84">
        <v>9</v>
      </c>
      <c r="B132" s="83">
        <v>40927</v>
      </c>
      <c r="C132" s="84">
        <v>71120009</v>
      </c>
      <c r="D132" s="81" t="s">
        <v>136</v>
      </c>
      <c r="E132" s="82">
        <v>150</v>
      </c>
      <c r="F132" s="81" t="s">
        <v>137</v>
      </c>
      <c r="G132" s="81" t="s">
        <v>3868</v>
      </c>
      <c r="H132" s="212">
        <v>0.06</v>
      </c>
      <c r="I132" s="29">
        <f t="shared" si="2"/>
        <v>87.499999999999986</v>
      </c>
    </row>
    <row r="133" spans="1:9">
      <c r="A133" s="84">
        <v>9</v>
      </c>
      <c r="B133" s="86">
        <v>40939</v>
      </c>
      <c r="C133" s="87">
        <v>71120009</v>
      </c>
      <c r="D133" s="88" t="s">
        <v>157</v>
      </c>
      <c r="E133" s="89">
        <v>150</v>
      </c>
      <c r="F133" s="88" t="s">
        <v>158</v>
      </c>
      <c r="G133" s="88" t="s">
        <v>3868</v>
      </c>
      <c r="H133" s="213">
        <v>0.06</v>
      </c>
      <c r="I133" s="29">
        <f t="shared" si="2"/>
        <v>87.499999999999986</v>
      </c>
    </row>
    <row r="134" spans="1:9">
      <c r="A134" s="84">
        <v>9</v>
      </c>
      <c r="B134" s="86">
        <v>40941</v>
      </c>
      <c r="C134" s="87">
        <v>71120009</v>
      </c>
      <c r="D134" s="88" t="s">
        <v>157</v>
      </c>
      <c r="E134" s="89">
        <v>300</v>
      </c>
      <c r="F134" s="88" t="s">
        <v>389</v>
      </c>
      <c r="G134" s="88" t="s">
        <v>3868</v>
      </c>
      <c r="H134" s="213">
        <v>0.06</v>
      </c>
      <c r="I134" s="29">
        <f t="shared" si="2"/>
        <v>174.99999999999997</v>
      </c>
    </row>
    <row r="135" spans="1:9">
      <c r="A135" s="84">
        <v>9</v>
      </c>
      <c r="B135" s="86">
        <v>40941</v>
      </c>
      <c r="C135" s="87">
        <v>71120009</v>
      </c>
      <c r="D135" s="88" t="s">
        <v>157</v>
      </c>
      <c r="E135" s="89">
        <v>150</v>
      </c>
      <c r="F135" s="88" t="s">
        <v>390</v>
      </c>
      <c r="G135" s="88" t="s">
        <v>3868</v>
      </c>
      <c r="H135" s="213">
        <v>0.06</v>
      </c>
      <c r="I135" s="29">
        <f t="shared" si="2"/>
        <v>87.499999999999986</v>
      </c>
    </row>
    <row r="136" spans="1:9">
      <c r="A136" s="84">
        <v>9</v>
      </c>
      <c r="B136" s="86">
        <v>40941</v>
      </c>
      <c r="C136" s="87">
        <v>71110009</v>
      </c>
      <c r="D136" s="88" t="s">
        <v>134</v>
      </c>
      <c r="E136" s="89">
        <v>750</v>
      </c>
      <c r="F136" s="88" t="s">
        <v>391</v>
      </c>
      <c r="G136" s="88" t="s">
        <v>3867</v>
      </c>
      <c r="H136" s="213">
        <v>7.4999999999999997E-2</v>
      </c>
      <c r="I136" s="29">
        <f t="shared" si="2"/>
        <v>500</v>
      </c>
    </row>
    <row r="137" spans="1:9">
      <c r="A137" s="84">
        <v>9</v>
      </c>
      <c r="B137" s="86">
        <v>40946</v>
      </c>
      <c r="C137" s="87">
        <v>71110009</v>
      </c>
      <c r="D137" s="88" t="s">
        <v>134</v>
      </c>
      <c r="E137" s="89">
        <v>750</v>
      </c>
      <c r="F137" s="88" t="s">
        <v>3587</v>
      </c>
      <c r="G137" s="88" t="s">
        <v>3867</v>
      </c>
      <c r="H137" s="213">
        <v>7.4999999999999997E-2</v>
      </c>
      <c r="I137" s="29">
        <f t="shared" si="2"/>
        <v>500</v>
      </c>
    </row>
    <row r="138" spans="1:9">
      <c r="A138" s="84">
        <v>9</v>
      </c>
      <c r="B138" s="86">
        <v>40949</v>
      </c>
      <c r="C138" s="87">
        <v>71110009</v>
      </c>
      <c r="D138" s="88" t="s">
        <v>134</v>
      </c>
      <c r="E138" s="89">
        <v>750</v>
      </c>
      <c r="F138" s="88" t="s">
        <v>3608</v>
      </c>
      <c r="G138" s="88" t="s">
        <v>3867</v>
      </c>
      <c r="H138" s="213">
        <v>7.4999999999999997E-2</v>
      </c>
      <c r="I138" s="29">
        <f t="shared" si="2"/>
        <v>500</v>
      </c>
    </row>
    <row r="139" spans="1:9">
      <c r="A139" s="84">
        <v>9</v>
      </c>
      <c r="B139" s="86">
        <v>40949</v>
      </c>
      <c r="C139" s="87">
        <v>71120009</v>
      </c>
      <c r="D139" s="88" t="s">
        <v>157</v>
      </c>
      <c r="E139" s="89">
        <v>150</v>
      </c>
      <c r="F139" s="88" t="s">
        <v>3609</v>
      </c>
      <c r="G139" s="88" t="s">
        <v>3868</v>
      </c>
      <c r="H139" s="213">
        <v>0.06</v>
      </c>
      <c r="I139" s="29">
        <f t="shared" si="2"/>
        <v>87.499999999999986</v>
      </c>
    </row>
    <row r="140" spans="1:9">
      <c r="A140" s="84">
        <v>9</v>
      </c>
      <c r="B140" s="86">
        <v>40949</v>
      </c>
      <c r="C140" s="87">
        <v>71120009</v>
      </c>
      <c r="D140" s="88" t="s">
        <v>157</v>
      </c>
      <c r="E140" s="89">
        <v>300</v>
      </c>
      <c r="F140" s="88" t="s">
        <v>3610</v>
      </c>
      <c r="G140" s="88" t="s">
        <v>3868</v>
      </c>
      <c r="H140" s="213">
        <v>0.06</v>
      </c>
      <c r="I140" s="29">
        <f t="shared" si="2"/>
        <v>174.99999999999997</v>
      </c>
    </row>
    <row r="141" spans="1:9">
      <c r="A141" s="84">
        <v>9</v>
      </c>
      <c r="B141" s="86">
        <v>40955</v>
      </c>
      <c r="C141" s="87">
        <v>71110009</v>
      </c>
      <c r="D141" s="88" t="s">
        <v>134</v>
      </c>
      <c r="E141" s="89">
        <v>1125</v>
      </c>
      <c r="F141" s="88" t="s">
        <v>3440</v>
      </c>
      <c r="G141" s="88" t="s">
        <v>3867</v>
      </c>
      <c r="H141" s="213">
        <v>7.4999999999999997E-2</v>
      </c>
      <c r="I141" s="29">
        <f t="shared" si="2"/>
        <v>749.99999999999989</v>
      </c>
    </row>
    <row r="142" spans="1:9">
      <c r="A142" s="84">
        <v>9</v>
      </c>
      <c r="B142" s="86">
        <v>40955</v>
      </c>
      <c r="C142" s="87">
        <v>71120009</v>
      </c>
      <c r="D142" s="88" t="s">
        <v>3441</v>
      </c>
      <c r="E142" s="89">
        <v>150</v>
      </c>
      <c r="F142" s="88" t="s">
        <v>3442</v>
      </c>
      <c r="G142" s="88" t="s">
        <v>3868</v>
      </c>
      <c r="H142" s="213">
        <v>0.06</v>
      </c>
      <c r="I142" s="29">
        <f t="shared" si="2"/>
        <v>87.499999999999986</v>
      </c>
    </row>
    <row r="143" spans="1:9">
      <c r="A143" s="84">
        <v>9</v>
      </c>
      <c r="B143" s="86">
        <v>40955</v>
      </c>
      <c r="C143" s="87">
        <v>71120009</v>
      </c>
      <c r="D143" s="88" t="s">
        <v>3441</v>
      </c>
      <c r="E143" s="89">
        <v>300</v>
      </c>
      <c r="F143" s="88" t="s">
        <v>3443</v>
      </c>
      <c r="G143" s="88" t="s">
        <v>3868</v>
      </c>
      <c r="H143" s="213">
        <v>0.06</v>
      </c>
      <c r="I143" s="29">
        <f t="shared" si="2"/>
        <v>174.99999999999997</v>
      </c>
    </row>
    <row r="144" spans="1:9">
      <c r="A144" s="84">
        <v>9</v>
      </c>
      <c r="B144" s="86">
        <v>40957</v>
      </c>
      <c r="C144" s="87">
        <v>71110009</v>
      </c>
      <c r="D144" s="88" t="s">
        <v>3458</v>
      </c>
      <c r="E144" s="89">
        <v>750</v>
      </c>
      <c r="F144" s="88" t="s">
        <v>3459</v>
      </c>
      <c r="G144" s="88" t="s">
        <v>3867</v>
      </c>
      <c r="H144" s="213">
        <v>7.4999999999999997E-2</v>
      </c>
      <c r="I144" s="29">
        <f t="shared" si="2"/>
        <v>500</v>
      </c>
    </row>
    <row r="145" spans="1:9">
      <c r="A145" s="84">
        <v>9</v>
      </c>
      <c r="B145" s="86">
        <v>40960</v>
      </c>
      <c r="C145" s="87">
        <v>71110009</v>
      </c>
      <c r="D145" s="88" t="s">
        <v>3458</v>
      </c>
      <c r="E145" s="89">
        <v>750</v>
      </c>
      <c r="F145" s="88" t="s">
        <v>2826</v>
      </c>
      <c r="G145" s="88" t="s">
        <v>3867</v>
      </c>
      <c r="H145" s="213">
        <v>7.4999999999999997E-2</v>
      </c>
      <c r="I145" s="29">
        <f t="shared" si="2"/>
        <v>500</v>
      </c>
    </row>
    <row r="146" spans="1:9">
      <c r="A146" s="84">
        <v>9</v>
      </c>
      <c r="B146" s="86">
        <v>40962</v>
      </c>
      <c r="C146" s="87">
        <v>71120009</v>
      </c>
      <c r="D146" s="88" t="s">
        <v>3458</v>
      </c>
      <c r="E146" s="89">
        <v>150</v>
      </c>
      <c r="F146" s="88" t="s">
        <v>2856</v>
      </c>
      <c r="G146" s="88" t="s">
        <v>3868</v>
      </c>
      <c r="H146" s="213">
        <v>0.06</v>
      </c>
      <c r="I146" s="29">
        <f t="shared" si="2"/>
        <v>87.499999999999986</v>
      </c>
    </row>
    <row r="147" spans="1:9">
      <c r="A147" s="84">
        <v>9</v>
      </c>
      <c r="B147" s="86">
        <v>40962</v>
      </c>
      <c r="C147" s="87">
        <v>71120009</v>
      </c>
      <c r="D147" s="88" t="s">
        <v>3458</v>
      </c>
      <c r="E147" s="89">
        <v>300</v>
      </c>
      <c r="F147" s="88" t="s">
        <v>2857</v>
      </c>
      <c r="G147" s="88" t="s">
        <v>3868</v>
      </c>
      <c r="H147" s="213">
        <v>0.06</v>
      </c>
      <c r="I147" s="29">
        <f t="shared" si="2"/>
        <v>174.99999999999997</v>
      </c>
    </row>
    <row r="148" spans="1:9">
      <c r="A148" s="84">
        <v>9</v>
      </c>
      <c r="B148" s="86">
        <v>40964</v>
      </c>
      <c r="C148" s="88">
        <v>71110009</v>
      </c>
      <c r="D148" s="88" t="s">
        <v>3458</v>
      </c>
      <c r="E148" s="89">
        <v>750</v>
      </c>
      <c r="F148" s="88" t="s">
        <v>2999</v>
      </c>
      <c r="G148" s="88" t="s">
        <v>3867</v>
      </c>
      <c r="H148" s="213">
        <v>7.4999999999999997E-2</v>
      </c>
      <c r="I148" s="29">
        <f t="shared" si="2"/>
        <v>500</v>
      </c>
    </row>
    <row r="149" spans="1:9">
      <c r="A149" s="84">
        <v>9</v>
      </c>
      <c r="B149" s="86">
        <v>40968</v>
      </c>
      <c r="C149" s="88">
        <v>71110009</v>
      </c>
      <c r="D149" s="88" t="s">
        <v>3458</v>
      </c>
      <c r="E149" s="89">
        <v>11100</v>
      </c>
      <c r="F149" s="88" t="s">
        <v>3054</v>
      </c>
      <c r="G149" s="88" t="s">
        <v>3867</v>
      </c>
      <c r="H149" s="213">
        <v>7.4999999999999997E-2</v>
      </c>
      <c r="I149" s="29">
        <f t="shared" si="2"/>
        <v>7400</v>
      </c>
    </row>
    <row r="150" spans="1:9">
      <c r="A150" s="84">
        <v>9</v>
      </c>
      <c r="B150" s="86">
        <v>40969</v>
      </c>
      <c r="C150" s="88">
        <v>71120009</v>
      </c>
      <c r="D150" s="88" t="s">
        <v>3458</v>
      </c>
      <c r="E150" s="89">
        <v>150</v>
      </c>
      <c r="F150" s="88" t="s">
        <v>3064</v>
      </c>
      <c r="G150" s="88" t="s">
        <v>3868</v>
      </c>
      <c r="H150" s="213">
        <v>0.06</v>
      </c>
      <c r="I150" s="29">
        <f t="shared" si="2"/>
        <v>87.499999999999986</v>
      </c>
    </row>
    <row r="151" spans="1:9">
      <c r="A151" s="84">
        <v>9</v>
      </c>
      <c r="B151" s="86">
        <v>40969</v>
      </c>
      <c r="C151" s="88">
        <v>71120009</v>
      </c>
      <c r="D151" s="88" t="s">
        <v>3458</v>
      </c>
      <c r="E151" s="89">
        <v>300</v>
      </c>
      <c r="F151" s="88" t="s">
        <v>3065</v>
      </c>
      <c r="G151" s="88" t="s">
        <v>3868</v>
      </c>
      <c r="H151" s="213">
        <v>0.06</v>
      </c>
      <c r="I151" s="29">
        <f t="shared" si="2"/>
        <v>174.99999999999997</v>
      </c>
    </row>
    <row r="152" spans="1:9">
      <c r="A152" s="84">
        <v>9</v>
      </c>
      <c r="B152" s="86">
        <v>40969</v>
      </c>
      <c r="C152" s="88">
        <v>71110009</v>
      </c>
      <c r="D152" s="88" t="s">
        <v>3458</v>
      </c>
      <c r="E152" s="89">
        <v>1125</v>
      </c>
      <c r="F152" s="88" t="s">
        <v>3066</v>
      </c>
      <c r="G152" s="88" t="s">
        <v>3867</v>
      </c>
      <c r="H152" s="213">
        <v>7.4999999999999997E-2</v>
      </c>
      <c r="I152" s="29">
        <f t="shared" si="2"/>
        <v>749.99999999999989</v>
      </c>
    </row>
    <row r="153" spans="1:9">
      <c r="A153" s="84">
        <v>9</v>
      </c>
      <c r="B153" s="86">
        <v>40973</v>
      </c>
      <c r="C153" s="88">
        <v>71110009</v>
      </c>
      <c r="D153" s="91" t="s">
        <v>3458</v>
      </c>
      <c r="E153" s="89">
        <v>750</v>
      </c>
      <c r="F153" s="91" t="s">
        <v>3250</v>
      </c>
      <c r="G153" s="88" t="s">
        <v>3867</v>
      </c>
      <c r="H153" s="213">
        <v>7.4999999999999997E-2</v>
      </c>
      <c r="I153" s="29">
        <f t="shared" si="2"/>
        <v>500</v>
      </c>
    </row>
    <row r="154" spans="1:9">
      <c r="A154" s="84">
        <v>9</v>
      </c>
      <c r="B154" s="86">
        <v>40973</v>
      </c>
      <c r="C154" s="88">
        <v>71110009</v>
      </c>
      <c r="D154" s="91" t="s">
        <v>3458</v>
      </c>
      <c r="E154" s="89">
        <v>750</v>
      </c>
      <c r="F154" s="91" t="s">
        <v>3253</v>
      </c>
      <c r="G154" s="88" t="s">
        <v>3867</v>
      </c>
      <c r="H154" s="213">
        <v>7.4999999999999997E-2</v>
      </c>
      <c r="I154" s="29">
        <f t="shared" si="2"/>
        <v>500</v>
      </c>
    </row>
    <row r="155" spans="1:9">
      <c r="A155" s="84">
        <v>9</v>
      </c>
      <c r="B155" s="86">
        <v>40976</v>
      </c>
      <c r="C155" s="88">
        <v>71120009</v>
      </c>
      <c r="D155" s="91" t="s">
        <v>3458</v>
      </c>
      <c r="E155" s="89">
        <v>150</v>
      </c>
      <c r="F155" s="91" t="s">
        <v>520</v>
      </c>
      <c r="G155" s="88" t="s">
        <v>3868</v>
      </c>
      <c r="H155" s="213">
        <v>0.06</v>
      </c>
      <c r="I155" s="29">
        <f t="shared" si="2"/>
        <v>87.499999999999986</v>
      </c>
    </row>
    <row r="156" spans="1:9">
      <c r="A156" s="84">
        <v>9</v>
      </c>
      <c r="B156" s="86">
        <v>40976</v>
      </c>
      <c r="C156" s="88">
        <v>71120009</v>
      </c>
      <c r="D156" s="91" t="s">
        <v>3458</v>
      </c>
      <c r="E156" s="89">
        <v>300</v>
      </c>
      <c r="F156" s="91" t="s">
        <v>521</v>
      </c>
      <c r="G156" s="88" t="s">
        <v>3868</v>
      </c>
      <c r="H156" s="213">
        <v>0.06</v>
      </c>
      <c r="I156" s="29">
        <f t="shared" si="2"/>
        <v>174.99999999999997</v>
      </c>
    </row>
    <row r="157" spans="1:9">
      <c r="A157" s="84">
        <v>9</v>
      </c>
      <c r="B157" s="86">
        <v>40980</v>
      </c>
      <c r="C157" s="88">
        <v>71120009</v>
      </c>
      <c r="D157" s="91" t="s">
        <v>3458</v>
      </c>
      <c r="E157" s="89">
        <v>300</v>
      </c>
      <c r="F157" s="91" t="s">
        <v>544</v>
      </c>
      <c r="G157" s="88" t="s">
        <v>3868</v>
      </c>
      <c r="H157" s="213">
        <v>0.06</v>
      </c>
      <c r="I157" s="29">
        <f t="shared" si="2"/>
        <v>174.99999999999997</v>
      </c>
    </row>
    <row r="158" spans="1:9">
      <c r="A158" s="84">
        <v>9</v>
      </c>
      <c r="B158" s="86">
        <v>40980</v>
      </c>
      <c r="C158" s="88">
        <v>71120009</v>
      </c>
      <c r="D158" s="91" t="s">
        <v>3458</v>
      </c>
      <c r="E158" s="89">
        <v>150</v>
      </c>
      <c r="F158" s="91" t="s">
        <v>545</v>
      </c>
      <c r="G158" s="88" t="s">
        <v>3868</v>
      </c>
      <c r="H158" s="213">
        <v>0.06</v>
      </c>
      <c r="I158" s="29">
        <f t="shared" si="2"/>
        <v>87.499999999999986</v>
      </c>
    </row>
    <row r="159" spans="1:9">
      <c r="A159" s="84">
        <v>9</v>
      </c>
      <c r="B159" s="86">
        <v>40980</v>
      </c>
      <c r="C159" s="88">
        <v>71110009</v>
      </c>
      <c r="D159" s="91" t="s">
        <v>3458</v>
      </c>
      <c r="E159" s="89">
        <v>750</v>
      </c>
      <c r="F159" s="91" t="s">
        <v>546</v>
      </c>
      <c r="G159" s="88" t="s">
        <v>3867</v>
      </c>
      <c r="H159" s="213">
        <v>7.4999999999999997E-2</v>
      </c>
      <c r="I159" s="29">
        <f t="shared" si="2"/>
        <v>500</v>
      </c>
    </row>
    <row r="160" spans="1:9">
      <c r="A160" s="84">
        <v>9</v>
      </c>
      <c r="B160" s="86">
        <v>40983</v>
      </c>
      <c r="C160" s="88">
        <v>71120009</v>
      </c>
      <c r="D160" s="91" t="s">
        <v>3458</v>
      </c>
      <c r="E160" s="89">
        <v>1200</v>
      </c>
      <c r="F160" s="91" t="s">
        <v>1259</v>
      </c>
      <c r="G160" s="88" t="s">
        <v>3868</v>
      </c>
      <c r="H160" s="213">
        <v>0.06</v>
      </c>
      <c r="I160" s="29">
        <f t="shared" si="2"/>
        <v>699.99999999999989</v>
      </c>
    </row>
    <row r="161" spans="1:9">
      <c r="A161" s="84">
        <v>9</v>
      </c>
      <c r="B161" s="86">
        <v>40983</v>
      </c>
      <c r="C161" s="88">
        <v>71120009</v>
      </c>
      <c r="D161" s="91" t="s">
        <v>3458</v>
      </c>
      <c r="E161" s="89">
        <v>300</v>
      </c>
      <c r="F161" s="91" t="s">
        <v>1260</v>
      </c>
      <c r="G161" s="88" t="s">
        <v>3868</v>
      </c>
      <c r="H161" s="213">
        <v>0.06</v>
      </c>
      <c r="I161" s="29">
        <f t="shared" si="2"/>
        <v>174.99999999999997</v>
      </c>
    </row>
    <row r="162" spans="1:9">
      <c r="A162" s="84">
        <v>9</v>
      </c>
      <c r="B162" s="86">
        <v>40983</v>
      </c>
      <c r="C162" s="88">
        <v>71110009</v>
      </c>
      <c r="D162" s="91" t="s">
        <v>3458</v>
      </c>
      <c r="E162" s="89">
        <v>1125</v>
      </c>
      <c r="F162" s="91" t="s">
        <v>1261</v>
      </c>
      <c r="G162" s="88" t="s">
        <v>3867</v>
      </c>
      <c r="H162" s="213">
        <v>7.4999999999999997E-2</v>
      </c>
      <c r="I162" s="29">
        <f t="shared" si="2"/>
        <v>749.99999999999989</v>
      </c>
    </row>
    <row r="163" spans="1:9">
      <c r="A163" s="84">
        <v>9</v>
      </c>
      <c r="B163" s="86">
        <v>40985</v>
      </c>
      <c r="C163" s="88">
        <v>71110009</v>
      </c>
      <c r="D163" s="91" t="s">
        <v>3458</v>
      </c>
      <c r="E163" s="89">
        <v>5550</v>
      </c>
      <c r="F163" s="91" t="s">
        <v>633</v>
      </c>
      <c r="G163" s="88" t="s">
        <v>3867</v>
      </c>
      <c r="H163" s="213">
        <v>7.4999999999999997E-2</v>
      </c>
      <c r="I163" s="29">
        <f t="shared" si="2"/>
        <v>3700</v>
      </c>
    </row>
    <row r="164" spans="1:9" s="78" customFormat="1">
      <c r="A164" s="84">
        <v>10</v>
      </c>
      <c r="B164" s="83">
        <v>40928</v>
      </c>
      <c r="C164" s="84">
        <v>71110010</v>
      </c>
      <c r="D164" s="81" t="s">
        <v>142</v>
      </c>
      <c r="E164" s="82">
        <v>750</v>
      </c>
      <c r="F164" s="81" t="s">
        <v>143</v>
      </c>
      <c r="G164" s="81" t="s">
        <v>3867</v>
      </c>
      <c r="H164" s="212">
        <v>7.4999999999999997E-2</v>
      </c>
      <c r="I164" s="29">
        <f t="shared" si="2"/>
        <v>500</v>
      </c>
    </row>
    <row r="165" spans="1:9">
      <c r="A165" s="84">
        <v>10</v>
      </c>
      <c r="B165" s="86">
        <v>40944</v>
      </c>
      <c r="C165" s="87">
        <v>71110010</v>
      </c>
      <c r="D165" s="88" t="s">
        <v>142</v>
      </c>
      <c r="E165" s="89">
        <v>750</v>
      </c>
      <c r="F165" s="88" t="s">
        <v>408</v>
      </c>
      <c r="G165" s="88" t="s">
        <v>3867</v>
      </c>
      <c r="H165" s="213">
        <v>7.4999999999999997E-2</v>
      </c>
      <c r="I165" s="29">
        <f t="shared" si="2"/>
        <v>500</v>
      </c>
    </row>
    <row r="166" spans="1:9">
      <c r="A166" s="84">
        <v>10</v>
      </c>
      <c r="B166" s="86">
        <v>40956</v>
      </c>
      <c r="C166" s="87">
        <v>71110010</v>
      </c>
      <c r="D166" s="88" t="s">
        <v>3444</v>
      </c>
      <c r="E166" s="89">
        <v>375</v>
      </c>
      <c r="F166" s="88" t="s">
        <v>3445</v>
      </c>
      <c r="G166" s="88" t="s">
        <v>3867</v>
      </c>
      <c r="H166" s="213">
        <v>7.4999999999999997E-2</v>
      </c>
      <c r="I166" s="29">
        <f t="shared" si="2"/>
        <v>250</v>
      </c>
    </row>
    <row r="167" spans="1:9">
      <c r="A167" s="84">
        <v>10</v>
      </c>
      <c r="B167" s="86">
        <v>40959</v>
      </c>
      <c r="C167" s="87">
        <v>71110010</v>
      </c>
      <c r="D167" s="88" t="s">
        <v>3444</v>
      </c>
      <c r="E167" s="89">
        <v>750</v>
      </c>
      <c r="F167" s="88" t="s">
        <v>3473</v>
      </c>
      <c r="G167" s="88" t="s">
        <v>3867</v>
      </c>
      <c r="H167" s="213">
        <v>7.4999999999999997E-2</v>
      </c>
      <c r="I167" s="29">
        <f t="shared" si="2"/>
        <v>500</v>
      </c>
    </row>
    <row r="168" spans="1:9">
      <c r="A168" s="84">
        <v>10</v>
      </c>
      <c r="B168" s="86">
        <v>40959</v>
      </c>
      <c r="C168" s="87">
        <v>71110010</v>
      </c>
      <c r="D168" s="88" t="s">
        <v>3444</v>
      </c>
      <c r="E168" s="89">
        <v>3750</v>
      </c>
      <c r="F168" s="88" t="s">
        <v>3476</v>
      </c>
      <c r="G168" s="88" t="s">
        <v>3867</v>
      </c>
      <c r="H168" s="213">
        <v>7.4999999999999997E-2</v>
      </c>
      <c r="I168" s="29">
        <f t="shared" si="2"/>
        <v>2499.9999999999995</v>
      </c>
    </row>
    <row r="169" spans="1:9">
      <c r="A169" s="84">
        <v>10</v>
      </c>
      <c r="B169" s="86">
        <v>40963</v>
      </c>
      <c r="C169" s="88">
        <v>71120010</v>
      </c>
      <c r="D169" s="88" t="s">
        <v>3444</v>
      </c>
      <c r="E169" s="89">
        <v>225</v>
      </c>
      <c r="F169" s="88" t="s">
        <v>2867</v>
      </c>
      <c r="G169" s="88" t="s">
        <v>3868</v>
      </c>
      <c r="H169" s="213">
        <v>0.06</v>
      </c>
      <c r="I169" s="29">
        <f t="shared" si="2"/>
        <v>131.25</v>
      </c>
    </row>
    <row r="170" spans="1:9">
      <c r="A170" s="84">
        <v>10</v>
      </c>
      <c r="B170" s="86">
        <v>40966</v>
      </c>
      <c r="C170" s="88">
        <v>71110010</v>
      </c>
      <c r="D170" s="88" t="s">
        <v>3444</v>
      </c>
      <c r="E170" s="89">
        <v>750</v>
      </c>
      <c r="F170" s="88" t="s">
        <v>3019</v>
      </c>
      <c r="G170" s="88" t="s">
        <v>3867</v>
      </c>
      <c r="H170" s="213">
        <v>7.4999999999999997E-2</v>
      </c>
      <c r="I170" s="29">
        <f t="shared" si="2"/>
        <v>500</v>
      </c>
    </row>
    <row r="171" spans="1:9">
      <c r="A171" s="84">
        <v>10</v>
      </c>
      <c r="B171" s="86">
        <v>40966</v>
      </c>
      <c r="C171" s="88">
        <v>71110010</v>
      </c>
      <c r="D171" s="88" t="s">
        <v>3444</v>
      </c>
      <c r="E171" s="89">
        <v>375</v>
      </c>
      <c r="F171" s="88" t="s">
        <v>3020</v>
      </c>
      <c r="G171" s="88" t="s">
        <v>3867</v>
      </c>
      <c r="H171" s="213">
        <v>7.4999999999999997E-2</v>
      </c>
      <c r="I171" s="29">
        <f t="shared" si="2"/>
        <v>250</v>
      </c>
    </row>
    <row r="172" spans="1:9">
      <c r="A172" s="84">
        <v>10</v>
      </c>
      <c r="B172" s="86">
        <v>40968</v>
      </c>
      <c r="C172" s="88">
        <v>71110010</v>
      </c>
      <c r="D172" s="88" t="s">
        <v>3444</v>
      </c>
      <c r="E172" s="89">
        <v>750</v>
      </c>
      <c r="F172" s="88" t="s">
        <v>3062</v>
      </c>
      <c r="G172" s="88" t="s">
        <v>3867</v>
      </c>
      <c r="H172" s="213">
        <v>7.4999999999999997E-2</v>
      </c>
      <c r="I172" s="29">
        <f t="shared" si="2"/>
        <v>500</v>
      </c>
    </row>
    <row r="173" spans="1:9">
      <c r="A173" s="84">
        <v>10</v>
      </c>
      <c r="B173" s="86">
        <v>40970</v>
      </c>
      <c r="C173" s="88">
        <v>71120010</v>
      </c>
      <c r="D173" s="88" t="s">
        <v>3444</v>
      </c>
      <c r="E173" s="89">
        <v>225</v>
      </c>
      <c r="F173" s="88" t="s">
        <v>3078</v>
      </c>
      <c r="G173" s="88" t="s">
        <v>3868</v>
      </c>
      <c r="H173" s="213">
        <v>0.06</v>
      </c>
      <c r="I173" s="29">
        <f t="shared" si="2"/>
        <v>131.25</v>
      </c>
    </row>
    <row r="174" spans="1:9">
      <c r="A174" s="84">
        <v>10</v>
      </c>
      <c r="B174" s="86">
        <v>40970</v>
      </c>
      <c r="C174" s="88">
        <v>71110010</v>
      </c>
      <c r="D174" s="88" t="s">
        <v>3444</v>
      </c>
      <c r="E174" s="89">
        <v>750</v>
      </c>
      <c r="F174" s="88" t="s">
        <v>3080</v>
      </c>
      <c r="G174" s="88" t="s">
        <v>3867</v>
      </c>
      <c r="H174" s="213">
        <v>7.4999999999999997E-2</v>
      </c>
      <c r="I174" s="29">
        <f t="shared" si="2"/>
        <v>500</v>
      </c>
    </row>
    <row r="175" spans="1:9">
      <c r="A175" s="84">
        <v>10</v>
      </c>
      <c r="B175" s="86">
        <v>40972</v>
      </c>
      <c r="C175" s="88">
        <v>71110010</v>
      </c>
      <c r="D175" s="91" t="s">
        <v>3444</v>
      </c>
      <c r="E175" s="89">
        <v>750</v>
      </c>
      <c r="F175" s="91" t="s">
        <v>3095</v>
      </c>
      <c r="G175" s="88" t="s">
        <v>3867</v>
      </c>
      <c r="H175" s="213">
        <v>7.4999999999999997E-2</v>
      </c>
      <c r="I175" s="29">
        <f t="shared" si="2"/>
        <v>500</v>
      </c>
    </row>
    <row r="176" spans="1:9">
      <c r="A176" s="84">
        <v>10</v>
      </c>
      <c r="B176" s="86">
        <v>40973</v>
      </c>
      <c r="C176" s="88">
        <v>71110010</v>
      </c>
      <c r="D176" s="91" t="s">
        <v>3444</v>
      </c>
      <c r="E176" s="89">
        <v>750</v>
      </c>
      <c r="F176" s="91" t="s">
        <v>3223</v>
      </c>
      <c r="G176" s="88" t="s">
        <v>3867</v>
      </c>
      <c r="H176" s="213">
        <v>7.4999999999999997E-2</v>
      </c>
      <c r="I176" s="29">
        <f t="shared" si="2"/>
        <v>500</v>
      </c>
    </row>
    <row r="177" spans="1:9">
      <c r="A177" s="84">
        <v>10</v>
      </c>
      <c r="B177" s="86">
        <v>40973</v>
      </c>
      <c r="C177" s="88">
        <v>71110010</v>
      </c>
      <c r="D177" s="91" t="s">
        <v>3444</v>
      </c>
      <c r="E177" s="89">
        <v>3750</v>
      </c>
      <c r="F177" s="91" t="s">
        <v>3224</v>
      </c>
      <c r="G177" s="88" t="s">
        <v>3867</v>
      </c>
      <c r="H177" s="213">
        <v>7.4999999999999997E-2</v>
      </c>
      <c r="I177" s="29">
        <f t="shared" si="2"/>
        <v>2499.9999999999995</v>
      </c>
    </row>
    <row r="178" spans="1:9">
      <c r="A178" s="84">
        <v>10</v>
      </c>
      <c r="B178" s="86">
        <v>40973</v>
      </c>
      <c r="C178" s="88">
        <v>71120010</v>
      </c>
      <c r="D178" s="91" t="s">
        <v>3444</v>
      </c>
      <c r="E178" s="89">
        <v>225</v>
      </c>
      <c r="F178" s="91" t="s">
        <v>3225</v>
      </c>
      <c r="G178" s="88" t="s">
        <v>3868</v>
      </c>
      <c r="H178" s="213">
        <v>0.06</v>
      </c>
      <c r="I178" s="29">
        <f t="shared" si="2"/>
        <v>131.25</v>
      </c>
    </row>
    <row r="179" spans="1:9">
      <c r="A179" s="84">
        <v>10</v>
      </c>
      <c r="B179" s="86">
        <v>40973</v>
      </c>
      <c r="C179" s="88">
        <v>71110010</v>
      </c>
      <c r="D179" s="91" t="s">
        <v>3444</v>
      </c>
      <c r="E179" s="89">
        <v>750</v>
      </c>
      <c r="F179" s="91" t="s">
        <v>3226</v>
      </c>
      <c r="G179" s="88" t="s">
        <v>3867</v>
      </c>
      <c r="H179" s="213">
        <v>7.4999999999999997E-2</v>
      </c>
      <c r="I179" s="29">
        <f t="shared" si="2"/>
        <v>500</v>
      </c>
    </row>
    <row r="180" spans="1:9">
      <c r="A180" s="84">
        <v>10</v>
      </c>
      <c r="B180" s="86">
        <v>40973</v>
      </c>
      <c r="C180" s="88">
        <v>71110010</v>
      </c>
      <c r="D180" s="91" t="s">
        <v>3444</v>
      </c>
      <c r="E180" s="89">
        <v>375</v>
      </c>
      <c r="F180" s="91" t="s">
        <v>3227</v>
      </c>
      <c r="G180" s="88" t="s">
        <v>3867</v>
      </c>
      <c r="H180" s="213">
        <v>7.4999999999999997E-2</v>
      </c>
      <c r="I180" s="29">
        <f t="shared" si="2"/>
        <v>250</v>
      </c>
    </row>
    <row r="181" spans="1:9">
      <c r="A181" s="84">
        <v>10</v>
      </c>
      <c r="B181" s="86">
        <v>40984</v>
      </c>
      <c r="C181" s="88">
        <v>71120010</v>
      </c>
      <c r="D181" s="91" t="s">
        <v>3444</v>
      </c>
      <c r="E181" s="89">
        <v>225</v>
      </c>
      <c r="F181" s="91" t="s">
        <v>1282</v>
      </c>
      <c r="G181" s="88" t="s">
        <v>3868</v>
      </c>
      <c r="H181" s="213">
        <v>0.06</v>
      </c>
      <c r="I181" s="29">
        <f t="shared" si="2"/>
        <v>131.25</v>
      </c>
    </row>
    <row r="182" spans="1:9">
      <c r="A182" s="84">
        <v>10</v>
      </c>
      <c r="B182" s="86">
        <v>40984</v>
      </c>
      <c r="C182" s="88">
        <v>71110010</v>
      </c>
      <c r="D182" s="91" t="s">
        <v>3444</v>
      </c>
      <c r="E182" s="89">
        <v>750</v>
      </c>
      <c r="F182" s="91" t="s">
        <v>1283</v>
      </c>
      <c r="G182" s="88" t="s">
        <v>3867</v>
      </c>
      <c r="H182" s="213">
        <v>7.4999999999999997E-2</v>
      </c>
      <c r="I182" s="29">
        <f t="shared" si="2"/>
        <v>500</v>
      </c>
    </row>
    <row r="183" spans="1:9">
      <c r="A183" s="84">
        <v>10</v>
      </c>
      <c r="B183" s="86">
        <v>40984</v>
      </c>
      <c r="C183" s="88">
        <v>71110010</v>
      </c>
      <c r="D183" s="91" t="s">
        <v>3444</v>
      </c>
      <c r="E183" s="89">
        <v>750</v>
      </c>
      <c r="F183" s="91" t="s">
        <v>1284</v>
      </c>
      <c r="G183" s="88" t="s">
        <v>3867</v>
      </c>
      <c r="H183" s="213">
        <v>7.4999999999999997E-2</v>
      </c>
      <c r="I183" s="29">
        <f t="shared" si="2"/>
        <v>500</v>
      </c>
    </row>
    <row r="184" spans="1:9">
      <c r="A184" s="84">
        <v>10</v>
      </c>
      <c r="B184" s="86">
        <v>40984</v>
      </c>
      <c r="C184" s="88">
        <v>71110010</v>
      </c>
      <c r="D184" s="91" t="s">
        <v>3444</v>
      </c>
      <c r="E184" s="89">
        <v>750</v>
      </c>
      <c r="F184" s="91" t="s">
        <v>1285</v>
      </c>
      <c r="G184" s="88" t="s">
        <v>3867</v>
      </c>
      <c r="H184" s="213">
        <v>7.4999999999999997E-2</v>
      </c>
      <c r="I184" s="29">
        <f t="shared" si="2"/>
        <v>500</v>
      </c>
    </row>
    <row r="185" spans="1:9" s="78" customFormat="1">
      <c r="A185" s="84">
        <v>11</v>
      </c>
      <c r="B185" s="83">
        <v>40928</v>
      </c>
      <c r="C185" s="84">
        <v>71120011</v>
      </c>
      <c r="D185" s="81" t="s">
        <v>136</v>
      </c>
      <c r="E185" s="82">
        <v>150</v>
      </c>
      <c r="F185" s="81" t="s">
        <v>137</v>
      </c>
      <c r="G185" s="81" t="s">
        <v>3868</v>
      </c>
      <c r="H185" s="212">
        <v>0.06</v>
      </c>
      <c r="I185" s="29">
        <f t="shared" si="2"/>
        <v>87.499999999999986</v>
      </c>
    </row>
    <row r="186" spans="1:9">
      <c r="A186" s="84">
        <v>11</v>
      </c>
      <c r="B186" s="86">
        <v>40933</v>
      </c>
      <c r="C186" s="87">
        <v>71120011</v>
      </c>
      <c r="D186" s="88" t="s">
        <v>148</v>
      </c>
      <c r="E186" s="89">
        <v>150</v>
      </c>
      <c r="F186" s="88" t="s">
        <v>149</v>
      </c>
      <c r="G186" s="88" t="s">
        <v>3868</v>
      </c>
      <c r="H186" s="213">
        <v>0.06</v>
      </c>
      <c r="I186" s="29">
        <f t="shared" si="2"/>
        <v>87.499999999999986</v>
      </c>
    </row>
    <row r="187" spans="1:9">
      <c r="A187" s="84">
        <v>11</v>
      </c>
      <c r="B187" s="86">
        <v>40942</v>
      </c>
      <c r="C187" s="87">
        <v>71120011</v>
      </c>
      <c r="D187" s="88" t="s">
        <v>148</v>
      </c>
      <c r="E187" s="89">
        <v>150</v>
      </c>
      <c r="F187" s="88" t="s">
        <v>396</v>
      </c>
      <c r="G187" s="88" t="s">
        <v>3868</v>
      </c>
      <c r="H187" s="213">
        <v>0.06</v>
      </c>
      <c r="I187" s="29">
        <f t="shared" si="2"/>
        <v>87.499999999999986</v>
      </c>
    </row>
    <row r="188" spans="1:9">
      <c r="A188" s="84">
        <v>11</v>
      </c>
      <c r="B188" s="86">
        <v>40949</v>
      </c>
      <c r="C188" s="87">
        <v>71120011</v>
      </c>
      <c r="D188" s="88" t="s">
        <v>148</v>
      </c>
      <c r="E188" s="89">
        <v>150</v>
      </c>
      <c r="F188" s="88" t="s">
        <v>3611</v>
      </c>
      <c r="G188" s="88" t="s">
        <v>3868</v>
      </c>
      <c r="H188" s="213">
        <v>0.06</v>
      </c>
      <c r="I188" s="29">
        <f t="shared" si="2"/>
        <v>87.499999999999986</v>
      </c>
    </row>
    <row r="189" spans="1:9">
      <c r="A189" s="84">
        <v>11</v>
      </c>
      <c r="B189" s="86">
        <v>40952</v>
      </c>
      <c r="C189" s="87">
        <v>71120011</v>
      </c>
      <c r="D189" s="88" t="s">
        <v>148</v>
      </c>
      <c r="E189" s="89">
        <v>150</v>
      </c>
      <c r="F189" s="88" t="s">
        <v>3615</v>
      </c>
      <c r="G189" s="88" t="s">
        <v>3868</v>
      </c>
      <c r="H189" s="213">
        <v>0.06</v>
      </c>
      <c r="I189" s="29">
        <f t="shared" si="2"/>
        <v>87.499999999999986</v>
      </c>
    </row>
    <row r="190" spans="1:9">
      <c r="A190" s="84">
        <v>11</v>
      </c>
      <c r="B190" s="86">
        <v>40961</v>
      </c>
      <c r="C190" s="87">
        <v>71120011</v>
      </c>
      <c r="D190" s="88" t="s">
        <v>2833</v>
      </c>
      <c r="E190" s="89">
        <v>750</v>
      </c>
      <c r="F190" s="88" t="s">
        <v>2834</v>
      </c>
      <c r="G190" s="88" t="s">
        <v>3868</v>
      </c>
      <c r="H190" s="213">
        <v>0.06</v>
      </c>
      <c r="I190" s="29">
        <f t="shared" si="2"/>
        <v>437.49999999999994</v>
      </c>
    </row>
    <row r="191" spans="1:9">
      <c r="A191" s="84">
        <v>11</v>
      </c>
      <c r="B191" s="86">
        <v>40961</v>
      </c>
      <c r="C191" s="87">
        <v>71120011</v>
      </c>
      <c r="D191" s="88" t="s">
        <v>2833</v>
      </c>
      <c r="E191" s="89">
        <v>225</v>
      </c>
      <c r="F191" s="88" t="s">
        <v>2835</v>
      </c>
      <c r="G191" s="88" t="s">
        <v>3868</v>
      </c>
      <c r="H191" s="213">
        <v>0.06</v>
      </c>
      <c r="I191" s="29">
        <f t="shared" si="2"/>
        <v>131.25</v>
      </c>
    </row>
    <row r="192" spans="1:9">
      <c r="A192" s="84">
        <v>11</v>
      </c>
      <c r="B192" s="86">
        <v>40969</v>
      </c>
      <c r="C192" s="88">
        <v>71120011</v>
      </c>
      <c r="D192" s="88" t="s">
        <v>2833</v>
      </c>
      <c r="E192" s="89">
        <v>225</v>
      </c>
      <c r="F192" s="88" t="s">
        <v>1295</v>
      </c>
      <c r="G192" s="88" t="s">
        <v>3868</v>
      </c>
      <c r="H192" s="213">
        <v>0.06</v>
      </c>
      <c r="I192" s="29">
        <f t="shared" si="2"/>
        <v>131.25</v>
      </c>
    </row>
    <row r="193" spans="1:9">
      <c r="A193" s="84">
        <v>11</v>
      </c>
      <c r="B193" s="86">
        <v>40975</v>
      </c>
      <c r="C193" s="88">
        <v>71120011</v>
      </c>
      <c r="D193" s="91" t="s">
        <v>2833</v>
      </c>
      <c r="E193" s="89">
        <v>225</v>
      </c>
      <c r="F193" s="91" t="s">
        <v>511</v>
      </c>
      <c r="G193" s="88" t="s">
        <v>3868</v>
      </c>
      <c r="H193" s="213">
        <v>0.06</v>
      </c>
      <c r="I193" s="29">
        <f t="shared" si="2"/>
        <v>131.25</v>
      </c>
    </row>
    <row r="194" spans="1:9" s="78" customFormat="1">
      <c r="A194" s="84">
        <v>12</v>
      </c>
      <c r="B194" s="83">
        <v>40928</v>
      </c>
      <c r="C194" s="84">
        <v>71110012</v>
      </c>
      <c r="D194" s="81" t="s">
        <v>140</v>
      </c>
      <c r="E194" s="82">
        <v>1125</v>
      </c>
      <c r="F194" s="81" t="s">
        <v>141</v>
      </c>
      <c r="G194" s="81" t="s">
        <v>3867</v>
      </c>
      <c r="H194" s="212">
        <v>7.4999999999999997E-2</v>
      </c>
      <c r="I194" s="29">
        <f t="shared" ref="I194:I257" si="3">E194*(H194-0.025)/H194</f>
        <v>749.99999999999989</v>
      </c>
    </row>
    <row r="195" spans="1:9">
      <c r="A195" s="84">
        <v>12</v>
      </c>
      <c r="B195" s="86">
        <v>40944</v>
      </c>
      <c r="C195" s="87">
        <v>71110012</v>
      </c>
      <c r="D195" s="88" t="s">
        <v>140</v>
      </c>
      <c r="E195" s="89">
        <v>1125</v>
      </c>
      <c r="F195" s="88" t="s">
        <v>409</v>
      </c>
      <c r="G195" s="88" t="s">
        <v>3867</v>
      </c>
      <c r="H195" s="213">
        <v>7.4999999999999997E-2</v>
      </c>
      <c r="I195" s="29">
        <f t="shared" si="3"/>
        <v>749.99999999999989</v>
      </c>
    </row>
    <row r="196" spans="1:9">
      <c r="A196" s="84">
        <v>12</v>
      </c>
      <c r="B196" s="86">
        <v>40959</v>
      </c>
      <c r="C196" s="87">
        <v>71110012</v>
      </c>
      <c r="D196" s="88" t="s">
        <v>211</v>
      </c>
      <c r="E196" s="89">
        <v>1125</v>
      </c>
      <c r="F196" s="88" t="s">
        <v>2818</v>
      </c>
      <c r="G196" s="88" t="s">
        <v>3867</v>
      </c>
      <c r="H196" s="213">
        <v>7.4999999999999997E-2</v>
      </c>
      <c r="I196" s="29">
        <f t="shared" si="3"/>
        <v>749.99999999999989</v>
      </c>
    </row>
    <row r="197" spans="1:9">
      <c r="A197" s="84">
        <v>12</v>
      </c>
      <c r="B197" s="86">
        <v>40959</v>
      </c>
      <c r="C197" s="87">
        <v>71120012</v>
      </c>
      <c r="D197" s="88" t="s">
        <v>2819</v>
      </c>
      <c r="E197" s="89">
        <v>150</v>
      </c>
      <c r="F197" s="88" t="s">
        <v>2820</v>
      </c>
      <c r="G197" s="88" t="s">
        <v>3868</v>
      </c>
      <c r="H197" s="213">
        <v>0.06</v>
      </c>
      <c r="I197" s="29">
        <f t="shared" si="3"/>
        <v>87.499999999999986</v>
      </c>
    </row>
    <row r="198" spans="1:9">
      <c r="A198" s="84">
        <v>12</v>
      </c>
      <c r="B198" s="86">
        <v>40964</v>
      </c>
      <c r="C198" s="87">
        <v>71120012</v>
      </c>
      <c r="D198" s="88" t="s">
        <v>211</v>
      </c>
      <c r="E198" s="89">
        <v>150</v>
      </c>
      <c r="F198" s="88" t="s">
        <v>3002</v>
      </c>
      <c r="G198" s="88" t="s">
        <v>3868</v>
      </c>
      <c r="H198" s="213">
        <v>0.06</v>
      </c>
      <c r="I198" s="29">
        <f t="shared" si="3"/>
        <v>87.499999999999986</v>
      </c>
    </row>
    <row r="199" spans="1:9">
      <c r="A199" s="84">
        <v>12</v>
      </c>
      <c r="B199" s="86">
        <v>40967</v>
      </c>
      <c r="C199" s="88">
        <v>71110012</v>
      </c>
      <c r="D199" s="88" t="s">
        <v>211</v>
      </c>
      <c r="E199" s="89">
        <v>750</v>
      </c>
      <c r="F199" s="88" t="s">
        <v>3035</v>
      </c>
      <c r="G199" s="88" t="s">
        <v>3867</v>
      </c>
      <c r="H199" s="213">
        <v>7.4999999999999997E-2</v>
      </c>
      <c r="I199" s="29">
        <f t="shared" si="3"/>
        <v>500</v>
      </c>
    </row>
    <row r="200" spans="1:9">
      <c r="A200" s="84">
        <v>12</v>
      </c>
      <c r="B200" s="86">
        <v>40973</v>
      </c>
      <c r="C200" s="88">
        <v>71110012</v>
      </c>
      <c r="D200" s="91" t="s">
        <v>211</v>
      </c>
      <c r="E200" s="89">
        <v>1125</v>
      </c>
      <c r="F200" s="91" t="s">
        <v>3251</v>
      </c>
      <c r="G200" s="88" t="s">
        <v>3867</v>
      </c>
      <c r="H200" s="213">
        <v>7.4999999999999997E-2</v>
      </c>
      <c r="I200" s="29">
        <f t="shared" si="3"/>
        <v>749.99999999999989</v>
      </c>
    </row>
    <row r="201" spans="1:9">
      <c r="A201" s="84">
        <v>12</v>
      </c>
      <c r="B201" s="86">
        <v>40973</v>
      </c>
      <c r="C201" s="88">
        <v>71120012</v>
      </c>
      <c r="D201" s="91" t="s">
        <v>211</v>
      </c>
      <c r="E201" s="89">
        <v>150</v>
      </c>
      <c r="F201" s="91" t="s">
        <v>3252</v>
      </c>
      <c r="G201" s="88" t="s">
        <v>3868</v>
      </c>
      <c r="H201" s="213">
        <v>0.06</v>
      </c>
      <c r="I201" s="29">
        <f t="shared" si="3"/>
        <v>87.499999999999986</v>
      </c>
    </row>
    <row r="202" spans="1:9">
      <c r="A202" s="84">
        <v>12</v>
      </c>
      <c r="B202" s="86">
        <v>40975</v>
      </c>
      <c r="C202" s="88">
        <v>71110012</v>
      </c>
      <c r="D202" s="91" t="s">
        <v>211</v>
      </c>
      <c r="E202" s="89">
        <v>1875</v>
      </c>
      <c r="F202" s="91" t="s">
        <v>512</v>
      </c>
      <c r="G202" s="88" t="s">
        <v>3867</v>
      </c>
      <c r="H202" s="213">
        <v>7.4999999999999997E-2</v>
      </c>
      <c r="I202" s="29">
        <f t="shared" si="3"/>
        <v>1249.9999999999998</v>
      </c>
    </row>
    <row r="203" spans="1:9">
      <c r="A203" s="84">
        <v>12</v>
      </c>
      <c r="B203" s="86">
        <v>40980</v>
      </c>
      <c r="C203" s="88">
        <v>71120012</v>
      </c>
      <c r="D203" s="91" t="s">
        <v>211</v>
      </c>
      <c r="E203" s="89">
        <v>150</v>
      </c>
      <c r="F203" s="91" t="s">
        <v>539</v>
      </c>
      <c r="G203" s="88" t="s">
        <v>3868</v>
      </c>
      <c r="H203" s="213">
        <v>0.06</v>
      </c>
      <c r="I203" s="29">
        <f t="shared" si="3"/>
        <v>87.499999999999986</v>
      </c>
    </row>
    <row r="204" spans="1:9">
      <c r="A204" s="84">
        <v>13</v>
      </c>
      <c r="B204" s="83">
        <v>40929</v>
      </c>
      <c r="C204" s="84">
        <v>71120013</v>
      </c>
      <c r="D204" s="81" t="s">
        <v>144</v>
      </c>
      <c r="E204" s="82">
        <v>150</v>
      </c>
      <c r="F204" s="85" t="s">
        <v>145</v>
      </c>
      <c r="G204" s="81" t="s">
        <v>3868</v>
      </c>
      <c r="H204" s="212">
        <v>0.06</v>
      </c>
      <c r="I204" s="29">
        <f t="shared" si="3"/>
        <v>87.499999999999986</v>
      </c>
    </row>
    <row r="205" spans="1:9">
      <c r="A205" s="84">
        <v>13</v>
      </c>
      <c r="B205" s="86">
        <v>40938</v>
      </c>
      <c r="C205" s="87">
        <v>71120013</v>
      </c>
      <c r="D205" s="88" t="s">
        <v>150</v>
      </c>
      <c r="E205" s="89">
        <v>150</v>
      </c>
      <c r="F205" s="88" t="s">
        <v>151</v>
      </c>
      <c r="G205" s="88" t="s">
        <v>3868</v>
      </c>
      <c r="H205" s="213">
        <v>0.06</v>
      </c>
      <c r="I205" s="29">
        <f t="shared" si="3"/>
        <v>87.499999999999986</v>
      </c>
    </row>
    <row r="206" spans="1:9">
      <c r="A206" s="84">
        <v>13</v>
      </c>
      <c r="B206" s="86">
        <v>40943</v>
      </c>
      <c r="C206" s="87">
        <v>71120013</v>
      </c>
      <c r="D206" s="88" t="s">
        <v>403</v>
      </c>
      <c r="E206" s="89">
        <v>150</v>
      </c>
      <c r="F206" s="88" t="s">
        <v>404</v>
      </c>
      <c r="G206" s="88" t="s">
        <v>3868</v>
      </c>
      <c r="H206" s="213">
        <v>0.06</v>
      </c>
      <c r="I206" s="29">
        <f t="shared" si="3"/>
        <v>87.499999999999986</v>
      </c>
    </row>
    <row r="207" spans="1:9">
      <c r="A207" s="84">
        <v>13</v>
      </c>
      <c r="B207" s="86">
        <v>40950</v>
      </c>
      <c r="C207" s="87">
        <v>71120013</v>
      </c>
      <c r="D207" s="88" t="s">
        <v>144</v>
      </c>
      <c r="E207" s="89">
        <v>150</v>
      </c>
      <c r="F207" s="88" t="s">
        <v>3613</v>
      </c>
      <c r="G207" s="88" t="s">
        <v>3868</v>
      </c>
      <c r="H207" s="213">
        <v>0.06</v>
      </c>
      <c r="I207" s="29">
        <f t="shared" si="3"/>
        <v>87.499999999999986</v>
      </c>
    </row>
    <row r="208" spans="1:9">
      <c r="A208" s="84">
        <v>13</v>
      </c>
      <c r="B208" s="86">
        <v>40957</v>
      </c>
      <c r="C208" s="87">
        <v>71120013</v>
      </c>
      <c r="D208" s="88" t="s">
        <v>3456</v>
      </c>
      <c r="E208" s="89">
        <v>150</v>
      </c>
      <c r="F208" s="88" t="s">
        <v>3457</v>
      </c>
      <c r="G208" s="88" t="s">
        <v>3868</v>
      </c>
      <c r="H208" s="213">
        <v>0.06</v>
      </c>
      <c r="I208" s="29">
        <f t="shared" si="3"/>
        <v>87.499999999999986</v>
      </c>
    </row>
    <row r="209" spans="1:9">
      <c r="A209" s="84">
        <v>13</v>
      </c>
      <c r="B209" s="86">
        <v>40964</v>
      </c>
      <c r="C209" s="88">
        <v>71120013</v>
      </c>
      <c r="D209" s="88" t="s">
        <v>2872</v>
      </c>
      <c r="E209" s="89">
        <v>150</v>
      </c>
      <c r="F209" s="88" t="s">
        <v>2873</v>
      </c>
      <c r="G209" s="88" t="s">
        <v>3868</v>
      </c>
      <c r="H209" s="213">
        <v>0.06</v>
      </c>
      <c r="I209" s="29">
        <f t="shared" si="3"/>
        <v>87.499999999999986</v>
      </c>
    </row>
    <row r="210" spans="1:9">
      <c r="A210" s="84">
        <v>13</v>
      </c>
      <c r="B210" s="86">
        <v>40971</v>
      </c>
      <c r="C210" s="88">
        <v>71120013</v>
      </c>
      <c r="D210" s="91" t="s">
        <v>2872</v>
      </c>
      <c r="E210" s="89">
        <v>150</v>
      </c>
      <c r="F210" s="91" t="s">
        <v>3088</v>
      </c>
      <c r="G210" s="88" t="s">
        <v>3868</v>
      </c>
      <c r="H210" s="213">
        <v>0.06</v>
      </c>
      <c r="I210" s="29">
        <f t="shared" si="3"/>
        <v>87.499999999999986</v>
      </c>
    </row>
    <row r="211" spans="1:9">
      <c r="A211" s="84">
        <v>13</v>
      </c>
      <c r="B211" s="86">
        <v>40973</v>
      </c>
      <c r="C211" s="88">
        <v>71120013</v>
      </c>
      <c r="D211" s="91" t="s">
        <v>2872</v>
      </c>
      <c r="E211" s="89">
        <v>150</v>
      </c>
      <c r="F211" s="91" t="s">
        <v>3241</v>
      </c>
      <c r="G211" s="88" t="s">
        <v>3868</v>
      </c>
      <c r="H211" s="213">
        <v>0.06</v>
      </c>
      <c r="I211" s="29">
        <f t="shared" si="3"/>
        <v>87.499999999999986</v>
      </c>
    </row>
    <row r="212" spans="1:9">
      <c r="A212" s="84">
        <v>13</v>
      </c>
      <c r="B212" s="86">
        <v>40973</v>
      </c>
      <c r="C212" s="88">
        <v>71120013</v>
      </c>
      <c r="D212" s="91" t="s">
        <v>2872</v>
      </c>
      <c r="E212" s="89">
        <v>3450</v>
      </c>
      <c r="F212" s="91" t="s">
        <v>636</v>
      </c>
      <c r="G212" s="88" t="s">
        <v>3868</v>
      </c>
      <c r="H212" s="213">
        <v>0.06</v>
      </c>
      <c r="I212" s="29">
        <f t="shared" si="3"/>
        <v>2012.4999999999998</v>
      </c>
    </row>
    <row r="213" spans="1:9">
      <c r="A213" s="84">
        <v>13</v>
      </c>
      <c r="B213" s="86">
        <v>40981</v>
      </c>
      <c r="C213" s="88">
        <v>71120013</v>
      </c>
      <c r="D213" s="91" t="s">
        <v>2872</v>
      </c>
      <c r="E213" s="89">
        <v>150</v>
      </c>
      <c r="F213" s="91" t="s">
        <v>560</v>
      </c>
      <c r="G213" s="88" t="s">
        <v>3868</v>
      </c>
      <c r="H213" s="213">
        <v>0.06</v>
      </c>
      <c r="I213" s="29">
        <f t="shared" si="3"/>
        <v>87.499999999999986</v>
      </c>
    </row>
    <row r="214" spans="1:9">
      <c r="A214" s="84">
        <v>14</v>
      </c>
      <c r="B214" s="86">
        <v>40932</v>
      </c>
      <c r="C214" s="87">
        <v>71110014</v>
      </c>
      <c r="D214" s="88" t="s">
        <v>146</v>
      </c>
      <c r="E214" s="89">
        <v>1500</v>
      </c>
      <c r="F214" s="88" t="s">
        <v>147</v>
      </c>
      <c r="G214" s="88" t="s">
        <v>3867</v>
      </c>
      <c r="H214" s="213">
        <v>7.4999999999999997E-2</v>
      </c>
      <c r="I214" s="29">
        <f t="shared" si="3"/>
        <v>1000</v>
      </c>
    </row>
    <row r="215" spans="1:9">
      <c r="A215" s="84">
        <v>14</v>
      </c>
      <c r="B215" s="86">
        <v>40942</v>
      </c>
      <c r="C215" s="87">
        <v>71110014</v>
      </c>
      <c r="D215" s="88" t="s">
        <v>146</v>
      </c>
      <c r="E215" s="89">
        <v>750</v>
      </c>
      <c r="F215" s="88" t="s">
        <v>397</v>
      </c>
      <c r="G215" s="88" t="s">
        <v>3867</v>
      </c>
      <c r="H215" s="213">
        <v>7.4999999999999997E-2</v>
      </c>
      <c r="I215" s="29">
        <f t="shared" si="3"/>
        <v>500</v>
      </c>
    </row>
    <row r="216" spans="1:9">
      <c r="A216" s="84">
        <v>14</v>
      </c>
      <c r="B216" s="86">
        <v>40950</v>
      </c>
      <c r="C216" s="87">
        <v>71110014</v>
      </c>
      <c r="D216" s="88" t="s">
        <v>146</v>
      </c>
      <c r="E216" s="89">
        <v>750</v>
      </c>
      <c r="F216" s="88" t="s">
        <v>3612</v>
      </c>
      <c r="G216" s="88" t="s">
        <v>3867</v>
      </c>
      <c r="H216" s="213">
        <v>7.4999999999999997E-2</v>
      </c>
      <c r="I216" s="29">
        <f t="shared" si="3"/>
        <v>500</v>
      </c>
    </row>
    <row r="217" spans="1:9">
      <c r="A217" s="84">
        <v>14</v>
      </c>
      <c r="B217" s="86">
        <v>40963</v>
      </c>
      <c r="C217" s="88">
        <v>71110014</v>
      </c>
      <c r="D217" s="88" t="s">
        <v>2864</v>
      </c>
      <c r="E217" s="89">
        <v>750</v>
      </c>
      <c r="F217" s="88" t="s">
        <v>2865</v>
      </c>
      <c r="G217" s="88" t="s">
        <v>3867</v>
      </c>
      <c r="H217" s="213">
        <v>7.4999999999999997E-2</v>
      </c>
      <c r="I217" s="29">
        <f t="shared" si="3"/>
        <v>500</v>
      </c>
    </row>
    <row r="218" spans="1:9">
      <c r="A218" s="84">
        <v>14</v>
      </c>
      <c r="B218" s="86">
        <v>40970</v>
      </c>
      <c r="C218" s="88">
        <v>71110014</v>
      </c>
      <c r="D218" s="88" t="s">
        <v>2864</v>
      </c>
      <c r="E218" s="89">
        <v>375</v>
      </c>
      <c r="F218" s="88" t="s">
        <v>3074</v>
      </c>
      <c r="G218" s="88" t="s">
        <v>3867</v>
      </c>
      <c r="H218" s="213">
        <v>7.4999999999999997E-2</v>
      </c>
      <c r="I218" s="29">
        <f t="shared" si="3"/>
        <v>250</v>
      </c>
    </row>
    <row r="219" spans="1:9">
      <c r="A219" s="84">
        <v>14</v>
      </c>
      <c r="B219" s="86">
        <v>40970</v>
      </c>
      <c r="C219" s="88">
        <v>71110014</v>
      </c>
      <c r="D219" s="88" t="s">
        <v>2864</v>
      </c>
      <c r="E219" s="89">
        <v>750</v>
      </c>
      <c r="F219" s="88" t="s">
        <v>3075</v>
      </c>
      <c r="G219" s="88" t="s">
        <v>3867</v>
      </c>
      <c r="H219" s="213">
        <v>7.4999999999999997E-2</v>
      </c>
      <c r="I219" s="29">
        <f t="shared" si="3"/>
        <v>500</v>
      </c>
    </row>
    <row r="220" spans="1:9">
      <c r="A220" s="84">
        <v>14</v>
      </c>
      <c r="B220" s="86">
        <v>40970</v>
      </c>
      <c r="C220" s="88">
        <v>71120014</v>
      </c>
      <c r="D220" s="88" t="s">
        <v>2864</v>
      </c>
      <c r="E220" s="89">
        <v>150</v>
      </c>
      <c r="F220" s="88" t="s">
        <v>3077</v>
      </c>
      <c r="G220" s="88" t="s">
        <v>3868</v>
      </c>
      <c r="H220" s="213">
        <v>0.06</v>
      </c>
      <c r="I220" s="29">
        <f t="shared" si="3"/>
        <v>87.499999999999986</v>
      </c>
    </row>
    <row r="221" spans="1:9">
      <c r="A221" s="84">
        <v>14</v>
      </c>
      <c r="B221" s="86">
        <v>40977</v>
      </c>
      <c r="C221" s="88">
        <v>71120014</v>
      </c>
      <c r="D221" s="91" t="s">
        <v>2864</v>
      </c>
      <c r="E221" s="89">
        <v>150</v>
      </c>
      <c r="F221" s="91" t="s">
        <v>526</v>
      </c>
      <c r="G221" s="88" t="s">
        <v>3868</v>
      </c>
      <c r="H221" s="213">
        <v>0.06</v>
      </c>
      <c r="I221" s="29">
        <f t="shared" si="3"/>
        <v>87.499999999999986</v>
      </c>
    </row>
    <row r="222" spans="1:9">
      <c r="A222" s="84">
        <v>14</v>
      </c>
      <c r="B222" s="86">
        <v>40977</v>
      </c>
      <c r="C222" s="88">
        <v>71110014</v>
      </c>
      <c r="D222" s="91" t="s">
        <v>2864</v>
      </c>
      <c r="E222" s="89">
        <v>375</v>
      </c>
      <c r="F222" s="91" t="s">
        <v>527</v>
      </c>
      <c r="G222" s="88" t="s">
        <v>3867</v>
      </c>
      <c r="H222" s="213">
        <v>7.4999999999999997E-2</v>
      </c>
      <c r="I222" s="29">
        <f t="shared" si="3"/>
        <v>250</v>
      </c>
    </row>
    <row r="223" spans="1:9">
      <c r="A223" s="84">
        <v>14</v>
      </c>
      <c r="B223" s="86">
        <v>40977</v>
      </c>
      <c r="C223" s="88">
        <v>71110014</v>
      </c>
      <c r="D223" s="91" t="s">
        <v>2864</v>
      </c>
      <c r="E223" s="89">
        <v>750</v>
      </c>
      <c r="F223" s="91" t="s">
        <v>3075</v>
      </c>
      <c r="G223" s="88" t="s">
        <v>3867</v>
      </c>
      <c r="H223" s="213">
        <v>7.4999999999999997E-2</v>
      </c>
      <c r="I223" s="29">
        <f t="shared" si="3"/>
        <v>500</v>
      </c>
    </row>
    <row r="224" spans="1:9">
      <c r="A224" s="84">
        <v>14</v>
      </c>
      <c r="B224" s="86">
        <v>40983</v>
      </c>
      <c r="C224" s="88">
        <v>71110014</v>
      </c>
      <c r="D224" s="91" t="s">
        <v>2864</v>
      </c>
      <c r="E224" s="89">
        <v>1875</v>
      </c>
      <c r="F224" s="91" t="s">
        <v>1262</v>
      </c>
      <c r="G224" s="88" t="s">
        <v>3867</v>
      </c>
      <c r="H224" s="213">
        <v>7.4999999999999997E-2</v>
      </c>
      <c r="I224" s="29">
        <f t="shared" si="3"/>
        <v>1249.9999999999998</v>
      </c>
    </row>
    <row r="225" spans="1:9">
      <c r="A225" s="84">
        <v>14</v>
      </c>
      <c r="B225" s="86">
        <v>40983</v>
      </c>
      <c r="C225" s="88">
        <v>71120014</v>
      </c>
      <c r="D225" s="91" t="s">
        <v>2864</v>
      </c>
      <c r="E225" s="89">
        <v>150</v>
      </c>
      <c r="F225" s="91" t="s">
        <v>1265</v>
      </c>
      <c r="G225" s="88" t="s">
        <v>3868</v>
      </c>
      <c r="H225" s="213">
        <v>0.06</v>
      </c>
      <c r="I225" s="29">
        <f t="shared" si="3"/>
        <v>87.499999999999986</v>
      </c>
    </row>
    <row r="226" spans="1:9">
      <c r="A226" s="84">
        <v>15</v>
      </c>
      <c r="B226" s="86">
        <v>40939</v>
      </c>
      <c r="C226" s="87">
        <v>71120015</v>
      </c>
      <c r="D226" s="88" t="s">
        <v>159</v>
      </c>
      <c r="E226" s="89">
        <v>150</v>
      </c>
      <c r="F226" s="88" t="s">
        <v>160</v>
      </c>
      <c r="G226" s="88" t="s">
        <v>3868</v>
      </c>
      <c r="H226" s="213">
        <v>0.06</v>
      </c>
      <c r="I226" s="29">
        <f t="shared" si="3"/>
        <v>87.499999999999986</v>
      </c>
    </row>
    <row r="227" spans="1:9">
      <c r="A227" s="84">
        <v>15</v>
      </c>
      <c r="B227" s="86">
        <v>40946</v>
      </c>
      <c r="C227" s="87">
        <v>71120015</v>
      </c>
      <c r="D227" s="88" t="s">
        <v>159</v>
      </c>
      <c r="E227" s="89">
        <v>150</v>
      </c>
      <c r="F227" s="88" t="s">
        <v>3588</v>
      </c>
      <c r="G227" s="88" t="s">
        <v>3868</v>
      </c>
      <c r="H227" s="213">
        <v>0.06</v>
      </c>
      <c r="I227" s="29">
        <f t="shared" si="3"/>
        <v>87.499999999999986</v>
      </c>
    </row>
    <row r="228" spans="1:9">
      <c r="A228" s="84">
        <v>15</v>
      </c>
      <c r="B228" s="86">
        <v>40953</v>
      </c>
      <c r="C228" s="87">
        <v>71120015</v>
      </c>
      <c r="D228" s="88" t="s">
        <v>3429</v>
      </c>
      <c r="E228" s="89">
        <v>150</v>
      </c>
      <c r="F228" s="88" t="s">
        <v>3430</v>
      </c>
      <c r="G228" s="88" t="s">
        <v>3868</v>
      </c>
      <c r="H228" s="213">
        <v>0.06</v>
      </c>
      <c r="I228" s="29">
        <f t="shared" si="3"/>
        <v>87.499999999999986</v>
      </c>
    </row>
    <row r="229" spans="1:9">
      <c r="A229" s="84">
        <v>15</v>
      </c>
      <c r="B229" s="86">
        <v>40960</v>
      </c>
      <c r="C229" s="87">
        <v>71120015</v>
      </c>
      <c r="D229" s="88" t="s">
        <v>3429</v>
      </c>
      <c r="E229" s="89">
        <v>150</v>
      </c>
      <c r="F229" s="88" t="s">
        <v>2825</v>
      </c>
      <c r="G229" s="88" t="s">
        <v>3868</v>
      </c>
      <c r="H229" s="213">
        <v>0.06</v>
      </c>
      <c r="I229" s="29">
        <f t="shared" si="3"/>
        <v>87.499999999999986</v>
      </c>
    </row>
    <row r="230" spans="1:9">
      <c r="A230" s="84">
        <v>15</v>
      </c>
      <c r="B230" s="86">
        <v>40966</v>
      </c>
      <c r="C230" s="88">
        <v>71120015</v>
      </c>
      <c r="D230" s="88" t="s">
        <v>3016</v>
      </c>
      <c r="E230" s="89">
        <v>300</v>
      </c>
      <c r="F230" s="88" t="s">
        <v>3017</v>
      </c>
      <c r="G230" s="88" t="s">
        <v>3868</v>
      </c>
      <c r="H230" s="213">
        <v>0.06</v>
      </c>
      <c r="I230" s="29">
        <f t="shared" si="3"/>
        <v>174.99999999999997</v>
      </c>
    </row>
    <row r="231" spans="1:9">
      <c r="A231" s="84">
        <v>15</v>
      </c>
      <c r="B231" s="86">
        <v>40966</v>
      </c>
      <c r="C231" s="88">
        <v>71120015</v>
      </c>
      <c r="D231" s="88" t="s">
        <v>3016</v>
      </c>
      <c r="E231" s="89">
        <v>150</v>
      </c>
      <c r="F231" s="88" t="s">
        <v>3018</v>
      </c>
      <c r="G231" s="88" t="s">
        <v>3868</v>
      </c>
      <c r="H231" s="213">
        <v>0.06</v>
      </c>
      <c r="I231" s="29">
        <f t="shared" si="3"/>
        <v>87.499999999999986</v>
      </c>
    </row>
    <row r="232" spans="1:9">
      <c r="A232" s="84">
        <v>15</v>
      </c>
      <c r="B232" s="86">
        <v>40973</v>
      </c>
      <c r="C232" s="88">
        <v>71120015</v>
      </c>
      <c r="D232" s="91" t="s">
        <v>3016</v>
      </c>
      <c r="E232" s="89">
        <v>300</v>
      </c>
      <c r="F232" s="91" t="s">
        <v>3249</v>
      </c>
      <c r="G232" s="88" t="s">
        <v>3868</v>
      </c>
      <c r="H232" s="213">
        <v>0.06</v>
      </c>
      <c r="I232" s="29">
        <f t="shared" si="3"/>
        <v>174.99999999999997</v>
      </c>
    </row>
    <row r="233" spans="1:9">
      <c r="A233" s="84">
        <v>15</v>
      </c>
      <c r="B233" s="86">
        <v>40974</v>
      </c>
      <c r="C233" s="88">
        <v>71120015</v>
      </c>
      <c r="D233" s="91" t="s">
        <v>2763</v>
      </c>
      <c r="E233" s="89">
        <v>150</v>
      </c>
      <c r="F233" s="91" t="s">
        <v>2764</v>
      </c>
      <c r="G233" s="88" t="s">
        <v>3868</v>
      </c>
      <c r="H233" s="213">
        <v>0.06</v>
      </c>
      <c r="I233" s="29">
        <f t="shared" si="3"/>
        <v>87.499999999999986</v>
      </c>
    </row>
    <row r="234" spans="1:9">
      <c r="A234" s="84">
        <v>15</v>
      </c>
      <c r="B234" s="86">
        <v>40980</v>
      </c>
      <c r="C234" s="88">
        <v>71120015</v>
      </c>
      <c r="D234" s="91" t="s">
        <v>3016</v>
      </c>
      <c r="E234" s="89">
        <v>300</v>
      </c>
      <c r="F234" s="91" t="s">
        <v>557</v>
      </c>
      <c r="G234" s="88" t="s">
        <v>3868</v>
      </c>
      <c r="H234" s="213">
        <v>0.06</v>
      </c>
      <c r="I234" s="29">
        <f t="shared" si="3"/>
        <v>174.99999999999997</v>
      </c>
    </row>
    <row r="235" spans="1:9">
      <c r="A235" s="84">
        <v>15</v>
      </c>
      <c r="B235" s="86">
        <v>40980</v>
      </c>
      <c r="C235" s="88">
        <v>71120015</v>
      </c>
      <c r="D235" s="91" t="s">
        <v>3016</v>
      </c>
      <c r="E235" s="89">
        <v>150</v>
      </c>
      <c r="F235" s="91" t="s">
        <v>558</v>
      </c>
      <c r="G235" s="88" t="s">
        <v>3868</v>
      </c>
      <c r="H235" s="213">
        <v>0.06</v>
      </c>
      <c r="I235" s="29">
        <f t="shared" si="3"/>
        <v>87.499999999999986</v>
      </c>
    </row>
    <row r="236" spans="1:9">
      <c r="A236" s="84">
        <v>15</v>
      </c>
      <c r="B236" s="86">
        <v>40981</v>
      </c>
      <c r="C236" s="88">
        <v>71110015</v>
      </c>
      <c r="D236" s="91" t="s">
        <v>3016</v>
      </c>
      <c r="E236" s="89">
        <v>750</v>
      </c>
      <c r="F236" s="91" t="s">
        <v>563</v>
      </c>
      <c r="G236" s="88" t="s">
        <v>3867</v>
      </c>
      <c r="H236" s="213">
        <v>7.4999999999999997E-2</v>
      </c>
      <c r="I236" s="29">
        <f t="shared" si="3"/>
        <v>500</v>
      </c>
    </row>
    <row r="237" spans="1:9">
      <c r="A237" s="84">
        <v>16</v>
      </c>
      <c r="B237" s="86">
        <v>40939</v>
      </c>
      <c r="C237" s="87">
        <v>71120016</v>
      </c>
      <c r="D237" s="88" t="s">
        <v>161</v>
      </c>
      <c r="E237" s="89">
        <v>150</v>
      </c>
      <c r="F237" s="88" t="s">
        <v>162</v>
      </c>
      <c r="G237" s="88" t="s">
        <v>3868</v>
      </c>
      <c r="H237" s="213">
        <v>0.06</v>
      </c>
      <c r="I237" s="29">
        <f t="shared" si="3"/>
        <v>87.499999999999986</v>
      </c>
    </row>
    <row r="238" spans="1:9">
      <c r="A238" s="84">
        <v>16</v>
      </c>
      <c r="B238" s="86">
        <v>40947</v>
      </c>
      <c r="C238" s="87">
        <v>71120016</v>
      </c>
      <c r="D238" s="88" t="s">
        <v>161</v>
      </c>
      <c r="E238" s="89">
        <v>150</v>
      </c>
      <c r="F238" s="88" t="s">
        <v>3594</v>
      </c>
      <c r="G238" s="88" t="s">
        <v>3868</v>
      </c>
      <c r="H238" s="213">
        <v>0.06</v>
      </c>
      <c r="I238" s="29">
        <f t="shared" si="3"/>
        <v>87.499999999999986</v>
      </c>
    </row>
    <row r="239" spans="1:9">
      <c r="A239" s="84">
        <v>16</v>
      </c>
      <c r="B239" s="86">
        <v>40953</v>
      </c>
      <c r="C239" s="87">
        <v>71120016</v>
      </c>
      <c r="D239" s="88" t="s">
        <v>3431</v>
      </c>
      <c r="E239" s="89">
        <v>150</v>
      </c>
      <c r="F239" s="88" t="s">
        <v>3432</v>
      </c>
      <c r="G239" s="88" t="s">
        <v>3868</v>
      </c>
      <c r="H239" s="213">
        <v>0.06</v>
      </c>
      <c r="I239" s="29">
        <f t="shared" si="3"/>
        <v>87.499999999999986</v>
      </c>
    </row>
    <row r="240" spans="1:9">
      <c r="A240" s="84">
        <v>16</v>
      </c>
      <c r="B240" s="86">
        <v>40962</v>
      </c>
      <c r="C240" s="87">
        <v>71120016</v>
      </c>
      <c r="D240" s="88" t="s">
        <v>2848</v>
      </c>
      <c r="E240" s="89">
        <v>150</v>
      </c>
      <c r="F240" s="88" t="s">
        <v>2849</v>
      </c>
      <c r="G240" s="88" t="s">
        <v>3868</v>
      </c>
      <c r="H240" s="213">
        <v>0.06</v>
      </c>
      <c r="I240" s="29">
        <f t="shared" si="3"/>
        <v>87.499999999999986</v>
      </c>
    </row>
    <row r="241" spans="1:9">
      <c r="A241" s="84">
        <v>16</v>
      </c>
      <c r="B241" s="86">
        <v>40968</v>
      </c>
      <c r="C241" s="88">
        <v>71120016</v>
      </c>
      <c r="D241" s="88" t="s">
        <v>2848</v>
      </c>
      <c r="E241" s="89">
        <v>150</v>
      </c>
      <c r="F241" s="88" t="s">
        <v>3046</v>
      </c>
      <c r="G241" s="88" t="s">
        <v>3868</v>
      </c>
      <c r="H241" s="213">
        <v>0.06</v>
      </c>
      <c r="I241" s="29">
        <f t="shared" si="3"/>
        <v>87.499999999999986</v>
      </c>
    </row>
    <row r="242" spans="1:9">
      <c r="A242" s="84">
        <v>16</v>
      </c>
      <c r="B242" s="86">
        <v>40969</v>
      </c>
      <c r="C242" s="88">
        <v>71110016</v>
      </c>
      <c r="D242" s="88" t="s">
        <v>2848</v>
      </c>
      <c r="E242" s="89">
        <v>375</v>
      </c>
      <c r="F242" s="88" t="s">
        <v>3068</v>
      </c>
      <c r="G242" s="88" t="s">
        <v>3867</v>
      </c>
      <c r="H242" s="213">
        <v>7.4999999999999997E-2</v>
      </c>
      <c r="I242" s="29">
        <f t="shared" si="3"/>
        <v>250</v>
      </c>
    </row>
    <row r="243" spans="1:9">
      <c r="A243" s="84">
        <v>16</v>
      </c>
      <c r="B243" s="86">
        <v>40976</v>
      </c>
      <c r="C243" s="88">
        <v>71120016</v>
      </c>
      <c r="D243" s="91" t="s">
        <v>2848</v>
      </c>
      <c r="E243" s="89">
        <v>150</v>
      </c>
      <c r="F243" s="91" t="s">
        <v>513</v>
      </c>
      <c r="G243" s="88" t="s">
        <v>3868</v>
      </c>
      <c r="H243" s="213">
        <v>0.06</v>
      </c>
      <c r="I243" s="29">
        <f t="shared" si="3"/>
        <v>87.499999999999986</v>
      </c>
    </row>
    <row r="244" spans="1:9">
      <c r="A244" s="84">
        <v>16</v>
      </c>
      <c r="B244" s="86">
        <v>40982</v>
      </c>
      <c r="C244" s="88">
        <v>71120016</v>
      </c>
      <c r="D244" s="91" t="s">
        <v>2848</v>
      </c>
      <c r="E244" s="89">
        <v>150</v>
      </c>
      <c r="F244" s="91" t="s">
        <v>568</v>
      </c>
      <c r="G244" s="88" t="s">
        <v>3868</v>
      </c>
      <c r="H244" s="213">
        <v>0.06</v>
      </c>
      <c r="I244" s="29">
        <f t="shared" si="3"/>
        <v>87.499999999999986</v>
      </c>
    </row>
    <row r="245" spans="1:9">
      <c r="A245" s="84">
        <v>16</v>
      </c>
      <c r="B245" s="86">
        <v>40982</v>
      </c>
      <c r="C245" s="88">
        <v>71120016</v>
      </c>
      <c r="D245" s="91" t="s">
        <v>2848</v>
      </c>
      <c r="E245" s="89">
        <v>450</v>
      </c>
      <c r="F245" s="91" t="s">
        <v>1252</v>
      </c>
      <c r="G245" s="88" t="s">
        <v>3868</v>
      </c>
      <c r="H245" s="213">
        <v>0.06</v>
      </c>
      <c r="I245" s="29">
        <f t="shared" si="3"/>
        <v>262.5</v>
      </c>
    </row>
    <row r="246" spans="1:9">
      <c r="A246" s="84">
        <v>16</v>
      </c>
      <c r="B246" s="86">
        <v>40982</v>
      </c>
      <c r="C246" s="88">
        <v>71120016</v>
      </c>
      <c r="D246" s="91" t="s">
        <v>2848</v>
      </c>
      <c r="E246" s="89">
        <v>150</v>
      </c>
      <c r="F246" s="91" t="s">
        <v>637</v>
      </c>
      <c r="G246" s="88" t="s">
        <v>3868</v>
      </c>
      <c r="H246" s="213">
        <v>0.06</v>
      </c>
      <c r="I246" s="29">
        <f t="shared" si="3"/>
        <v>87.499999999999986</v>
      </c>
    </row>
    <row r="247" spans="1:9">
      <c r="A247" s="84">
        <v>17</v>
      </c>
      <c r="B247" s="86">
        <v>40939</v>
      </c>
      <c r="C247" s="87">
        <v>71110017</v>
      </c>
      <c r="D247" s="88" t="s">
        <v>163</v>
      </c>
      <c r="E247" s="89">
        <v>750</v>
      </c>
      <c r="F247" s="88" t="s">
        <v>164</v>
      </c>
      <c r="G247" s="88" t="s">
        <v>3867</v>
      </c>
      <c r="H247" s="213">
        <v>7.4999999999999997E-2</v>
      </c>
      <c r="I247" s="29">
        <f t="shared" si="3"/>
        <v>500</v>
      </c>
    </row>
    <row r="248" spans="1:9">
      <c r="A248" s="84">
        <v>17</v>
      </c>
      <c r="B248" s="86">
        <v>40946</v>
      </c>
      <c r="C248" s="87">
        <v>71110017</v>
      </c>
      <c r="D248" s="88" t="s">
        <v>163</v>
      </c>
      <c r="E248" s="89">
        <v>1500</v>
      </c>
      <c r="F248" s="88" t="s">
        <v>3593</v>
      </c>
      <c r="G248" s="88" t="s">
        <v>3867</v>
      </c>
      <c r="H248" s="213">
        <v>7.4999999999999997E-2</v>
      </c>
      <c r="I248" s="29">
        <f t="shared" si="3"/>
        <v>1000</v>
      </c>
    </row>
    <row r="249" spans="1:9">
      <c r="A249" s="84">
        <v>17</v>
      </c>
      <c r="B249" s="86">
        <v>40954</v>
      </c>
      <c r="C249" s="87">
        <v>71110017</v>
      </c>
      <c r="D249" s="88" t="s">
        <v>163</v>
      </c>
      <c r="E249" s="89">
        <v>750</v>
      </c>
      <c r="F249" s="88" t="s">
        <v>3433</v>
      </c>
      <c r="G249" s="88" t="s">
        <v>3867</v>
      </c>
      <c r="H249" s="213">
        <v>7.4999999999999997E-2</v>
      </c>
      <c r="I249" s="29">
        <f t="shared" si="3"/>
        <v>500</v>
      </c>
    </row>
    <row r="250" spans="1:9">
      <c r="A250" s="84">
        <v>17</v>
      </c>
      <c r="B250" s="86">
        <v>40955</v>
      </c>
      <c r="C250" s="87">
        <v>71110017</v>
      </c>
      <c r="D250" s="88" t="s">
        <v>163</v>
      </c>
      <c r="E250" s="89">
        <v>2250</v>
      </c>
      <c r="F250" s="88" t="s">
        <v>3437</v>
      </c>
      <c r="G250" s="88" t="s">
        <v>3867</v>
      </c>
      <c r="H250" s="213">
        <v>7.4999999999999997E-2</v>
      </c>
      <c r="I250" s="29">
        <f t="shared" si="3"/>
        <v>1499.9999999999998</v>
      </c>
    </row>
    <row r="251" spans="1:9">
      <c r="A251" s="84">
        <v>17</v>
      </c>
      <c r="B251" s="86">
        <v>40966</v>
      </c>
      <c r="C251" s="88">
        <v>71110017</v>
      </c>
      <c r="D251" s="88" t="s">
        <v>3023</v>
      </c>
      <c r="E251" s="89">
        <v>750</v>
      </c>
      <c r="F251" s="88" t="s">
        <v>3024</v>
      </c>
      <c r="G251" s="88" t="s">
        <v>3867</v>
      </c>
      <c r="H251" s="213">
        <v>7.4999999999999997E-2</v>
      </c>
      <c r="I251" s="29">
        <f t="shared" si="3"/>
        <v>500</v>
      </c>
    </row>
    <row r="252" spans="1:9">
      <c r="A252" s="84">
        <v>17</v>
      </c>
      <c r="B252" s="86">
        <v>40966</v>
      </c>
      <c r="C252" s="88">
        <v>71110017</v>
      </c>
      <c r="D252" s="88" t="s">
        <v>3023</v>
      </c>
      <c r="E252" s="89">
        <v>750</v>
      </c>
      <c r="F252" s="88" t="s">
        <v>3025</v>
      </c>
      <c r="G252" s="88" t="s">
        <v>3867</v>
      </c>
      <c r="H252" s="213">
        <v>7.4999999999999997E-2</v>
      </c>
      <c r="I252" s="29">
        <f t="shared" si="3"/>
        <v>500</v>
      </c>
    </row>
    <row r="253" spans="1:9">
      <c r="A253" s="84">
        <v>17</v>
      </c>
      <c r="B253" s="86">
        <v>40966</v>
      </c>
      <c r="C253" s="88">
        <v>71110017</v>
      </c>
      <c r="D253" s="88" t="s">
        <v>3023</v>
      </c>
      <c r="E253" s="89">
        <v>750</v>
      </c>
      <c r="F253" s="88" t="s">
        <v>3026</v>
      </c>
      <c r="G253" s="88" t="s">
        <v>3867</v>
      </c>
      <c r="H253" s="213">
        <v>7.4999999999999997E-2</v>
      </c>
      <c r="I253" s="29">
        <f t="shared" si="3"/>
        <v>500</v>
      </c>
    </row>
    <row r="254" spans="1:9">
      <c r="A254" s="84">
        <v>17</v>
      </c>
      <c r="B254" s="86">
        <v>40973</v>
      </c>
      <c r="C254" s="88">
        <v>71110017</v>
      </c>
      <c r="D254" s="91" t="s">
        <v>3023</v>
      </c>
      <c r="E254" s="89">
        <v>750</v>
      </c>
      <c r="F254" s="91" t="s">
        <v>3234</v>
      </c>
      <c r="G254" s="88" t="s">
        <v>3867</v>
      </c>
      <c r="H254" s="213">
        <v>7.4999999999999997E-2</v>
      </c>
      <c r="I254" s="29">
        <f t="shared" si="3"/>
        <v>500</v>
      </c>
    </row>
    <row r="255" spans="1:9">
      <c r="A255" s="84">
        <v>17</v>
      </c>
      <c r="B255" s="86">
        <v>40973</v>
      </c>
      <c r="C255" s="88">
        <v>71110017</v>
      </c>
      <c r="D255" s="91" t="s">
        <v>3023</v>
      </c>
      <c r="E255" s="89">
        <v>750</v>
      </c>
      <c r="F255" s="91" t="s">
        <v>3235</v>
      </c>
      <c r="G255" s="88" t="s">
        <v>3867</v>
      </c>
      <c r="H255" s="213">
        <v>7.4999999999999997E-2</v>
      </c>
      <c r="I255" s="29">
        <f t="shared" si="3"/>
        <v>500</v>
      </c>
    </row>
    <row r="256" spans="1:9">
      <c r="A256" s="84">
        <v>17</v>
      </c>
      <c r="B256" s="86">
        <v>40973</v>
      </c>
      <c r="C256" s="88">
        <v>71110017</v>
      </c>
      <c r="D256" s="91" t="s">
        <v>3023</v>
      </c>
      <c r="E256" s="89">
        <v>750</v>
      </c>
      <c r="F256" s="91" t="s">
        <v>3236</v>
      </c>
      <c r="G256" s="88" t="s">
        <v>3867</v>
      </c>
      <c r="H256" s="213">
        <v>7.4999999999999997E-2</v>
      </c>
      <c r="I256" s="29">
        <f t="shared" si="3"/>
        <v>500</v>
      </c>
    </row>
    <row r="257" spans="1:9">
      <c r="A257" s="84">
        <v>17</v>
      </c>
      <c r="B257" s="86">
        <v>40981</v>
      </c>
      <c r="C257" s="88">
        <v>71110017</v>
      </c>
      <c r="D257" s="91" t="s">
        <v>3023</v>
      </c>
      <c r="E257" s="89">
        <v>1125</v>
      </c>
      <c r="F257" s="91" t="s">
        <v>562</v>
      </c>
      <c r="G257" s="88" t="s">
        <v>3867</v>
      </c>
      <c r="H257" s="213">
        <v>7.4999999999999997E-2</v>
      </c>
      <c r="I257" s="29">
        <f t="shared" si="3"/>
        <v>749.99999999999989</v>
      </c>
    </row>
    <row r="258" spans="1:9">
      <c r="A258" s="84">
        <v>17</v>
      </c>
      <c r="B258" s="86">
        <v>40985</v>
      </c>
      <c r="C258" s="88">
        <v>71110017</v>
      </c>
      <c r="D258" s="91" t="s">
        <v>3023</v>
      </c>
      <c r="E258" s="89">
        <v>750</v>
      </c>
      <c r="F258" s="91" t="s">
        <v>630</v>
      </c>
      <c r="G258" s="88" t="s">
        <v>3867</v>
      </c>
      <c r="H258" s="213">
        <v>7.4999999999999997E-2</v>
      </c>
      <c r="I258" s="29">
        <f t="shared" ref="I258:I321" si="4">E258*(H258-0.025)/H258</f>
        <v>500</v>
      </c>
    </row>
    <row r="259" spans="1:9">
      <c r="A259" s="84">
        <v>17</v>
      </c>
      <c r="B259" s="86">
        <v>40985</v>
      </c>
      <c r="C259" s="88">
        <v>71110017</v>
      </c>
      <c r="D259" s="91" t="s">
        <v>3023</v>
      </c>
      <c r="E259" s="89">
        <v>750</v>
      </c>
      <c r="F259" s="91" t="s">
        <v>631</v>
      </c>
      <c r="G259" s="88" t="s">
        <v>3867</v>
      </c>
      <c r="H259" s="213">
        <v>7.4999999999999997E-2</v>
      </c>
      <c r="I259" s="29">
        <f t="shared" si="4"/>
        <v>500</v>
      </c>
    </row>
    <row r="260" spans="1:9">
      <c r="A260" s="84">
        <v>17</v>
      </c>
      <c r="B260" s="86">
        <v>40985</v>
      </c>
      <c r="C260" s="88">
        <v>71110017</v>
      </c>
      <c r="D260" s="91" t="s">
        <v>3023</v>
      </c>
      <c r="E260" s="89">
        <v>750</v>
      </c>
      <c r="F260" s="91" t="s">
        <v>632</v>
      </c>
      <c r="G260" s="88" t="s">
        <v>3867</v>
      </c>
      <c r="H260" s="213">
        <v>7.4999999999999997E-2</v>
      </c>
      <c r="I260" s="29">
        <f t="shared" si="4"/>
        <v>500</v>
      </c>
    </row>
    <row r="261" spans="1:9">
      <c r="A261" s="84">
        <v>18</v>
      </c>
      <c r="B261" s="86">
        <v>40942</v>
      </c>
      <c r="C261" s="87">
        <v>71110018</v>
      </c>
      <c r="D261" s="88" t="s">
        <v>398</v>
      </c>
      <c r="E261" s="89">
        <v>750</v>
      </c>
      <c r="F261" s="88" t="s">
        <v>399</v>
      </c>
      <c r="G261" s="88" t="s">
        <v>3867</v>
      </c>
      <c r="H261" s="213">
        <v>7.4999999999999997E-2</v>
      </c>
      <c r="I261" s="29">
        <f t="shared" si="4"/>
        <v>500</v>
      </c>
    </row>
    <row r="262" spans="1:9">
      <c r="A262" s="84">
        <v>18</v>
      </c>
      <c r="B262" s="86">
        <v>40942</v>
      </c>
      <c r="C262" s="87">
        <v>71120018</v>
      </c>
      <c r="D262" s="88" t="s">
        <v>400</v>
      </c>
      <c r="E262" s="89">
        <v>150</v>
      </c>
      <c r="F262" s="88" t="s">
        <v>401</v>
      </c>
      <c r="G262" s="88" t="s">
        <v>3868</v>
      </c>
      <c r="H262" s="213">
        <v>0.06</v>
      </c>
      <c r="I262" s="29">
        <f t="shared" si="4"/>
        <v>87.499999999999986</v>
      </c>
    </row>
    <row r="263" spans="1:9">
      <c r="A263" s="84">
        <v>18</v>
      </c>
      <c r="B263" s="86">
        <v>40949</v>
      </c>
      <c r="C263" s="87">
        <v>71120018</v>
      </c>
      <c r="D263" s="88" t="s">
        <v>400</v>
      </c>
      <c r="E263" s="89">
        <v>150</v>
      </c>
      <c r="F263" s="88" t="s">
        <v>3599</v>
      </c>
      <c r="G263" s="88" t="s">
        <v>3868</v>
      </c>
      <c r="H263" s="213">
        <v>0.06</v>
      </c>
      <c r="I263" s="29">
        <f t="shared" si="4"/>
        <v>87.499999999999986</v>
      </c>
    </row>
    <row r="264" spans="1:9">
      <c r="A264" s="84">
        <v>18</v>
      </c>
      <c r="B264" s="86">
        <v>40956</v>
      </c>
      <c r="C264" s="87">
        <v>71120018</v>
      </c>
      <c r="D264" s="88" t="s">
        <v>3448</v>
      </c>
      <c r="E264" s="89">
        <v>150</v>
      </c>
      <c r="F264" s="88" t="s">
        <v>3449</v>
      </c>
      <c r="G264" s="88" t="s">
        <v>3868</v>
      </c>
      <c r="H264" s="213">
        <v>0.06</v>
      </c>
      <c r="I264" s="29">
        <f t="shared" si="4"/>
        <v>87.499999999999986</v>
      </c>
    </row>
    <row r="265" spans="1:9">
      <c r="A265" s="84">
        <v>18</v>
      </c>
      <c r="B265" s="86">
        <v>40956</v>
      </c>
      <c r="C265" s="90">
        <v>71110018</v>
      </c>
      <c r="D265" s="88" t="s">
        <v>3450</v>
      </c>
      <c r="E265" s="89">
        <v>750</v>
      </c>
      <c r="F265" s="88" t="s">
        <v>3451</v>
      </c>
      <c r="G265" s="88" t="s">
        <v>3867</v>
      </c>
      <c r="H265" s="213">
        <v>7.4999999999999997E-2</v>
      </c>
      <c r="I265" s="29">
        <f t="shared" si="4"/>
        <v>500</v>
      </c>
    </row>
    <row r="266" spans="1:9">
      <c r="A266" s="84">
        <v>18</v>
      </c>
      <c r="B266" s="86">
        <v>40963</v>
      </c>
      <c r="C266" s="88">
        <v>71120018</v>
      </c>
      <c r="D266" s="88" t="s">
        <v>3450</v>
      </c>
      <c r="E266" s="89">
        <v>150</v>
      </c>
      <c r="F266" s="88" t="s">
        <v>2866</v>
      </c>
      <c r="G266" s="88" t="s">
        <v>3868</v>
      </c>
      <c r="H266" s="213">
        <v>0.06</v>
      </c>
      <c r="I266" s="29">
        <f t="shared" si="4"/>
        <v>87.499999999999986</v>
      </c>
    </row>
    <row r="267" spans="1:9">
      <c r="A267" s="84">
        <v>18</v>
      </c>
      <c r="B267" s="86">
        <v>40970</v>
      </c>
      <c r="C267" s="88">
        <v>71120018</v>
      </c>
      <c r="D267" s="88" t="s">
        <v>3450</v>
      </c>
      <c r="E267" s="89">
        <v>150</v>
      </c>
      <c r="F267" s="88" t="s">
        <v>3072</v>
      </c>
      <c r="G267" s="88" t="s">
        <v>3868</v>
      </c>
      <c r="H267" s="213">
        <v>0.06</v>
      </c>
      <c r="I267" s="29">
        <f t="shared" si="4"/>
        <v>87.499999999999986</v>
      </c>
    </row>
    <row r="268" spans="1:9">
      <c r="A268" s="84">
        <v>18</v>
      </c>
      <c r="B268" s="86">
        <v>40970</v>
      </c>
      <c r="C268" s="88">
        <v>71110018</v>
      </c>
      <c r="D268" s="88" t="s">
        <v>3450</v>
      </c>
      <c r="E268" s="89">
        <v>750</v>
      </c>
      <c r="F268" s="88" t="s">
        <v>3073</v>
      </c>
      <c r="G268" s="88" t="s">
        <v>3867</v>
      </c>
      <c r="H268" s="213">
        <v>7.4999999999999997E-2</v>
      </c>
      <c r="I268" s="29">
        <f t="shared" si="4"/>
        <v>500</v>
      </c>
    </row>
    <row r="269" spans="1:9">
      <c r="A269" s="84">
        <v>18</v>
      </c>
      <c r="B269" s="86">
        <v>40977</v>
      </c>
      <c r="C269" s="88">
        <v>71120018</v>
      </c>
      <c r="D269" s="91" t="s">
        <v>3450</v>
      </c>
      <c r="E269" s="89">
        <v>150</v>
      </c>
      <c r="F269" s="91" t="s">
        <v>523</v>
      </c>
      <c r="G269" s="88" t="s">
        <v>3868</v>
      </c>
      <c r="H269" s="213">
        <v>0.06</v>
      </c>
      <c r="I269" s="29">
        <f t="shared" si="4"/>
        <v>87.499999999999986</v>
      </c>
    </row>
    <row r="270" spans="1:9">
      <c r="A270" s="84">
        <v>18</v>
      </c>
      <c r="B270" s="86">
        <v>40984</v>
      </c>
      <c r="C270" s="88">
        <v>71120018</v>
      </c>
      <c r="D270" s="91" t="s">
        <v>3450</v>
      </c>
      <c r="E270" s="89">
        <v>150</v>
      </c>
      <c r="F270" s="91" t="s">
        <v>523</v>
      </c>
      <c r="G270" s="88" t="s">
        <v>3868</v>
      </c>
      <c r="H270" s="213">
        <v>0.06</v>
      </c>
      <c r="I270" s="29">
        <f t="shared" si="4"/>
        <v>87.499999999999986</v>
      </c>
    </row>
    <row r="271" spans="1:9">
      <c r="A271" s="84">
        <v>18</v>
      </c>
      <c r="B271" s="86">
        <v>40984</v>
      </c>
      <c r="C271" s="88">
        <v>71110018</v>
      </c>
      <c r="D271" s="91" t="s">
        <v>3450</v>
      </c>
      <c r="E271" s="89">
        <v>750</v>
      </c>
      <c r="F271" s="91" t="s">
        <v>1266</v>
      </c>
      <c r="G271" s="88" t="s">
        <v>3867</v>
      </c>
      <c r="H271" s="213">
        <v>7.4999999999999997E-2</v>
      </c>
      <c r="I271" s="29">
        <f t="shared" si="4"/>
        <v>500</v>
      </c>
    </row>
    <row r="272" spans="1:9">
      <c r="A272" s="84">
        <v>19</v>
      </c>
      <c r="B272" s="86">
        <v>40980</v>
      </c>
      <c r="C272" s="88">
        <v>71120019</v>
      </c>
      <c r="D272" s="91" t="s">
        <v>548</v>
      </c>
      <c r="E272" s="89">
        <v>150</v>
      </c>
      <c r="F272" s="91" t="s">
        <v>549</v>
      </c>
      <c r="G272" s="88" t="s">
        <v>3868</v>
      </c>
      <c r="H272" s="213">
        <v>0.06</v>
      </c>
      <c r="I272" s="29">
        <f t="shared" si="4"/>
        <v>87.499999999999986</v>
      </c>
    </row>
    <row r="273" spans="1:9">
      <c r="A273" s="84">
        <v>19</v>
      </c>
      <c r="B273" s="86">
        <v>40985</v>
      </c>
      <c r="C273" s="88">
        <v>71110019</v>
      </c>
      <c r="D273" s="91" t="s">
        <v>548</v>
      </c>
      <c r="E273" s="89">
        <v>19950</v>
      </c>
      <c r="F273" s="91" t="s">
        <v>604</v>
      </c>
      <c r="G273" s="88" t="s">
        <v>3867</v>
      </c>
      <c r="H273" s="213">
        <v>7.4999999999999997E-2</v>
      </c>
      <c r="I273" s="29">
        <f t="shared" si="4"/>
        <v>13299.999999999998</v>
      </c>
    </row>
    <row r="274" spans="1:9">
      <c r="A274" s="84">
        <v>19</v>
      </c>
      <c r="B274" s="86">
        <v>40985</v>
      </c>
      <c r="C274" s="88">
        <v>71110019</v>
      </c>
      <c r="D274" s="91" t="s">
        <v>548</v>
      </c>
      <c r="E274" s="89">
        <v>565</v>
      </c>
      <c r="F274" s="91" t="s">
        <v>605</v>
      </c>
      <c r="G274" s="88" t="s">
        <v>3867</v>
      </c>
      <c r="H274" s="213">
        <v>7.4999999999999997E-2</v>
      </c>
      <c r="I274" s="29">
        <f t="shared" si="4"/>
        <v>376.66666666666663</v>
      </c>
    </row>
    <row r="275" spans="1:9">
      <c r="A275" s="84">
        <v>19</v>
      </c>
      <c r="B275" s="86">
        <v>40985</v>
      </c>
      <c r="C275" s="88">
        <v>71120019</v>
      </c>
      <c r="D275" s="91" t="s">
        <v>548</v>
      </c>
      <c r="E275" s="89">
        <v>150</v>
      </c>
      <c r="F275" s="91" t="s">
        <v>628</v>
      </c>
      <c r="G275" s="88" t="s">
        <v>3868</v>
      </c>
      <c r="H275" s="213">
        <v>0.06</v>
      </c>
      <c r="I275" s="29">
        <f t="shared" si="4"/>
        <v>87.499999999999986</v>
      </c>
    </row>
    <row r="276" spans="1:9">
      <c r="A276" s="84">
        <v>20</v>
      </c>
      <c r="B276" s="86">
        <v>40946</v>
      </c>
      <c r="C276" s="87">
        <v>71110020</v>
      </c>
      <c r="D276" s="88" t="s">
        <v>410</v>
      </c>
      <c r="E276" s="89">
        <v>940</v>
      </c>
      <c r="F276" s="88" t="s">
        <v>411</v>
      </c>
      <c r="G276" s="88" t="s">
        <v>3867</v>
      </c>
      <c r="H276" s="213">
        <v>7.4999999999999997E-2</v>
      </c>
      <c r="I276" s="29">
        <f t="shared" si="4"/>
        <v>626.66666666666663</v>
      </c>
    </row>
    <row r="277" spans="1:9">
      <c r="A277" s="84">
        <v>20</v>
      </c>
      <c r="B277" s="86">
        <v>40960</v>
      </c>
      <c r="C277" s="87">
        <v>71110020</v>
      </c>
      <c r="D277" s="88" t="s">
        <v>2829</v>
      </c>
      <c r="E277" s="89">
        <v>940</v>
      </c>
      <c r="F277" s="88" t="s">
        <v>2830</v>
      </c>
      <c r="G277" s="88" t="s">
        <v>3867</v>
      </c>
      <c r="H277" s="213">
        <v>7.4999999999999997E-2</v>
      </c>
      <c r="I277" s="29">
        <f t="shared" si="4"/>
        <v>626.66666666666663</v>
      </c>
    </row>
    <row r="278" spans="1:9">
      <c r="A278" s="84">
        <v>20</v>
      </c>
      <c r="B278" s="86">
        <v>40975</v>
      </c>
      <c r="C278" s="88">
        <v>71110020</v>
      </c>
      <c r="D278" s="91" t="s">
        <v>2829</v>
      </c>
      <c r="E278" s="89">
        <v>940</v>
      </c>
      <c r="F278" s="91" t="s">
        <v>509</v>
      </c>
      <c r="G278" s="88" t="s">
        <v>3867</v>
      </c>
      <c r="H278" s="213">
        <v>7.4999999999999997E-2</v>
      </c>
      <c r="I278" s="29">
        <f t="shared" si="4"/>
        <v>626.66666666666663</v>
      </c>
    </row>
    <row r="279" spans="1:9">
      <c r="A279" s="84">
        <v>21</v>
      </c>
      <c r="B279" s="86">
        <v>40943</v>
      </c>
      <c r="C279" s="87">
        <v>71110021</v>
      </c>
      <c r="D279" s="88" t="s">
        <v>406</v>
      </c>
      <c r="E279" s="89">
        <v>750</v>
      </c>
      <c r="F279" s="88" t="s">
        <v>407</v>
      </c>
      <c r="G279" s="88" t="s">
        <v>3867</v>
      </c>
      <c r="H279" s="213">
        <v>7.4999999999999997E-2</v>
      </c>
      <c r="I279" s="29">
        <f t="shared" si="4"/>
        <v>500</v>
      </c>
    </row>
    <row r="280" spans="1:9">
      <c r="A280" s="84">
        <v>21</v>
      </c>
      <c r="B280" s="86">
        <v>40959</v>
      </c>
      <c r="C280" s="87">
        <v>71110021</v>
      </c>
      <c r="D280" s="88" t="s">
        <v>3471</v>
      </c>
      <c r="E280" s="89">
        <v>750</v>
      </c>
      <c r="F280" s="88" t="s">
        <v>3472</v>
      </c>
      <c r="G280" s="88" t="s">
        <v>3867</v>
      </c>
      <c r="H280" s="213">
        <v>7.4999999999999997E-2</v>
      </c>
      <c r="I280" s="29">
        <f t="shared" si="4"/>
        <v>500</v>
      </c>
    </row>
    <row r="281" spans="1:9">
      <c r="A281" s="84">
        <v>21</v>
      </c>
      <c r="B281" s="86">
        <v>40964</v>
      </c>
      <c r="C281" s="87">
        <v>71110021</v>
      </c>
      <c r="D281" s="88" t="s">
        <v>3471</v>
      </c>
      <c r="E281" s="89">
        <v>750</v>
      </c>
      <c r="F281" s="88" t="s">
        <v>3010</v>
      </c>
      <c r="G281" s="88" t="s">
        <v>3867</v>
      </c>
      <c r="H281" s="213">
        <v>7.4999999999999997E-2</v>
      </c>
      <c r="I281" s="29">
        <f t="shared" si="4"/>
        <v>500</v>
      </c>
    </row>
    <row r="282" spans="1:9">
      <c r="A282" s="84">
        <v>21</v>
      </c>
      <c r="B282" s="86">
        <v>40971</v>
      </c>
      <c r="C282" s="88">
        <v>71110021</v>
      </c>
      <c r="D282" s="91" t="s">
        <v>3471</v>
      </c>
      <c r="E282" s="89">
        <v>750</v>
      </c>
      <c r="F282" s="91" t="s">
        <v>3094</v>
      </c>
      <c r="G282" s="88" t="s">
        <v>3867</v>
      </c>
      <c r="H282" s="213">
        <v>7.4999999999999997E-2</v>
      </c>
      <c r="I282" s="29">
        <f t="shared" si="4"/>
        <v>500</v>
      </c>
    </row>
    <row r="283" spans="1:9">
      <c r="A283" s="84">
        <v>21</v>
      </c>
      <c r="B283" s="86">
        <v>40978</v>
      </c>
      <c r="C283" s="88">
        <v>71110021</v>
      </c>
      <c r="D283" s="91" t="s">
        <v>3471</v>
      </c>
      <c r="E283" s="89">
        <v>750</v>
      </c>
      <c r="F283" s="91" t="s">
        <v>537</v>
      </c>
      <c r="G283" s="88" t="s">
        <v>3867</v>
      </c>
      <c r="H283" s="213">
        <v>7.4999999999999997E-2</v>
      </c>
      <c r="I283" s="29">
        <f t="shared" si="4"/>
        <v>500</v>
      </c>
    </row>
    <row r="284" spans="1:9">
      <c r="A284" s="84">
        <v>22</v>
      </c>
      <c r="B284" s="86">
        <v>40962</v>
      </c>
      <c r="C284" s="87">
        <v>71110022</v>
      </c>
      <c r="D284" s="88" t="s">
        <v>2858</v>
      </c>
      <c r="E284" s="89">
        <v>300</v>
      </c>
      <c r="F284" s="88" t="s">
        <v>2859</v>
      </c>
      <c r="G284" s="88" t="s">
        <v>3867</v>
      </c>
      <c r="H284" s="213">
        <v>7.4999999999999997E-2</v>
      </c>
      <c r="I284" s="29">
        <f t="shared" si="4"/>
        <v>199.99999999999997</v>
      </c>
    </row>
    <row r="285" spans="1:9">
      <c r="A285" s="84">
        <v>23</v>
      </c>
      <c r="B285" s="86">
        <v>40947</v>
      </c>
      <c r="C285" s="87">
        <v>71110023</v>
      </c>
      <c r="D285" s="88" t="s">
        <v>3597</v>
      </c>
      <c r="E285" s="89">
        <v>7500</v>
      </c>
      <c r="F285" s="88" t="s">
        <v>3598</v>
      </c>
      <c r="G285" s="88" t="s">
        <v>3867</v>
      </c>
      <c r="H285" s="213">
        <v>7.4999999999999997E-2</v>
      </c>
      <c r="I285" s="29">
        <f t="shared" si="4"/>
        <v>4999.9999999999991</v>
      </c>
    </row>
    <row r="286" spans="1:9">
      <c r="A286" s="84">
        <v>23</v>
      </c>
      <c r="B286" s="86">
        <v>40962</v>
      </c>
      <c r="C286" s="87">
        <v>71110023</v>
      </c>
      <c r="D286" s="88" t="s">
        <v>2846</v>
      </c>
      <c r="E286" s="89">
        <v>7500</v>
      </c>
      <c r="F286" s="88" t="s">
        <v>2847</v>
      </c>
      <c r="G286" s="88" t="s">
        <v>3867</v>
      </c>
      <c r="H286" s="213">
        <v>7.4999999999999997E-2</v>
      </c>
      <c r="I286" s="29">
        <f t="shared" si="4"/>
        <v>4999.9999999999991</v>
      </c>
    </row>
    <row r="287" spans="1:9">
      <c r="A287" s="84">
        <v>23</v>
      </c>
      <c r="B287" s="86">
        <v>40976</v>
      </c>
      <c r="C287" s="88">
        <v>71110023</v>
      </c>
      <c r="D287" s="91" t="s">
        <v>516</v>
      </c>
      <c r="E287" s="89">
        <v>7500</v>
      </c>
      <c r="F287" s="91" t="s">
        <v>517</v>
      </c>
      <c r="G287" s="88" t="s">
        <v>3867</v>
      </c>
      <c r="H287" s="213">
        <v>7.4999999999999997E-2</v>
      </c>
      <c r="I287" s="29">
        <f t="shared" si="4"/>
        <v>4999.9999999999991</v>
      </c>
    </row>
    <row r="288" spans="1:9">
      <c r="A288" s="84">
        <v>24</v>
      </c>
      <c r="B288" s="86">
        <v>40947</v>
      </c>
      <c r="C288" s="87">
        <v>71110024</v>
      </c>
      <c r="D288" s="88" t="s">
        <v>3595</v>
      </c>
      <c r="E288" s="89">
        <v>4875</v>
      </c>
      <c r="F288" s="88" t="s">
        <v>3596</v>
      </c>
      <c r="G288" s="88" t="s">
        <v>3867</v>
      </c>
      <c r="H288" s="213">
        <v>7.4999999999999997E-2</v>
      </c>
      <c r="I288" s="29">
        <f t="shared" si="4"/>
        <v>3249.9999999999995</v>
      </c>
    </row>
    <row r="289" spans="1:9">
      <c r="A289" s="84">
        <v>24</v>
      </c>
      <c r="B289" s="86">
        <v>40959</v>
      </c>
      <c r="C289" s="87">
        <v>71110024</v>
      </c>
      <c r="D289" s="88" t="s">
        <v>3479</v>
      </c>
      <c r="E289" s="89">
        <v>1125</v>
      </c>
      <c r="F289" s="88" t="s">
        <v>3480</v>
      </c>
      <c r="G289" s="88" t="s">
        <v>3867</v>
      </c>
      <c r="H289" s="213">
        <v>7.4999999999999997E-2</v>
      </c>
      <c r="I289" s="29">
        <f t="shared" si="4"/>
        <v>749.99999999999989</v>
      </c>
    </row>
    <row r="290" spans="1:9">
      <c r="A290" s="84">
        <v>24</v>
      </c>
      <c r="B290" s="86">
        <v>40959</v>
      </c>
      <c r="C290" s="87">
        <v>71120024</v>
      </c>
      <c r="D290" s="88" t="s">
        <v>3481</v>
      </c>
      <c r="E290" s="89">
        <v>150</v>
      </c>
      <c r="F290" s="88" t="s">
        <v>3424</v>
      </c>
      <c r="G290" s="88" t="s">
        <v>3868</v>
      </c>
      <c r="H290" s="213">
        <v>0.06</v>
      </c>
      <c r="I290" s="29">
        <f t="shared" si="4"/>
        <v>87.499999999999986</v>
      </c>
    </row>
    <row r="291" spans="1:9">
      <c r="A291" s="84">
        <v>24</v>
      </c>
      <c r="B291" s="86">
        <v>40964</v>
      </c>
      <c r="C291" s="88">
        <v>71110024</v>
      </c>
      <c r="D291" s="88" t="s">
        <v>3479</v>
      </c>
      <c r="E291" s="89">
        <v>4875</v>
      </c>
      <c r="F291" s="88" t="s">
        <v>2878</v>
      </c>
      <c r="G291" s="88" t="s">
        <v>3867</v>
      </c>
      <c r="H291" s="213">
        <v>7.4999999999999997E-2</v>
      </c>
      <c r="I291" s="29">
        <f t="shared" si="4"/>
        <v>3249.9999999999995</v>
      </c>
    </row>
    <row r="292" spans="1:9">
      <c r="A292" s="84">
        <v>24</v>
      </c>
      <c r="B292" s="86">
        <v>40966</v>
      </c>
      <c r="C292" s="88">
        <v>71120024</v>
      </c>
      <c r="D292" s="88" t="s">
        <v>3479</v>
      </c>
      <c r="E292" s="89">
        <v>150</v>
      </c>
      <c r="F292" s="88" t="s">
        <v>3014</v>
      </c>
      <c r="G292" s="88" t="s">
        <v>3868</v>
      </c>
      <c r="H292" s="213">
        <v>0.06</v>
      </c>
      <c r="I292" s="29">
        <f t="shared" si="4"/>
        <v>87.499999999999986</v>
      </c>
    </row>
    <row r="293" spans="1:9">
      <c r="A293" s="84">
        <v>24</v>
      </c>
      <c r="B293" s="86">
        <v>40968</v>
      </c>
      <c r="C293" s="88">
        <v>71110024</v>
      </c>
      <c r="D293" s="88" t="s">
        <v>3479</v>
      </c>
      <c r="E293" s="89">
        <v>750</v>
      </c>
      <c r="F293" s="88" t="s">
        <v>3049</v>
      </c>
      <c r="G293" s="88" t="s">
        <v>3867</v>
      </c>
      <c r="H293" s="213">
        <v>7.4999999999999997E-2</v>
      </c>
      <c r="I293" s="29">
        <f t="shared" si="4"/>
        <v>500</v>
      </c>
    </row>
    <row r="294" spans="1:9">
      <c r="A294" s="84">
        <v>24</v>
      </c>
      <c r="B294" s="86">
        <v>40973</v>
      </c>
      <c r="C294" s="88">
        <v>71110024</v>
      </c>
      <c r="D294" s="91" t="s">
        <v>3479</v>
      </c>
      <c r="E294" s="89">
        <v>1125</v>
      </c>
      <c r="F294" s="91" t="s">
        <v>3099</v>
      </c>
      <c r="G294" s="88" t="s">
        <v>3867</v>
      </c>
      <c r="H294" s="213">
        <v>7.4999999999999997E-2</v>
      </c>
      <c r="I294" s="29">
        <f t="shared" si="4"/>
        <v>749.99999999999989</v>
      </c>
    </row>
    <row r="295" spans="1:9">
      <c r="A295" s="84">
        <v>24</v>
      </c>
      <c r="B295" s="86">
        <v>40973</v>
      </c>
      <c r="C295" s="88">
        <v>71120024</v>
      </c>
      <c r="D295" s="88" t="s">
        <v>3479</v>
      </c>
      <c r="E295" s="89">
        <v>150</v>
      </c>
      <c r="F295" s="88" t="s">
        <v>3100</v>
      </c>
      <c r="G295" s="88" t="s">
        <v>3868</v>
      </c>
      <c r="H295" s="213">
        <v>0.06</v>
      </c>
      <c r="I295" s="29">
        <f t="shared" si="4"/>
        <v>87.499999999999986</v>
      </c>
    </row>
    <row r="296" spans="1:9">
      <c r="A296" s="84">
        <v>24</v>
      </c>
      <c r="B296" s="86">
        <v>40980</v>
      </c>
      <c r="C296" s="88">
        <v>71120024</v>
      </c>
      <c r="D296" s="91" t="s">
        <v>3479</v>
      </c>
      <c r="E296" s="89">
        <v>150</v>
      </c>
      <c r="F296" s="91" t="s">
        <v>538</v>
      </c>
      <c r="G296" s="88" t="s">
        <v>3868</v>
      </c>
      <c r="H296" s="213">
        <v>0.06</v>
      </c>
      <c r="I296" s="29">
        <f t="shared" si="4"/>
        <v>87.499999999999986</v>
      </c>
    </row>
    <row r="297" spans="1:9">
      <c r="A297" s="84">
        <v>24</v>
      </c>
      <c r="B297" s="86">
        <v>40985</v>
      </c>
      <c r="C297" s="88">
        <v>71110024</v>
      </c>
      <c r="D297" s="91" t="s">
        <v>3479</v>
      </c>
      <c r="E297" s="89">
        <v>4875</v>
      </c>
      <c r="F297" s="91" t="s">
        <v>606</v>
      </c>
      <c r="G297" s="88" t="s">
        <v>3867</v>
      </c>
      <c r="H297" s="213">
        <v>7.4999999999999997E-2</v>
      </c>
      <c r="I297" s="29">
        <f t="shared" si="4"/>
        <v>3249.9999999999995</v>
      </c>
    </row>
    <row r="298" spans="1:9">
      <c r="A298" s="84">
        <v>24</v>
      </c>
      <c r="B298" s="86">
        <v>40985</v>
      </c>
      <c r="C298" s="88">
        <v>71120024</v>
      </c>
      <c r="D298" s="91" t="s">
        <v>3479</v>
      </c>
      <c r="E298" s="89">
        <v>150</v>
      </c>
      <c r="F298" s="91" t="s">
        <v>607</v>
      </c>
      <c r="G298" s="88" t="s">
        <v>3868</v>
      </c>
      <c r="H298" s="213">
        <v>0.06</v>
      </c>
      <c r="I298" s="29">
        <f t="shared" si="4"/>
        <v>87.499999999999986</v>
      </c>
    </row>
    <row r="299" spans="1:9">
      <c r="A299" s="84">
        <v>24</v>
      </c>
      <c r="B299" s="86">
        <v>40985</v>
      </c>
      <c r="C299" s="88">
        <v>71110024</v>
      </c>
      <c r="D299" s="91" t="s">
        <v>3479</v>
      </c>
      <c r="E299" s="89">
        <v>750</v>
      </c>
      <c r="F299" s="91" t="s">
        <v>608</v>
      </c>
      <c r="G299" s="88" t="s">
        <v>3867</v>
      </c>
      <c r="H299" s="213">
        <v>7.4999999999999997E-2</v>
      </c>
      <c r="I299" s="29">
        <f t="shared" si="4"/>
        <v>500</v>
      </c>
    </row>
    <row r="300" spans="1:9">
      <c r="A300" s="84">
        <v>24</v>
      </c>
      <c r="B300" s="86">
        <v>40985</v>
      </c>
      <c r="C300" s="88">
        <v>71110024</v>
      </c>
      <c r="D300" s="91" t="s">
        <v>3479</v>
      </c>
      <c r="E300" s="89">
        <v>750</v>
      </c>
      <c r="F300" s="91" t="s">
        <v>627</v>
      </c>
      <c r="G300" s="88" t="s">
        <v>3867</v>
      </c>
      <c r="H300" s="213">
        <v>7.4999999999999997E-2</v>
      </c>
      <c r="I300" s="29">
        <f t="shared" si="4"/>
        <v>500</v>
      </c>
    </row>
    <row r="301" spans="1:9">
      <c r="A301" s="84">
        <v>25</v>
      </c>
      <c r="B301" s="86">
        <v>40949</v>
      </c>
      <c r="C301" s="87">
        <v>71110025</v>
      </c>
      <c r="D301" s="88" t="s">
        <v>1292</v>
      </c>
      <c r="E301" s="89">
        <v>1125</v>
      </c>
      <c r="F301" s="88" t="s">
        <v>1293</v>
      </c>
      <c r="G301" s="88" t="s">
        <v>3867</v>
      </c>
      <c r="H301" s="213">
        <v>7.4999999999999997E-2</v>
      </c>
      <c r="I301" s="29">
        <f t="shared" si="4"/>
        <v>749.99999999999989</v>
      </c>
    </row>
    <row r="302" spans="1:9">
      <c r="A302" s="84">
        <v>25</v>
      </c>
      <c r="B302" s="86">
        <v>40964</v>
      </c>
      <c r="C302" s="87">
        <v>71110025</v>
      </c>
      <c r="D302" s="88" t="s">
        <v>3005</v>
      </c>
      <c r="E302" s="89">
        <v>1125</v>
      </c>
      <c r="F302" s="88" t="s">
        <v>3006</v>
      </c>
      <c r="G302" s="88" t="s">
        <v>3867</v>
      </c>
      <c r="H302" s="213">
        <v>7.4999999999999997E-2</v>
      </c>
      <c r="I302" s="29">
        <f t="shared" si="4"/>
        <v>749.99999999999989</v>
      </c>
    </row>
    <row r="303" spans="1:9">
      <c r="A303" s="84">
        <v>25</v>
      </c>
      <c r="B303" s="86">
        <v>40978</v>
      </c>
      <c r="C303" s="88">
        <v>71110025</v>
      </c>
      <c r="D303" s="91" t="s">
        <v>3005</v>
      </c>
      <c r="E303" s="89">
        <v>1125</v>
      </c>
      <c r="F303" s="91" t="s">
        <v>536</v>
      </c>
      <c r="G303" s="88" t="s">
        <v>3867</v>
      </c>
      <c r="H303" s="213">
        <v>7.4999999999999997E-2</v>
      </c>
      <c r="I303" s="29">
        <f t="shared" si="4"/>
        <v>749.99999999999989</v>
      </c>
    </row>
    <row r="304" spans="1:9">
      <c r="A304" s="84">
        <v>26</v>
      </c>
      <c r="B304" s="86">
        <v>40962</v>
      </c>
      <c r="C304" s="87">
        <v>71110026</v>
      </c>
      <c r="D304" s="88" t="s">
        <v>2860</v>
      </c>
      <c r="E304" s="89">
        <v>115</v>
      </c>
      <c r="F304" s="88" t="s">
        <v>2861</v>
      </c>
      <c r="G304" s="88" t="s">
        <v>3867</v>
      </c>
      <c r="H304" s="213">
        <v>7.4999999999999997E-2</v>
      </c>
      <c r="I304" s="29">
        <f t="shared" si="4"/>
        <v>76.666666666666657</v>
      </c>
    </row>
    <row r="305" spans="1:9">
      <c r="A305" s="84">
        <v>27</v>
      </c>
      <c r="B305" s="86">
        <v>40952</v>
      </c>
      <c r="C305" s="87">
        <v>71120027</v>
      </c>
      <c r="D305" s="88" t="s">
        <v>3858</v>
      </c>
      <c r="E305" s="89">
        <v>300</v>
      </c>
      <c r="F305" s="88" t="s">
        <v>3616</v>
      </c>
      <c r="G305" s="88" t="s">
        <v>3868</v>
      </c>
      <c r="H305" s="213">
        <v>0.06</v>
      </c>
      <c r="I305" s="29">
        <f t="shared" si="4"/>
        <v>174.99999999999997</v>
      </c>
    </row>
    <row r="306" spans="1:9">
      <c r="A306" s="84">
        <v>27</v>
      </c>
      <c r="B306" s="86">
        <v>40960</v>
      </c>
      <c r="C306" s="87">
        <v>71120027</v>
      </c>
      <c r="D306" s="88" t="s">
        <v>2827</v>
      </c>
      <c r="E306" s="89">
        <v>300</v>
      </c>
      <c r="F306" s="88" t="s">
        <v>2828</v>
      </c>
      <c r="G306" s="88" t="s">
        <v>3868</v>
      </c>
      <c r="H306" s="213">
        <v>0.06</v>
      </c>
      <c r="I306" s="29">
        <f t="shared" si="4"/>
        <v>174.99999999999997</v>
      </c>
    </row>
    <row r="307" spans="1:9">
      <c r="A307" s="84">
        <v>27</v>
      </c>
      <c r="B307" s="86">
        <v>40967</v>
      </c>
      <c r="C307" s="88">
        <v>71120027</v>
      </c>
      <c r="D307" s="88" t="s">
        <v>2827</v>
      </c>
      <c r="E307" s="89">
        <v>300</v>
      </c>
      <c r="F307" s="88" t="s">
        <v>3041</v>
      </c>
      <c r="G307" s="88" t="s">
        <v>3868</v>
      </c>
      <c r="H307" s="213">
        <v>0.06</v>
      </c>
      <c r="I307" s="29">
        <f t="shared" si="4"/>
        <v>174.99999999999997</v>
      </c>
    </row>
    <row r="308" spans="1:9">
      <c r="A308" s="84">
        <v>27</v>
      </c>
      <c r="B308" s="86">
        <v>40974</v>
      </c>
      <c r="C308" s="88">
        <v>71120027</v>
      </c>
      <c r="D308" s="91" t="s">
        <v>2827</v>
      </c>
      <c r="E308" s="89">
        <v>300</v>
      </c>
      <c r="F308" s="91" t="s">
        <v>2216</v>
      </c>
      <c r="G308" s="88" t="s">
        <v>3868</v>
      </c>
      <c r="H308" s="213">
        <v>0.06</v>
      </c>
      <c r="I308" s="29">
        <f t="shared" si="4"/>
        <v>174.99999999999997</v>
      </c>
    </row>
    <row r="309" spans="1:9">
      <c r="A309" s="84">
        <v>27</v>
      </c>
      <c r="B309" s="86">
        <v>40977</v>
      </c>
      <c r="C309" s="88">
        <v>71120027</v>
      </c>
      <c r="D309" s="91" t="s">
        <v>2827</v>
      </c>
      <c r="E309" s="89">
        <v>1800</v>
      </c>
      <c r="F309" s="91" t="s">
        <v>528</v>
      </c>
      <c r="G309" s="88" t="s">
        <v>3868</v>
      </c>
      <c r="H309" s="213">
        <v>0.06</v>
      </c>
      <c r="I309" s="29">
        <f t="shared" si="4"/>
        <v>1050</v>
      </c>
    </row>
    <row r="310" spans="1:9">
      <c r="A310" s="84">
        <v>27</v>
      </c>
      <c r="B310" s="86">
        <v>40977</v>
      </c>
      <c r="C310" s="88">
        <v>71120027</v>
      </c>
      <c r="D310" s="91" t="s">
        <v>2827</v>
      </c>
      <c r="E310" s="89">
        <v>300</v>
      </c>
      <c r="F310" s="91" t="s">
        <v>529</v>
      </c>
      <c r="G310" s="88" t="s">
        <v>3868</v>
      </c>
      <c r="H310" s="213">
        <v>0.06</v>
      </c>
      <c r="I310" s="29">
        <f t="shared" si="4"/>
        <v>174.99999999999997</v>
      </c>
    </row>
    <row r="311" spans="1:9">
      <c r="A311" s="84">
        <v>27</v>
      </c>
      <c r="B311" s="86">
        <v>40985</v>
      </c>
      <c r="C311" s="88">
        <v>71120027</v>
      </c>
      <c r="D311" s="91" t="s">
        <v>2827</v>
      </c>
      <c r="E311" s="89">
        <v>300</v>
      </c>
      <c r="F311" s="91" t="s">
        <v>2828</v>
      </c>
      <c r="G311" s="88" t="s">
        <v>3868</v>
      </c>
      <c r="H311" s="213">
        <v>0.06</v>
      </c>
      <c r="I311" s="29">
        <f t="shared" si="4"/>
        <v>174.99999999999997</v>
      </c>
    </row>
    <row r="312" spans="1:9">
      <c r="A312" s="84">
        <v>28</v>
      </c>
      <c r="B312" s="86">
        <v>40952</v>
      </c>
      <c r="C312" s="87">
        <v>71110028</v>
      </c>
      <c r="D312" s="88" t="s">
        <v>3859</v>
      </c>
      <c r="E312" s="89">
        <v>750</v>
      </c>
      <c r="F312" s="88" t="s">
        <v>3617</v>
      </c>
      <c r="G312" s="88" t="s">
        <v>3867</v>
      </c>
      <c r="H312" s="213">
        <v>7.4999999999999997E-2</v>
      </c>
      <c r="I312" s="29">
        <f t="shared" si="4"/>
        <v>500</v>
      </c>
    </row>
    <row r="313" spans="1:9">
      <c r="A313" s="84">
        <v>28</v>
      </c>
      <c r="B313" s="86">
        <v>40958</v>
      </c>
      <c r="C313" s="87">
        <v>71120028</v>
      </c>
      <c r="D313" s="88" t="s">
        <v>3460</v>
      </c>
      <c r="E313" s="89">
        <v>150</v>
      </c>
      <c r="F313" s="88" t="s">
        <v>3461</v>
      </c>
      <c r="G313" s="88" t="s">
        <v>3868</v>
      </c>
      <c r="H313" s="213">
        <v>0.06</v>
      </c>
      <c r="I313" s="29">
        <f t="shared" si="4"/>
        <v>87.499999999999986</v>
      </c>
    </row>
    <row r="314" spans="1:9">
      <c r="A314" s="84">
        <v>28</v>
      </c>
      <c r="B314" s="86">
        <v>40964</v>
      </c>
      <c r="C314" s="88">
        <v>71120028</v>
      </c>
      <c r="D314" s="88" t="s">
        <v>3000</v>
      </c>
      <c r="E314" s="89">
        <v>150</v>
      </c>
      <c r="F314" s="88" t="s">
        <v>1294</v>
      </c>
      <c r="G314" s="88" t="s">
        <v>3868</v>
      </c>
      <c r="H314" s="213">
        <v>0.06</v>
      </c>
      <c r="I314" s="29">
        <f t="shared" si="4"/>
        <v>87.499999999999986</v>
      </c>
    </row>
    <row r="315" spans="1:9">
      <c r="A315" s="84">
        <v>28</v>
      </c>
      <c r="B315" s="86">
        <v>40964</v>
      </c>
      <c r="C315" s="87">
        <v>71110028</v>
      </c>
      <c r="D315" s="88" t="s">
        <v>3000</v>
      </c>
      <c r="E315" s="89">
        <v>750</v>
      </c>
      <c r="F315" s="88" t="s">
        <v>3001</v>
      </c>
      <c r="G315" s="88" t="s">
        <v>3867</v>
      </c>
      <c r="H315" s="213">
        <v>7.4999999999999997E-2</v>
      </c>
      <c r="I315" s="29">
        <f t="shared" si="4"/>
        <v>500</v>
      </c>
    </row>
    <row r="316" spans="1:9">
      <c r="A316" s="84">
        <v>28</v>
      </c>
      <c r="B316" s="86">
        <v>40968</v>
      </c>
      <c r="C316" s="88">
        <v>71110028</v>
      </c>
      <c r="D316" s="88" t="s">
        <v>3000</v>
      </c>
      <c r="E316" s="89">
        <v>375</v>
      </c>
      <c r="F316" s="88" t="s">
        <v>3045</v>
      </c>
      <c r="G316" s="88" t="s">
        <v>3867</v>
      </c>
      <c r="H316" s="213">
        <v>7.4999999999999997E-2</v>
      </c>
      <c r="I316" s="29">
        <f t="shared" si="4"/>
        <v>250</v>
      </c>
    </row>
    <row r="317" spans="1:9">
      <c r="A317" s="84">
        <v>28</v>
      </c>
      <c r="B317" s="86">
        <v>40971</v>
      </c>
      <c r="C317" s="88">
        <v>71120028</v>
      </c>
      <c r="D317" s="91" t="s">
        <v>3000</v>
      </c>
      <c r="E317" s="89">
        <v>150</v>
      </c>
      <c r="F317" s="91" t="s">
        <v>3092</v>
      </c>
      <c r="G317" s="88" t="s">
        <v>3868</v>
      </c>
      <c r="H317" s="213">
        <v>0.06</v>
      </c>
      <c r="I317" s="29">
        <f t="shared" si="4"/>
        <v>87.499999999999986</v>
      </c>
    </row>
    <row r="318" spans="1:9">
      <c r="A318" s="84">
        <v>28</v>
      </c>
      <c r="B318" s="86">
        <v>40976</v>
      </c>
      <c r="C318" s="88">
        <v>71120028</v>
      </c>
      <c r="D318" s="91" t="s">
        <v>3865</v>
      </c>
      <c r="E318" s="89">
        <v>150</v>
      </c>
      <c r="F318" s="91" t="s">
        <v>518</v>
      </c>
      <c r="G318" s="88" t="s">
        <v>3868</v>
      </c>
      <c r="H318" s="213">
        <v>0.06</v>
      </c>
      <c r="I318" s="29">
        <f t="shared" si="4"/>
        <v>87.499999999999986</v>
      </c>
    </row>
    <row r="319" spans="1:9">
      <c r="A319" s="84">
        <v>28</v>
      </c>
      <c r="B319" s="86">
        <v>40976</v>
      </c>
      <c r="C319" s="88">
        <v>71110028</v>
      </c>
      <c r="D319" s="91" t="s">
        <v>3000</v>
      </c>
      <c r="E319" s="89">
        <v>375</v>
      </c>
      <c r="F319" s="91" t="s">
        <v>519</v>
      </c>
      <c r="G319" s="88" t="s">
        <v>3867</v>
      </c>
      <c r="H319" s="213">
        <v>7.4999999999999997E-2</v>
      </c>
      <c r="I319" s="29">
        <f t="shared" si="4"/>
        <v>250</v>
      </c>
    </row>
    <row r="320" spans="1:9">
      <c r="A320" s="84">
        <v>28</v>
      </c>
      <c r="B320" s="86">
        <v>40981</v>
      </c>
      <c r="C320" s="88">
        <v>71110028</v>
      </c>
      <c r="D320" s="91" t="s">
        <v>3000</v>
      </c>
      <c r="E320" s="89">
        <v>750</v>
      </c>
      <c r="F320" s="91" t="s">
        <v>561</v>
      </c>
      <c r="G320" s="88" t="s">
        <v>3867</v>
      </c>
      <c r="H320" s="213">
        <v>7.4999999999999997E-2</v>
      </c>
      <c r="I320" s="29">
        <f t="shared" si="4"/>
        <v>500</v>
      </c>
    </row>
    <row r="321" spans="1:9">
      <c r="A321" s="84">
        <v>28</v>
      </c>
      <c r="B321" s="86">
        <v>40983</v>
      </c>
      <c r="C321" s="88">
        <v>71110028</v>
      </c>
      <c r="D321" s="91" t="s">
        <v>3000</v>
      </c>
      <c r="E321" s="89">
        <v>375</v>
      </c>
      <c r="F321" s="91" t="s">
        <v>1258</v>
      </c>
      <c r="G321" s="88" t="s">
        <v>3867</v>
      </c>
      <c r="H321" s="213">
        <v>7.4999999999999997E-2</v>
      </c>
      <c r="I321" s="29">
        <f t="shared" si="4"/>
        <v>250</v>
      </c>
    </row>
    <row r="322" spans="1:9">
      <c r="A322" s="84">
        <v>29</v>
      </c>
      <c r="B322" s="86">
        <v>40946</v>
      </c>
      <c r="C322" s="87">
        <v>71120029</v>
      </c>
      <c r="D322" s="88" t="s">
        <v>3591</v>
      </c>
      <c r="E322" s="89">
        <v>150</v>
      </c>
      <c r="F322" s="88" t="s">
        <v>3592</v>
      </c>
      <c r="G322" s="88" t="s">
        <v>3868</v>
      </c>
      <c r="H322" s="213">
        <v>0.06</v>
      </c>
      <c r="I322" s="29">
        <f t="shared" ref="I322:I385" si="5">E322*(H322-0.025)/H322</f>
        <v>87.499999999999986</v>
      </c>
    </row>
    <row r="323" spans="1:9">
      <c r="A323" s="84">
        <v>29</v>
      </c>
      <c r="B323" s="86">
        <v>40954</v>
      </c>
      <c r="C323" s="87">
        <v>71120029</v>
      </c>
      <c r="D323" s="88" t="s">
        <v>3434</v>
      </c>
      <c r="E323" s="89">
        <v>150</v>
      </c>
      <c r="F323" s="88" t="s">
        <v>3435</v>
      </c>
      <c r="G323" s="88" t="s">
        <v>3868</v>
      </c>
      <c r="H323" s="213">
        <v>0.06</v>
      </c>
      <c r="I323" s="29">
        <f t="shared" si="5"/>
        <v>87.499999999999986</v>
      </c>
    </row>
    <row r="324" spans="1:9">
      <c r="A324" s="84">
        <v>29</v>
      </c>
      <c r="B324" s="86">
        <v>40961</v>
      </c>
      <c r="C324" s="87">
        <v>71120029</v>
      </c>
      <c r="D324" s="88" t="s">
        <v>2836</v>
      </c>
      <c r="E324" s="89">
        <v>150</v>
      </c>
      <c r="F324" s="88" t="s">
        <v>2837</v>
      </c>
      <c r="G324" s="88" t="s">
        <v>3868</v>
      </c>
      <c r="H324" s="213">
        <v>0.06</v>
      </c>
      <c r="I324" s="29">
        <f t="shared" si="5"/>
        <v>87.499999999999986</v>
      </c>
    </row>
    <row r="325" spans="1:9">
      <c r="A325" s="84">
        <v>29</v>
      </c>
      <c r="B325" s="86">
        <v>40968</v>
      </c>
      <c r="C325" s="88">
        <v>71120029</v>
      </c>
      <c r="D325" s="88" t="s">
        <v>2836</v>
      </c>
      <c r="E325" s="89">
        <v>150</v>
      </c>
      <c r="F325" s="88" t="s">
        <v>3044</v>
      </c>
      <c r="G325" s="88" t="s">
        <v>3868</v>
      </c>
      <c r="H325" s="213">
        <v>0.06</v>
      </c>
      <c r="I325" s="29">
        <f t="shared" si="5"/>
        <v>87.499999999999986</v>
      </c>
    </row>
    <row r="326" spans="1:9">
      <c r="A326" s="84">
        <v>29</v>
      </c>
      <c r="B326" s="86">
        <v>40975</v>
      </c>
      <c r="C326" s="88">
        <v>71120029</v>
      </c>
      <c r="D326" s="91" t="s">
        <v>2836</v>
      </c>
      <c r="E326" s="89">
        <v>150</v>
      </c>
      <c r="F326" s="91" t="s">
        <v>503</v>
      </c>
      <c r="G326" s="88" t="s">
        <v>3868</v>
      </c>
      <c r="H326" s="213">
        <v>0.06</v>
      </c>
      <c r="I326" s="29">
        <f t="shared" si="5"/>
        <v>87.499999999999986</v>
      </c>
    </row>
    <row r="327" spans="1:9">
      <c r="A327" s="84">
        <v>29</v>
      </c>
      <c r="B327" s="86">
        <v>40981</v>
      </c>
      <c r="C327" s="88">
        <v>71120029</v>
      </c>
      <c r="D327" s="91" t="s">
        <v>2836</v>
      </c>
      <c r="E327" s="89">
        <v>150</v>
      </c>
      <c r="F327" s="91" t="s">
        <v>564</v>
      </c>
      <c r="G327" s="88" t="s">
        <v>3868</v>
      </c>
      <c r="H327" s="213">
        <v>0.06</v>
      </c>
      <c r="I327" s="29">
        <f t="shared" si="5"/>
        <v>87.499999999999986</v>
      </c>
    </row>
    <row r="328" spans="1:9">
      <c r="A328" s="84">
        <v>30</v>
      </c>
      <c r="B328" s="86">
        <v>40955</v>
      </c>
      <c r="C328" s="87">
        <v>71120030</v>
      </c>
      <c r="D328" s="88" t="s">
        <v>3438</v>
      </c>
      <c r="E328" s="89">
        <v>150</v>
      </c>
      <c r="F328" s="88" t="s">
        <v>3439</v>
      </c>
      <c r="G328" s="88" t="s">
        <v>3868</v>
      </c>
      <c r="H328" s="213">
        <v>0.06</v>
      </c>
      <c r="I328" s="29">
        <f t="shared" si="5"/>
        <v>87.499999999999986</v>
      </c>
    </row>
    <row r="329" spans="1:9">
      <c r="A329" s="84">
        <v>30</v>
      </c>
      <c r="B329" s="86">
        <v>40961</v>
      </c>
      <c r="C329" s="87">
        <v>71120030</v>
      </c>
      <c r="D329" s="88" t="s">
        <v>2844</v>
      </c>
      <c r="E329" s="89">
        <v>150</v>
      </c>
      <c r="F329" s="88" t="s">
        <v>2845</v>
      </c>
      <c r="G329" s="88" t="s">
        <v>3868</v>
      </c>
      <c r="H329" s="213">
        <v>0.06</v>
      </c>
      <c r="I329" s="29">
        <f t="shared" si="5"/>
        <v>87.499999999999986</v>
      </c>
    </row>
    <row r="330" spans="1:9">
      <c r="A330" s="84">
        <v>30</v>
      </c>
      <c r="B330" s="86">
        <v>40968</v>
      </c>
      <c r="C330" s="88">
        <v>71120030</v>
      </c>
      <c r="D330" s="88" t="s">
        <v>2844</v>
      </c>
      <c r="E330" s="89">
        <v>150</v>
      </c>
      <c r="F330" s="88" t="s">
        <v>3060</v>
      </c>
      <c r="G330" s="88" t="s">
        <v>3868</v>
      </c>
      <c r="H330" s="213">
        <v>0.06</v>
      </c>
      <c r="I330" s="29">
        <f t="shared" si="5"/>
        <v>87.499999999999986</v>
      </c>
    </row>
    <row r="331" spans="1:9">
      <c r="A331" s="84">
        <v>30</v>
      </c>
      <c r="B331" s="86">
        <v>40975</v>
      </c>
      <c r="C331" s="88">
        <v>71120030</v>
      </c>
      <c r="D331" s="91" t="s">
        <v>2844</v>
      </c>
      <c r="E331" s="89">
        <v>150</v>
      </c>
      <c r="F331" s="91" t="s">
        <v>501</v>
      </c>
      <c r="G331" s="88" t="s">
        <v>3868</v>
      </c>
      <c r="H331" s="213">
        <v>0.06</v>
      </c>
      <c r="I331" s="29">
        <f t="shared" si="5"/>
        <v>87.499999999999986</v>
      </c>
    </row>
    <row r="332" spans="1:9">
      <c r="A332" s="84">
        <v>30</v>
      </c>
      <c r="B332" s="86">
        <v>40982</v>
      </c>
      <c r="C332" s="88">
        <v>71120030</v>
      </c>
      <c r="D332" s="91" t="s">
        <v>2844</v>
      </c>
      <c r="E332" s="89">
        <v>150</v>
      </c>
      <c r="F332" s="91" t="s">
        <v>690</v>
      </c>
      <c r="G332" s="88" t="s">
        <v>3868</v>
      </c>
      <c r="H332" s="213">
        <v>0.06</v>
      </c>
      <c r="I332" s="29">
        <f t="shared" si="5"/>
        <v>87.499999999999986</v>
      </c>
    </row>
    <row r="333" spans="1:9">
      <c r="A333" s="84">
        <v>31</v>
      </c>
      <c r="B333" s="86">
        <v>40958</v>
      </c>
      <c r="C333" s="87">
        <v>71120031</v>
      </c>
      <c r="D333" s="88" t="s">
        <v>3465</v>
      </c>
      <c r="E333" s="89">
        <v>300</v>
      </c>
      <c r="F333" s="88" t="s">
        <v>3466</v>
      </c>
      <c r="G333" s="88" t="s">
        <v>3868</v>
      </c>
      <c r="H333" s="213">
        <v>0.06</v>
      </c>
      <c r="I333" s="29">
        <f t="shared" si="5"/>
        <v>174.99999999999997</v>
      </c>
    </row>
    <row r="334" spans="1:9">
      <c r="A334" s="84">
        <v>31</v>
      </c>
      <c r="B334" s="86">
        <v>40962</v>
      </c>
      <c r="C334" s="87">
        <v>71110031</v>
      </c>
      <c r="D334" s="88" t="s">
        <v>2854</v>
      </c>
      <c r="E334" s="89">
        <v>750</v>
      </c>
      <c r="F334" s="88" t="s">
        <v>2855</v>
      </c>
      <c r="G334" s="88" t="s">
        <v>3867</v>
      </c>
      <c r="H334" s="213">
        <v>7.4999999999999997E-2</v>
      </c>
      <c r="I334" s="29">
        <f t="shared" si="5"/>
        <v>500</v>
      </c>
    </row>
    <row r="335" spans="1:9">
      <c r="A335" s="84">
        <v>31</v>
      </c>
      <c r="B335" s="86">
        <v>40966</v>
      </c>
      <c r="C335" s="88">
        <v>71120031</v>
      </c>
      <c r="D335" s="88" t="s">
        <v>2854</v>
      </c>
      <c r="E335" s="89">
        <v>300</v>
      </c>
      <c r="F335" s="88" t="s">
        <v>3030</v>
      </c>
      <c r="G335" s="88" t="s">
        <v>3868</v>
      </c>
      <c r="H335" s="213">
        <v>0.06</v>
      </c>
      <c r="I335" s="29">
        <f t="shared" si="5"/>
        <v>174.99999999999997</v>
      </c>
    </row>
    <row r="336" spans="1:9">
      <c r="A336" s="84">
        <v>31</v>
      </c>
      <c r="B336" s="86">
        <v>40973</v>
      </c>
      <c r="C336" s="88">
        <v>71120031</v>
      </c>
      <c r="D336" s="91" t="s">
        <v>2854</v>
      </c>
      <c r="E336" s="89">
        <v>300</v>
      </c>
      <c r="F336" s="91" t="s">
        <v>3254</v>
      </c>
      <c r="G336" s="88" t="s">
        <v>3868</v>
      </c>
      <c r="H336" s="213">
        <v>0.06</v>
      </c>
      <c r="I336" s="29">
        <f t="shared" si="5"/>
        <v>174.99999999999997</v>
      </c>
    </row>
    <row r="337" spans="1:9">
      <c r="A337" s="84">
        <v>31</v>
      </c>
      <c r="B337" s="86">
        <v>40976</v>
      </c>
      <c r="C337" s="88">
        <v>71110031</v>
      </c>
      <c r="D337" s="91" t="s">
        <v>2854</v>
      </c>
      <c r="E337" s="89">
        <v>750</v>
      </c>
      <c r="F337" s="91" t="s">
        <v>522</v>
      </c>
      <c r="G337" s="88" t="s">
        <v>3867</v>
      </c>
      <c r="H337" s="213">
        <v>7.4999999999999997E-2</v>
      </c>
      <c r="I337" s="29">
        <f t="shared" si="5"/>
        <v>500</v>
      </c>
    </row>
    <row r="338" spans="1:9">
      <c r="A338" s="84">
        <v>31</v>
      </c>
      <c r="B338" s="86">
        <v>40980</v>
      </c>
      <c r="C338" s="88">
        <v>71120031</v>
      </c>
      <c r="D338" s="91" t="s">
        <v>2854</v>
      </c>
      <c r="E338" s="89">
        <v>300</v>
      </c>
      <c r="F338" s="91" t="s">
        <v>540</v>
      </c>
      <c r="G338" s="88" t="s">
        <v>3868</v>
      </c>
      <c r="H338" s="213">
        <v>0.06</v>
      </c>
      <c r="I338" s="29">
        <f t="shared" si="5"/>
        <v>174.99999999999997</v>
      </c>
    </row>
    <row r="339" spans="1:9">
      <c r="A339" s="84">
        <v>31</v>
      </c>
      <c r="B339" s="86">
        <v>40980</v>
      </c>
      <c r="C339" s="88">
        <v>71110031</v>
      </c>
      <c r="D339" s="91" t="s">
        <v>2854</v>
      </c>
      <c r="E339" s="89">
        <v>750</v>
      </c>
      <c r="F339" s="91" t="s">
        <v>556</v>
      </c>
      <c r="G339" s="88" t="s">
        <v>3867</v>
      </c>
      <c r="H339" s="213">
        <v>7.4999999999999997E-2</v>
      </c>
      <c r="I339" s="29">
        <f t="shared" si="5"/>
        <v>500</v>
      </c>
    </row>
    <row r="340" spans="1:9">
      <c r="A340" s="84">
        <v>32</v>
      </c>
      <c r="B340" s="86">
        <v>40958</v>
      </c>
      <c r="C340" s="87">
        <v>71110032</v>
      </c>
      <c r="D340" s="88" t="s">
        <v>3467</v>
      </c>
      <c r="E340" s="89">
        <v>1500</v>
      </c>
      <c r="F340" s="88" t="s">
        <v>3468</v>
      </c>
      <c r="G340" s="88" t="s">
        <v>3867</v>
      </c>
      <c r="H340" s="213">
        <v>7.4999999999999997E-2</v>
      </c>
      <c r="I340" s="29">
        <f t="shared" si="5"/>
        <v>1000</v>
      </c>
    </row>
    <row r="341" spans="1:9">
      <c r="A341" s="84">
        <v>32</v>
      </c>
      <c r="B341" s="86">
        <v>40972</v>
      </c>
      <c r="C341" s="88">
        <v>71110032</v>
      </c>
      <c r="D341" s="91" t="s">
        <v>3096</v>
      </c>
      <c r="E341" s="89">
        <v>1500</v>
      </c>
      <c r="F341" s="91" t="s">
        <v>3097</v>
      </c>
      <c r="G341" s="88" t="s">
        <v>3867</v>
      </c>
      <c r="H341" s="213">
        <v>7.4999999999999997E-2</v>
      </c>
      <c r="I341" s="29">
        <f t="shared" si="5"/>
        <v>1000</v>
      </c>
    </row>
    <row r="342" spans="1:9">
      <c r="A342" s="84">
        <v>32</v>
      </c>
      <c r="B342" s="86">
        <v>40974</v>
      </c>
      <c r="C342" s="88">
        <v>71110032</v>
      </c>
      <c r="D342" s="91" t="s">
        <v>3255</v>
      </c>
      <c r="E342" s="89">
        <v>7500</v>
      </c>
      <c r="F342" s="91" t="s">
        <v>3256</v>
      </c>
      <c r="G342" s="88" t="s">
        <v>3867</v>
      </c>
      <c r="H342" s="213">
        <v>7.4999999999999997E-2</v>
      </c>
      <c r="I342" s="29">
        <f t="shared" si="5"/>
        <v>4999.9999999999991</v>
      </c>
    </row>
    <row r="343" spans="1:9">
      <c r="A343" s="84">
        <v>33</v>
      </c>
      <c r="B343" s="86">
        <v>40959</v>
      </c>
      <c r="C343" s="87">
        <v>71110033</v>
      </c>
      <c r="D343" s="88" t="s">
        <v>3477</v>
      </c>
      <c r="E343" s="89">
        <v>3000</v>
      </c>
      <c r="F343" s="88" t="s">
        <v>3478</v>
      </c>
      <c r="G343" s="88" t="s">
        <v>3867</v>
      </c>
      <c r="H343" s="213">
        <v>7.4999999999999997E-2</v>
      </c>
      <c r="I343" s="29">
        <f t="shared" si="5"/>
        <v>2000</v>
      </c>
    </row>
    <row r="344" spans="1:9">
      <c r="A344" s="84">
        <v>33</v>
      </c>
      <c r="B344" s="86">
        <v>40959</v>
      </c>
      <c r="C344" s="87">
        <v>71120033</v>
      </c>
      <c r="D344" s="88" t="s">
        <v>3862</v>
      </c>
      <c r="E344" s="89">
        <v>150</v>
      </c>
      <c r="F344" s="88" t="s">
        <v>3863</v>
      </c>
      <c r="G344" s="88" t="s">
        <v>3868</v>
      </c>
      <c r="H344" s="213">
        <v>0.06</v>
      </c>
      <c r="I344" s="29">
        <f t="shared" si="5"/>
        <v>87.499999999999986</v>
      </c>
    </row>
    <row r="345" spans="1:9">
      <c r="A345" s="84">
        <v>33</v>
      </c>
      <c r="B345" s="86">
        <v>40968</v>
      </c>
      <c r="C345" s="88">
        <v>71120033</v>
      </c>
      <c r="D345" s="88" t="s">
        <v>3477</v>
      </c>
      <c r="E345" s="89">
        <v>150</v>
      </c>
      <c r="F345" s="88" t="s">
        <v>3043</v>
      </c>
      <c r="G345" s="88" t="s">
        <v>3868</v>
      </c>
      <c r="H345" s="213">
        <v>0.06</v>
      </c>
      <c r="I345" s="29">
        <f t="shared" si="5"/>
        <v>87.499999999999986</v>
      </c>
    </row>
    <row r="346" spans="1:9">
      <c r="A346" s="84">
        <v>33</v>
      </c>
      <c r="B346" s="86">
        <v>40969</v>
      </c>
      <c r="C346" s="88">
        <v>71110033</v>
      </c>
      <c r="D346" s="88" t="s">
        <v>3477</v>
      </c>
      <c r="E346" s="89">
        <v>750</v>
      </c>
      <c r="F346" s="88" t="s">
        <v>3067</v>
      </c>
      <c r="G346" s="88" t="s">
        <v>3867</v>
      </c>
      <c r="H346" s="213">
        <v>7.4999999999999997E-2</v>
      </c>
      <c r="I346" s="29">
        <f t="shared" si="5"/>
        <v>500</v>
      </c>
    </row>
    <row r="347" spans="1:9">
      <c r="A347" s="84">
        <v>33</v>
      </c>
      <c r="B347" s="86">
        <v>40973</v>
      </c>
      <c r="C347" s="88">
        <v>71110033</v>
      </c>
      <c r="D347" s="91" t="s">
        <v>3477</v>
      </c>
      <c r="E347" s="89">
        <v>3000</v>
      </c>
      <c r="F347" s="91" t="s">
        <v>3228</v>
      </c>
      <c r="G347" s="88" t="s">
        <v>3867</v>
      </c>
      <c r="H347" s="213">
        <v>7.4999999999999997E-2</v>
      </c>
      <c r="I347" s="29">
        <f t="shared" si="5"/>
        <v>2000</v>
      </c>
    </row>
    <row r="348" spans="1:9">
      <c r="A348" s="84">
        <v>33</v>
      </c>
      <c r="B348" s="86">
        <v>40973</v>
      </c>
      <c r="C348" s="88">
        <v>71120033</v>
      </c>
      <c r="D348" s="91" t="s">
        <v>3477</v>
      </c>
      <c r="E348" s="89">
        <v>150</v>
      </c>
      <c r="F348" s="91" t="s">
        <v>3229</v>
      </c>
      <c r="G348" s="88" t="s">
        <v>3868</v>
      </c>
      <c r="H348" s="213">
        <v>0.06</v>
      </c>
      <c r="I348" s="29">
        <f t="shared" si="5"/>
        <v>87.499999999999986</v>
      </c>
    </row>
    <row r="349" spans="1:9">
      <c r="A349" s="84">
        <v>33</v>
      </c>
      <c r="B349" s="86">
        <v>40980</v>
      </c>
      <c r="C349" s="88">
        <v>71120033</v>
      </c>
      <c r="D349" s="91" t="s">
        <v>3477</v>
      </c>
      <c r="E349" s="89">
        <v>150</v>
      </c>
      <c r="F349" s="91" t="s">
        <v>555</v>
      </c>
      <c r="G349" s="88" t="s">
        <v>3868</v>
      </c>
      <c r="H349" s="213">
        <v>0.06</v>
      </c>
      <c r="I349" s="29">
        <f t="shared" si="5"/>
        <v>87.499999999999986</v>
      </c>
    </row>
    <row r="350" spans="1:9">
      <c r="A350" s="84">
        <v>34</v>
      </c>
      <c r="B350" s="86">
        <v>40959</v>
      </c>
      <c r="C350" s="87">
        <v>71110034</v>
      </c>
      <c r="D350" s="88" t="s">
        <v>2821</v>
      </c>
      <c r="E350" s="89">
        <v>3750</v>
      </c>
      <c r="F350" s="88" t="s">
        <v>2822</v>
      </c>
      <c r="G350" s="88" t="s">
        <v>3867</v>
      </c>
      <c r="H350" s="213">
        <v>7.4999999999999997E-2</v>
      </c>
      <c r="I350" s="29">
        <f t="shared" si="5"/>
        <v>2499.9999999999995</v>
      </c>
    </row>
    <row r="351" spans="1:9">
      <c r="A351" s="84">
        <v>34</v>
      </c>
      <c r="B351" s="86">
        <v>40966</v>
      </c>
      <c r="C351" s="88">
        <v>71120034</v>
      </c>
      <c r="D351" s="88" t="s">
        <v>2821</v>
      </c>
      <c r="E351" s="89">
        <v>450</v>
      </c>
      <c r="F351" s="88" t="s">
        <v>3022</v>
      </c>
      <c r="G351" s="88" t="s">
        <v>3868</v>
      </c>
      <c r="H351" s="213">
        <v>0.06</v>
      </c>
      <c r="I351" s="29">
        <f t="shared" si="5"/>
        <v>262.5</v>
      </c>
    </row>
    <row r="352" spans="1:9">
      <c r="A352" s="84">
        <v>34</v>
      </c>
      <c r="B352" s="86">
        <v>40980</v>
      </c>
      <c r="C352" s="88">
        <v>71110034</v>
      </c>
      <c r="D352" s="91" t="s">
        <v>2821</v>
      </c>
      <c r="E352" s="89">
        <v>1875</v>
      </c>
      <c r="F352" s="91" t="s">
        <v>551</v>
      </c>
      <c r="G352" s="88" t="s">
        <v>3867</v>
      </c>
      <c r="H352" s="213">
        <v>7.4999999999999997E-2</v>
      </c>
      <c r="I352" s="29">
        <f t="shared" si="5"/>
        <v>1249.9999999999998</v>
      </c>
    </row>
    <row r="353" spans="1:9">
      <c r="A353" s="84">
        <v>34</v>
      </c>
      <c r="B353" s="86">
        <v>40980</v>
      </c>
      <c r="C353" s="88">
        <v>71120034</v>
      </c>
      <c r="D353" s="91" t="s">
        <v>2821</v>
      </c>
      <c r="E353" s="89">
        <v>900</v>
      </c>
      <c r="F353" s="91" t="s">
        <v>552</v>
      </c>
      <c r="G353" s="88" t="s">
        <v>3868</v>
      </c>
      <c r="H353" s="213">
        <v>0.06</v>
      </c>
      <c r="I353" s="29">
        <f t="shared" si="5"/>
        <v>525</v>
      </c>
    </row>
    <row r="354" spans="1:9">
      <c r="A354" s="84">
        <v>34</v>
      </c>
      <c r="B354" s="86">
        <v>40985</v>
      </c>
      <c r="C354" s="88">
        <v>71110034</v>
      </c>
      <c r="D354" s="91" t="s">
        <v>2821</v>
      </c>
      <c r="E354" s="89">
        <v>3750</v>
      </c>
      <c r="F354" s="91" t="s">
        <v>609</v>
      </c>
      <c r="G354" s="88" t="s">
        <v>3867</v>
      </c>
      <c r="H354" s="213">
        <v>7.4999999999999997E-2</v>
      </c>
      <c r="I354" s="29">
        <f t="shared" si="5"/>
        <v>2499.9999999999995</v>
      </c>
    </row>
    <row r="355" spans="1:9">
      <c r="A355" s="84">
        <v>34</v>
      </c>
      <c r="B355" s="86">
        <v>40985</v>
      </c>
      <c r="C355" s="88">
        <v>71120034</v>
      </c>
      <c r="D355" s="91" t="s">
        <v>2821</v>
      </c>
      <c r="E355" s="89">
        <v>450</v>
      </c>
      <c r="F355" s="91" t="s">
        <v>610</v>
      </c>
      <c r="G355" s="88" t="s">
        <v>3868</v>
      </c>
      <c r="H355" s="213">
        <v>0.06</v>
      </c>
      <c r="I355" s="29">
        <f t="shared" si="5"/>
        <v>262.5</v>
      </c>
    </row>
    <row r="356" spans="1:9">
      <c r="A356" s="84">
        <v>35</v>
      </c>
      <c r="B356" s="86">
        <v>40959</v>
      </c>
      <c r="C356" s="87">
        <v>71110035</v>
      </c>
      <c r="D356" s="88" t="s">
        <v>3864</v>
      </c>
      <c r="E356" s="89">
        <v>2250</v>
      </c>
      <c r="F356" s="88" t="s">
        <v>210</v>
      </c>
      <c r="G356" s="88" t="s">
        <v>3867</v>
      </c>
      <c r="H356" s="213">
        <v>7.4999999999999997E-2</v>
      </c>
      <c r="I356" s="29">
        <f t="shared" si="5"/>
        <v>1499.9999999999998</v>
      </c>
    </row>
    <row r="357" spans="1:9">
      <c r="A357" s="84">
        <v>35</v>
      </c>
      <c r="B357" s="86">
        <v>40973</v>
      </c>
      <c r="C357" s="88">
        <v>71110035</v>
      </c>
      <c r="D357" s="91" t="s">
        <v>3427</v>
      </c>
      <c r="E357" s="89">
        <v>2250</v>
      </c>
      <c r="F357" s="91" t="s">
        <v>3239</v>
      </c>
      <c r="G357" s="88" t="s">
        <v>3867</v>
      </c>
      <c r="H357" s="213">
        <v>7.4999999999999997E-2</v>
      </c>
      <c r="I357" s="29">
        <f t="shared" si="5"/>
        <v>1499.9999999999998</v>
      </c>
    </row>
    <row r="358" spans="1:9">
      <c r="A358" s="84">
        <v>35</v>
      </c>
      <c r="B358" s="86">
        <v>40973</v>
      </c>
      <c r="C358" s="88">
        <v>71120035</v>
      </c>
      <c r="D358" s="91" t="s">
        <v>3427</v>
      </c>
      <c r="E358" s="89">
        <v>150</v>
      </c>
      <c r="F358" s="91" t="s">
        <v>3240</v>
      </c>
      <c r="G358" s="88" t="s">
        <v>3868</v>
      </c>
      <c r="H358" s="213">
        <v>0.06</v>
      </c>
      <c r="I358" s="29">
        <f t="shared" si="5"/>
        <v>87.499999999999986</v>
      </c>
    </row>
    <row r="359" spans="1:9">
      <c r="A359" s="84">
        <v>35</v>
      </c>
      <c r="B359" s="86">
        <v>40980</v>
      </c>
      <c r="C359" s="88">
        <v>71120035</v>
      </c>
      <c r="D359" s="91" t="s">
        <v>3427</v>
      </c>
      <c r="E359" s="89">
        <v>150</v>
      </c>
      <c r="F359" s="91" t="s">
        <v>542</v>
      </c>
      <c r="G359" s="88" t="s">
        <v>3868</v>
      </c>
      <c r="H359" s="213">
        <v>0.06</v>
      </c>
      <c r="I359" s="29">
        <f t="shared" si="5"/>
        <v>87.499999999999986</v>
      </c>
    </row>
    <row r="360" spans="1:9">
      <c r="A360" s="84">
        <v>36</v>
      </c>
      <c r="B360" s="86">
        <v>40961</v>
      </c>
      <c r="C360" s="87">
        <v>71120036</v>
      </c>
      <c r="D360" s="88" t="s">
        <v>2838</v>
      </c>
      <c r="E360" s="89">
        <v>150</v>
      </c>
      <c r="F360" s="88" t="s">
        <v>2839</v>
      </c>
      <c r="G360" s="88" t="s">
        <v>3868</v>
      </c>
      <c r="H360" s="213">
        <v>0.06</v>
      </c>
      <c r="I360" s="29">
        <f t="shared" si="5"/>
        <v>87.499999999999986</v>
      </c>
    </row>
    <row r="361" spans="1:9">
      <c r="A361" s="84">
        <v>36</v>
      </c>
      <c r="B361" s="86">
        <v>40967</v>
      </c>
      <c r="C361" s="88">
        <v>71120036</v>
      </c>
      <c r="D361" s="88" t="s">
        <v>2838</v>
      </c>
      <c r="E361" s="89">
        <v>150</v>
      </c>
      <c r="F361" s="88" t="s">
        <v>3042</v>
      </c>
      <c r="G361" s="88" t="s">
        <v>3868</v>
      </c>
      <c r="H361" s="213">
        <v>0.06</v>
      </c>
      <c r="I361" s="29">
        <f t="shared" si="5"/>
        <v>87.499999999999986</v>
      </c>
    </row>
    <row r="362" spans="1:9">
      <c r="A362" s="84">
        <v>36</v>
      </c>
      <c r="B362" s="86">
        <v>40974</v>
      </c>
      <c r="C362" s="88">
        <v>71120036</v>
      </c>
      <c r="D362" s="91" t="s">
        <v>2838</v>
      </c>
      <c r="E362" s="89">
        <v>150</v>
      </c>
      <c r="F362" s="91" t="s">
        <v>2762</v>
      </c>
      <c r="G362" s="88" t="s">
        <v>3868</v>
      </c>
      <c r="H362" s="213">
        <v>0.06</v>
      </c>
      <c r="I362" s="29">
        <f t="shared" si="5"/>
        <v>87.499999999999986</v>
      </c>
    </row>
    <row r="363" spans="1:9">
      <c r="A363" s="84">
        <v>36</v>
      </c>
      <c r="B363" s="86">
        <v>40983</v>
      </c>
      <c r="C363" s="88">
        <v>71120036</v>
      </c>
      <c r="D363" s="91" t="s">
        <v>2838</v>
      </c>
      <c r="E363" s="89">
        <v>150</v>
      </c>
      <c r="F363" s="91" t="s">
        <v>1257</v>
      </c>
      <c r="G363" s="88" t="s">
        <v>3868</v>
      </c>
      <c r="H363" s="213">
        <v>0.06</v>
      </c>
      <c r="I363" s="29">
        <f t="shared" si="5"/>
        <v>87.499999999999986</v>
      </c>
    </row>
    <row r="364" spans="1:9">
      <c r="A364" s="84">
        <v>37</v>
      </c>
      <c r="B364" s="86">
        <v>40961</v>
      </c>
      <c r="C364" s="87">
        <v>71110037</v>
      </c>
      <c r="D364" s="88" t="s">
        <v>2840</v>
      </c>
      <c r="E364" s="89">
        <v>5625</v>
      </c>
      <c r="F364" s="88" t="s">
        <v>2841</v>
      </c>
      <c r="G364" s="88" t="s">
        <v>3867</v>
      </c>
      <c r="H364" s="213">
        <v>7.4999999999999997E-2</v>
      </c>
      <c r="I364" s="29">
        <f t="shared" si="5"/>
        <v>3750</v>
      </c>
    </row>
    <row r="365" spans="1:9">
      <c r="A365" s="84">
        <v>37</v>
      </c>
      <c r="B365" s="86">
        <v>40966</v>
      </c>
      <c r="C365" s="88">
        <v>71110037</v>
      </c>
      <c r="D365" s="88" t="s">
        <v>2840</v>
      </c>
      <c r="E365" s="89">
        <v>375</v>
      </c>
      <c r="F365" s="88" t="s">
        <v>3011</v>
      </c>
      <c r="G365" s="88" t="s">
        <v>3867</v>
      </c>
      <c r="H365" s="213">
        <v>7.4999999999999997E-2</v>
      </c>
      <c r="I365" s="29">
        <f t="shared" si="5"/>
        <v>250</v>
      </c>
    </row>
    <row r="366" spans="1:9">
      <c r="A366" s="84">
        <v>37</v>
      </c>
      <c r="B366" s="86">
        <v>40966</v>
      </c>
      <c r="C366" s="88">
        <v>71120037</v>
      </c>
      <c r="D366" s="88" t="s">
        <v>2840</v>
      </c>
      <c r="E366" s="89">
        <v>300</v>
      </c>
      <c r="F366" s="88" t="s">
        <v>3012</v>
      </c>
      <c r="G366" s="88" t="s">
        <v>3868</v>
      </c>
      <c r="H366" s="213">
        <v>0.06</v>
      </c>
      <c r="I366" s="29">
        <f t="shared" si="5"/>
        <v>174.99999999999997</v>
      </c>
    </row>
    <row r="367" spans="1:9">
      <c r="A367" s="84">
        <v>37</v>
      </c>
      <c r="B367" s="86">
        <v>40966</v>
      </c>
      <c r="C367" s="88">
        <v>71110037</v>
      </c>
      <c r="D367" s="88" t="s">
        <v>2840</v>
      </c>
      <c r="E367" s="89">
        <v>750</v>
      </c>
      <c r="F367" s="88" t="s">
        <v>3021</v>
      </c>
      <c r="G367" s="88" t="s">
        <v>3867</v>
      </c>
      <c r="H367" s="213">
        <v>7.4999999999999997E-2</v>
      </c>
      <c r="I367" s="29">
        <f t="shared" si="5"/>
        <v>500</v>
      </c>
    </row>
    <row r="368" spans="1:9">
      <c r="A368" s="84">
        <v>37</v>
      </c>
      <c r="B368" s="86">
        <v>40967</v>
      </c>
      <c r="C368" s="88">
        <v>71110037</v>
      </c>
      <c r="D368" s="88" t="s">
        <v>2840</v>
      </c>
      <c r="E368" s="89">
        <v>375</v>
      </c>
      <c r="F368" s="88" t="s">
        <v>3037</v>
      </c>
      <c r="G368" s="88" t="s">
        <v>3867</v>
      </c>
      <c r="H368" s="213">
        <v>7.4999999999999997E-2</v>
      </c>
      <c r="I368" s="29">
        <f t="shared" si="5"/>
        <v>250</v>
      </c>
    </row>
    <row r="369" spans="1:9">
      <c r="A369" s="84">
        <v>37</v>
      </c>
      <c r="B369" s="86">
        <v>40968</v>
      </c>
      <c r="C369" s="88">
        <v>71110037</v>
      </c>
      <c r="D369" s="88" t="s">
        <v>2840</v>
      </c>
      <c r="E369" s="89">
        <v>750</v>
      </c>
      <c r="F369" s="88" t="s">
        <v>3047</v>
      </c>
      <c r="G369" s="88" t="s">
        <v>3867</v>
      </c>
      <c r="H369" s="213">
        <v>7.4999999999999997E-2</v>
      </c>
      <c r="I369" s="29">
        <f t="shared" si="5"/>
        <v>500</v>
      </c>
    </row>
    <row r="370" spans="1:9">
      <c r="A370" s="84">
        <v>37</v>
      </c>
      <c r="B370" s="86">
        <v>40968</v>
      </c>
      <c r="C370" s="88">
        <v>71110037</v>
      </c>
      <c r="D370" s="88" t="s">
        <v>2840</v>
      </c>
      <c r="E370" s="89">
        <v>750</v>
      </c>
      <c r="F370" s="88" t="s">
        <v>3061</v>
      </c>
      <c r="G370" s="88" t="s">
        <v>3867</v>
      </c>
      <c r="H370" s="213">
        <v>7.4999999999999997E-2</v>
      </c>
      <c r="I370" s="29">
        <f t="shared" si="5"/>
        <v>500</v>
      </c>
    </row>
    <row r="371" spans="1:9">
      <c r="A371" s="84">
        <v>37</v>
      </c>
      <c r="B371" s="86">
        <v>40973</v>
      </c>
      <c r="C371" s="88">
        <v>71120037</v>
      </c>
      <c r="D371" s="91" t="s">
        <v>2840</v>
      </c>
      <c r="E371" s="89">
        <v>225</v>
      </c>
      <c r="F371" s="91" t="s">
        <v>3245</v>
      </c>
      <c r="G371" s="88" t="s">
        <v>3868</v>
      </c>
      <c r="H371" s="213">
        <v>0.06</v>
      </c>
      <c r="I371" s="29">
        <f t="shared" si="5"/>
        <v>131.25</v>
      </c>
    </row>
    <row r="372" spans="1:9">
      <c r="A372" s="84">
        <v>37</v>
      </c>
      <c r="B372" s="86">
        <v>40973</v>
      </c>
      <c r="C372" s="88">
        <v>71120037</v>
      </c>
      <c r="D372" s="91" t="s">
        <v>2840</v>
      </c>
      <c r="E372" s="89">
        <v>300</v>
      </c>
      <c r="F372" s="91" t="s">
        <v>3246</v>
      </c>
      <c r="G372" s="88" t="s">
        <v>3868</v>
      </c>
      <c r="H372" s="213">
        <v>0.06</v>
      </c>
      <c r="I372" s="29">
        <f t="shared" si="5"/>
        <v>174.99999999999997</v>
      </c>
    </row>
    <row r="373" spans="1:9">
      <c r="A373" s="84">
        <v>37</v>
      </c>
      <c r="B373" s="86">
        <v>40984</v>
      </c>
      <c r="C373" s="88">
        <v>71110037</v>
      </c>
      <c r="D373" s="91" t="s">
        <v>2840</v>
      </c>
      <c r="E373" s="89">
        <v>1690</v>
      </c>
      <c r="F373" s="91" t="s">
        <v>1274</v>
      </c>
      <c r="G373" s="88" t="s">
        <v>3867</v>
      </c>
      <c r="H373" s="213">
        <v>7.4999999999999997E-2</v>
      </c>
      <c r="I373" s="29">
        <f t="shared" si="5"/>
        <v>1126.6666666666667</v>
      </c>
    </row>
    <row r="374" spans="1:9">
      <c r="A374" s="84">
        <v>37</v>
      </c>
      <c r="B374" s="86">
        <v>40985</v>
      </c>
      <c r="C374" s="88">
        <v>71110037</v>
      </c>
      <c r="D374" s="91" t="s">
        <v>2840</v>
      </c>
      <c r="E374" s="89">
        <v>5625</v>
      </c>
      <c r="F374" s="91" t="s">
        <v>611</v>
      </c>
      <c r="G374" s="88" t="s">
        <v>3867</v>
      </c>
      <c r="H374" s="213">
        <v>7.4999999999999997E-2</v>
      </c>
      <c r="I374" s="29">
        <f t="shared" si="5"/>
        <v>3750</v>
      </c>
    </row>
    <row r="375" spans="1:9">
      <c r="A375" s="84">
        <v>37</v>
      </c>
      <c r="B375" s="86">
        <v>40985</v>
      </c>
      <c r="C375" s="88">
        <v>71110037</v>
      </c>
      <c r="D375" s="91" t="s">
        <v>2840</v>
      </c>
      <c r="E375" s="89">
        <v>375</v>
      </c>
      <c r="F375" s="91" t="s">
        <v>612</v>
      </c>
      <c r="G375" s="88" t="s">
        <v>3867</v>
      </c>
      <c r="H375" s="213">
        <v>7.4999999999999997E-2</v>
      </c>
      <c r="I375" s="29">
        <f t="shared" si="5"/>
        <v>250</v>
      </c>
    </row>
    <row r="376" spans="1:9">
      <c r="A376" s="84">
        <v>37</v>
      </c>
      <c r="B376" s="86">
        <v>40985</v>
      </c>
      <c r="C376" s="88">
        <v>71110037</v>
      </c>
      <c r="D376" s="91" t="s">
        <v>2840</v>
      </c>
      <c r="E376" s="89">
        <v>600</v>
      </c>
      <c r="F376" s="91" t="s">
        <v>613</v>
      </c>
      <c r="G376" s="88" t="s">
        <v>3867</v>
      </c>
      <c r="H376" s="213">
        <v>7.4999999999999997E-2</v>
      </c>
      <c r="I376" s="29">
        <f t="shared" si="5"/>
        <v>399.99999999999994</v>
      </c>
    </row>
    <row r="377" spans="1:9">
      <c r="A377" s="84">
        <v>37</v>
      </c>
      <c r="B377" s="86">
        <v>40985</v>
      </c>
      <c r="C377" s="88">
        <v>71110037</v>
      </c>
      <c r="D377" s="91" t="s">
        <v>2840</v>
      </c>
      <c r="E377" s="89">
        <v>750</v>
      </c>
      <c r="F377" s="91" t="s">
        <v>614</v>
      </c>
      <c r="G377" s="88" t="s">
        <v>3867</v>
      </c>
      <c r="H377" s="213">
        <v>7.4999999999999997E-2</v>
      </c>
      <c r="I377" s="29">
        <f t="shared" si="5"/>
        <v>500</v>
      </c>
    </row>
    <row r="378" spans="1:9">
      <c r="A378" s="84">
        <v>37</v>
      </c>
      <c r="B378" s="86">
        <v>40985</v>
      </c>
      <c r="C378" s="88">
        <v>71110037</v>
      </c>
      <c r="D378" s="91" t="s">
        <v>2840</v>
      </c>
      <c r="E378" s="89">
        <v>375</v>
      </c>
      <c r="F378" s="91" t="s">
        <v>615</v>
      </c>
      <c r="G378" s="88" t="s">
        <v>3867</v>
      </c>
      <c r="H378" s="213">
        <v>7.4999999999999997E-2</v>
      </c>
      <c r="I378" s="29">
        <f t="shared" si="5"/>
        <v>250</v>
      </c>
    </row>
    <row r="379" spans="1:9">
      <c r="A379" s="84">
        <v>37</v>
      </c>
      <c r="B379" s="86">
        <v>40985</v>
      </c>
      <c r="C379" s="88">
        <v>71110037</v>
      </c>
      <c r="D379" s="91" t="s">
        <v>2840</v>
      </c>
      <c r="E379" s="89">
        <v>750</v>
      </c>
      <c r="F379" s="91" t="s">
        <v>616</v>
      </c>
      <c r="G379" s="88" t="s">
        <v>3867</v>
      </c>
      <c r="H379" s="213">
        <v>7.4999999999999997E-2</v>
      </c>
      <c r="I379" s="29">
        <f t="shared" si="5"/>
        <v>500</v>
      </c>
    </row>
    <row r="380" spans="1:9">
      <c r="A380" s="84">
        <v>37</v>
      </c>
      <c r="B380" s="86">
        <v>40985</v>
      </c>
      <c r="C380" s="88">
        <v>71120037</v>
      </c>
      <c r="D380" s="91" t="s">
        <v>2840</v>
      </c>
      <c r="E380" s="89">
        <v>450</v>
      </c>
      <c r="F380" s="91" t="s">
        <v>617</v>
      </c>
      <c r="G380" s="88" t="s">
        <v>3868</v>
      </c>
      <c r="H380" s="213">
        <v>0.06</v>
      </c>
      <c r="I380" s="29">
        <f t="shared" si="5"/>
        <v>262.5</v>
      </c>
    </row>
    <row r="381" spans="1:9">
      <c r="A381" s="84">
        <v>37</v>
      </c>
      <c r="B381" s="86">
        <v>40985</v>
      </c>
      <c r="C381" s="88">
        <v>71110037</v>
      </c>
      <c r="D381" s="91" t="s">
        <v>2840</v>
      </c>
      <c r="E381" s="89">
        <v>1125</v>
      </c>
      <c r="F381" s="91" t="s">
        <v>618</v>
      </c>
      <c r="G381" s="88" t="s">
        <v>3867</v>
      </c>
      <c r="H381" s="213">
        <v>7.4999999999999997E-2</v>
      </c>
      <c r="I381" s="29">
        <f t="shared" si="5"/>
        <v>749.99999999999989</v>
      </c>
    </row>
    <row r="382" spans="1:9">
      <c r="A382" s="84">
        <v>37</v>
      </c>
      <c r="B382" s="86">
        <v>40985</v>
      </c>
      <c r="C382" s="88">
        <v>71110037</v>
      </c>
      <c r="D382" s="91" t="s">
        <v>2840</v>
      </c>
      <c r="E382" s="89">
        <v>750</v>
      </c>
      <c r="F382" s="91" t="s">
        <v>616</v>
      </c>
      <c r="G382" s="88" t="s">
        <v>3867</v>
      </c>
      <c r="H382" s="213">
        <v>7.4999999999999997E-2</v>
      </c>
      <c r="I382" s="29">
        <f t="shared" si="5"/>
        <v>500</v>
      </c>
    </row>
    <row r="383" spans="1:9">
      <c r="A383" s="84">
        <v>38</v>
      </c>
      <c r="B383" s="86">
        <v>40962</v>
      </c>
      <c r="C383" s="87">
        <v>71120038</v>
      </c>
      <c r="D383" s="88" t="s">
        <v>2862</v>
      </c>
      <c r="E383" s="89">
        <v>75</v>
      </c>
      <c r="F383" s="88" t="s">
        <v>2863</v>
      </c>
      <c r="G383" s="88" t="s">
        <v>3868</v>
      </c>
      <c r="H383" s="213">
        <v>0.06</v>
      </c>
      <c r="I383" s="29">
        <f t="shared" si="5"/>
        <v>43.749999999999993</v>
      </c>
    </row>
    <row r="384" spans="1:9">
      <c r="A384" s="84">
        <v>38</v>
      </c>
      <c r="B384" s="86">
        <v>40969</v>
      </c>
      <c r="C384" s="88">
        <v>71120038</v>
      </c>
      <c r="D384" s="88" t="s">
        <v>2862</v>
      </c>
      <c r="E384" s="89">
        <v>75</v>
      </c>
      <c r="F384" s="88" t="s">
        <v>3063</v>
      </c>
      <c r="G384" s="88" t="s">
        <v>3868</v>
      </c>
      <c r="H384" s="213">
        <v>0.06</v>
      </c>
      <c r="I384" s="29">
        <f t="shared" si="5"/>
        <v>43.749999999999993</v>
      </c>
    </row>
    <row r="385" spans="1:9">
      <c r="A385" s="84">
        <v>38</v>
      </c>
      <c r="B385" s="86">
        <v>40976</v>
      </c>
      <c r="C385" s="88">
        <v>71120038</v>
      </c>
      <c r="D385" s="91" t="s">
        <v>2862</v>
      </c>
      <c r="E385" s="89">
        <v>75</v>
      </c>
      <c r="F385" s="91" t="s">
        <v>514</v>
      </c>
      <c r="G385" s="88" t="s">
        <v>3868</v>
      </c>
      <c r="H385" s="213">
        <v>0.06</v>
      </c>
      <c r="I385" s="29">
        <f t="shared" si="5"/>
        <v>43.749999999999993</v>
      </c>
    </row>
    <row r="386" spans="1:9">
      <c r="A386" s="84">
        <v>38</v>
      </c>
      <c r="B386" s="86">
        <v>40983</v>
      </c>
      <c r="C386" s="88">
        <v>71120038</v>
      </c>
      <c r="D386" s="91" t="s">
        <v>2862</v>
      </c>
      <c r="E386" s="89">
        <v>75</v>
      </c>
      <c r="F386" s="91" t="s">
        <v>1254</v>
      </c>
      <c r="G386" s="88" t="s">
        <v>3868</v>
      </c>
      <c r="H386" s="213">
        <v>0.06</v>
      </c>
      <c r="I386" s="29">
        <f t="shared" ref="I386:I449" si="6">E386*(H386-0.025)/H386</f>
        <v>43.749999999999993</v>
      </c>
    </row>
    <row r="387" spans="1:9">
      <c r="A387" s="84">
        <v>39</v>
      </c>
      <c r="B387" s="86">
        <v>40953</v>
      </c>
      <c r="C387" s="87">
        <v>71120039</v>
      </c>
      <c r="D387" s="88" t="s">
        <v>3618</v>
      </c>
      <c r="E387" s="89">
        <v>75</v>
      </c>
      <c r="F387" s="88" t="s">
        <v>3428</v>
      </c>
      <c r="G387" s="88" t="s">
        <v>3868</v>
      </c>
      <c r="H387" s="213">
        <v>0.06</v>
      </c>
      <c r="I387" s="29">
        <f t="shared" si="6"/>
        <v>43.749999999999993</v>
      </c>
    </row>
    <row r="388" spans="1:9">
      <c r="A388" s="84">
        <v>39</v>
      </c>
      <c r="B388" s="86">
        <v>40960</v>
      </c>
      <c r="C388" s="87">
        <v>71120039</v>
      </c>
      <c r="D388" s="88" t="s">
        <v>2823</v>
      </c>
      <c r="E388" s="89">
        <v>75</v>
      </c>
      <c r="F388" s="88" t="s">
        <v>2824</v>
      </c>
      <c r="G388" s="88" t="s">
        <v>3868</v>
      </c>
      <c r="H388" s="213">
        <v>0.06</v>
      </c>
      <c r="I388" s="29">
        <f t="shared" si="6"/>
        <v>43.749999999999993</v>
      </c>
    </row>
    <row r="389" spans="1:9">
      <c r="A389" s="84">
        <v>39</v>
      </c>
      <c r="B389" s="86">
        <v>40962</v>
      </c>
      <c r="C389" s="87">
        <v>71120039</v>
      </c>
      <c r="D389" s="88" t="s">
        <v>2850</v>
      </c>
      <c r="E389" s="89">
        <v>150</v>
      </c>
      <c r="F389" s="88" t="s">
        <v>2851</v>
      </c>
      <c r="G389" s="88" t="s">
        <v>3868</v>
      </c>
      <c r="H389" s="213">
        <v>0.06</v>
      </c>
      <c r="I389" s="29">
        <f t="shared" si="6"/>
        <v>87.499999999999986</v>
      </c>
    </row>
    <row r="390" spans="1:9">
      <c r="A390" s="84">
        <v>39</v>
      </c>
      <c r="B390" s="86">
        <v>40967</v>
      </c>
      <c r="C390" s="88">
        <v>71120039</v>
      </c>
      <c r="D390" s="88" t="s">
        <v>2823</v>
      </c>
      <c r="E390" s="89">
        <v>75</v>
      </c>
      <c r="F390" s="88" t="s">
        <v>3036</v>
      </c>
      <c r="G390" s="88" t="s">
        <v>3868</v>
      </c>
      <c r="H390" s="213">
        <v>0.06</v>
      </c>
      <c r="I390" s="29">
        <f t="shared" si="6"/>
        <v>43.749999999999993</v>
      </c>
    </row>
    <row r="391" spans="1:9">
      <c r="A391" s="84">
        <v>39</v>
      </c>
      <c r="B391" s="86">
        <v>40969</v>
      </c>
      <c r="C391" s="88">
        <v>71120039</v>
      </c>
      <c r="D391" s="88" t="s">
        <v>2823</v>
      </c>
      <c r="E391" s="89">
        <v>150</v>
      </c>
      <c r="F391" s="88" t="s">
        <v>3069</v>
      </c>
      <c r="G391" s="88" t="s">
        <v>3868</v>
      </c>
      <c r="H391" s="213">
        <v>0.06</v>
      </c>
      <c r="I391" s="29">
        <f t="shared" si="6"/>
        <v>87.499999999999986</v>
      </c>
    </row>
    <row r="392" spans="1:9">
      <c r="A392" s="84">
        <v>39</v>
      </c>
      <c r="B392" s="86">
        <v>40974</v>
      </c>
      <c r="C392" s="88">
        <v>71120039</v>
      </c>
      <c r="D392" s="91" t="s">
        <v>2823</v>
      </c>
      <c r="E392" s="89">
        <v>75</v>
      </c>
      <c r="F392" s="91" t="s">
        <v>2217</v>
      </c>
      <c r="G392" s="88" t="s">
        <v>3868</v>
      </c>
      <c r="H392" s="213">
        <v>0.06</v>
      </c>
      <c r="I392" s="29">
        <f t="shared" si="6"/>
        <v>43.749999999999993</v>
      </c>
    </row>
    <row r="393" spans="1:9">
      <c r="A393" s="84">
        <v>39</v>
      </c>
      <c r="B393" s="86">
        <v>40977</v>
      </c>
      <c r="C393" s="88">
        <v>71120039</v>
      </c>
      <c r="D393" s="91" t="s">
        <v>2823</v>
      </c>
      <c r="E393" s="89">
        <v>150</v>
      </c>
      <c r="F393" s="91" t="s">
        <v>525</v>
      </c>
      <c r="G393" s="88" t="s">
        <v>3868</v>
      </c>
      <c r="H393" s="213">
        <v>0.06</v>
      </c>
      <c r="I393" s="29">
        <f t="shared" si="6"/>
        <v>87.499999999999986</v>
      </c>
    </row>
    <row r="394" spans="1:9">
      <c r="A394" s="84">
        <v>39</v>
      </c>
      <c r="B394" s="86">
        <v>40981</v>
      </c>
      <c r="C394" s="88">
        <v>71120039</v>
      </c>
      <c r="D394" s="91" t="s">
        <v>2823</v>
      </c>
      <c r="E394" s="89">
        <v>75</v>
      </c>
      <c r="F394" s="91" t="s">
        <v>567</v>
      </c>
      <c r="G394" s="88" t="s">
        <v>3868</v>
      </c>
      <c r="H394" s="213">
        <v>0.06</v>
      </c>
      <c r="I394" s="29">
        <f t="shared" si="6"/>
        <v>43.749999999999993</v>
      </c>
    </row>
    <row r="395" spans="1:9">
      <c r="A395" s="84">
        <v>40</v>
      </c>
      <c r="B395" s="86">
        <v>40962</v>
      </c>
      <c r="C395" s="87">
        <v>71110040</v>
      </c>
      <c r="D395" s="88" t="s">
        <v>2852</v>
      </c>
      <c r="E395" s="89">
        <v>8250</v>
      </c>
      <c r="F395" s="88" t="s">
        <v>2853</v>
      </c>
      <c r="G395" s="88" t="s">
        <v>3867</v>
      </c>
      <c r="H395" s="213">
        <v>7.4999999999999997E-2</v>
      </c>
      <c r="I395" s="29">
        <f t="shared" si="6"/>
        <v>5499.9999999999991</v>
      </c>
    </row>
    <row r="396" spans="1:9">
      <c r="A396" s="84">
        <v>40</v>
      </c>
      <c r="B396" s="86">
        <v>40982</v>
      </c>
      <c r="C396" s="88">
        <v>71110040</v>
      </c>
      <c r="D396" s="91" t="s">
        <v>2852</v>
      </c>
      <c r="E396" s="89">
        <v>8250</v>
      </c>
      <c r="F396" s="91" t="s">
        <v>1253</v>
      </c>
      <c r="G396" s="88" t="s">
        <v>3867</v>
      </c>
      <c r="H396" s="213">
        <v>7.4999999999999997E-2</v>
      </c>
      <c r="I396" s="29">
        <f t="shared" si="6"/>
        <v>5499.9999999999991</v>
      </c>
    </row>
    <row r="397" spans="1:9">
      <c r="A397" s="84">
        <v>41</v>
      </c>
      <c r="B397" s="86">
        <v>40964</v>
      </c>
      <c r="C397" s="87">
        <v>71110041</v>
      </c>
      <c r="D397" s="88" t="s">
        <v>3003</v>
      </c>
      <c r="E397" s="89">
        <v>375</v>
      </c>
      <c r="F397" s="88" t="s">
        <v>3004</v>
      </c>
      <c r="G397" s="88" t="s">
        <v>3867</v>
      </c>
      <c r="H397" s="213">
        <v>7.4999999999999997E-2</v>
      </c>
      <c r="I397" s="29">
        <f t="shared" si="6"/>
        <v>250</v>
      </c>
    </row>
    <row r="398" spans="1:9">
      <c r="A398" s="84">
        <v>42</v>
      </c>
      <c r="B398" s="86">
        <v>40963</v>
      </c>
      <c r="C398" s="88">
        <v>71120042</v>
      </c>
      <c r="D398" s="88" t="s">
        <v>2870</v>
      </c>
      <c r="E398" s="89">
        <v>150</v>
      </c>
      <c r="F398" s="88" t="s">
        <v>2871</v>
      </c>
      <c r="G398" s="88" t="s">
        <v>3868</v>
      </c>
      <c r="H398" s="213">
        <v>0.06</v>
      </c>
      <c r="I398" s="29">
        <f t="shared" si="6"/>
        <v>87.499999999999986</v>
      </c>
    </row>
    <row r="399" spans="1:9">
      <c r="A399" s="84">
        <v>42</v>
      </c>
      <c r="B399" s="86">
        <v>40966</v>
      </c>
      <c r="C399" s="88">
        <v>71110042</v>
      </c>
      <c r="D399" s="88" t="s">
        <v>2870</v>
      </c>
      <c r="E399" s="89">
        <v>375</v>
      </c>
      <c r="F399" s="88" t="s">
        <v>3029</v>
      </c>
      <c r="G399" s="88" t="s">
        <v>3867</v>
      </c>
      <c r="H399" s="213">
        <v>7.4999999999999997E-2</v>
      </c>
      <c r="I399" s="29">
        <f t="shared" si="6"/>
        <v>250</v>
      </c>
    </row>
    <row r="400" spans="1:9">
      <c r="A400" s="84">
        <v>42</v>
      </c>
      <c r="B400" s="86">
        <v>40974</v>
      </c>
      <c r="C400" s="88">
        <v>71120042</v>
      </c>
      <c r="D400" s="91" t="s">
        <v>2870</v>
      </c>
      <c r="E400" s="89">
        <v>150</v>
      </c>
      <c r="F400" s="91" t="s">
        <v>2218</v>
      </c>
      <c r="G400" s="88" t="s">
        <v>3868</v>
      </c>
      <c r="H400" s="213">
        <v>0.06</v>
      </c>
      <c r="I400" s="29">
        <f t="shared" si="6"/>
        <v>87.499999999999986</v>
      </c>
    </row>
    <row r="401" spans="1:9">
      <c r="A401" s="84">
        <v>42</v>
      </c>
      <c r="B401" s="86">
        <v>40974</v>
      </c>
      <c r="C401" s="88">
        <v>71120042</v>
      </c>
      <c r="D401" s="91" t="s">
        <v>2870</v>
      </c>
      <c r="E401" s="89">
        <v>300</v>
      </c>
      <c r="F401" s="91" t="s">
        <v>2761</v>
      </c>
      <c r="G401" s="88" t="s">
        <v>3868</v>
      </c>
      <c r="H401" s="213">
        <v>0.06</v>
      </c>
      <c r="I401" s="29">
        <f t="shared" si="6"/>
        <v>174.99999999999997</v>
      </c>
    </row>
    <row r="402" spans="1:9">
      <c r="A402" s="84">
        <v>42</v>
      </c>
      <c r="B402" s="86">
        <v>40985</v>
      </c>
      <c r="C402" s="88">
        <v>71110042</v>
      </c>
      <c r="D402" s="91" t="s">
        <v>619</v>
      </c>
      <c r="E402" s="89">
        <v>375</v>
      </c>
      <c r="F402" s="91" t="s">
        <v>620</v>
      </c>
      <c r="G402" s="88" t="s">
        <v>3867</v>
      </c>
      <c r="H402" s="213">
        <v>7.4999999999999997E-2</v>
      </c>
      <c r="I402" s="29">
        <f t="shared" si="6"/>
        <v>250</v>
      </c>
    </row>
    <row r="403" spans="1:9">
      <c r="A403" s="84">
        <v>43</v>
      </c>
      <c r="B403" s="86">
        <v>40978</v>
      </c>
      <c r="C403" s="88">
        <v>71110043</v>
      </c>
      <c r="D403" s="91" t="s">
        <v>2876</v>
      </c>
      <c r="E403" s="89">
        <v>1125</v>
      </c>
      <c r="F403" s="91" t="s">
        <v>532</v>
      </c>
      <c r="G403" s="88" t="s">
        <v>3867</v>
      </c>
      <c r="H403" s="213">
        <v>7.4999999999999997E-2</v>
      </c>
      <c r="I403" s="29">
        <f t="shared" si="6"/>
        <v>749.99999999999989</v>
      </c>
    </row>
    <row r="404" spans="1:9">
      <c r="A404" s="84">
        <v>44</v>
      </c>
      <c r="B404" s="86">
        <v>40964</v>
      </c>
      <c r="C404" s="87">
        <v>71110044</v>
      </c>
      <c r="D404" s="88" t="s">
        <v>3007</v>
      </c>
      <c r="E404" s="89">
        <v>13500</v>
      </c>
      <c r="F404" s="88" t="s">
        <v>3008</v>
      </c>
      <c r="G404" s="88" t="s">
        <v>3867</v>
      </c>
      <c r="H404" s="213">
        <v>7.4999999999999997E-2</v>
      </c>
      <c r="I404" s="29">
        <f t="shared" si="6"/>
        <v>9000</v>
      </c>
    </row>
    <row r="405" spans="1:9">
      <c r="A405" s="84">
        <v>44</v>
      </c>
      <c r="B405" s="86">
        <v>40964</v>
      </c>
      <c r="C405" s="87">
        <v>71120044</v>
      </c>
      <c r="D405" s="88" t="s">
        <v>3007</v>
      </c>
      <c r="E405" s="89">
        <v>300</v>
      </c>
      <c r="F405" s="88" t="s">
        <v>3009</v>
      </c>
      <c r="G405" s="88" t="s">
        <v>3868</v>
      </c>
      <c r="H405" s="213">
        <v>0.06</v>
      </c>
      <c r="I405" s="29">
        <f t="shared" si="6"/>
        <v>174.99999999999997</v>
      </c>
    </row>
    <row r="406" spans="1:9">
      <c r="A406" s="84">
        <v>44</v>
      </c>
      <c r="B406" s="86">
        <v>40971</v>
      </c>
      <c r="C406" s="88">
        <v>71120044</v>
      </c>
      <c r="D406" s="91" t="s">
        <v>3007</v>
      </c>
      <c r="E406" s="89">
        <v>600</v>
      </c>
      <c r="F406" s="91" t="s">
        <v>3093</v>
      </c>
      <c r="G406" s="88" t="s">
        <v>3868</v>
      </c>
      <c r="H406" s="213">
        <v>0.06</v>
      </c>
      <c r="I406" s="29">
        <f t="shared" si="6"/>
        <v>349.99999999999994</v>
      </c>
    </row>
    <row r="407" spans="1:9">
      <c r="A407" s="84">
        <v>45</v>
      </c>
      <c r="B407" s="86">
        <v>40966</v>
      </c>
      <c r="C407" s="88">
        <v>71110045</v>
      </c>
      <c r="D407" s="88" t="s">
        <v>3031</v>
      </c>
      <c r="E407" s="89">
        <v>1125</v>
      </c>
      <c r="F407" s="88" t="s">
        <v>3032</v>
      </c>
      <c r="G407" s="88" t="s">
        <v>3867</v>
      </c>
      <c r="H407" s="213">
        <v>7.4999999999999997E-2</v>
      </c>
      <c r="I407" s="29">
        <f t="shared" si="6"/>
        <v>749.99999999999989</v>
      </c>
    </row>
    <row r="408" spans="1:9">
      <c r="A408" s="84">
        <v>45</v>
      </c>
      <c r="B408" s="86">
        <v>40968</v>
      </c>
      <c r="C408" s="88">
        <v>71110045</v>
      </c>
      <c r="D408" s="88" t="s">
        <v>3031</v>
      </c>
      <c r="E408" s="89">
        <v>27900</v>
      </c>
      <c r="F408" s="88" t="s">
        <v>3057</v>
      </c>
      <c r="G408" s="88" t="s">
        <v>3867</v>
      </c>
      <c r="H408" s="213">
        <v>7.4999999999999997E-2</v>
      </c>
      <c r="I408" s="29">
        <f t="shared" si="6"/>
        <v>18599.999999999996</v>
      </c>
    </row>
    <row r="409" spans="1:9">
      <c r="A409" s="84">
        <v>45</v>
      </c>
      <c r="B409" s="86">
        <v>40980</v>
      </c>
      <c r="C409" s="88">
        <v>71110045</v>
      </c>
      <c r="D409" s="91" t="s">
        <v>3031</v>
      </c>
      <c r="E409" s="89">
        <v>1125</v>
      </c>
      <c r="F409" s="91" t="s">
        <v>543</v>
      </c>
      <c r="G409" s="88" t="s">
        <v>3867</v>
      </c>
      <c r="H409" s="213">
        <v>7.4999999999999997E-2</v>
      </c>
      <c r="I409" s="29">
        <f t="shared" si="6"/>
        <v>749.99999999999989</v>
      </c>
    </row>
    <row r="410" spans="1:9">
      <c r="A410" s="84">
        <v>45</v>
      </c>
      <c r="B410" s="86">
        <v>40980</v>
      </c>
      <c r="C410" s="88">
        <v>71110045</v>
      </c>
      <c r="D410" s="91" t="s">
        <v>3031</v>
      </c>
      <c r="E410" s="89">
        <v>1125</v>
      </c>
      <c r="F410" s="91" t="s">
        <v>543</v>
      </c>
      <c r="G410" s="88" t="s">
        <v>3867</v>
      </c>
      <c r="H410" s="213">
        <v>7.4999999999999997E-2</v>
      </c>
      <c r="I410" s="29">
        <f t="shared" si="6"/>
        <v>749.99999999999989</v>
      </c>
    </row>
    <row r="411" spans="1:9">
      <c r="A411" s="84">
        <v>45</v>
      </c>
      <c r="B411" s="86">
        <v>40985</v>
      </c>
      <c r="C411" s="88">
        <v>71110045</v>
      </c>
      <c r="D411" s="91" t="s">
        <v>3031</v>
      </c>
      <c r="E411" s="89">
        <v>13950</v>
      </c>
      <c r="F411" s="91" t="s">
        <v>635</v>
      </c>
      <c r="G411" s="88" t="s">
        <v>3867</v>
      </c>
      <c r="H411" s="213">
        <v>7.4999999999999997E-2</v>
      </c>
      <c r="I411" s="29">
        <f t="shared" si="6"/>
        <v>9299.9999999999982</v>
      </c>
    </row>
    <row r="412" spans="1:9">
      <c r="A412" s="84">
        <v>46</v>
      </c>
      <c r="B412" s="86">
        <v>40966</v>
      </c>
      <c r="C412" s="88">
        <v>71110046</v>
      </c>
      <c r="D412" s="88" t="s">
        <v>3033</v>
      </c>
      <c r="E412" s="89">
        <v>4125</v>
      </c>
      <c r="F412" s="88" t="s">
        <v>3034</v>
      </c>
      <c r="G412" s="88" t="s">
        <v>3867</v>
      </c>
      <c r="H412" s="213">
        <v>7.4999999999999997E-2</v>
      </c>
      <c r="I412" s="29">
        <f t="shared" si="6"/>
        <v>2749.9999999999995</v>
      </c>
    </row>
    <row r="413" spans="1:9">
      <c r="A413" s="84">
        <v>46</v>
      </c>
      <c r="B413" s="86">
        <v>40980</v>
      </c>
      <c r="C413" s="88">
        <v>71110046</v>
      </c>
      <c r="D413" s="91" t="s">
        <v>3033</v>
      </c>
      <c r="E413" s="89">
        <v>4125</v>
      </c>
      <c r="F413" s="91" t="s">
        <v>550</v>
      </c>
      <c r="G413" s="88" t="s">
        <v>3867</v>
      </c>
      <c r="H413" s="213">
        <v>7.4999999999999997E-2</v>
      </c>
      <c r="I413" s="29">
        <f t="shared" si="6"/>
        <v>2749.9999999999995</v>
      </c>
    </row>
    <row r="414" spans="1:9">
      <c r="A414" s="84">
        <v>47</v>
      </c>
      <c r="B414" s="86">
        <v>40967</v>
      </c>
      <c r="C414" s="88">
        <v>71120047</v>
      </c>
      <c r="D414" s="88" t="s">
        <v>3038</v>
      </c>
      <c r="E414" s="89">
        <v>300</v>
      </c>
      <c r="F414" s="88" t="s">
        <v>3039</v>
      </c>
      <c r="G414" s="88" t="s">
        <v>3868</v>
      </c>
      <c r="H414" s="213">
        <v>0.06</v>
      </c>
      <c r="I414" s="29">
        <f t="shared" si="6"/>
        <v>174.99999999999997</v>
      </c>
    </row>
    <row r="415" spans="1:9">
      <c r="A415" s="84">
        <v>47</v>
      </c>
      <c r="B415" s="86">
        <v>40978</v>
      </c>
      <c r="C415" s="88">
        <v>71120047</v>
      </c>
      <c r="D415" s="91" t="s">
        <v>3038</v>
      </c>
      <c r="E415" s="89">
        <v>300</v>
      </c>
      <c r="F415" s="91" t="s">
        <v>535</v>
      </c>
      <c r="G415" s="88" t="s">
        <v>3868</v>
      </c>
      <c r="H415" s="213">
        <v>0.06</v>
      </c>
      <c r="I415" s="29">
        <f t="shared" si="6"/>
        <v>174.99999999999997</v>
      </c>
    </row>
    <row r="416" spans="1:9">
      <c r="A416" s="84">
        <v>47</v>
      </c>
      <c r="B416" s="86">
        <v>40981</v>
      </c>
      <c r="C416" s="88">
        <v>71120047</v>
      </c>
      <c r="D416" s="91" t="s">
        <v>3038</v>
      </c>
      <c r="E416" s="89">
        <v>300</v>
      </c>
      <c r="F416" s="91" t="s">
        <v>559</v>
      </c>
      <c r="G416" s="88" t="s">
        <v>3868</v>
      </c>
      <c r="H416" s="213">
        <v>0.06</v>
      </c>
      <c r="I416" s="29">
        <f t="shared" si="6"/>
        <v>174.99999999999997</v>
      </c>
    </row>
    <row r="417" spans="1:9">
      <c r="A417" s="84">
        <v>47</v>
      </c>
      <c r="B417" s="86">
        <v>40982</v>
      </c>
      <c r="C417" s="88">
        <v>71110047</v>
      </c>
      <c r="D417" s="91" t="s">
        <v>3038</v>
      </c>
      <c r="E417" s="89">
        <v>750</v>
      </c>
      <c r="F417" s="91" t="s">
        <v>572</v>
      </c>
      <c r="G417" s="88" t="s">
        <v>3867</v>
      </c>
      <c r="H417" s="213">
        <v>7.4999999999999997E-2</v>
      </c>
      <c r="I417" s="29">
        <f t="shared" si="6"/>
        <v>500</v>
      </c>
    </row>
    <row r="418" spans="1:9">
      <c r="A418" s="84">
        <v>48</v>
      </c>
      <c r="B418" s="86">
        <v>40968</v>
      </c>
      <c r="C418" s="88">
        <v>71120048</v>
      </c>
      <c r="D418" s="88" t="s">
        <v>3050</v>
      </c>
      <c r="E418" s="89">
        <v>450</v>
      </c>
      <c r="F418" s="88" t="s">
        <v>3051</v>
      </c>
      <c r="G418" s="88" t="s">
        <v>3868</v>
      </c>
      <c r="H418" s="213">
        <v>0.06</v>
      </c>
      <c r="I418" s="29">
        <f t="shared" si="6"/>
        <v>262.5</v>
      </c>
    </row>
    <row r="419" spans="1:9">
      <c r="A419" s="84">
        <v>48</v>
      </c>
      <c r="B419" s="86">
        <v>40968</v>
      </c>
      <c r="C419" s="88">
        <v>71110048</v>
      </c>
      <c r="D419" s="88" t="s">
        <v>3050</v>
      </c>
      <c r="E419" s="89">
        <v>750</v>
      </c>
      <c r="F419" s="88" t="s">
        <v>3052</v>
      </c>
      <c r="G419" s="88" t="s">
        <v>3867</v>
      </c>
      <c r="H419" s="213">
        <v>7.4999999999999997E-2</v>
      </c>
      <c r="I419" s="29">
        <f t="shared" si="6"/>
        <v>500</v>
      </c>
    </row>
    <row r="420" spans="1:9">
      <c r="A420" s="84">
        <v>48</v>
      </c>
      <c r="B420" s="86">
        <v>40975</v>
      </c>
      <c r="C420" s="88">
        <v>71120048</v>
      </c>
      <c r="D420" s="91" t="s">
        <v>3050</v>
      </c>
      <c r="E420" s="89">
        <v>450</v>
      </c>
      <c r="F420" s="91" t="s">
        <v>507</v>
      </c>
      <c r="G420" s="88" t="s">
        <v>3868</v>
      </c>
      <c r="H420" s="213">
        <v>0.06</v>
      </c>
      <c r="I420" s="29">
        <f t="shared" si="6"/>
        <v>262.5</v>
      </c>
    </row>
    <row r="421" spans="1:9">
      <c r="A421" s="84">
        <v>48</v>
      </c>
      <c r="B421" s="86">
        <v>40982</v>
      </c>
      <c r="C421" s="88">
        <v>71110048</v>
      </c>
      <c r="D421" s="91" t="s">
        <v>3050</v>
      </c>
      <c r="E421" s="89">
        <v>750</v>
      </c>
      <c r="F421" s="91" t="s">
        <v>569</v>
      </c>
      <c r="G421" s="88" t="s">
        <v>3867</v>
      </c>
      <c r="H421" s="213">
        <v>7.4999999999999997E-2</v>
      </c>
      <c r="I421" s="29">
        <f t="shared" si="6"/>
        <v>500</v>
      </c>
    </row>
    <row r="422" spans="1:9">
      <c r="A422" s="84">
        <v>48</v>
      </c>
      <c r="B422" s="86">
        <v>40982</v>
      </c>
      <c r="C422" s="88">
        <v>71120048</v>
      </c>
      <c r="D422" s="91" t="s">
        <v>3050</v>
      </c>
      <c r="E422" s="89">
        <v>450</v>
      </c>
      <c r="F422" s="91" t="s">
        <v>570</v>
      </c>
      <c r="G422" s="88" t="s">
        <v>3868</v>
      </c>
      <c r="H422" s="213">
        <v>0.06</v>
      </c>
      <c r="I422" s="29">
        <f t="shared" si="6"/>
        <v>262.5</v>
      </c>
    </row>
    <row r="423" spans="1:9">
      <c r="A423" s="84">
        <v>49</v>
      </c>
      <c r="B423" s="86">
        <v>40968</v>
      </c>
      <c r="C423" s="88">
        <v>71110049</v>
      </c>
      <c r="D423" s="88" t="s">
        <v>3055</v>
      </c>
      <c r="E423" s="89">
        <v>22130</v>
      </c>
      <c r="F423" s="88" t="s">
        <v>3056</v>
      </c>
      <c r="G423" s="88" t="s">
        <v>3867</v>
      </c>
      <c r="H423" s="213">
        <v>7.4999999999999997E-2</v>
      </c>
      <c r="I423" s="29">
        <f t="shared" si="6"/>
        <v>14753.333333333334</v>
      </c>
    </row>
    <row r="424" spans="1:9">
      <c r="A424" s="84">
        <v>49</v>
      </c>
      <c r="B424" s="86">
        <v>40970</v>
      </c>
      <c r="C424" s="88">
        <v>71120049</v>
      </c>
      <c r="D424" s="88" t="s">
        <v>3055</v>
      </c>
      <c r="E424" s="89">
        <v>150</v>
      </c>
      <c r="F424" s="88" t="s">
        <v>3079</v>
      </c>
      <c r="G424" s="88" t="s">
        <v>3868</v>
      </c>
      <c r="H424" s="213">
        <v>0.06</v>
      </c>
      <c r="I424" s="29">
        <f t="shared" si="6"/>
        <v>87.499999999999986</v>
      </c>
    </row>
    <row r="425" spans="1:9">
      <c r="A425" s="84">
        <v>49</v>
      </c>
      <c r="B425" s="86">
        <v>40975</v>
      </c>
      <c r="C425" s="88">
        <v>71110049</v>
      </c>
      <c r="D425" s="91" t="s">
        <v>3055</v>
      </c>
      <c r="E425" s="89">
        <v>375</v>
      </c>
      <c r="F425" s="91" t="s">
        <v>502</v>
      </c>
      <c r="G425" s="88" t="s">
        <v>3867</v>
      </c>
      <c r="H425" s="213">
        <v>7.4999999999999997E-2</v>
      </c>
      <c r="I425" s="29">
        <f t="shared" si="6"/>
        <v>250</v>
      </c>
    </row>
    <row r="426" spans="1:9">
      <c r="A426" s="84">
        <v>49</v>
      </c>
      <c r="B426" s="86">
        <v>40977</v>
      </c>
      <c r="C426" s="88">
        <v>71120049</v>
      </c>
      <c r="D426" s="91" t="s">
        <v>3055</v>
      </c>
      <c r="E426" s="89">
        <v>150</v>
      </c>
      <c r="F426" s="91" t="s">
        <v>531</v>
      </c>
      <c r="G426" s="88" t="s">
        <v>3868</v>
      </c>
      <c r="H426" s="213">
        <v>0.06</v>
      </c>
      <c r="I426" s="29">
        <f t="shared" si="6"/>
        <v>87.499999999999986</v>
      </c>
    </row>
    <row r="427" spans="1:9">
      <c r="A427" s="84">
        <v>49</v>
      </c>
      <c r="B427" s="86">
        <v>40984</v>
      </c>
      <c r="C427" s="88">
        <v>71120049</v>
      </c>
      <c r="D427" s="91" t="s">
        <v>3055</v>
      </c>
      <c r="E427" s="89">
        <v>150</v>
      </c>
      <c r="F427" s="91" t="s">
        <v>1281</v>
      </c>
      <c r="G427" s="88" t="s">
        <v>3868</v>
      </c>
      <c r="H427" s="213">
        <v>0.06</v>
      </c>
      <c r="I427" s="29">
        <f t="shared" si="6"/>
        <v>87.499999999999986</v>
      </c>
    </row>
    <row r="428" spans="1:9">
      <c r="A428" s="84">
        <v>49</v>
      </c>
      <c r="B428" s="86">
        <v>40985</v>
      </c>
      <c r="C428" s="88">
        <v>71110049</v>
      </c>
      <c r="D428" s="91" t="s">
        <v>3055</v>
      </c>
      <c r="E428" s="89">
        <v>11065</v>
      </c>
      <c r="F428" s="91" t="s">
        <v>634</v>
      </c>
      <c r="G428" s="88" t="s">
        <v>3867</v>
      </c>
      <c r="H428" s="213">
        <v>7.4999999999999997E-2</v>
      </c>
      <c r="I428" s="29">
        <f t="shared" si="6"/>
        <v>7376.666666666667</v>
      </c>
    </row>
    <row r="429" spans="1:9">
      <c r="A429" s="84">
        <v>50</v>
      </c>
      <c r="B429" s="86">
        <v>40968</v>
      </c>
      <c r="C429" s="88">
        <v>71110050</v>
      </c>
      <c r="D429" s="88" t="s">
        <v>3058</v>
      </c>
      <c r="E429" s="89">
        <v>1500</v>
      </c>
      <c r="F429" s="88" t="s">
        <v>3059</v>
      </c>
      <c r="G429" s="88" t="s">
        <v>3867</v>
      </c>
      <c r="H429" s="213">
        <v>7.4999999999999997E-2</v>
      </c>
      <c r="I429" s="29">
        <f t="shared" si="6"/>
        <v>1000</v>
      </c>
    </row>
    <row r="430" spans="1:9">
      <c r="A430" s="84">
        <v>50</v>
      </c>
      <c r="B430" s="86">
        <v>40985</v>
      </c>
      <c r="C430" s="88">
        <v>71110050</v>
      </c>
      <c r="D430" s="91" t="s">
        <v>3058</v>
      </c>
      <c r="E430" s="89">
        <v>1500</v>
      </c>
      <c r="F430" s="91" t="s">
        <v>621</v>
      </c>
      <c r="G430" s="88" t="s">
        <v>3867</v>
      </c>
      <c r="H430" s="213">
        <v>7.4999999999999997E-2</v>
      </c>
      <c r="I430" s="29">
        <f t="shared" si="6"/>
        <v>1000</v>
      </c>
    </row>
    <row r="431" spans="1:9">
      <c r="A431" s="84">
        <v>50</v>
      </c>
      <c r="B431" s="86">
        <v>40985</v>
      </c>
      <c r="C431" s="88">
        <v>71110050</v>
      </c>
      <c r="D431" s="91" t="s">
        <v>3058</v>
      </c>
      <c r="E431" s="89">
        <v>9750</v>
      </c>
      <c r="F431" s="91" t="s">
        <v>622</v>
      </c>
      <c r="G431" s="88" t="s">
        <v>3867</v>
      </c>
      <c r="H431" s="213">
        <v>7.4999999999999997E-2</v>
      </c>
      <c r="I431" s="29">
        <f t="shared" si="6"/>
        <v>6499.9999999999991</v>
      </c>
    </row>
    <row r="432" spans="1:9">
      <c r="A432" s="84">
        <v>50</v>
      </c>
      <c r="B432" s="86">
        <v>40985</v>
      </c>
      <c r="C432" s="88">
        <v>71110050</v>
      </c>
      <c r="D432" s="91" t="s">
        <v>3058</v>
      </c>
      <c r="E432" s="89">
        <v>190</v>
      </c>
      <c r="F432" s="91" t="s">
        <v>623</v>
      </c>
      <c r="G432" s="88" t="s">
        <v>3867</v>
      </c>
      <c r="H432" s="213">
        <v>7.4999999999999997E-2</v>
      </c>
      <c r="I432" s="29">
        <f t="shared" si="6"/>
        <v>126.66666666666667</v>
      </c>
    </row>
    <row r="433" spans="1:9">
      <c r="A433" s="84">
        <v>51</v>
      </c>
      <c r="B433" s="86">
        <v>40969</v>
      </c>
      <c r="C433" s="88">
        <v>71110051</v>
      </c>
      <c r="D433" s="88" t="s">
        <v>3070</v>
      </c>
      <c r="E433" s="89">
        <v>1125</v>
      </c>
      <c r="F433" s="88" t="s">
        <v>3071</v>
      </c>
      <c r="G433" s="88" t="s">
        <v>3867</v>
      </c>
      <c r="H433" s="213">
        <v>7.4999999999999997E-2</v>
      </c>
      <c r="I433" s="29">
        <f t="shared" si="6"/>
        <v>749.99999999999989</v>
      </c>
    </row>
    <row r="434" spans="1:9">
      <c r="A434" s="84">
        <v>51</v>
      </c>
      <c r="B434" s="86">
        <v>40984</v>
      </c>
      <c r="C434" s="88">
        <v>71110051</v>
      </c>
      <c r="D434" s="91" t="s">
        <v>3070</v>
      </c>
      <c r="E434" s="89">
        <v>1125</v>
      </c>
      <c r="F434" s="91" t="s">
        <v>1277</v>
      </c>
      <c r="G434" s="88" t="s">
        <v>3867</v>
      </c>
      <c r="H434" s="213">
        <v>7.4999999999999997E-2</v>
      </c>
      <c r="I434" s="29">
        <f t="shared" si="6"/>
        <v>749.99999999999989</v>
      </c>
    </row>
    <row r="435" spans="1:9">
      <c r="A435" s="84">
        <v>52</v>
      </c>
      <c r="B435" s="86">
        <v>40970</v>
      </c>
      <c r="C435" s="88">
        <v>71110052</v>
      </c>
      <c r="D435" s="88" t="s">
        <v>3082</v>
      </c>
      <c r="E435" s="89">
        <v>750</v>
      </c>
      <c r="F435" s="88" t="s">
        <v>3083</v>
      </c>
      <c r="G435" s="88" t="s">
        <v>3867</v>
      </c>
      <c r="H435" s="213">
        <v>7.4999999999999997E-2</v>
      </c>
      <c r="I435" s="29">
        <f t="shared" si="6"/>
        <v>500</v>
      </c>
    </row>
    <row r="436" spans="1:9">
      <c r="A436" s="84">
        <v>52</v>
      </c>
      <c r="B436" s="86">
        <v>40970</v>
      </c>
      <c r="C436" s="88">
        <v>71120052</v>
      </c>
      <c r="D436" s="91" t="s">
        <v>3082</v>
      </c>
      <c r="E436" s="89">
        <v>150</v>
      </c>
      <c r="F436" s="91" t="s">
        <v>3084</v>
      </c>
      <c r="G436" s="88" t="s">
        <v>3868</v>
      </c>
      <c r="H436" s="213">
        <v>0.06</v>
      </c>
      <c r="I436" s="29">
        <f t="shared" si="6"/>
        <v>87.499999999999986</v>
      </c>
    </row>
    <row r="437" spans="1:9">
      <c r="A437" s="84">
        <v>52</v>
      </c>
      <c r="B437" s="86">
        <v>40977</v>
      </c>
      <c r="C437" s="88">
        <v>71120052</v>
      </c>
      <c r="D437" s="91" t="s">
        <v>3082</v>
      </c>
      <c r="E437" s="89">
        <v>150</v>
      </c>
      <c r="F437" s="91" t="s">
        <v>530</v>
      </c>
      <c r="G437" s="88" t="s">
        <v>3868</v>
      </c>
      <c r="H437" s="213">
        <v>0.06</v>
      </c>
      <c r="I437" s="29">
        <f t="shared" si="6"/>
        <v>87.499999999999986</v>
      </c>
    </row>
    <row r="438" spans="1:9">
      <c r="A438" s="84">
        <v>52</v>
      </c>
      <c r="B438" s="86">
        <v>40984</v>
      </c>
      <c r="C438" s="88">
        <v>71120052</v>
      </c>
      <c r="D438" s="91" t="s">
        <v>3082</v>
      </c>
      <c r="E438" s="89">
        <v>150</v>
      </c>
      <c r="F438" s="91" t="s">
        <v>1276</v>
      </c>
      <c r="G438" s="88" t="s">
        <v>3868</v>
      </c>
      <c r="H438" s="213">
        <v>0.06</v>
      </c>
      <c r="I438" s="29">
        <f t="shared" si="6"/>
        <v>87.499999999999986</v>
      </c>
    </row>
    <row r="439" spans="1:9">
      <c r="A439" s="84">
        <v>52</v>
      </c>
      <c r="B439" s="86">
        <v>40985</v>
      </c>
      <c r="C439" s="88">
        <v>71110052</v>
      </c>
      <c r="D439" s="91" t="s">
        <v>3082</v>
      </c>
      <c r="E439" s="89">
        <v>750</v>
      </c>
      <c r="F439" s="91" t="s">
        <v>629</v>
      </c>
      <c r="G439" s="88" t="s">
        <v>3867</v>
      </c>
      <c r="H439" s="213">
        <v>7.4999999999999997E-2</v>
      </c>
      <c r="I439" s="29">
        <f t="shared" si="6"/>
        <v>500</v>
      </c>
    </row>
    <row r="440" spans="1:9">
      <c r="A440" s="84">
        <v>53</v>
      </c>
      <c r="B440" s="86">
        <v>40971</v>
      </c>
      <c r="C440" s="88">
        <v>71110053</v>
      </c>
      <c r="D440" s="91" t="s">
        <v>3089</v>
      </c>
      <c r="E440" s="89">
        <v>1125</v>
      </c>
      <c r="F440" s="91" t="s">
        <v>3090</v>
      </c>
      <c r="G440" s="88" t="s">
        <v>3867</v>
      </c>
      <c r="H440" s="213">
        <v>7.4999999999999997E-2</v>
      </c>
      <c r="I440" s="29">
        <f t="shared" si="6"/>
        <v>749.99999999999989</v>
      </c>
    </row>
    <row r="441" spans="1:9">
      <c r="A441" s="84">
        <v>53</v>
      </c>
      <c r="B441" s="86">
        <v>40976</v>
      </c>
      <c r="C441" s="88">
        <v>71110053</v>
      </c>
      <c r="D441" s="91" t="s">
        <v>3089</v>
      </c>
      <c r="E441" s="89">
        <v>1125</v>
      </c>
      <c r="F441" s="91" t="s">
        <v>515</v>
      </c>
      <c r="G441" s="88" t="s">
        <v>3867</v>
      </c>
      <c r="H441" s="213">
        <v>7.4999999999999997E-2</v>
      </c>
      <c r="I441" s="29">
        <f t="shared" si="6"/>
        <v>749.99999999999989</v>
      </c>
    </row>
    <row r="442" spans="1:9">
      <c r="A442" s="84">
        <v>54</v>
      </c>
      <c r="B442" s="86">
        <v>40973</v>
      </c>
      <c r="C442" s="88">
        <v>71110054</v>
      </c>
      <c r="D442" s="91" t="s">
        <v>3243</v>
      </c>
      <c r="E442" s="89">
        <v>1125</v>
      </c>
      <c r="F442" s="91" t="s">
        <v>3244</v>
      </c>
      <c r="G442" s="88" t="s">
        <v>3867</v>
      </c>
      <c r="H442" s="213">
        <v>7.4999999999999997E-2</v>
      </c>
      <c r="I442" s="29">
        <f t="shared" si="6"/>
        <v>749.99999999999989</v>
      </c>
    </row>
    <row r="443" spans="1:9">
      <c r="A443" s="84">
        <v>54</v>
      </c>
      <c r="B443" s="86">
        <v>40983</v>
      </c>
      <c r="C443" s="88">
        <v>71120054</v>
      </c>
      <c r="D443" s="91" t="s">
        <v>3243</v>
      </c>
      <c r="E443" s="89">
        <v>150</v>
      </c>
      <c r="F443" s="91" t="s">
        <v>1255</v>
      </c>
      <c r="G443" s="88" t="s">
        <v>3868</v>
      </c>
      <c r="H443" s="213">
        <v>0.06</v>
      </c>
      <c r="I443" s="29">
        <f t="shared" si="6"/>
        <v>87.499999999999986</v>
      </c>
    </row>
    <row r="444" spans="1:9">
      <c r="A444" s="84">
        <v>54</v>
      </c>
      <c r="B444" s="86">
        <v>40983</v>
      </c>
      <c r="C444" s="88">
        <v>71110054</v>
      </c>
      <c r="D444" s="91" t="s">
        <v>3243</v>
      </c>
      <c r="E444" s="89">
        <v>1125</v>
      </c>
      <c r="F444" s="91" t="s">
        <v>1256</v>
      </c>
      <c r="G444" s="88" t="s">
        <v>3867</v>
      </c>
      <c r="H444" s="213">
        <v>7.4999999999999997E-2</v>
      </c>
      <c r="I444" s="29">
        <f t="shared" si="6"/>
        <v>749.99999999999989</v>
      </c>
    </row>
    <row r="445" spans="1:9">
      <c r="A445" s="84">
        <v>55</v>
      </c>
      <c r="B445" s="86">
        <v>40973</v>
      </c>
      <c r="C445" s="88">
        <v>71110055</v>
      </c>
      <c r="D445" s="91" t="s">
        <v>3237</v>
      </c>
      <c r="E445" s="89">
        <v>750</v>
      </c>
      <c r="F445" s="91" t="s">
        <v>3238</v>
      </c>
      <c r="G445" s="88" t="s">
        <v>3867</v>
      </c>
      <c r="H445" s="213">
        <v>7.4999999999999997E-2</v>
      </c>
      <c r="I445" s="29">
        <f t="shared" si="6"/>
        <v>500</v>
      </c>
    </row>
    <row r="446" spans="1:9">
      <c r="A446" s="84">
        <v>56</v>
      </c>
      <c r="B446" s="86">
        <v>40973</v>
      </c>
      <c r="C446" s="88">
        <v>71120056</v>
      </c>
      <c r="D446" s="91" t="s">
        <v>3231</v>
      </c>
      <c r="E446" s="89">
        <v>300</v>
      </c>
      <c r="F446" s="91" t="s">
        <v>3232</v>
      </c>
      <c r="G446" s="88" t="s">
        <v>3868</v>
      </c>
      <c r="H446" s="213">
        <v>0.06</v>
      </c>
      <c r="I446" s="29">
        <f t="shared" si="6"/>
        <v>174.99999999999997</v>
      </c>
    </row>
    <row r="447" spans="1:9">
      <c r="A447" s="84">
        <v>56</v>
      </c>
      <c r="B447" s="86">
        <v>40973</v>
      </c>
      <c r="C447" s="88">
        <v>71110056</v>
      </c>
      <c r="D447" s="91" t="s">
        <v>3231</v>
      </c>
      <c r="E447" s="89">
        <v>375</v>
      </c>
      <c r="F447" s="91" t="s">
        <v>3233</v>
      </c>
      <c r="G447" s="88" t="s">
        <v>3867</v>
      </c>
      <c r="H447" s="213">
        <v>7.4999999999999997E-2</v>
      </c>
      <c r="I447" s="29">
        <f t="shared" si="6"/>
        <v>250</v>
      </c>
    </row>
    <row r="448" spans="1:9">
      <c r="A448" s="84">
        <v>56</v>
      </c>
      <c r="B448" s="86">
        <v>40980</v>
      </c>
      <c r="C448" s="88">
        <v>71120056</v>
      </c>
      <c r="D448" s="91" t="s">
        <v>3231</v>
      </c>
      <c r="E448" s="89">
        <v>300</v>
      </c>
      <c r="F448" s="91" t="s">
        <v>553</v>
      </c>
      <c r="G448" s="88" t="s">
        <v>3868</v>
      </c>
      <c r="H448" s="213">
        <v>0.06</v>
      </c>
      <c r="I448" s="29">
        <f t="shared" si="6"/>
        <v>174.99999999999997</v>
      </c>
    </row>
    <row r="449" spans="1:9">
      <c r="A449" s="84">
        <v>57</v>
      </c>
      <c r="B449" s="86">
        <v>40985</v>
      </c>
      <c r="C449" s="88">
        <v>71110057</v>
      </c>
      <c r="D449" s="91" t="s">
        <v>624</v>
      </c>
      <c r="E449" s="89">
        <v>1250</v>
      </c>
      <c r="F449" s="91" t="s">
        <v>625</v>
      </c>
      <c r="G449" s="88" t="s">
        <v>3867</v>
      </c>
      <c r="H449" s="213">
        <v>7.4999999999999997E-2</v>
      </c>
      <c r="I449" s="29">
        <f t="shared" si="6"/>
        <v>833.33333333333326</v>
      </c>
    </row>
    <row r="450" spans="1:9">
      <c r="A450" s="84">
        <v>58</v>
      </c>
      <c r="B450" s="86">
        <v>40973</v>
      </c>
      <c r="C450" s="88">
        <v>71120058</v>
      </c>
      <c r="D450" s="91" t="s">
        <v>3247</v>
      </c>
      <c r="E450" s="89">
        <v>150</v>
      </c>
      <c r="F450" s="91" t="s">
        <v>3248</v>
      </c>
      <c r="G450" s="88" t="s">
        <v>3868</v>
      </c>
      <c r="H450" s="213">
        <v>0.06</v>
      </c>
      <c r="I450" s="29">
        <f t="shared" ref="I450:I461" si="7">E450*(H450-0.025)/H450</f>
        <v>87.499999999999986</v>
      </c>
    </row>
    <row r="451" spans="1:9">
      <c r="A451" s="84">
        <v>58</v>
      </c>
      <c r="B451" s="86">
        <v>40980</v>
      </c>
      <c r="C451" s="88">
        <v>71120058</v>
      </c>
      <c r="D451" s="91" t="s">
        <v>3247</v>
      </c>
      <c r="E451" s="89">
        <v>150</v>
      </c>
      <c r="F451" s="91" t="s">
        <v>554</v>
      </c>
      <c r="G451" s="88" t="s">
        <v>3868</v>
      </c>
      <c r="H451" s="213">
        <v>0.06</v>
      </c>
      <c r="I451" s="29">
        <f t="shared" si="7"/>
        <v>87.499999999999986</v>
      </c>
    </row>
    <row r="452" spans="1:9">
      <c r="A452" s="84">
        <v>59</v>
      </c>
      <c r="B452" s="86">
        <v>40974</v>
      </c>
      <c r="C452" s="88">
        <v>71110059</v>
      </c>
      <c r="D452" s="91" t="s">
        <v>2219</v>
      </c>
      <c r="E452" s="89">
        <v>3750</v>
      </c>
      <c r="F452" s="91" t="s">
        <v>2759</v>
      </c>
      <c r="G452" s="88" t="s">
        <v>3867</v>
      </c>
      <c r="H452" s="213">
        <v>7.4999999999999997E-2</v>
      </c>
      <c r="I452" s="29">
        <f t="shared" si="7"/>
        <v>2499.9999999999995</v>
      </c>
    </row>
    <row r="453" spans="1:9">
      <c r="A453" s="84">
        <v>62</v>
      </c>
      <c r="B453" s="86">
        <v>40975</v>
      </c>
      <c r="C453" s="88">
        <v>71110062</v>
      </c>
      <c r="D453" s="91" t="s">
        <v>504</v>
      </c>
      <c r="E453" s="89">
        <v>3750</v>
      </c>
      <c r="F453" s="91" t="s">
        <v>505</v>
      </c>
      <c r="G453" s="88" t="s">
        <v>3867</v>
      </c>
      <c r="H453" s="213">
        <v>7.4999999999999997E-2</v>
      </c>
      <c r="I453" s="29">
        <f t="shared" si="7"/>
        <v>2499.9999999999995</v>
      </c>
    </row>
    <row r="454" spans="1:9">
      <c r="A454" s="84">
        <v>64</v>
      </c>
      <c r="B454" s="86">
        <v>40984</v>
      </c>
      <c r="C454" s="88">
        <v>71110064</v>
      </c>
      <c r="D454" s="91" t="s">
        <v>1272</v>
      </c>
      <c r="E454" s="89">
        <v>5250</v>
      </c>
      <c r="F454" s="91" t="s">
        <v>1273</v>
      </c>
      <c r="G454" s="88" t="s">
        <v>3867</v>
      </c>
      <c r="H454" s="213">
        <v>7.4999999999999997E-2</v>
      </c>
      <c r="I454" s="29">
        <f t="shared" si="7"/>
        <v>3500</v>
      </c>
    </row>
    <row r="455" spans="1:9">
      <c r="A455" s="84">
        <v>64</v>
      </c>
      <c r="B455" s="86">
        <v>40984</v>
      </c>
      <c r="C455" s="88">
        <v>71110064</v>
      </c>
      <c r="D455" s="91" t="s">
        <v>1272</v>
      </c>
      <c r="E455" s="89">
        <v>6000</v>
      </c>
      <c r="F455" s="91" t="s">
        <v>1275</v>
      </c>
      <c r="G455" s="88" t="s">
        <v>3867</v>
      </c>
      <c r="H455" s="213">
        <v>7.4999999999999997E-2</v>
      </c>
      <c r="I455" s="29">
        <f t="shared" si="7"/>
        <v>4000</v>
      </c>
    </row>
    <row r="456" spans="1:9">
      <c r="A456" s="84">
        <v>65</v>
      </c>
      <c r="B456" s="86">
        <v>40982</v>
      </c>
      <c r="C456" s="88">
        <v>71110065</v>
      </c>
      <c r="D456" s="91" t="s">
        <v>3866</v>
      </c>
      <c r="E456" s="89">
        <v>5625</v>
      </c>
      <c r="F456" s="91" t="s">
        <v>571</v>
      </c>
      <c r="G456" s="88" t="s">
        <v>3867</v>
      </c>
      <c r="H456" s="213">
        <v>7.4999999999999997E-2</v>
      </c>
      <c r="I456" s="29">
        <f t="shared" si="7"/>
        <v>3750</v>
      </c>
    </row>
    <row r="457" spans="1:9">
      <c r="A457" s="84">
        <v>67</v>
      </c>
      <c r="B457" s="86">
        <v>40983</v>
      </c>
      <c r="C457" s="88">
        <v>71110067</v>
      </c>
      <c r="D457" s="91" t="s">
        <v>1263</v>
      </c>
      <c r="E457" s="89">
        <v>750</v>
      </c>
      <c r="F457" s="91" t="s">
        <v>1264</v>
      </c>
      <c r="G457" s="88" t="s">
        <v>3867</v>
      </c>
      <c r="H457" s="213">
        <v>7.4999999999999997E-2</v>
      </c>
      <c r="I457" s="29">
        <f t="shared" si="7"/>
        <v>500</v>
      </c>
    </row>
    <row r="458" spans="1:9">
      <c r="A458" s="84">
        <v>68</v>
      </c>
      <c r="B458" s="86">
        <v>40984</v>
      </c>
      <c r="C458" s="88">
        <v>71110068</v>
      </c>
      <c r="D458" s="91" t="s">
        <v>1269</v>
      </c>
      <c r="E458" s="89">
        <v>1500</v>
      </c>
      <c r="F458" s="91" t="s">
        <v>1270</v>
      </c>
      <c r="G458" s="88" t="s">
        <v>3867</v>
      </c>
      <c r="H458" s="213">
        <v>7.4999999999999997E-2</v>
      </c>
      <c r="I458" s="29">
        <f t="shared" si="7"/>
        <v>1000</v>
      </c>
    </row>
    <row r="459" spans="1:9">
      <c r="A459" s="84">
        <v>68</v>
      </c>
      <c r="B459" s="86">
        <v>40984</v>
      </c>
      <c r="C459" s="88">
        <v>71120068</v>
      </c>
      <c r="D459" s="91" t="s">
        <v>1269</v>
      </c>
      <c r="E459" s="89">
        <v>300</v>
      </c>
      <c r="F459" s="91" t="s">
        <v>1271</v>
      </c>
      <c r="G459" s="88" t="s">
        <v>3868</v>
      </c>
      <c r="H459" s="213">
        <v>0.06</v>
      </c>
      <c r="I459" s="29">
        <f t="shared" si="7"/>
        <v>174.99999999999997</v>
      </c>
    </row>
    <row r="460" spans="1:9">
      <c r="A460" s="84">
        <v>69</v>
      </c>
      <c r="B460" s="86">
        <v>40984</v>
      </c>
      <c r="C460" s="88">
        <v>71120069</v>
      </c>
      <c r="D460" s="91" t="s">
        <v>1279</v>
      </c>
      <c r="E460" s="89">
        <v>450</v>
      </c>
      <c r="F460" s="91" t="s">
        <v>1280</v>
      </c>
      <c r="G460" s="88" t="s">
        <v>3868</v>
      </c>
      <c r="H460" s="213">
        <v>0.06</v>
      </c>
      <c r="I460" s="29">
        <f t="shared" si="7"/>
        <v>262.5</v>
      </c>
    </row>
    <row r="461" spans="1:9">
      <c r="A461" s="84">
        <v>98</v>
      </c>
      <c r="B461" s="86">
        <v>40959</v>
      </c>
      <c r="C461" s="87">
        <v>71119998</v>
      </c>
      <c r="D461" s="88" t="s">
        <v>3474</v>
      </c>
      <c r="E461" s="89">
        <v>15000</v>
      </c>
      <c r="F461" s="88" t="s">
        <v>3475</v>
      </c>
      <c r="G461" s="88" t="s">
        <v>3867</v>
      </c>
      <c r="H461" s="213">
        <v>7.4999999999999997E-2</v>
      </c>
      <c r="I461" s="29">
        <f t="shared" si="7"/>
        <v>9999.9999999999982</v>
      </c>
    </row>
    <row r="462" spans="1:9">
      <c r="A462" s="147"/>
      <c r="B462" s="88"/>
      <c r="C462" s="91"/>
      <c r="D462" s="91" t="s">
        <v>335</v>
      </c>
      <c r="E462" s="92">
        <f>SUM(E2:E461)</f>
        <v>597095</v>
      </c>
      <c r="F462" s="91"/>
      <c r="G462" s="91"/>
      <c r="H462" s="214"/>
      <c r="I462" s="92">
        <f>SUM(I2:I461)</f>
        <v>393819.58333333331</v>
      </c>
    </row>
    <row r="463" spans="1:9" ht="37.200000000000003" customHeight="1">
      <c r="A463" s="206" t="s">
        <v>3869</v>
      </c>
      <c r="B463" s="298" t="s">
        <v>2984</v>
      </c>
      <c r="C463" s="298"/>
      <c r="D463" s="299"/>
      <c r="E463" s="299"/>
      <c r="F463" s="299"/>
      <c r="G463" s="299"/>
      <c r="H463" s="299"/>
      <c r="I463" s="299"/>
    </row>
    <row r="464" spans="1:9" s="14" customFormat="1" ht="156.6" customHeight="1">
      <c r="A464" s="206" t="s">
        <v>1810</v>
      </c>
      <c r="B464" s="300" t="s">
        <v>1464</v>
      </c>
      <c r="C464" s="300"/>
      <c r="D464" s="300"/>
      <c r="E464" s="300"/>
      <c r="F464" s="300"/>
      <c r="G464" s="300"/>
      <c r="H464" s="300"/>
      <c r="I464" s="300"/>
    </row>
    <row r="465" spans="1:13" ht="34.200000000000003" customHeight="1">
      <c r="A465" s="206" t="s">
        <v>3870</v>
      </c>
      <c r="B465" s="283" t="s">
        <v>4081</v>
      </c>
      <c r="C465" s="283"/>
      <c r="D465" s="283"/>
      <c r="E465" s="283"/>
      <c r="F465" s="283"/>
      <c r="G465" s="283"/>
      <c r="H465" s="283"/>
      <c r="I465" s="283"/>
      <c r="J465" s="52"/>
      <c r="K465" s="52"/>
      <c r="L465" s="52"/>
      <c r="M465" s="52"/>
    </row>
  </sheetData>
  <mergeCells count="3">
    <mergeCell ref="B463:I463"/>
    <mergeCell ref="B464:I464"/>
    <mergeCell ref="B465:I465"/>
  </mergeCells>
  <phoneticPr fontId="2" type="noConversion"/>
  <pageMargins left="0.26" right="0.16" top="0.51181102362204722" bottom="0.54" header="0.31496062992125984" footer="0.28000000000000003"/>
  <pageSetup paperSize="9" scale="70" fitToHeight="54" orientation="portrait" r:id="rId1"/>
  <headerFooter>
    <oddHeader>&amp;C附表一之5：合豐當鋪</oddHeader>
    <oddFooter>&amp;C&amp;P</oddFooter>
  </headerFooter>
</worksheet>
</file>

<file path=xl/worksheets/sheet8.xml><?xml version="1.0" encoding="utf-8"?>
<worksheet xmlns="http://schemas.openxmlformats.org/spreadsheetml/2006/main" xmlns:r="http://schemas.openxmlformats.org/officeDocument/2006/relationships">
  <sheetPr>
    <pageSetUpPr fitToPage="1"/>
  </sheetPr>
  <dimension ref="A1:L2766"/>
  <sheetViews>
    <sheetView zoomScale="75" workbookViewId="0">
      <pane xSplit="1" ySplit="1" topLeftCell="B2737" activePane="bottomRight" state="frozen"/>
      <selection pane="topRight" activeCell="B1" sqref="B1"/>
      <selection pane="bottomLeft" activeCell="A2" sqref="A2"/>
      <selection pane="bottomRight" activeCell="H1909" sqref="H1909"/>
    </sheetView>
  </sheetViews>
  <sheetFormatPr defaultRowHeight="16.2"/>
  <cols>
    <col min="1" max="1" width="7" style="97" bestFit="1" customWidth="1"/>
    <col min="2" max="2" width="10.33203125" style="97" bestFit="1" customWidth="1"/>
    <col min="3" max="3" width="9.44140625" style="134" bestFit="1" customWidth="1"/>
    <col min="4" max="4" width="15.33203125" style="135" bestFit="1" customWidth="1"/>
    <col min="5" max="5" width="9.33203125" style="136" bestFit="1" customWidth="1"/>
    <col min="6" max="6" width="10.44140625" style="97" bestFit="1" customWidth="1"/>
    <col min="7" max="7" width="12.6640625" style="220" bestFit="1" customWidth="1"/>
    <col min="8" max="8" width="13.109375" style="97" bestFit="1" customWidth="1"/>
    <col min="9" max="10" width="16.33203125" style="134" bestFit="1" customWidth="1"/>
    <col min="11" max="16384" width="8.88671875" style="97"/>
  </cols>
  <sheetData>
    <row r="1" spans="1:10" ht="32.4">
      <c r="A1" s="102" t="s">
        <v>644</v>
      </c>
      <c r="B1" s="102" t="s">
        <v>645</v>
      </c>
      <c r="C1" s="117" t="s">
        <v>3632</v>
      </c>
      <c r="D1" s="118" t="s">
        <v>3633</v>
      </c>
      <c r="E1" s="119" t="s">
        <v>3634</v>
      </c>
      <c r="F1" s="120" t="s">
        <v>3635</v>
      </c>
      <c r="G1" s="218" t="s">
        <v>3636</v>
      </c>
      <c r="H1" s="121" t="s">
        <v>3637</v>
      </c>
      <c r="I1" s="122" t="s">
        <v>3638</v>
      </c>
      <c r="J1" s="122" t="s">
        <v>3639</v>
      </c>
    </row>
    <row r="2" spans="1:10">
      <c r="A2" s="102">
        <v>1</v>
      </c>
      <c r="B2" s="102" t="s">
        <v>646</v>
      </c>
      <c r="C2" s="103">
        <v>20000</v>
      </c>
      <c r="D2" s="104" t="s">
        <v>647</v>
      </c>
      <c r="E2" s="105">
        <v>750</v>
      </c>
      <c r="F2" s="102">
        <v>31</v>
      </c>
      <c r="G2" s="208">
        <f t="shared" ref="G2:G12" si="0">E2/(C2*H2/30)</f>
        <v>7.4999999999999997E-2</v>
      </c>
      <c r="H2" s="102">
        <v>15</v>
      </c>
      <c r="I2" s="103">
        <f t="shared" ref="I2:I21" si="1">IF(H2="分期",C2*G2*2.5*F2/10,C2*G2*H2/30*F2)</f>
        <v>23250</v>
      </c>
      <c r="J2" s="103">
        <f>IF(H2="分期",C2*(G2-0.025)*2.5*F2/10,C2*(G2-0.025)*H2/30*F2)</f>
        <v>15499.999999999998</v>
      </c>
    </row>
    <row r="3" spans="1:10">
      <c r="A3" s="102"/>
      <c r="B3" s="102"/>
      <c r="C3" s="103">
        <v>15000</v>
      </c>
      <c r="D3" s="104" t="s">
        <v>650</v>
      </c>
      <c r="E3" s="103">
        <v>565</v>
      </c>
      <c r="F3" s="102">
        <v>17</v>
      </c>
      <c r="G3" s="208">
        <f t="shared" si="0"/>
        <v>7.5333333333333335E-2</v>
      </c>
      <c r="H3" s="102">
        <v>15</v>
      </c>
      <c r="I3" s="103">
        <f t="shared" si="1"/>
        <v>9605</v>
      </c>
      <c r="J3" s="103">
        <f t="shared" ref="J3:J66" si="2">IF(H3="分期",C3*(G3-0.025)*2.5*F3/10,C3*(G3-0.025)*H3*F3/30)</f>
        <v>6417.5</v>
      </c>
    </row>
    <row r="4" spans="1:10">
      <c r="A4" s="102"/>
      <c r="B4" s="102"/>
      <c r="C4" s="103">
        <v>15000</v>
      </c>
      <c r="D4" s="104" t="s">
        <v>652</v>
      </c>
      <c r="E4" s="103">
        <v>565</v>
      </c>
      <c r="F4" s="102">
        <v>2</v>
      </c>
      <c r="G4" s="208">
        <f t="shared" si="0"/>
        <v>7.5333333333333335E-2</v>
      </c>
      <c r="H4" s="102">
        <v>15</v>
      </c>
      <c r="I4" s="103">
        <f t="shared" si="1"/>
        <v>1130</v>
      </c>
      <c r="J4" s="103">
        <f t="shared" si="2"/>
        <v>755</v>
      </c>
    </row>
    <row r="5" spans="1:10">
      <c r="A5" s="102"/>
      <c r="B5" s="102"/>
      <c r="C5" s="103">
        <v>10000</v>
      </c>
      <c r="D5" s="104" t="s">
        <v>653</v>
      </c>
      <c r="E5" s="105">
        <v>375</v>
      </c>
      <c r="F5" s="102">
        <v>5</v>
      </c>
      <c r="G5" s="208">
        <f t="shared" si="0"/>
        <v>7.4999999999999997E-2</v>
      </c>
      <c r="H5" s="102">
        <v>15</v>
      </c>
      <c r="I5" s="103">
        <f t="shared" si="1"/>
        <v>1875</v>
      </c>
      <c r="J5" s="103">
        <f t="shared" si="2"/>
        <v>1249.9999999999998</v>
      </c>
    </row>
    <row r="6" spans="1:10">
      <c r="A6" s="102"/>
      <c r="B6" s="102"/>
      <c r="C6" s="103">
        <v>30000</v>
      </c>
      <c r="D6" s="104" t="s">
        <v>655</v>
      </c>
      <c r="E6" s="105">
        <v>1125</v>
      </c>
      <c r="F6" s="102">
        <v>1</v>
      </c>
      <c r="G6" s="208">
        <f t="shared" si="0"/>
        <v>7.4999999999999997E-2</v>
      </c>
      <c r="H6" s="102">
        <v>15</v>
      </c>
      <c r="I6" s="103">
        <f t="shared" si="1"/>
        <v>1125</v>
      </c>
      <c r="J6" s="103">
        <f t="shared" si="2"/>
        <v>749.99999999999989</v>
      </c>
    </row>
    <row r="7" spans="1:10">
      <c r="A7" s="102"/>
      <c r="B7" s="102"/>
      <c r="C7" s="103">
        <v>30000</v>
      </c>
      <c r="D7" s="104" t="s">
        <v>656</v>
      </c>
      <c r="E7" s="105">
        <v>1125</v>
      </c>
      <c r="F7" s="102">
        <v>1</v>
      </c>
      <c r="G7" s="208">
        <f t="shared" si="0"/>
        <v>7.4999999999999997E-2</v>
      </c>
      <c r="H7" s="102">
        <v>15</v>
      </c>
      <c r="I7" s="103">
        <f t="shared" si="1"/>
        <v>1125</v>
      </c>
      <c r="J7" s="103">
        <f t="shared" si="2"/>
        <v>749.99999999999989</v>
      </c>
    </row>
    <row r="8" spans="1:10">
      <c r="A8" s="102"/>
      <c r="B8" s="102"/>
      <c r="C8" s="103">
        <v>5000</v>
      </c>
      <c r="D8" s="104" t="s">
        <v>657</v>
      </c>
      <c r="E8" s="105">
        <v>190</v>
      </c>
      <c r="F8" s="102">
        <v>2</v>
      </c>
      <c r="G8" s="208">
        <f t="shared" si="0"/>
        <v>7.5999999999999998E-2</v>
      </c>
      <c r="H8" s="102">
        <v>15</v>
      </c>
      <c r="I8" s="103">
        <f t="shared" si="1"/>
        <v>380</v>
      </c>
      <c r="J8" s="103">
        <f t="shared" si="2"/>
        <v>254.99999999999997</v>
      </c>
    </row>
    <row r="9" spans="1:10">
      <c r="A9" s="102"/>
      <c r="B9" s="102"/>
      <c r="C9" s="103">
        <v>40000</v>
      </c>
      <c r="D9" s="104" t="s">
        <v>658</v>
      </c>
      <c r="E9" s="105">
        <v>1500</v>
      </c>
      <c r="F9" s="102">
        <v>3</v>
      </c>
      <c r="G9" s="208">
        <f t="shared" si="0"/>
        <v>7.4999999999999997E-2</v>
      </c>
      <c r="H9" s="102">
        <v>15</v>
      </c>
      <c r="I9" s="103">
        <f t="shared" si="1"/>
        <v>4500</v>
      </c>
      <c r="J9" s="103">
        <f t="shared" si="2"/>
        <v>2999.9999999999995</v>
      </c>
    </row>
    <row r="10" spans="1:10">
      <c r="A10" s="102"/>
      <c r="B10" s="102"/>
      <c r="C10" s="103">
        <v>30000</v>
      </c>
      <c r="D10" s="104" t="s">
        <v>659</v>
      </c>
      <c r="E10" s="105">
        <v>1125</v>
      </c>
      <c r="F10" s="102">
        <v>2</v>
      </c>
      <c r="G10" s="208">
        <f t="shared" si="0"/>
        <v>7.4999999999999997E-2</v>
      </c>
      <c r="H10" s="102">
        <v>15</v>
      </c>
      <c r="I10" s="103">
        <f t="shared" si="1"/>
        <v>2250</v>
      </c>
      <c r="J10" s="103">
        <f t="shared" si="2"/>
        <v>1499.9999999999998</v>
      </c>
    </row>
    <row r="11" spans="1:10">
      <c r="A11" s="102"/>
      <c r="B11" s="102"/>
      <c r="C11" s="103">
        <v>40000</v>
      </c>
      <c r="D11" s="104" t="s">
        <v>660</v>
      </c>
      <c r="E11" s="105">
        <v>1500</v>
      </c>
      <c r="F11" s="102">
        <v>2</v>
      </c>
      <c r="G11" s="208">
        <f t="shared" si="0"/>
        <v>7.4999999999999997E-2</v>
      </c>
      <c r="H11" s="102">
        <v>15</v>
      </c>
      <c r="I11" s="103">
        <f t="shared" si="1"/>
        <v>3000</v>
      </c>
      <c r="J11" s="103">
        <f t="shared" si="2"/>
        <v>1999.9999999999998</v>
      </c>
    </row>
    <row r="12" spans="1:10">
      <c r="A12" s="102">
        <v>3</v>
      </c>
      <c r="B12" s="102" t="s">
        <v>661</v>
      </c>
      <c r="C12" s="103">
        <v>100000</v>
      </c>
      <c r="D12" s="104" t="s">
        <v>662</v>
      </c>
      <c r="E12" s="105">
        <v>3750</v>
      </c>
      <c r="F12" s="102">
        <v>23</v>
      </c>
      <c r="G12" s="208">
        <f t="shared" si="0"/>
        <v>7.4999999999999997E-2</v>
      </c>
      <c r="H12" s="102">
        <v>15</v>
      </c>
      <c r="I12" s="103">
        <f t="shared" si="1"/>
        <v>86250</v>
      </c>
      <c r="J12" s="103">
        <f t="shared" si="2"/>
        <v>57500</v>
      </c>
    </row>
    <row r="13" spans="1:10">
      <c r="A13" s="102"/>
      <c r="B13" s="102"/>
      <c r="C13" s="103">
        <v>10000</v>
      </c>
      <c r="D13" s="101" t="s">
        <v>1902</v>
      </c>
      <c r="E13" s="105">
        <v>1150</v>
      </c>
      <c r="F13" s="102">
        <v>10</v>
      </c>
      <c r="G13" s="208">
        <v>0.06</v>
      </c>
      <c r="H13" s="102" t="s">
        <v>664</v>
      </c>
      <c r="I13" s="103">
        <f t="shared" si="1"/>
        <v>1500</v>
      </c>
      <c r="J13" s="103">
        <f t="shared" si="2"/>
        <v>874.99999999999977</v>
      </c>
    </row>
    <row r="14" spans="1:10">
      <c r="A14" s="102"/>
      <c r="B14" s="102"/>
      <c r="C14" s="103">
        <v>10000</v>
      </c>
      <c r="D14" s="101" t="s">
        <v>1905</v>
      </c>
      <c r="E14" s="105">
        <v>2150</v>
      </c>
      <c r="F14" s="102">
        <v>5</v>
      </c>
      <c r="G14" s="208">
        <v>0.06</v>
      </c>
      <c r="H14" s="102" t="s">
        <v>664</v>
      </c>
      <c r="I14" s="103">
        <f t="shared" si="1"/>
        <v>750</v>
      </c>
      <c r="J14" s="103">
        <f t="shared" si="2"/>
        <v>437.49999999999989</v>
      </c>
    </row>
    <row r="15" spans="1:10">
      <c r="A15" s="102"/>
      <c r="B15" s="102"/>
      <c r="C15" s="103">
        <v>20000</v>
      </c>
      <c r="D15" s="101" t="s">
        <v>1906</v>
      </c>
      <c r="E15" s="105">
        <v>750</v>
      </c>
      <c r="F15" s="102">
        <v>5</v>
      </c>
      <c r="G15" s="208">
        <f t="shared" ref="G15:G28" si="3">E15/(C15*H15/30)</f>
        <v>7.4999999999999997E-2</v>
      </c>
      <c r="H15" s="102">
        <v>15</v>
      </c>
      <c r="I15" s="103">
        <f t="shared" si="1"/>
        <v>3750</v>
      </c>
      <c r="J15" s="103">
        <f t="shared" si="2"/>
        <v>2499.9999999999995</v>
      </c>
    </row>
    <row r="16" spans="1:10">
      <c r="A16" s="102">
        <v>4</v>
      </c>
      <c r="B16" s="102" t="s">
        <v>665</v>
      </c>
      <c r="C16" s="103">
        <v>70000</v>
      </c>
      <c r="D16" s="104" t="s">
        <v>666</v>
      </c>
      <c r="E16" s="105">
        <v>2625</v>
      </c>
      <c r="F16" s="102">
        <v>15</v>
      </c>
      <c r="G16" s="208">
        <f t="shared" si="3"/>
        <v>7.4999999999999997E-2</v>
      </c>
      <c r="H16" s="102">
        <v>15</v>
      </c>
      <c r="I16" s="103">
        <f t="shared" si="1"/>
        <v>39375</v>
      </c>
      <c r="J16" s="103">
        <f t="shared" si="2"/>
        <v>26249.999999999996</v>
      </c>
    </row>
    <row r="17" spans="1:10">
      <c r="A17" s="102"/>
      <c r="B17" s="102"/>
      <c r="C17" s="103">
        <v>60000</v>
      </c>
      <c r="D17" s="104" t="s">
        <v>667</v>
      </c>
      <c r="E17" s="105">
        <v>2250</v>
      </c>
      <c r="F17" s="102">
        <v>10</v>
      </c>
      <c r="G17" s="208">
        <f t="shared" si="3"/>
        <v>7.4999999999999997E-2</v>
      </c>
      <c r="H17" s="102">
        <v>15</v>
      </c>
      <c r="I17" s="103">
        <f t="shared" si="1"/>
        <v>22500</v>
      </c>
      <c r="J17" s="103">
        <f t="shared" si="2"/>
        <v>14999.999999999998</v>
      </c>
    </row>
    <row r="18" spans="1:10">
      <c r="A18" s="102"/>
      <c r="B18" s="102"/>
      <c r="C18" s="103">
        <v>13000</v>
      </c>
      <c r="D18" s="104" t="s">
        <v>668</v>
      </c>
      <c r="E18" s="105">
        <v>490</v>
      </c>
      <c r="F18" s="102">
        <v>2</v>
      </c>
      <c r="G18" s="208">
        <f t="shared" si="3"/>
        <v>7.5384615384615383E-2</v>
      </c>
      <c r="H18" s="102">
        <v>15</v>
      </c>
      <c r="I18" s="103">
        <f t="shared" si="1"/>
        <v>980</v>
      </c>
      <c r="J18" s="103">
        <f t="shared" si="2"/>
        <v>655</v>
      </c>
    </row>
    <row r="19" spans="1:10">
      <c r="A19" s="102"/>
      <c r="B19" s="102"/>
      <c r="C19" s="103">
        <v>10000</v>
      </c>
      <c r="D19" s="104" t="s">
        <v>669</v>
      </c>
      <c r="E19" s="105">
        <v>375</v>
      </c>
      <c r="F19" s="102">
        <v>4</v>
      </c>
      <c r="G19" s="208">
        <f t="shared" si="3"/>
        <v>7.4999999999999997E-2</v>
      </c>
      <c r="H19" s="102">
        <v>15</v>
      </c>
      <c r="I19" s="103">
        <f t="shared" si="1"/>
        <v>1500</v>
      </c>
      <c r="J19" s="103">
        <f t="shared" si="2"/>
        <v>999.99999999999989</v>
      </c>
    </row>
    <row r="20" spans="1:10">
      <c r="A20" s="102">
        <v>7</v>
      </c>
      <c r="B20" s="123" t="s">
        <v>191</v>
      </c>
      <c r="C20" s="103">
        <v>20000</v>
      </c>
      <c r="D20" s="104" t="s">
        <v>663</v>
      </c>
      <c r="E20" s="105">
        <v>750</v>
      </c>
      <c r="F20" s="102">
        <v>36</v>
      </c>
      <c r="G20" s="208">
        <f t="shared" si="3"/>
        <v>7.4999999999999997E-2</v>
      </c>
      <c r="H20" s="102">
        <v>15</v>
      </c>
      <c r="I20" s="103">
        <f t="shared" si="1"/>
        <v>27000</v>
      </c>
      <c r="J20" s="103">
        <f t="shared" si="2"/>
        <v>17999.999999999996</v>
      </c>
    </row>
    <row r="21" spans="1:10">
      <c r="A21" s="102"/>
      <c r="B21" s="102"/>
      <c r="C21" s="103">
        <v>40000</v>
      </c>
      <c r="D21" s="104" t="s">
        <v>670</v>
      </c>
      <c r="E21" s="105">
        <v>1500</v>
      </c>
      <c r="F21" s="102">
        <v>19</v>
      </c>
      <c r="G21" s="208">
        <f t="shared" si="3"/>
        <v>7.4999999999999997E-2</v>
      </c>
      <c r="H21" s="102">
        <v>15</v>
      </c>
      <c r="I21" s="103">
        <f t="shared" si="1"/>
        <v>28500</v>
      </c>
      <c r="J21" s="103">
        <f t="shared" si="2"/>
        <v>18999.999999999996</v>
      </c>
    </row>
    <row r="22" spans="1:10">
      <c r="A22" s="102"/>
      <c r="B22" s="102"/>
      <c r="C22" s="103">
        <v>20000</v>
      </c>
      <c r="D22" s="101" t="s">
        <v>1904</v>
      </c>
      <c r="E22" s="105">
        <v>750</v>
      </c>
      <c r="F22" s="102">
        <v>32</v>
      </c>
      <c r="G22" s="208">
        <f t="shared" si="3"/>
        <v>7.4999999999999997E-2</v>
      </c>
      <c r="H22" s="102">
        <v>15</v>
      </c>
      <c r="I22" s="103">
        <f t="shared" ref="I22:I85" si="4">IF(H22="分期",C22*G22*2.5*F22/10,C22*G22*H22*F22/30)</f>
        <v>24000</v>
      </c>
      <c r="J22" s="103">
        <f t="shared" si="2"/>
        <v>15999.999999999998</v>
      </c>
    </row>
    <row r="23" spans="1:10">
      <c r="A23" s="102"/>
      <c r="B23" s="102"/>
      <c r="C23" s="103">
        <v>30000</v>
      </c>
      <c r="D23" s="101" t="s">
        <v>1903</v>
      </c>
      <c r="E23" s="105">
        <v>2250</v>
      </c>
      <c r="F23" s="102">
        <v>3</v>
      </c>
      <c r="G23" s="208">
        <f t="shared" si="3"/>
        <v>7.4999999999999997E-2</v>
      </c>
      <c r="H23" s="102">
        <v>30</v>
      </c>
      <c r="I23" s="103">
        <f t="shared" si="4"/>
        <v>6750</v>
      </c>
      <c r="J23" s="103">
        <f t="shared" si="2"/>
        <v>4499.9999999999991</v>
      </c>
    </row>
    <row r="24" spans="1:10">
      <c r="A24" s="102"/>
      <c r="B24" s="102"/>
      <c r="C24" s="103">
        <v>20000</v>
      </c>
      <c r="D24" s="104" t="s">
        <v>672</v>
      </c>
      <c r="E24" s="105">
        <v>750</v>
      </c>
      <c r="F24" s="102">
        <v>28</v>
      </c>
      <c r="G24" s="208">
        <f t="shared" si="3"/>
        <v>7.4999999999999997E-2</v>
      </c>
      <c r="H24" s="102">
        <v>15</v>
      </c>
      <c r="I24" s="103">
        <f t="shared" si="4"/>
        <v>21000</v>
      </c>
      <c r="J24" s="103">
        <f t="shared" si="2"/>
        <v>13999.999999999998</v>
      </c>
    </row>
    <row r="25" spans="1:10">
      <c r="A25" s="102"/>
      <c r="B25" s="102"/>
      <c r="C25" s="103">
        <v>20000</v>
      </c>
      <c r="D25" s="104" t="s">
        <v>673</v>
      </c>
      <c r="E25" s="105">
        <v>750</v>
      </c>
      <c r="F25" s="102">
        <v>22</v>
      </c>
      <c r="G25" s="208">
        <f t="shared" si="3"/>
        <v>7.4999999999999997E-2</v>
      </c>
      <c r="H25" s="102">
        <v>15</v>
      </c>
      <c r="I25" s="103">
        <f t="shared" si="4"/>
        <v>16500</v>
      </c>
      <c r="J25" s="103">
        <f t="shared" si="2"/>
        <v>10999.999999999998</v>
      </c>
    </row>
    <row r="26" spans="1:10">
      <c r="A26" s="102"/>
      <c r="B26" s="102"/>
      <c r="C26" s="103">
        <v>60000</v>
      </c>
      <c r="D26" s="104" t="s">
        <v>674</v>
      </c>
      <c r="E26" s="105">
        <v>4500</v>
      </c>
      <c r="F26" s="102">
        <v>8</v>
      </c>
      <c r="G26" s="208">
        <f t="shared" si="3"/>
        <v>7.4999999999999997E-2</v>
      </c>
      <c r="H26" s="102">
        <v>30</v>
      </c>
      <c r="I26" s="103">
        <f t="shared" si="4"/>
        <v>36000</v>
      </c>
      <c r="J26" s="103">
        <f t="shared" si="2"/>
        <v>23999.999999999996</v>
      </c>
    </row>
    <row r="27" spans="1:10">
      <c r="A27" s="102"/>
      <c r="B27" s="102"/>
      <c r="C27" s="103">
        <v>20000</v>
      </c>
      <c r="D27" s="104" t="s">
        <v>680</v>
      </c>
      <c r="E27" s="105">
        <v>750</v>
      </c>
      <c r="F27" s="102">
        <v>7</v>
      </c>
      <c r="G27" s="208">
        <f t="shared" si="3"/>
        <v>7.4999999999999997E-2</v>
      </c>
      <c r="H27" s="102">
        <v>15</v>
      </c>
      <c r="I27" s="103">
        <f t="shared" si="4"/>
        <v>5250</v>
      </c>
      <c r="J27" s="103">
        <f t="shared" si="2"/>
        <v>3499.9999999999995</v>
      </c>
    </row>
    <row r="28" spans="1:10">
      <c r="A28" s="102">
        <v>8</v>
      </c>
      <c r="B28" s="102" t="s">
        <v>681</v>
      </c>
      <c r="C28" s="103">
        <v>20000</v>
      </c>
      <c r="D28" s="104" t="s">
        <v>663</v>
      </c>
      <c r="E28" s="105">
        <v>750</v>
      </c>
      <c r="F28" s="102">
        <v>15</v>
      </c>
      <c r="G28" s="208">
        <f t="shared" si="3"/>
        <v>7.4999999999999997E-2</v>
      </c>
      <c r="H28" s="102">
        <v>15</v>
      </c>
      <c r="I28" s="103">
        <f t="shared" si="4"/>
        <v>11250</v>
      </c>
      <c r="J28" s="103">
        <f t="shared" si="2"/>
        <v>7499.9999999999991</v>
      </c>
    </row>
    <row r="29" spans="1:10">
      <c r="A29" s="102"/>
      <c r="B29" s="102"/>
      <c r="C29" s="103">
        <v>20000</v>
      </c>
      <c r="D29" s="104" t="s">
        <v>687</v>
      </c>
      <c r="E29" s="105">
        <v>2300</v>
      </c>
      <c r="F29" s="102">
        <v>10</v>
      </c>
      <c r="G29" s="208">
        <v>0.06</v>
      </c>
      <c r="H29" s="102" t="s">
        <v>664</v>
      </c>
      <c r="I29" s="103">
        <f t="shared" si="4"/>
        <v>3000</v>
      </c>
      <c r="J29" s="103">
        <f t="shared" si="2"/>
        <v>1749.9999999999995</v>
      </c>
    </row>
    <row r="30" spans="1:10">
      <c r="A30" s="102"/>
      <c r="B30" s="102"/>
      <c r="C30" s="103">
        <v>10000</v>
      </c>
      <c r="D30" s="104" t="s">
        <v>682</v>
      </c>
      <c r="E30" s="105">
        <v>375</v>
      </c>
      <c r="F30" s="102">
        <v>10</v>
      </c>
      <c r="G30" s="208">
        <f>E30/(C30*H30/30)</f>
        <v>7.4999999999999997E-2</v>
      </c>
      <c r="H30" s="102">
        <v>15</v>
      </c>
      <c r="I30" s="103">
        <f t="shared" si="4"/>
        <v>3750</v>
      </c>
      <c r="J30" s="103">
        <f t="shared" si="2"/>
        <v>2499.9999999999995</v>
      </c>
    </row>
    <row r="31" spans="1:10">
      <c r="A31" s="102"/>
      <c r="B31" s="102"/>
      <c r="C31" s="103">
        <v>80000</v>
      </c>
      <c r="D31" s="104" t="s">
        <v>683</v>
      </c>
      <c r="E31" s="105">
        <v>3000</v>
      </c>
      <c r="F31" s="102">
        <v>7</v>
      </c>
      <c r="G31" s="208">
        <f>E31/(C31*H31/30)</f>
        <v>7.4999999999999997E-2</v>
      </c>
      <c r="H31" s="102">
        <v>15</v>
      </c>
      <c r="I31" s="103">
        <f t="shared" si="4"/>
        <v>21000</v>
      </c>
      <c r="J31" s="103">
        <f t="shared" si="2"/>
        <v>13999.999999999998</v>
      </c>
    </row>
    <row r="32" spans="1:10">
      <c r="A32" s="102"/>
      <c r="B32" s="102"/>
      <c r="C32" s="103">
        <v>60000</v>
      </c>
      <c r="D32" s="104" t="s">
        <v>684</v>
      </c>
      <c r="E32" s="105">
        <v>2250</v>
      </c>
      <c r="F32" s="102">
        <v>27</v>
      </c>
      <c r="G32" s="208">
        <f>E32/(C32*H32/30)</f>
        <v>7.4999999999999997E-2</v>
      </c>
      <c r="H32" s="102">
        <v>15</v>
      </c>
      <c r="I32" s="103">
        <f t="shared" si="4"/>
        <v>60750</v>
      </c>
      <c r="J32" s="103">
        <f t="shared" si="2"/>
        <v>40499.999999999993</v>
      </c>
    </row>
    <row r="33" spans="1:10">
      <c r="A33" s="102"/>
      <c r="B33" s="102"/>
      <c r="C33" s="103">
        <v>20000</v>
      </c>
      <c r="D33" s="104" t="s">
        <v>684</v>
      </c>
      <c r="E33" s="105">
        <v>2300</v>
      </c>
      <c r="F33" s="102">
        <v>10</v>
      </c>
      <c r="G33" s="208">
        <v>0.06</v>
      </c>
      <c r="H33" s="102" t="s">
        <v>664</v>
      </c>
      <c r="I33" s="103">
        <f t="shared" si="4"/>
        <v>3000</v>
      </c>
      <c r="J33" s="103">
        <f t="shared" si="2"/>
        <v>1749.9999999999995</v>
      </c>
    </row>
    <row r="34" spans="1:10">
      <c r="A34" s="102"/>
      <c r="B34" s="102"/>
      <c r="C34" s="103">
        <v>20000</v>
      </c>
      <c r="D34" s="104" t="s">
        <v>685</v>
      </c>
      <c r="E34" s="105">
        <v>2300</v>
      </c>
      <c r="F34" s="102">
        <v>10</v>
      </c>
      <c r="G34" s="208">
        <v>0.06</v>
      </c>
      <c r="H34" s="102" t="s">
        <v>664</v>
      </c>
      <c r="I34" s="103">
        <f t="shared" si="4"/>
        <v>3000</v>
      </c>
      <c r="J34" s="103">
        <f t="shared" si="2"/>
        <v>1749.9999999999995</v>
      </c>
    </row>
    <row r="35" spans="1:10">
      <c r="A35" s="102"/>
      <c r="B35" s="102"/>
      <c r="C35" s="103">
        <v>30000</v>
      </c>
      <c r="D35" s="104" t="s">
        <v>675</v>
      </c>
      <c r="E35" s="105">
        <v>1125</v>
      </c>
      <c r="F35" s="102">
        <v>32</v>
      </c>
      <c r="G35" s="208">
        <f>E35/(C35*H35/30)</f>
        <v>7.4999999999999997E-2</v>
      </c>
      <c r="H35" s="102">
        <v>15</v>
      </c>
      <c r="I35" s="103">
        <f t="shared" si="4"/>
        <v>36000</v>
      </c>
      <c r="J35" s="103">
        <f t="shared" si="2"/>
        <v>23999.999999999996</v>
      </c>
    </row>
    <row r="36" spans="1:10">
      <c r="A36" s="102"/>
      <c r="B36" s="102"/>
      <c r="C36" s="103">
        <v>20000</v>
      </c>
      <c r="D36" s="104" t="s">
        <v>200</v>
      </c>
      <c r="E36" s="105">
        <v>2300</v>
      </c>
      <c r="F36" s="102">
        <v>10</v>
      </c>
      <c r="G36" s="208">
        <v>0.06</v>
      </c>
      <c r="H36" s="102" t="s">
        <v>664</v>
      </c>
      <c r="I36" s="103">
        <f t="shared" si="4"/>
        <v>3000</v>
      </c>
      <c r="J36" s="103">
        <f t="shared" si="2"/>
        <v>1749.9999999999995</v>
      </c>
    </row>
    <row r="37" spans="1:10">
      <c r="A37" s="102"/>
      <c r="B37" s="102"/>
      <c r="C37" s="103">
        <v>20000</v>
      </c>
      <c r="D37" s="104" t="s">
        <v>201</v>
      </c>
      <c r="E37" s="105">
        <v>750</v>
      </c>
      <c r="F37" s="102">
        <v>2</v>
      </c>
      <c r="G37" s="208">
        <f>E37/(C37*H37/30)</f>
        <v>7.4999999999999997E-2</v>
      </c>
      <c r="H37" s="102">
        <v>15</v>
      </c>
      <c r="I37" s="103">
        <f t="shared" si="4"/>
        <v>1500</v>
      </c>
      <c r="J37" s="103">
        <f t="shared" si="2"/>
        <v>999.99999999999989</v>
      </c>
    </row>
    <row r="38" spans="1:10">
      <c r="A38" s="102"/>
      <c r="B38" s="102"/>
      <c r="C38" s="103">
        <v>20000</v>
      </c>
      <c r="D38" s="104" t="s">
        <v>202</v>
      </c>
      <c r="E38" s="105">
        <v>2300</v>
      </c>
      <c r="F38" s="102">
        <v>10</v>
      </c>
      <c r="G38" s="208">
        <v>0.06</v>
      </c>
      <c r="H38" s="102" t="s">
        <v>664</v>
      </c>
      <c r="I38" s="103">
        <f t="shared" si="4"/>
        <v>3000</v>
      </c>
      <c r="J38" s="103">
        <f t="shared" si="2"/>
        <v>1749.9999999999995</v>
      </c>
    </row>
    <row r="39" spans="1:10">
      <c r="A39" s="102"/>
      <c r="B39" s="102"/>
      <c r="C39" s="103">
        <v>10000</v>
      </c>
      <c r="D39" s="104" t="s">
        <v>194</v>
      </c>
      <c r="E39" s="105">
        <v>375</v>
      </c>
      <c r="F39" s="102">
        <v>3</v>
      </c>
      <c r="G39" s="208">
        <f>E39/(C39*H39/30)</f>
        <v>7.4999999999999997E-2</v>
      </c>
      <c r="H39" s="102">
        <v>15</v>
      </c>
      <c r="I39" s="103">
        <f t="shared" si="4"/>
        <v>1125</v>
      </c>
      <c r="J39" s="103">
        <f t="shared" si="2"/>
        <v>749.99999999999989</v>
      </c>
    </row>
    <row r="40" spans="1:10">
      <c r="A40" s="102"/>
      <c r="B40" s="102"/>
      <c r="C40" s="103">
        <v>10000</v>
      </c>
      <c r="D40" s="104" t="s">
        <v>662</v>
      </c>
      <c r="E40" s="105">
        <v>375</v>
      </c>
      <c r="F40" s="102">
        <v>11</v>
      </c>
      <c r="G40" s="208">
        <f>E40/(C40*H40/30)</f>
        <v>7.4999999999999997E-2</v>
      </c>
      <c r="H40" s="102">
        <v>15</v>
      </c>
      <c r="I40" s="103">
        <f t="shared" si="4"/>
        <v>4125</v>
      </c>
      <c r="J40" s="103">
        <f t="shared" si="2"/>
        <v>2749.9999999999995</v>
      </c>
    </row>
    <row r="41" spans="1:10">
      <c r="A41" s="102"/>
      <c r="B41" s="102"/>
      <c r="C41" s="103">
        <v>20000</v>
      </c>
      <c r="D41" s="104" t="s">
        <v>195</v>
      </c>
      <c r="E41" s="105">
        <v>2300</v>
      </c>
      <c r="F41" s="102">
        <v>10</v>
      </c>
      <c r="G41" s="208">
        <v>0.06</v>
      </c>
      <c r="H41" s="102" t="s">
        <v>664</v>
      </c>
      <c r="I41" s="103">
        <f t="shared" si="4"/>
        <v>3000</v>
      </c>
      <c r="J41" s="103">
        <f t="shared" si="2"/>
        <v>1749.9999999999995</v>
      </c>
    </row>
    <row r="42" spans="1:10">
      <c r="A42" s="102"/>
      <c r="B42" s="102"/>
      <c r="C42" s="103">
        <v>10000</v>
      </c>
      <c r="D42" s="104" t="s">
        <v>197</v>
      </c>
      <c r="E42" s="105">
        <v>375</v>
      </c>
      <c r="F42" s="102">
        <v>12</v>
      </c>
      <c r="G42" s="208">
        <f>E42/(C42*H42/30)</f>
        <v>7.4999999999999997E-2</v>
      </c>
      <c r="H42" s="102">
        <v>15</v>
      </c>
      <c r="I42" s="103">
        <f t="shared" si="4"/>
        <v>4500</v>
      </c>
      <c r="J42" s="103">
        <f t="shared" si="2"/>
        <v>2999.9999999999995</v>
      </c>
    </row>
    <row r="43" spans="1:10">
      <c r="A43" s="102"/>
      <c r="B43" s="102"/>
      <c r="C43" s="103">
        <v>20000</v>
      </c>
      <c r="D43" s="104" t="s">
        <v>203</v>
      </c>
      <c r="E43" s="105">
        <v>2300</v>
      </c>
      <c r="F43" s="102">
        <v>10</v>
      </c>
      <c r="G43" s="208">
        <v>0.06</v>
      </c>
      <c r="H43" s="102" t="s">
        <v>664</v>
      </c>
      <c r="I43" s="103">
        <f t="shared" si="4"/>
        <v>3000</v>
      </c>
      <c r="J43" s="103">
        <f t="shared" si="2"/>
        <v>1749.9999999999995</v>
      </c>
    </row>
    <row r="44" spans="1:10">
      <c r="A44" s="102"/>
      <c r="B44" s="102"/>
      <c r="C44" s="103">
        <v>20000</v>
      </c>
      <c r="D44" s="104" t="s">
        <v>196</v>
      </c>
      <c r="E44" s="105">
        <v>2300</v>
      </c>
      <c r="F44" s="102">
        <v>10</v>
      </c>
      <c r="G44" s="208">
        <v>0.06</v>
      </c>
      <c r="H44" s="102" t="s">
        <v>664</v>
      </c>
      <c r="I44" s="103">
        <f t="shared" si="4"/>
        <v>3000</v>
      </c>
      <c r="J44" s="103">
        <f t="shared" si="2"/>
        <v>1749.9999999999995</v>
      </c>
    </row>
    <row r="45" spans="1:10">
      <c r="A45" s="102"/>
      <c r="B45" s="102"/>
      <c r="C45" s="103">
        <v>20000</v>
      </c>
      <c r="D45" s="104" t="s">
        <v>204</v>
      </c>
      <c r="E45" s="105">
        <v>2300</v>
      </c>
      <c r="F45" s="102">
        <v>10</v>
      </c>
      <c r="G45" s="208">
        <v>0.06</v>
      </c>
      <c r="H45" s="102" t="s">
        <v>664</v>
      </c>
      <c r="I45" s="103">
        <f t="shared" si="4"/>
        <v>3000</v>
      </c>
      <c r="J45" s="103">
        <f t="shared" si="2"/>
        <v>1749.9999999999995</v>
      </c>
    </row>
    <row r="46" spans="1:10">
      <c r="A46" s="102"/>
      <c r="B46" s="102"/>
      <c r="C46" s="103">
        <v>20000</v>
      </c>
      <c r="D46" s="104" t="s">
        <v>205</v>
      </c>
      <c r="E46" s="105">
        <v>2300</v>
      </c>
      <c r="F46" s="102">
        <v>3</v>
      </c>
      <c r="G46" s="208">
        <v>0.06</v>
      </c>
      <c r="H46" s="102" t="s">
        <v>664</v>
      </c>
      <c r="I46" s="103">
        <f t="shared" si="4"/>
        <v>900</v>
      </c>
      <c r="J46" s="103">
        <f t="shared" si="2"/>
        <v>524.99999999999989</v>
      </c>
    </row>
    <row r="47" spans="1:10">
      <c r="A47" s="102">
        <v>9</v>
      </c>
      <c r="B47" s="102" t="s">
        <v>206</v>
      </c>
      <c r="C47" s="103">
        <v>50000</v>
      </c>
      <c r="D47" s="104" t="s">
        <v>663</v>
      </c>
      <c r="E47" s="105">
        <v>1875</v>
      </c>
      <c r="F47" s="102">
        <v>10</v>
      </c>
      <c r="G47" s="208">
        <f t="shared" ref="G47:G78" si="5">E47/(C47*H47/30)</f>
        <v>7.4999999999999997E-2</v>
      </c>
      <c r="H47" s="102">
        <v>15</v>
      </c>
      <c r="I47" s="103">
        <f t="shared" si="4"/>
        <v>18750</v>
      </c>
      <c r="J47" s="103">
        <f t="shared" si="2"/>
        <v>12500</v>
      </c>
    </row>
    <row r="48" spans="1:10">
      <c r="A48" s="102"/>
      <c r="B48" s="102"/>
      <c r="C48" s="103">
        <v>30000</v>
      </c>
      <c r="D48" s="104" t="s">
        <v>208</v>
      </c>
      <c r="E48" s="105">
        <v>1125</v>
      </c>
      <c r="F48" s="102">
        <v>10</v>
      </c>
      <c r="G48" s="208">
        <f t="shared" si="5"/>
        <v>7.4999999999999997E-2</v>
      </c>
      <c r="H48" s="102">
        <v>15</v>
      </c>
      <c r="I48" s="103">
        <f t="shared" si="4"/>
        <v>11250</v>
      </c>
      <c r="J48" s="103">
        <f t="shared" si="2"/>
        <v>7499.9999999999991</v>
      </c>
    </row>
    <row r="49" spans="1:10">
      <c r="A49" s="102"/>
      <c r="B49" s="102"/>
      <c r="C49" s="103">
        <v>20000</v>
      </c>
      <c r="D49" s="104" t="s">
        <v>209</v>
      </c>
      <c r="E49" s="105">
        <v>750</v>
      </c>
      <c r="F49" s="102">
        <v>22</v>
      </c>
      <c r="G49" s="208">
        <f t="shared" si="5"/>
        <v>7.4999999999999997E-2</v>
      </c>
      <c r="H49" s="102">
        <v>15</v>
      </c>
      <c r="I49" s="103">
        <f t="shared" si="4"/>
        <v>16500</v>
      </c>
      <c r="J49" s="103">
        <f t="shared" si="2"/>
        <v>10999.999999999998</v>
      </c>
    </row>
    <row r="50" spans="1:10">
      <c r="A50" s="102"/>
      <c r="B50" s="102"/>
      <c r="C50" s="103">
        <v>10000</v>
      </c>
      <c r="D50" s="104" t="s">
        <v>2590</v>
      </c>
      <c r="E50" s="105">
        <v>375</v>
      </c>
      <c r="F50" s="102">
        <v>6</v>
      </c>
      <c r="G50" s="208">
        <f t="shared" si="5"/>
        <v>7.4999999999999997E-2</v>
      </c>
      <c r="H50" s="102">
        <v>15</v>
      </c>
      <c r="I50" s="103">
        <f t="shared" si="4"/>
        <v>2250</v>
      </c>
      <c r="J50" s="103">
        <f t="shared" si="2"/>
        <v>1499.9999999999998</v>
      </c>
    </row>
    <row r="51" spans="1:10">
      <c r="A51" s="102"/>
      <c r="B51" s="102"/>
      <c r="C51" s="103">
        <v>80000</v>
      </c>
      <c r="D51" s="104" t="s">
        <v>207</v>
      </c>
      <c r="E51" s="105">
        <v>3000</v>
      </c>
      <c r="F51" s="102">
        <v>24</v>
      </c>
      <c r="G51" s="208">
        <f t="shared" si="5"/>
        <v>7.4999999999999997E-2</v>
      </c>
      <c r="H51" s="102">
        <v>15</v>
      </c>
      <c r="I51" s="103">
        <f t="shared" si="4"/>
        <v>72000</v>
      </c>
      <c r="J51" s="103">
        <f t="shared" si="2"/>
        <v>47999.999999999993</v>
      </c>
    </row>
    <row r="52" spans="1:10">
      <c r="A52" s="102"/>
      <c r="B52" s="102"/>
      <c r="C52" s="103">
        <v>70000</v>
      </c>
      <c r="D52" s="104" t="s">
        <v>1006</v>
      </c>
      <c r="E52" s="105">
        <v>2625</v>
      </c>
      <c r="F52" s="102">
        <v>2</v>
      </c>
      <c r="G52" s="208">
        <f t="shared" si="5"/>
        <v>7.4999999999999997E-2</v>
      </c>
      <c r="H52" s="102">
        <v>15</v>
      </c>
      <c r="I52" s="103">
        <f t="shared" si="4"/>
        <v>5250</v>
      </c>
      <c r="J52" s="103">
        <f t="shared" si="2"/>
        <v>3499.9999999999995</v>
      </c>
    </row>
    <row r="53" spans="1:10">
      <c r="A53" s="102"/>
      <c r="B53" s="102"/>
      <c r="C53" s="103">
        <v>60000</v>
      </c>
      <c r="D53" s="104" t="s">
        <v>1006</v>
      </c>
      <c r="E53" s="105">
        <v>2250</v>
      </c>
      <c r="F53" s="102">
        <v>7</v>
      </c>
      <c r="G53" s="208">
        <f t="shared" si="5"/>
        <v>7.4999999999999997E-2</v>
      </c>
      <c r="H53" s="102">
        <v>15</v>
      </c>
      <c r="I53" s="103">
        <f t="shared" si="4"/>
        <v>15750</v>
      </c>
      <c r="J53" s="103">
        <f t="shared" si="2"/>
        <v>10499.999999999998</v>
      </c>
    </row>
    <row r="54" spans="1:10">
      <c r="A54" s="102"/>
      <c r="B54" s="102"/>
      <c r="C54" s="103">
        <v>10000</v>
      </c>
      <c r="D54" s="104" t="s">
        <v>2230</v>
      </c>
      <c r="E54" s="105">
        <v>375</v>
      </c>
      <c r="F54" s="102">
        <v>25</v>
      </c>
      <c r="G54" s="208">
        <f t="shared" si="5"/>
        <v>7.4999999999999997E-2</v>
      </c>
      <c r="H54" s="102">
        <v>15</v>
      </c>
      <c r="I54" s="103">
        <f t="shared" si="4"/>
        <v>9375</v>
      </c>
      <c r="J54" s="103">
        <f t="shared" si="2"/>
        <v>6249.9999999999991</v>
      </c>
    </row>
    <row r="55" spans="1:10">
      <c r="A55" s="102"/>
      <c r="B55" s="102"/>
      <c r="C55" s="103">
        <v>10000</v>
      </c>
      <c r="D55" s="104" t="s">
        <v>194</v>
      </c>
      <c r="E55" s="105">
        <v>375</v>
      </c>
      <c r="F55" s="102">
        <v>10</v>
      </c>
      <c r="G55" s="208">
        <f t="shared" si="5"/>
        <v>7.4999999999999997E-2</v>
      </c>
      <c r="H55" s="102">
        <v>15</v>
      </c>
      <c r="I55" s="103">
        <f t="shared" si="4"/>
        <v>3750</v>
      </c>
      <c r="J55" s="103">
        <f t="shared" si="2"/>
        <v>2499.9999999999995</v>
      </c>
    </row>
    <row r="56" spans="1:10">
      <c r="A56" s="102"/>
      <c r="B56" s="102"/>
      <c r="C56" s="103">
        <v>10000</v>
      </c>
      <c r="D56" s="104" t="s">
        <v>2236</v>
      </c>
      <c r="E56" s="105">
        <v>375</v>
      </c>
      <c r="F56" s="102">
        <v>6</v>
      </c>
      <c r="G56" s="208">
        <f t="shared" si="5"/>
        <v>7.4999999999999997E-2</v>
      </c>
      <c r="H56" s="102">
        <v>15</v>
      </c>
      <c r="I56" s="103">
        <f t="shared" si="4"/>
        <v>2250</v>
      </c>
      <c r="J56" s="103">
        <f t="shared" si="2"/>
        <v>1499.9999999999998</v>
      </c>
    </row>
    <row r="57" spans="1:10">
      <c r="A57" s="102"/>
      <c r="B57" s="102"/>
      <c r="C57" s="103">
        <v>30000</v>
      </c>
      <c r="D57" s="104" t="s">
        <v>2233</v>
      </c>
      <c r="E57" s="105">
        <v>1125</v>
      </c>
      <c r="F57" s="102">
        <v>2</v>
      </c>
      <c r="G57" s="208">
        <f t="shared" si="5"/>
        <v>7.4999999999999997E-2</v>
      </c>
      <c r="H57" s="102">
        <v>15</v>
      </c>
      <c r="I57" s="103">
        <f t="shared" si="4"/>
        <v>2250</v>
      </c>
      <c r="J57" s="103">
        <f t="shared" si="2"/>
        <v>1499.9999999999998</v>
      </c>
    </row>
    <row r="58" spans="1:10">
      <c r="A58" s="102"/>
      <c r="B58" s="102"/>
      <c r="C58" s="103">
        <v>20000</v>
      </c>
      <c r="D58" s="104" t="s">
        <v>1984</v>
      </c>
      <c r="E58" s="105">
        <v>750</v>
      </c>
      <c r="F58" s="102">
        <v>20</v>
      </c>
      <c r="G58" s="208">
        <f t="shared" si="5"/>
        <v>7.4999999999999997E-2</v>
      </c>
      <c r="H58" s="102">
        <v>15</v>
      </c>
      <c r="I58" s="103">
        <f t="shared" si="4"/>
        <v>15000</v>
      </c>
      <c r="J58" s="103">
        <f t="shared" si="2"/>
        <v>9999.9999999999982</v>
      </c>
    </row>
    <row r="59" spans="1:10">
      <c r="A59" s="102"/>
      <c r="B59" s="102"/>
      <c r="C59" s="103">
        <v>10000</v>
      </c>
      <c r="D59" s="104" t="s">
        <v>2232</v>
      </c>
      <c r="E59" s="105">
        <v>375</v>
      </c>
      <c r="F59" s="102">
        <v>9</v>
      </c>
      <c r="G59" s="208">
        <f t="shared" si="5"/>
        <v>7.4999999999999997E-2</v>
      </c>
      <c r="H59" s="102">
        <v>15</v>
      </c>
      <c r="I59" s="103">
        <f t="shared" si="4"/>
        <v>3375</v>
      </c>
      <c r="J59" s="103">
        <f t="shared" si="2"/>
        <v>2249.9999999999995</v>
      </c>
    </row>
    <row r="60" spans="1:10">
      <c r="A60" s="102">
        <v>10</v>
      </c>
      <c r="B60" s="102" t="s">
        <v>2237</v>
      </c>
      <c r="C60" s="103">
        <v>30000</v>
      </c>
      <c r="D60" s="104" t="s">
        <v>663</v>
      </c>
      <c r="E60" s="105">
        <v>1125</v>
      </c>
      <c r="F60" s="102">
        <v>8</v>
      </c>
      <c r="G60" s="208">
        <f t="shared" si="5"/>
        <v>7.4999999999999997E-2</v>
      </c>
      <c r="H60" s="102">
        <v>15</v>
      </c>
      <c r="I60" s="103">
        <f t="shared" si="4"/>
        <v>9000</v>
      </c>
      <c r="J60" s="103">
        <f t="shared" si="2"/>
        <v>5999.9999999999991</v>
      </c>
    </row>
    <row r="61" spans="1:10">
      <c r="A61" s="102"/>
      <c r="B61" s="102"/>
      <c r="C61" s="103">
        <v>5000</v>
      </c>
      <c r="D61" s="104" t="s">
        <v>2238</v>
      </c>
      <c r="E61" s="105">
        <v>190</v>
      </c>
      <c r="F61" s="102">
        <v>5</v>
      </c>
      <c r="G61" s="208">
        <f t="shared" si="5"/>
        <v>7.5999999999999998E-2</v>
      </c>
      <c r="H61" s="102">
        <v>15</v>
      </c>
      <c r="I61" s="103">
        <f t="shared" si="4"/>
        <v>950</v>
      </c>
      <c r="J61" s="103">
        <f t="shared" si="2"/>
        <v>637.49999999999989</v>
      </c>
    </row>
    <row r="62" spans="1:10">
      <c r="A62" s="102">
        <v>11</v>
      </c>
      <c r="B62" s="102" t="s">
        <v>2239</v>
      </c>
      <c r="C62" s="103">
        <v>20000</v>
      </c>
      <c r="D62" s="104" t="s">
        <v>663</v>
      </c>
      <c r="E62" s="105">
        <v>750</v>
      </c>
      <c r="F62" s="102">
        <v>14</v>
      </c>
      <c r="G62" s="208">
        <f t="shared" si="5"/>
        <v>7.4999999999999997E-2</v>
      </c>
      <c r="H62" s="102">
        <v>15</v>
      </c>
      <c r="I62" s="103">
        <f t="shared" si="4"/>
        <v>10500</v>
      </c>
      <c r="J62" s="103">
        <f t="shared" si="2"/>
        <v>6999.9999999999991</v>
      </c>
    </row>
    <row r="63" spans="1:10">
      <c r="A63" s="102"/>
      <c r="B63" s="102"/>
      <c r="C63" s="103">
        <v>5000</v>
      </c>
      <c r="D63" s="104" t="s">
        <v>663</v>
      </c>
      <c r="E63" s="105">
        <v>190</v>
      </c>
      <c r="F63" s="102">
        <v>15</v>
      </c>
      <c r="G63" s="208">
        <f t="shared" si="5"/>
        <v>7.5999999999999998E-2</v>
      </c>
      <c r="H63" s="102">
        <v>15</v>
      </c>
      <c r="I63" s="103">
        <f t="shared" si="4"/>
        <v>2850</v>
      </c>
      <c r="J63" s="103">
        <f t="shared" si="2"/>
        <v>1912.4999999999998</v>
      </c>
    </row>
    <row r="64" spans="1:10">
      <c r="A64" s="102"/>
      <c r="B64" s="102"/>
      <c r="C64" s="103">
        <v>10000</v>
      </c>
      <c r="D64" s="104" t="s">
        <v>2241</v>
      </c>
      <c r="E64" s="105">
        <v>375</v>
      </c>
      <c r="F64" s="102">
        <v>26</v>
      </c>
      <c r="G64" s="208">
        <f t="shared" si="5"/>
        <v>7.4999999999999997E-2</v>
      </c>
      <c r="H64" s="102">
        <v>15</v>
      </c>
      <c r="I64" s="103">
        <f t="shared" si="4"/>
        <v>9750</v>
      </c>
      <c r="J64" s="103">
        <f t="shared" si="2"/>
        <v>6499.9999999999991</v>
      </c>
    </row>
    <row r="65" spans="1:10">
      <c r="A65" s="102"/>
      <c r="B65" s="102"/>
      <c r="C65" s="103">
        <v>10000</v>
      </c>
      <c r="D65" s="101" t="s">
        <v>1907</v>
      </c>
      <c r="E65" s="105">
        <v>375</v>
      </c>
      <c r="F65" s="102">
        <v>22</v>
      </c>
      <c r="G65" s="208">
        <f t="shared" si="5"/>
        <v>7.4999999999999997E-2</v>
      </c>
      <c r="H65" s="102">
        <v>15</v>
      </c>
      <c r="I65" s="103">
        <f t="shared" si="4"/>
        <v>8250</v>
      </c>
      <c r="J65" s="103">
        <f t="shared" si="2"/>
        <v>5499.9999999999991</v>
      </c>
    </row>
    <row r="66" spans="1:10">
      <c r="A66" s="102"/>
      <c r="B66" s="102"/>
      <c r="C66" s="103">
        <v>10000</v>
      </c>
      <c r="D66" s="104" t="s">
        <v>2240</v>
      </c>
      <c r="E66" s="105">
        <v>375</v>
      </c>
      <c r="F66" s="102">
        <v>3</v>
      </c>
      <c r="G66" s="208">
        <f t="shared" si="5"/>
        <v>7.4999999999999997E-2</v>
      </c>
      <c r="H66" s="102">
        <v>15</v>
      </c>
      <c r="I66" s="103">
        <f t="shared" si="4"/>
        <v>1125</v>
      </c>
      <c r="J66" s="103">
        <f t="shared" si="2"/>
        <v>749.99999999999989</v>
      </c>
    </row>
    <row r="67" spans="1:10">
      <c r="A67" s="102"/>
      <c r="B67" s="102"/>
      <c r="C67" s="103">
        <v>15000</v>
      </c>
      <c r="D67" s="104" t="s">
        <v>2243</v>
      </c>
      <c r="E67" s="105">
        <v>565</v>
      </c>
      <c r="F67" s="102">
        <v>2</v>
      </c>
      <c r="G67" s="208">
        <f t="shared" si="5"/>
        <v>7.5333333333333335E-2</v>
      </c>
      <c r="H67" s="102">
        <v>15</v>
      </c>
      <c r="I67" s="103">
        <f t="shared" si="4"/>
        <v>1130</v>
      </c>
      <c r="J67" s="103">
        <f t="shared" ref="J67:J130" si="6">IF(H67="分期",C67*(G67-0.025)*2.5*F67/10,C67*(G67-0.025)*H67*F67/30)</f>
        <v>755</v>
      </c>
    </row>
    <row r="68" spans="1:10">
      <c r="A68" s="102"/>
      <c r="B68" s="102"/>
      <c r="C68" s="103">
        <v>10000</v>
      </c>
      <c r="D68" s="101" t="s">
        <v>1908</v>
      </c>
      <c r="E68" s="105">
        <v>375</v>
      </c>
      <c r="F68" s="102">
        <v>2</v>
      </c>
      <c r="G68" s="208">
        <f t="shared" si="5"/>
        <v>7.4999999999999997E-2</v>
      </c>
      <c r="H68" s="102">
        <v>15</v>
      </c>
      <c r="I68" s="103">
        <f t="shared" si="4"/>
        <v>750</v>
      </c>
      <c r="J68" s="103">
        <f t="shared" si="6"/>
        <v>499.99999999999994</v>
      </c>
    </row>
    <row r="69" spans="1:10">
      <c r="A69" s="102"/>
      <c r="B69" s="102"/>
      <c r="C69" s="103">
        <v>30000</v>
      </c>
      <c r="D69" s="104" t="s">
        <v>2244</v>
      </c>
      <c r="E69" s="105">
        <v>1125</v>
      </c>
      <c r="F69" s="102">
        <v>10</v>
      </c>
      <c r="G69" s="208">
        <f t="shared" si="5"/>
        <v>7.4999999999999997E-2</v>
      </c>
      <c r="H69" s="102">
        <v>15</v>
      </c>
      <c r="I69" s="103">
        <f t="shared" si="4"/>
        <v>11250</v>
      </c>
      <c r="J69" s="103">
        <f t="shared" si="6"/>
        <v>7499.9999999999991</v>
      </c>
    </row>
    <row r="70" spans="1:10">
      <c r="A70" s="102"/>
      <c r="B70" s="102"/>
      <c r="C70" s="103">
        <v>30000</v>
      </c>
      <c r="D70" s="104" t="s">
        <v>2245</v>
      </c>
      <c r="E70" s="105">
        <v>1125</v>
      </c>
      <c r="F70" s="102">
        <v>10</v>
      </c>
      <c r="G70" s="208">
        <f t="shared" si="5"/>
        <v>7.4999999999999997E-2</v>
      </c>
      <c r="H70" s="102">
        <v>15</v>
      </c>
      <c r="I70" s="103">
        <f t="shared" si="4"/>
        <v>11250</v>
      </c>
      <c r="J70" s="103">
        <f t="shared" si="6"/>
        <v>7499.9999999999991</v>
      </c>
    </row>
    <row r="71" spans="1:10">
      <c r="A71" s="102"/>
      <c r="B71" s="102"/>
      <c r="C71" s="103">
        <v>15000</v>
      </c>
      <c r="D71" s="104" t="s">
        <v>2246</v>
      </c>
      <c r="E71" s="105">
        <v>565</v>
      </c>
      <c r="F71" s="102">
        <v>5</v>
      </c>
      <c r="G71" s="208">
        <f t="shared" si="5"/>
        <v>7.5333333333333335E-2</v>
      </c>
      <c r="H71" s="102">
        <v>15</v>
      </c>
      <c r="I71" s="103">
        <f t="shared" si="4"/>
        <v>2825</v>
      </c>
      <c r="J71" s="103">
        <f t="shared" si="6"/>
        <v>1887.5</v>
      </c>
    </row>
    <row r="72" spans="1:10">
      <c r="A72" s="102"/>
      <c r="B72" s="102"/>
      <c r="C72" s="103">
        <v>30000</v>
      </c>
      <c r="D72" s="104" t="s">
        <v>2244</v>
      </c>
      <c r="E72" s="105">
        <v>1125</v>
      </c>
      <c r="F72" s="102">
        <v>9</v>
      </c>
      <c r="G72" s="208">
        <f t="shared" si="5"/>
        <v>7.4999999999999997E-2</v>
      </c>
      <c r="H72" s="102">
        <v>15</v>
      </c>
      <c r="I72" s="103">
        <f t="shared" si="4"/>
        <v>10125</v>
      </c>
      <c r="J72" s="103">
        <f t="shared" si="6"/>
        <v>6749.9999999999991</v>
      </c>
    </row>
    <row r="73" spans="1:10">
      <c r="A73" s="102"/>
      <c r="B73" s="102"/>
      <c r="C73" s="103">
        <v>20000</v>
      </c>
      <c r="D73" s="104" t="s">
        <v>2244</v>
      </c>
      <c r="E73" s="105">
        <v>750</v>
      </c>
      <c r="F73" s="102">
        <v>1</v>
      </c>
      <c r="G73" s="208">
        <f t="shared" si="5"/>
        <v>7.4999999999999997E-2</v>
      </c>
      <c r="H73" s="102">
        <v>15</v>
      </c>
      <c r="I73" s="103">
        <f t="shared" si="4"/>
        <v>750</v>
      </c>
      <c r="J73" s="103">
        <f t="shared" si="6"/>
        <v>499.99999999999994</v>
      </c>
    </row>
    <row r="74" spans="1:10">
      <c r="A74" s="102"/>
      <c r="B74" s="102"/>
      <c r="C74" s="103">
        <v>30000</v>
      </c>
      <c r="D74" s="104" t="s">
        <v>2245</v>
      </c>
      <c r="E74" s="105">
        <v>1125</v>
      </c>
      <c r="F74" s="102">
        <v>10</v>
      </c>
      <c r="G74" s="208">
        <f t="shared" si="5"/>
        <v>7.4999999999999997E-2</v>
      </c>
      <c r="H74" s="102">
        <v>15</v>
      </c>
      <c r="I74" s="103">
        <f t="shared" si="4"/>
        <v>11250</v>
      </c>
      <c r="J74" s="103">
        <f t="shared" si="6"/>
        <v>7499.9999999999991</v>
      </c>
    </row>
    <row r="75" spans="1:10">
      <c r="A75" s="102"/>
      <c r="B75" s="102"/>
      <c r="C75" s="103">
        <v>15000</v>
      </c>
      <c r="D75" s="104" t="s">
        <v>2246</v>
      </c>
      <c r="E75" s="105">
        <v>565</v>
      </c>
      <c r="F75" s="102">
        <v>5</v>
      </c>
      <c r="G75" s="208">
        <f t="shared" si="5"/>
        <v>7.5333333333333335E-2</v>
      </c>
      <c r="H75" s="102">
        <v>15</v>
      </c>
      <c r="I75" s="103">
        <f t="shared" si="4"/>
        <v>2825</v>
      </c>
      <c r="J75" s="103">
        <f t="shared" si="6"/>
        <v>1887.5</v>
      </c>
    </row>
    <row r="76" spans="1:10">
      <c r="A76" s="102">
        <v>12</v>
      </c>
      <c r="B76" s="102" t="s">
        <v>2249</v>
      </c>
      <c r="C76" s="103">
        <v>20000</v>
      </c>
      <c r="D76" s="104" t="s">
        <v>2244</v>
      </c>
      <c r="E76" s="105">
        <v>750</v>
      </c>
      <c r="F76" s="102">
        <v>4</v>
      </c>
      <c r="G76" s="208">
        <f t="shared" si="5"/>
        <v>7.4999999999999997E-2</v>
      </c>
      <c r="H76" s="102">
        <v>15</v>
      </c>
      <c r="I76" s="103">
        <f t="shared" si="4"/>
        <v>3000</v>
      </c>
      <c r="J76" s="103">
        <f t="shared" si="6"/>
        <v>1999.9999999999998</v>
      </c>
    </row>
    <row r="77" spans="1:10">
      <c r="A77" s="102"/>
      <c r="B77" s="102"/>
      <c r="C77" s="103">
        <v>10000</v>
      </c>
      <c r="D77" s="104" t="s">
        <v>2244</v>
      </c>
      <c r="E77" s="105">
        <v>375</v>
      </c>
      <c r="F77" s="102">
        <v>1</v>
      </c>
      <c r="G77" s="208">
        <f t="shared" si="5"/>
        <v>7.4999999999999997E-2</v>
      </c>
      <c r="H77" s="102">
        <v>15</v>
      </c>
      <c r="I77" s="103">
        <f t="shared" si="4"/>
        <v>375</v>
      </c>
      <c r="J77" s="103">
        <f t="shared" si="6"/>
        <v>249.99999999999997</v>
      </c>
    </row>
    <row r="78" spans="1:10">
      <c r="A78" s="102"/>
      <c r="B78" s="102"/>
      <c r="C78" s="103">
        <v>60000</v>
      </c>
      <c r="D78" s="104" t="s">
        <v>199</v>
      </c>
      <c r="E78" s="105">
        <v>4500</v>
      </c>
      <c r="F78" s="102">
        <v>2</v>
      </c>
      <c r="G78" s="208">
        <f t="shared" si="5"/>
        <v>7.4999999999999997E-2</v>
      </c>
      <c r="H78" s="102">
        <v>30</v>
      </c>
      <c r="I78" s="103">
        <f t="shared" si="4"/>
        <v>9000</v>
      </c>
      <c r="J78" s="103">
        <f t="shared" si="6"/>
        <v>5999.9999999999991</v>
      </c>
    </row>
    <row r="79" spans="1:10">
      <c r="A79" s="102"/>
      <c r="B79" s="102"/>
      <c r="C79" s="103">
        <v>45000</v>
      </c>
      <c r="D79" s="104" t="s">
        <v>199</v>
      </c>
      <c r="E79" s="105">
        <v>3375</v>
      </c>
      <c r="F79" s="102">
        <v>1</v>
      </c>
      <c r="G79" s="208">
        <f t="shared" ref="G79:G98" si="7">E79/(C79*H79/30)</f>
        <v>7.4999999999999997E-2</v>
      </c>
      <c r="H79" s="102">
        <v>30</v>
      </c>
      <c r="I79" s="103">
        <f t="shared" si="4"/>
        <v>3375</v>
      </c>
      <c r="J79" s="103">
        <f t="shared" si="6"/>
        <v>2250</v>
      </c>
    </row>
    <row r="80" spans="1:10">
      <c r="A80" s="102"/>
      <c r="B80" s="102"/>
      <c r="C80" s="103">
        <v>60000</v>
      </c>
      <c r="D80" s="101" t="s">
        <v>1909</v>
      </c>
      <c r="E80" s="105">
        <v>2250</v>
      </c>
      <c r="F80" s="102">
        <v>12</v>
      </c>
      <c r="G80" s="208">
        <f t="shared" si="7"/>
        <v>7.4999999999999997E-2</v>
      </c>
      <c r="H80" s="102">
        <v>15</v>
      </c>
      <c r="I80" s="103">
        <f t="shared" si="4"/>
        <v>27000</v>
      </c>
      <c r="J80" s="103">
        <f t="shared" si="6"/>
        <v>17999.999999999996</v>
      </c>
    </row>
    <row r="81" spans="1:10">
      <c r="A81" s="102"/>
      <c r="B81" s="102"/>
      <c r="C81" s="103">
        <v>45000</v>
      </c>
      <c r="D81" s="101" t="s">
        <v>1909</v>
      </c>
      <c r="E81" s="105">
        <v>1690</v>
      </c>
      <c r="F81" s="102">
        <v>2</v>
      </c>
      <c r="G81" s="208">
        <f t="shared" si="7"/>
        <v>7.5111111111111115E-2</v>
      </c>
      <c r="H81" s="102">
        <v>15</v>
      </c>
      <c r="I81" s="103">
        <f t="shared" si="4"/>
        <v>3380</v>
      </c>
      <c r="J81" s="103">
        <f t="shared" si="6"/>
        <v>2255</v>
      </c>
    </row>
    <row r="82" spans="1:10">
      <c r="A82" s="102"/>
      <c r="B82" s="102"/>
      <c r="C82" s="103">
        <v>35000</v>
      </c>
      <c r="D82" s="101" t="s">
        <v>1909</v>
      </c>
      <c r="E82" s="105">
        <v>1315</v>
      </c>
      <c r="F82" s="102">
        <v>1</v>
      </c>
      <c r="G82" s="208">
        <f t="shared" si="7"/>
        <v>7.5142857142857136E-2</v>
      </c>
      <c r="H82" s="102">
        <v>15</v>
      </c>
      <c r="I82" s="103">
        <f t="shared" si="4"/>
        <v>1314.9999999999998</v>
      </c>
      <c r="J82" s="103">
        <f t="shared" si="6"/>
        <v>877.49999999999989</v>
      </c>
    </row>
    <row r="83" spans="1:10">
      <c r="A83" s="102"/>
      <c r="B83" s="102"/>
      <c r="C83" s="103">
        <v>20000</v>
      </c>
      <c r="D83" s="101" t="s">
        <v>1909</v>
      </c>
      <c r="E83" s="105">
        <v>750</v>
      </c>
      <c r="F83" s="102">
        <v>2</v>
      </c>
      <c r="G83" s="208">
        <f t="shared" si="7"/>
        <v>7.4999999999999997E-2</v>
      </c>
      <c r="H83" s="102">
        <v>15</v>
      </c>
      <c r="I83" s="103">
        <f t="shared" si="4"/>
        <v>1500</v>
      </c>
      <c r="J83" s="103">
        <f t="shared" si="6"/>
        <v>999.99999999999989</v>
      </c>
    </row>
    <row r="84" spans="1:10">
      <c r="A84" s="102"/>
      <c r="B84" s="102"/>
      <c r="C84" s="103">
        <v>20000</v>
      </c>
      <c r="D84" s="104" t="s">
        <v>2254</v>
      </c>
      <c r="E84" s="105">
        <v>750</v>
      </c>
      <c r="F84" s="102">
        <v>12</v>
      </c>
      <c r="G84" s="208">
        <f t="shared" si="7"/>
        <v>7.4999999999999997E-2</v>
      </c>
      <c r="H84" s="102">
        <v>15</v>
      </c>
      <c r="I84" s="103">
        <f t="shared" si="4"/>
        <v>9000</v>
      </c>
      <c r="J84" s="103">
        <f t="shared" si="6"/>
        <v>5999.9999999999991</v>
      </c>
    </row>
    <row r="85" spans="1:10">
      <c r="A85" s="102"/>
      <c r="B85" s="102"/>
      <c r="C85" s="103">
        <v>30000</v>
      </c>
      <c r="D85" s="104" t="s">
        <v>2256</v>
      </c>
      <c r="E85" s="105">
        <v>1125</v>
      </c>
      <c r="F85" s="102">
        <v>14</v>
      </c>
      <c r="G85" s="208">
        <f t="shared" si="7"/>
        <v>7.4999999999999997E-2</v>
      </c>
      <c r="H85" s="102">
        <v>15</v>
      </c>
      <c r="I85" s="103">
        <f t="shared" si="4"/>
        <v>15750</v>
      </c>
      <c r="J85" s="103">
        <f t="shared" si="6"/>
        <v>10499.999999999998</v>
      </c>
    </row>
    <row r="86" spans="1:10">
      <c r="A86" s="102"/>
      <c r="B86" s="102"/>
      <c r="C86" s="103">
        <v>20000</v>
      </c>
      <c r="D86" s="104" t="s">
        <v>2234</v>
      </c>
      <c r="E86" s="105">
        <v>750</v>
      </c>
      <c r="F86" s="102">
        <v>13</v>
      </c>
      <c r="G86" s="208">
        <f t="shared" si="7"/>
        <v>7.4999999999999997E-2</v>
      </c>
      <c r="H86" s="102">
        <v>15</v>
      </c>
      <c r="I86" s="103">
        <f t="shared" ref="I86:I149" si="8">IF(H86="分期",C86*G86*2.5*F86/10,C86*G86*H86*F86/30)</f>
        <v>9750</v>
      </c>
      <c r="J86" s="103">
        <f t="shared" si="6"/>
        <v>6499.9999999999991</v>
      </c>
    </row>
    <row r="87" spans="1:10">
      <c r="A87" s="102"/>
      <c r="B87" s="102"/>
      <c r="C87" s="103">
        <v>10000</v>
      </c>
      <c r="D87" s="104" t="s">
        <v>2255</v>
      </c>
      <c r="E87" s="105">
        <v>375</v>
      </c>
      <c r="F87" s="102">
        <v>12</v>
      </c>
      <c r="G87" s="208">
        <f t="shared" si="7"/>
        <v>7.4999999999999997E-2</v>
      </c>
      <c r="H87" s="102">
        <v>15</v>
      </c>
      <c r="I87" s="103">
        <f t="shared" si="8"/>
        <v>4500</v>
      </c>
      <c r="J87" s="103">
        <f t="shared" si="6"/>
        <v>2999.9999999999995</v>
      </c>
    </row>
    <row r="88" spans="1:10">
      <c r="A88" s="102"/>
      <c r="B88" s="102"/>
      <c r="C88" s="103">
        <v>10000</v>
      </c>
      <c r="D88" s="104" t="s">
        <v>2251</v>
      </c>
      <c r="E88" s="105">
        <v>375</v>
      </c>
      <c r="F88" s="102">
        <v>9</v>
      </c>
      <c r="G88" s="208">
        <f t="shared" si="7"/>
        <v>7.4999999999999997E-2</v>
      </c>
      <c r="H88" s="102">
        <v>15</v>
      </c>
      <c r="I88" s="103">
        <f t="shared" si="8"/>
        <v>3375</v>
      </c>
      <c r="J88" s="103">
        <f t="shared" si="6"/>
        <v>2249.9999999999995</v>
      </c>
    </row>
    <row r="89" spans="1:10">
      <c r="A89" s="102"/>
      <c r="B89" s="102"/>
      <c r="C89" s="103">
        <v>8000</v>
      </c>
      <c r="D89" s="104" t="s">
        <v>2253</v>
      </c>
      <c r="E89" s="105">
        <v>300</v>
      </c>
      <c r="F89" s="102">
        <v>3</v>
      </c>
      <c r="G89" s="208">
        <f t="shared" si="7"/>
        <v>7.4999999999999997E-2</v>
      </c>
      <c r="H89" s="102">
        <v>15</v>
      </c>
      <c r="I89" s="103">
        <f t="shared" si="8"/>
        <v>900</v>
      </c>
      <c r="J89" s="103">
        <f t="shared" si="6"/>
        <v>599.99999999999989</v>
      </c>
    </row>
    <row r="90" spans="1:10">
      <c r="A90" s="102"/>
      <c r="B90" s="102"/>
      <c r="C90" s="103">
        <v>10000</v>
      </c>
      <c r="D90" s="104" t="s">
        <v>2253</v>
      </c>
      <c r="E90" s="105">
        <v>375</v>
      </c>
      <c r="F90" s="102">
        <v>3</v>
      </c>
      <c r="G90" s="208">
        <f t="shared" si="7"/>
        <v>7.4999999999999997E-2</v>
      </c>
      <c r="H90" s="102">
        <v>15</v>
      </c>
      <c r="I90" s="103">
        <f t="shared" si="8"/>
        <v>1125</v>
      </c>
      <c r="J90" s="103">
        <f t="shared" si="6"/>
        <v>749.99999999999989</v>
      </c>
    </row>
    <row r="91" spans="1:10">
      <c r="A91" s="102">
        <v>13</v>
      </c>
      <c r="B91" s="102" t="s">
        <v>2258</v>
      </c>
      <c r="C91" s="103">
        <v>30000</v>
      </c>
      <c r="D91" s="104" t="s">
        <v>683</v>
      </c>
      <c r="E91" s="105">
        <v>1125</v>
      </c>
      <c r="F91" s="102">
        <v>14</v>
      </c>
      <c r="G91" s="208">
        <f t="shared" si="7"/>
        <v>7.4999999999999997E-2</v>
      </c>
      <c r="H91" s="102">
        <v>15</v>
      </c>
      <c r="I91" s="103">
        <f t="shared" si="8"/>
        <v>15750</v>
      </c>
      <c r="J91" s="103">
        <f t="shared" si="6"/>
        <v>10499.999999999998</v>
      </c>
    </row>
    <row r="92" spans="1:10">
      <c r="A92" s="102"/>
      <c r="B92" s="102"/>
      <c r="C92" s="103">
        <v>20000</v>
      </c>
      <c r="D92" s="104" t="s">
        <v>2260</v>
      </c>
      <c r="E92" s="105">
        <v>750</v>
      </c>
      <c r="F92" s="102">
        <v>13</v>
      </c>
      <c r="G92" s="208">
        <f t="shared" si="7"/>
        <v>7.4999999999999997E-2</v>
      </c>
      <c r="H92" s="102">
        <v>15</v>
      </c>
      <c r="I92" s="103">
        <f t="shared" si="8"/>
        <v>9750</v>
      </c>
      <c r="J92" s="103">
        <f t="shared" si="6"/>
        <v>6499.9999999999991</v>
      </c>
    </row>
    <row r="93" spans="1:10">
      <c r="A93" s="102">
        <v>14</v>
      </c>
      <c r="B93" s="102" t="s">
        <v>2261</v>
      </c>
      <c r="C93" s="103">
        <v>20000</v>
      </c>
      <c r="D93" s="104" t="s">
        <v>683</v>
      </c>
      <c r="E93" s="105">
        <v>750</v>
      </c>
      <c r="F93" s="102">
        <v>20</v>
      </c>
      <c r="G93" s="208">
        <f t="shared" si="7"/>
        <v>7.4999999999999997E-2</v>
      </c>
      <c r="H93" s="102">
        <v>15</v>
      </c>
      <c r="I93" s="103">
        <f t="shared" si="8"/>
        <v>15000</v>
      </c>
      <c r="J93" s="103">
        <f t="shared" si="6"/>
        <v>9999.9999999999982</v>
      </c>
    </row>
    <row r="94" spans="1:10">
      <c r="A94" s="102"/>
      <c r="B94" s="102"/>
      <c r="C94" s="103">
        <v>10000</v>
      </c>
      <c r="D94" s="101" t="s">
        <v>1910</v>
      </c>
      <c r="E94" s="105">
        <v>375</v>
      </c>
      <c r="F94" s="102">
        <v>23</v>
      </c>
      <c r="G94" s="208">
        <f t="shared" si="7"/>
        <v>7.4999999999999997E-2</v>
      </c>
      <c r="H94" s="102">
        <v>15</v>
      </c>
      <c r="I94" s="103">
        <f t="shared" si="8"/>
        <v>8625</v>
      </c>
      <c r="J94" s="103">
        <f t="shared" si="6"/>
        <v>5749.9999999999991</v>
      </c>
    </row>
    <row r="95" spans="1:10">
      <c r="A95" s="102"/>
      <c r="B95" s="102"/>
      <c r="C95" s="103">
        <v>10000</v>
      </c>
      <c r="D95" s="104" t="s">
        <v>2266</v>
      </c>
      <c r="E95" s="105">
        <v>375</v>
      </c>
      <c r="F95" s="102">
        <v>4</v>
      </c>
      <c r="G95" s="208">
        <f t="shared" si="7"/>
        <v>7.4999999999999997E-2</v>
      </c>
      <c r="H95" s="102">
        <v>15</v>
      </c>
      <c r="I95" s="103">
        <f t="shared" si="8"/>
        <v>1500</v>
      </c>
      <c r="J95" s="103">
        <f t="shared" si="6"/>
        <v>999.99999999999989</v>
      </c>
    </row>
    <row r="96" spans="1:10">
      <c r="A96" s="102"/>
      <c r="B96" s="102"/>
      <c r="C96" s="103">
        <v>10000</v>
      </c>
      <c r="D96" s="104" t="s">
        <v>2248</v>
      </c>
      <c r="E96" s="105">
        <v>375</v>
      </c>
      <c r="F96" s="102">
        <v>10</v>
      </c>
      <c r="G96" s="208">
        <f t="shared" si="7"/>
        <v>7.4999999999999997E-2</v>
      </c>
      <c r="H96" s="102">
        <v>15</v>
      </c>
      <c r="I96" s="103">
        <f t="shared" si="8"/>
        <v>3750</v>
      </c>
      <c r="J96" s="103">
        <f t="shared" si="6"/>
        <v>2499.9999999999995</v>
      </c>
    </row>
    <row r="97" spans="1:10">
      <c r="A97" s="102"/>
      <c r="B97" s="102"/>
      <c r="C97" s="103">
        <v>20000</v>
      </c>
      <c r="D97" s="104" t="s">
        <v>2262</v>
      </c>
      <c r="E97" s="105">
        <v>750</v>
      </c>
      <c r="F97" s="102">
        <v>1</v>
      </c>
      <c r="G97" s="208">
        <f t="shared" si="7"/>
        <v>7.4999999999999997E-2</v>
      </c>
      <c r="H97" s="102">
        <v>15</v>
      </c>
      <c r="I97" s="103">
        <f t="shared" si="8"/>
        <v>750</v>
      </c>
      <c r="J97" s="103">
        <f t="shared" si="6"/>
        <v>499.99999999999994</v>
      </c>
    </row>
    <row r="98" spans="1:10">
      <c r="A98" s="102"/>
      <c r="B98" s="102"/>
      <c r="C98" s="103">
        <v>20000</v>
      </c>
      <c r="D98" s="104" t="s">
        <v>2265</v>
      </c>
      <c r="E98" s="105">
        <v>750</v>
      </c>
      <c r="F98" s="102">
        <v>20</v>
      </c>
      <c r="G98" s="208">
        <f t="shared" si="7"/>
        <v>7.4999999999999997E-2</v>
      </c>
      <c r="H98" s="102">
        <v>15</v>
      </c>
      <c r="I98" s="103">
        <f t="shared" si="8"/>
        <v>15000</v>
      </c>
      <c r="J98" s="103">
        <f t="shared" si="6"/>
        <v>9999.9999999999982</v>
      </c>
    </row>
    <row r="99" spans="1:10">
      <c r="A99" s="102"/>
      <c r="B99" s="102"/>
      <c r="C99" s="103">
        <v>20000</v>
      </c>
      <c r="D99" s="104" t="s">
        <v>2267</v>
      </c>
      <c r="E99" s="105">
        <v>2400</v>
      </c>
      <c r="F99" s="102">
        <v>10</v>
      </c>
      <c r="G99" s="208">
        <v>0.06</v>
      </c>
      <c r="H99" s="102" t="s">
        <v>664</v>
      </c>
      <c r="I99" s="103">
        <f t="shared" si="8"/>
        <v>3000</v>
      </c>
      <c r="J99" s="103">
        <f t="shared" si="6"/>
        <v>1749.9999999999995</v>
      </c>
    </row>
    <row r="100" spans="1:10">
      <c r="A100" s="102"/>
      <c r="B100" s="102"/>
      <c r="C100" s="103">
        <v>10000</v>
      </c>
      <c r="D100" s="104" t="s">
        <v>2263</v>
      </c>
      <c r="E100" s="105">
        <v>375</v>
      </c>
      <c r="F100" s="102">
        <v>16</v>
      </c>
      <c r="G100" s="208">
        <f>E100/(C100*H100/30)</f>
        <v>7.4999999999999997E-2</v>
      </c>
      <c r="H100" s="102">
        <v>15</v>
      </c>
      <c r="I100" s="103">
        <f t="shared" si="8"/>
        <v>6000</v>
      </c>
      <c r="J100" s="103">
        <f t="shared" si="6"/>
        <v>3999.9999999999995</v>
      </c>
    </row>
    <row r="101" spans="1:10">
      <c r="A101" s="102"/>
      <c r="B101" s="102"/>
      <c r="C101" s="103">
        <v>30000</v>
      </c>
      <c r="D101" s="101" t="s">
        <v>1911</v>
      </c>
      <c r="E101" s="105">
        <v>1125</v>
      </c>
      <c r="F101" s="102">
        <v>14</v>
      </c>
      <c r="G101" s="208">
        <f>E101/(C101*H101/30)</f>
        <v>7.4999999999999997E-2</v>
      </c>
      <c r="H101" s="102">
        <v>15</v>
      </c>
      <c r="I101" s="103">
        <f t="shared" si="8"/>
        <v>15750</v>
      </c>
      <c r="J101" s="103">
        <f t="shared" si="6"/>
        <v>10499.999999999998</v>
      </c>
    </row>
    <row r="102" spans="1:10">
      <c r="A102" s="102"/>
      <c r="B102" s="102"/>
      <c r="C102" s="103">
        <v>20000</v>
      </c>
      <c r="D102" s="101" t="s">
        <v>1912</v>
      </c>
      <c r="E102" s="105">
        <v>2300</v>
      </c>
      <c r="F102" s="102">
        <v>10</v>
      </c>
      <c r="G102" s="208">
        <v>0.06</v>
      </c>
      <c r="H102" s="102" t="s">
        <v>664</v>
      </c>
      <c r="I102" s="103">
        <f t="shared" si="8"/>
        <v>3000</v>
      </c>
      <c r="J102" s="103">
        <f t="shared" si="6"/>
        <v>1749.9999999999995</v>
      </c>
    </row>
    <row r="103" spans="1:10">
      <c r="A103" s="102"/>
      <c r="B103" s="102"/>
      <c r="C103" s="103">
        <v>20000</v>
      </c>
      <c r="D103" s="101" t="s">
        <v>1913</v>
      </c>
      <c r="E103" s="105">
        <v>2300</v>
      </c>
      <c r="F103" s="102">
        <v>10</v>
      </c>
      <c r="G103" s="208">
        <v>0.06</v>
      </c>
      <c r="H103" s="102" t="s">
        <v>664</v>
      </c>
      <c r="I103" s="103">
        <f t="shared" si="8"/>
        <v>3000</v>
      </c>
      <c r="J103" s="103">
        <f t="shared" si="6"/>
        <v>1749.9999999999995</v>
      </c>
    </row>
    <row r="104" spans="1:10">
      <c r="A104" s="102"/>
      <c r="B104" s="102"/>
      <c r="C104" s="103">
        <v>20000</v>
      </c>
      <c r="D104" s="101" t="s">
        <v>1914</v>
      </c>
      <c r="E104" s="105">
        <v>2300</v>
      </c>
      <c r="F104" s="102">
        <v>10</v>
      </c>
      <c r="G104" s="208">
        <v>0.06</v>
      </c>
      <c r="H104" s="102" t="s">
        <v>664</v>
      </c>
      <c r="I104" s="103">
        <f t="shared" si="8"/>
        <v>3000</v>
      </c>
      <c r="J104" s="103">
        <f t="shared" si="6"/>
        <v>1749.9999999999995</v>
      </c>
    </row>
    <row r="105" spans="1:10">
      <c r="A105" s="102"/>
      <c r="B105" s="102"/>
      <c r="C105" s="103">
        <v>10000</v>
      </c>
      <c r="D105" s="104" t="s">
        <v>2268</v>
      </c>
      <c r="E105" s="105">
        <v>1150</v>
      </c>
      <c r="F105" s="102">
        <v>10</v>
      </c>
      <c r="G105" s="208">
        <v>0.06</v>
      </c>
      <c r="H105" s="102" t="s">
        <v>664</v>
      </c>
      <c r="I105" s="103">
        <f t="shared" si="8"/>
        <v>1500</v>
      </c>
      <c r="J105" s="103">
        <f t="shared" si="6"/>
        <v>874.99999999999977</v>
      </c>
    </row>
    <row r="106" spans="1:10" s="98" customFormat="1">
      <c r="A106" s="106"/>
      <c r="B106" s="106"/>
      <c r="C106" s="107">
        <v>20000</v>
      </c>
      <c r="D106" s="108" t="s">
        <v>2269</v>
      </c>
      <c r="E106" s="109">
        <v>750</v>
      </c>
      <c r="F106" s="106">
        <v>6</v>
      </c>
      <c r="G106" s="209">
        <f t="shared" ref="G106:G123" si="9">E106/(C106*H106/30)</f>
        <v>7.4999999999999997E-2</v>
      </c>
      <c r="H106" s="106">
        <v>15</v>
      </c>
      <c r="I106" s="107">
        <f t="shared" si="8"/>
        <v>4500</v>
      </c>
      <c r="J106" s="107">
        <f t="shared" si="6"/>
        <v>2999.9999999999995</v>
      </c>
    </row>
    <row r="107" spans="1:10">
      <c r="A107" s="102"/>
      <c r="B107" s="102"/>
      <c r="C107" s="103">
        <v>220000</v>
      </c>
      <c r="D107" s="101" t="s">
        <v>1915</v>
      </c>
      <c r="E107" s="105">
        <v>16500</v>
      </c>
      <c r="F107" s="102">
        <v>3</v>
      </c>
      <c r="G107" s="208">
        <f t="shared" si="9"/>
        <v>7.4999999999999997E-2</v>
      </c>
      <c r="H107" s="102">
        <v>30</v>
      </c>
      <c r="I107" s="103">
        <f t="shared" si="8"/>
        <v>49500</v>
      </c>
      <c r="J107" s="103">
        <f t="shared" si="6"/>
        <v>32999.999999999993</v>
      </c>
    </row>
    <row r="108" spans="1:10">
      <c r="A108" s="102"/>
      <c r="B108" s="102"/>
      <c r="C108" s="103">
        <v>80000</v>
      </c>
      <c r="D108" s="101" t="s">
        <v>1916</v>
      </c>
      <c r="E108" s="105">
        <v>2400</v>
      </c>
      <c r="F108" s="102">
        <v>3</v>
      </c>
      <c r="G108" s="208">
        <f t="shared" si="9"/>
        <v>0.03</v>
      </c>
      <c r="H108" s="102">
        <v>30</v>
      </c>
      <c r="I108" s="103">
        <f t="shared" si="8"/>
        <v>7200</v>
      </c>
      <c r="J108" s="103">
        <f t="shared" si="6"/>
        <v>1199.9999999999993</v>
      </c>
    </row>
    <row r="109" spans="1:10">
      <c r="A109" s="102"/>
      <c r="B109" s="102"/>
      <c r="C109" s="103">
        <v>110000</v>
      </c>
      <c r="D109" s="104" t="s">
        <v>209</v>
      </c>
      <c r="E109" s="105">
        <v>4125</v>
      </c>
      <c r="F109" s="102">
        <v>5</v>
      </c>
      <c r="G109" s="208">
        <f t="shared" si="9"/>
        <v>7.4999999999999997E-2</v>
      </c>
      <c r="H109" s="102">
        <v>15</v>
      </c>
      <c r="I109" s="103">
        <f t="shared" si="8"/>
        <v>20625</v>
      </c>
      <c r="J109" s="103">
        <f t="shared" si="6"/>
        <v>13749.999999999998</v>
      </c>
    </row>
    <row r="110" spans="1:10">
      <c r="A110" s="102"/>
      <c r="B110" s="102"/>
      <c r="C110" s="103">
        <v>131800</v>
      </c>
      <c r="D110" s="104" t="s">
        <v>209</v>
      </c>
      <c r="E110" s="105">
        <v>4945</v>
      </c>
      <c r="F110" s="102">
        <v>4</v>
      </c>
      <c r="G110" s="208">
        <f t="shared" si="9"/>
        <v>7.5037936267071323E-2</v>
      </c>
      <c r="H110" s="102">
        <v>15</v>
      </c>
      <c r="I110" s="103">
        <f t="shared" si="8"/>
        <v>19780</v>
      </c>
      <c r="J110" s="103">
        <f t="shared" si="6"/>
        <v>13190</v>
      </c>
    </row>
    <row r="111" spans="1:10">
      <c r="A111" s="102"/>
      <c r="B111" s="102"/>
      <c r="C111" s="103">
        <v>10000</v>
      </c>
      <c r="D111" s="104" t="s">
        <v>2272</v>
      </c>
      <c r="E111" s="105">
        <v>375</v>
      </c>
      <c r="F111" s="102">
        <v>2</v>
      </c>
      <c r="G111" s="208">
        <f t="shared" si="9"/>
        <v>7.4999999999999997E-2</v>
      </c>
      <c r="H111" s="102">
        <v>15</v>
      </c>
      <c r="I111" s="103">
        <f t="shared" si="8"/>
        <v>750</v>
      </c>
      <c r="J111" s="103">
        <f t="shared" si="6"/>
        <v>499.99999999999994</v>
      </c>
    </row>
    <row r="112" spans="1:10">
      <c r="A112" s="102"/>
      <c r="B112" s="102"/>
      <c r="C112" s="103">
        <v>60000</v>
      </c>
      <c r="D112" s="104" t="s">
        <v>680</v>
      </c>
      <c r="E112" s="105">
        <v>2250</v>
      </c>
      <c r="F112" s="102">
        <v>2</v>
      </c>
      <c r="G112" s="208">
        <f t="shared" si="9"/>
        <v>7.4999999999999997E-2</v>
      </c>
      <c r="H112" s="102">
        <v>15</v>
      </c>
      <c r="I112" s="103">
        <f t="shared" si="8"/>
        <v>4500</v>
      </c>
      <c r="J112" s="103">
        <f t="shared" si="6"/>
        <v>2999.9999999999995</v>
      </c>
    </row>
    <row r="113" spans="1:10">
      <c r="A113" s="102"/>
      <c r="B113" s="102"/>
      <c r="C113" s="103">
        <v>20000</v>
      </c>
      <c r="D113" s="104" t="s">
        <v>2273</v>
      </c>
      <c r="E113" s="105">
        <v>750</v>
      </c>
      <c r="F113" s="102">
        <v>4</v>
      </c>
      <c r="G113" s="208">
        <f t="shared" si="9"/>
        <v>7.4999999999999997E-2</v>
      </c>
      <c r="H113" s="102">
        <v>15</v>
      </c>
      <c r="I113" s="103">
        <f t="shared" si="8"/>
        <v>3000</v>
      </c>
      <c r="J113" s="103">
        <f t="shared" si="6"/>
        <v>1999.9999999999998</v>
      </c>
    </row>
    <row r="114" spans="1:10">
      <c r="A114" s="102"/>
      <c r="B114" s="102"/>
      <c r="C114" s="103">
        <v>8000</v>
      </c>
      <c r="D114" s="104" t="s">
        <v>2274</v>
      </c>
      <c r="E114" s="105">
        <v>300</v>
      </c>
      <c r="F114" s="102">
        <v>1</v>
      </c>
      <c r="G114" s="208">
        <f t="shared" si="9"/>
        <v>7.4999999999999997E-2</v>
      </c>
      <c r="H114" s="102">
        <v>15</v>
      </c>
      <c r="I114" s="103">
        <f t="shared" si="8"/>
        <v>300</v>
      </c>
      <c r="J114" s="103">
        <f t="shared" si="6"/>
        <v>199.99999999999997</v>
      </c>
    </row>
    <row r="115" spans="1:10">
      <c r="A115" s="102"/>
      <c r="B115" s="102"/>
      <c r="C115" s="103">
        <v>10000</v>
      </c>
      <c r="D115" s="104" t="s">
        <v>2267</v>
      </c>
      <c r="E115" s="105">
        <v>375</v>
      </c>
      <c r="F115" s="102">
        <v>2</v>
      </c>
      <c r="G115" s="208">
        <f t="shared" si="9"/>
        <v>7.4999999999999997E-2</v>
      </c>
      <c r="H115" s="102">
        <v>15</v>
      </c>
      <c r="I115" s="103">
        <f t="shared" si="8"/>
        <v>750</v>
      </c>
      <c r="J115" s="103">
        <f t="shared" si="6"/>
        <v>499.99999999999994</v>
      </c>
    </row>
    <row r="116" spans="1:10">
      <c r="A116" s="102"/>
      <c r="B116" s="102"/>
      <c r="C116" s="103">
        <v>70000</v>
      </c>
      <c r="D116" s="104" t="s">
        <v>2275</v>
      </c>
      <c r="E116" s="105">
        <v>2625</v>
      </c>
      <c r="F116" s="102">
        <v>1</v>
      </c>
      <c r="G116" s="208">
        <f t="shared" si="9"/>
        <v>7.4999999999999997E-2</v>
      </c>
      <c r="H116" s="102">
        <v>15</v>
      </c>
      <c r="I116" s="103">
        <f t="shared" si="8"/>
        <v>2625</v>
      </c>
      <c r="J116" s="103">
        <f t="shared" si="6"/>
        <v>1749.9999999999998</v>
      </c>
    </row>
    <row r="117" spans="1:10">
      <c r="A117" s="102">
        <v>15</v>
      </c>
      <c r="B117" s="102" t="s">
        <v>2276</v>
      </c>
      <c r="C117" s="103">
        <v>20000</v>
      </c>
      <c r="D117" s="104" t="s">
        <v>666</v>
      </c>
      <c r="E117" s="105">
        <v>750</v>
      </c>
      <c r="F117" s="102">
        <v>7</v>
      </c>
      <c r="G117" s="208">
        <f t="shared" si="9"/>
        <v>7.4999999999999997E-2</v>
      </c>
      <c r="H117" s="102">
        <v>15</v>
      </c>
      <c r="I117" s="103">
        <f t="shared" si="8"/>
        <v>5250</v>
      </c>
      <c r="J117" s="103">
        <f t="shared" si="6"/>
        <v>3499.9999999999995</v>
      </c>
    </row>
    <row r="118" spans="1:10">
      <c r="A118" s="102"/>
      <c r="B118" s="102"/>
      <c r="C118" s="103">
        <v>15000</v>
      </c>
      <c r="D118" s="104" t="s">
        <v>2278</v>
      </c>
      <c r="E118" s="105">
        <v>560</v>
      </c>
      <c r="F118" s="102">
        <v>7</v>
      </c>
      <c r="G118" s="208">
        <f t="shared" si="9"/>
        <v>7.4666666666666673E-2</v>
      </c>
      <c r="H118" s="102">
        <v>15</v>
      </c>
      <c r="I118" s="103">
        <f t="shared" si="8"/>
        <v>3920</v>
      </c>
      <c r="J118" s="103">
        <f t="shared" si="6"/>
        <v>2607.5000000000005</v>
      </c>
    </row>
    <row r="119" spans="1:10">
      <c r="A119" s="102"/>
      <c r="B119" s="102"/>
      <c r="C119" s="103">
        <v>10000</v>
      </c>
      <c r="D119" s="104" t="s">
        <v>198</v>
      </c>
      <c r="E119" s="105">
        <v>375</v>
      </c>
      <c r="F119" s="102">
        <v>35</v>
      </c>
      <c r="G119" s="208">
        <f t="shared" si="9"/>
        <v>7.4999999999999997E-2</v>
      </c>
      <c r="H119" s="102">
        <v>15</v>
      </c>
      <c r="I119" s="103">
        <f t="shared" si="8"/>
        <v>13125</v>
      </c>
      <c r="J119" s="103">
        <f t="shared" si="6"/>
        <v>8749.9999999999982</v>
      </c>
    </row>
    <row r="120" spans="1:10">
      <c r="A120" s="102"/>
      <c r="B120" s="102"/>
      <c r="C120" s="103">
        <v>30000</v>
      </c>
      <c r="D120" s="104" t="s">
        <v>2286</v>
      </c>
      <c r="E120" s="105">
        <v>1125</v>
      </c>
      <c r="F120" s="102">
        <v>20</v>
      </c>
      <c r="G120" s="208">
        <f t="shared" si="9"/>
        <v>7.4999999999999997E-2</v>
      </c>
      <c r="H120" s="102">
        <v>15</v>
      </c>
      <c r="I120" s="103">
        <f t="shared" si="8"/>
        <v>22500</v>
      </c>
      <c r="J120" s="103">
        <f t="shared" si="6"/>
        <v>14999.999999999998</v>
      </c>
    </row>
    <row r="121" spans="1:10">
      <c r="A121" s="102"/>
      <c r="B121" s="102"/>
      <c r="C121" s="103">
        <v>15000</v>
      </c>
      <c r="D121" s="104" t="s">
        <v>667</v>
      </c>
      <c r="E121" s="105">
        <v>565</v>
      </c>
      <c r="F121" s="102">
        <v>33</v>
      </c>
      <c r="G121" s="208">
        <f t="shared" si="9"/>
        <v>7.5333333333333335E-2</v>
      </c>
      <c r="H121" s="102">
        <v>15</v>
      </c>
      <c r="I121" s="103">
        <f t="shared" si="8"/>
        <v>18645</v>
      </c>
      <c r="J121" s="103">
        <f t="shared" si="6"/>
        <v>12457.5</v>
      </c>
    </row>
    <row r="122" spans="1:10">
      <c r="A122" s="102"/>
      <c r="B122" s="102"/>
      <c r="C122" s="103">
        <v>10000</v>
      </c>
      <c r="D122" s="104" t="s">
        <v>2279</v>
      </c>
      <c r="E122" s="105">
        <v>375</v>
      </c>
      <c r="F122" s="102">
        <v>32</v>
      </c>
      <c r="G122" s="208">
        <f t="shared" si="9"/>
        <v>7.4999999999999997E-2</v>
      </c>
      <c r="H122" s="102">
        <v>15</v>
      </c>
      <c r="I122" s="103">
        <f t="shared" si="8"/>
        <v>12000</v>
      </c>
      <c r="J122" s="103">
        <f t="shared" si="6"/>
        <v>7999.9999999999991</v>
      </c>
    </row>
    <row r="123" spans="1:10">
      <c r="A123" s="102"/>
      <c r="B123" s="102"/>
      <c r="C123" s="103">
        <v>25000</v>
      </c>
      <c r="D123" s="104" t="s">
        <v>2277</v>
      </c>
      <c r="E123" s="105">
        <v>940</v>
      </c>
      <c r="F123" s="102">
        <v>31</v>
      </c>
      <c r="G123" s="208">
        <f t="shared" si="9"/>
        <v>7.5200000000000003E-2</v>
      </c>
      <c r="H123" s="102">
        <v>15</v>
      </c>
      <c r="I123" s="103">
        <f t="shared" si="8"/>
        <v>29140</v>
      </c>
      <c r="J123" s="103">
        <f t="shared" si="6"/>
        <v>19452.5</v>
      </c>
    </row>
    <row r="124" spans="1:10">
      <c r="A124" s="102"/>
      <c r="B124" s="102"/>
      <c r="C124" s="103">
        <v>20000</v>
      </c>
      <c r="D124" s="104" t="s">
        <v>2277</v>
      </c>
      <c r="E124" s="105">
        <v>2300</v>
      </c>
      <c r="F124" s="102">
        <v>10</v>
      </c>
      <c r="G124" s="208">
        <v>0.06</v>
      </c>
      <c r="H124" s="102" t="s">
        <v>664</v>
      </c>
      <c r="I124" s="103">
        <f t="shared" si="8"/>
        <v>3000</v>
      </c>
      <c r="J124" s="103">
        <f t="shared" si="6"/>
        <v>1749.9999999999995</v>
      </c>
    </row>
    <row r="125" spans="1:10">
      <c r="A125" s="102"/>
      <c r="B125" s="102"/>
      <c r="C125" s="103">
        <v>15000</v>
      </c>
      <c r="D125" s="104" t="s">
        <v>682</v>
      </c>
      <c r="E125" s="105">
        <v>1750</v>
      </c>
      <c r="F125" s="102">
        <v>10</v>
      </c>
      <c r="G125" s="208">
        <v>0.06</v>
      </c>
      <c r="H125" s="102" t="s">
        <v>664</v>
      </c>
      <c r="I125" s="103">
        <f t="shared" si="8"/>
        <v>2250</v>
      </c>
      <c r="J125" s="103">
        <f t="shared" si="6"/>
        <v>1312.5</v>
      </c>
    </row>
    <row r="126" spans="1:10">
      <c r="A126" s="102"/>
      <c r="B126" s="102"/>
      <c r="C126" s="103">
        <v>10000</v>
      </c>
      <c r="D126" s="104" t="s">
        <v>2281</v>
      </c>
      <c r="E126" s="105">
        <v>1150</v>
      </c>
      <c r="F126" s="102">
        <v>10</v>
      </c>
      <c r="G126" s="208">
        <v>0.06</v>
      </c>
      <c r="H126" s="106" t="s">
        <v>1917</v>
      </c>
      <c r="I126" s="103">
        <f t="shared" si="8"/>
        <v>1500</v>
      </c>
      <c r="J126" s="103">
        <f t="shared" si="6"/>
        <v>874.99999999999977</v>
      </c>
    </row>
    <row r="127" spans="1:10">
      <c r="A127" s="102"/>
      <c r="B127" s="102"/>
      <c r="C127" s="103">
        <v>10000</v>
      </c>
      <c r="D127" s="104" t="s">
        <v>2247</v>
      </c>
      <c r="E127" s="105">
        <v>375</v>
      </c>
      <c r="F127" s="102">
        <v>8</v>
      </c>
      <c r="G127" s="208">
        <f t="shared" ref="G127:G133" si="10">E127/(C127*H127/30)</f>
        <v>7.4999999999999997E-2</v>
      </c>
      <c r="H127" s="102">
        <v>15</v>
      </c>
      <c r="I127" s="103">
        <f t="shared" si="8"/>
        <v>3000</v>
      </c>
      <c r="J127" s="103">
        <f t="shared" si="6"/>
        <v>1999.9999999999998</v>
      </c>
    </row>
    <row r="128" spans="1:10">
      <c r="A128" s="102"/>
      <c r="B128" s="102"/>
      <c r="C128" s="103">
        <v>10000</v>
      </c>
      <c r="D128" s="104" t="s">
        <v>2284</v>
      </c>
      <c r="E128" s="105">
        <v>375</v>
      </c>
      <c r="F128" s="102">
        <v>8</v>
      </c>
      <c r="G128" s="208">
        <f t="shared" si="10"/>
        <v>7.4999999999999997E-2</v>
      </c>
      <c r="H128" s="102">
        <v>15</v>
      </c>
      <c r="I128" s="103">
        <f t="shared" si="8"/>
        <v>3000</v>
      </c>
      <c r="J128" s="103">
        <f t="shared" si="6"/>
        <v>1999.9999999999998</v>
      </c>
    </row>
    <row r="129" spans="1:10">
      <c r="A129" s="102"/>
      <c r="B129" s="102"/>
      <c r="C129" s="103">
        <v>15000</v>
      </c>
      <c r="D129" s="104" t="s">
        <v>2285</v>
      </c>
      <c r="E129" s="105">
        <v>565</v>
      </c>
      <c r="F129" s="102">
        <v>6</v>
      </c>
      <c r="G129" s="208">
        <f t="shared" si="10"/>
        <v>7.5333333333333335E-2</v>
      </c>
      <c r="H129" s="102">
        <v>15</v>
      </c>
      <c r="I129" s="103">
        <f t="shared" si="8"/>
        <v>3390</v>
      </c>
      <c r="J129" s="103">
        <f t="shared" si="6"/>
        <v>2265</v>
      </c>
    </row>
    <row r="130" spans="1:10">
      <c r="A130" s="102">
        <v>16</v>
      </c>
      <c r="B130" s="102" t="s">
        <v>2290</v>
      </c>
      <c r="C130" s="103">
        <v>20000</v>
      </c>
      <c r="D130" s="104" t="s">
        <v>2278</v>
      </c>
      <c r="E130" s="105">
        <v>750</v>
      </c>
      <c r="F130" s="102">
        <v>3</v>
      </c>
      <c r="G130" s="208">
        <f t="shared" si="10"/>
        <v>7.4999999999999997E-2</v>
      </c>
      <c r="H130" s="102">
        <v>15</v>
      </c>
      <c r="I130" s="103">
        <f t="shared" si="8"/>
        <v>2250</v>
      </c>
      <c r="J130" s="103">
        <f t="shared" si="6"/>
        <v>1499.9999999999998</v>
      </c>
    </row>
    <row r="131" spans="1:10">
      <c r="A131" s="102">
        <v>17</v>
      </c>
      <c r="B131" s="102" t="s">
        <v>2291</v>
      </c>
      <c r="C131" s="103">
        <v>20000</v>
      </c>
      <c r="D131" s="104" t="s">
        <v>2292</v>
      </c>
      <c r="E131" s="105">
        <v>750</v>
      </c>
      <c r="F131" s="102">
        <v>43</v>
      </c>
      <c r="G131" s="208">
        <f t="shared" si="10"/>
        <v>7.4999999999999997E-2</v>
      </c>
      <c r="H131" s="102">
        <v>15</v>
      </c>
      <c r="I131" s="103">
        <f t="shared" si="8"/>
        <v>32250</v>
      </c>
      <c r="J131" s="103">
        <f t="shared" ref="J131:J194" si="11">IF(H131="分期",C131*(G131-0.025)*2.5*F131/10,C131*(G131-0.025)*H131*F131/30)</f>
        <v>21499.999999999996</v>
      </c>
    </row>
    <row r="132" spans="1:10">
      <c r="A132" s="102"/>
      <c r="B132" s="102"/>
      <c r="C132" s="103">
        <v>10000</v>
      </c>
      <c r="D132" s="104" t="s">
        <v>2278</v>
      </c>
      <c r="E132" s="105">
        <v>375</v>
      </c>
      <c r="F132" s="102">
        <v>46</v>
      </c>
      <c r="G132" s="208">
        <f t="shared" si="10"/>
        <v>7.4999999999999997E-2</v>
      </c>
      <c r="H132" s="102">
        <v>15</v>
      </c>
      <c r="I132" s="103">
        <f t="shared" si="8"/>
        <v>17250</v>
      </c>
      <c r="J132" s="103">
        <f t="shared" si="11"/>
        <v>11499.999999999998</v>
      </c>
    </row>
    <row r="133" spans="1:10">
      <c r="A133" s="102"/>
      <c r="B133" s="102"/>
      <c r="C133" s="103">
        <v>40000</v>
      </c>
      <c r="D133" s="104" t="s">
        <v>2267</v>
      </c>
      <c r="E133" s="105">
        <v>1500</v>
      </c>
      <c r="F133" s="102">
        <v>37</v>
      </c>
      <c r="G133" s="208">
        <f t="shared" si="10"/>
        <v>7.4999999999999997E-2</v>
      </c>
      <c r="H133" s="102">
        <v>15</v>
      </c>
      <c r="I133" s="103">
        <f t="shared" si="8"/>
        <v>55500</v>
      </c>
      <c r="J133" s="103">
        <f t="shared" si="11"/>
        <v>36999.999999999993</v>
      </c>
    </row>
    <row r="134" spans="1:10">
      <c r="A134" s="102"/>
      <c r="B134" s="102"/>
      <c r="C134" s="103">
        <v>10000</v>
      </c>
      <c r="D134" s="104" t="s">
        <v>2297</v>
      </c>
      <c r="E134" s="105">
        <v>1150</v>
      </c>
      <c r="F134" s="102">
        <v>10</v>
      </c>
      <c r="G134" s="208">
        <v>0.06</v>
      </c>
      <c r="H134" s="102" t="s">
        <v>664</v>
      </c>
      <c r="I134" s="103">
        <f t="shared" si="8"/>
        <v>1500</v>
      </c>
      <c r="J134" s="103">
        <f t="shared" si="11"/>
        <v>874.99999999999977</v>
      </c>
    </row>
    <row r="135" spans="1:10">
      <c r="A135" s="102"/>
      <c r="B135" s="102"/>
      <c r="C135" s="103">
        <v>10000</v>
      </c>
      <c r="D135" s="104" t="s">
        <v>195</v>
      </c>
      <c r="E135" s="105">
        <v>1150</v>
      </c>
      <c r="F135" s="102">
        <v>10</v>
      </c>
      <c r="G135" s="208">
        <v>0.06</v>
      </c>
      <c r="H135" s="102" t="s">
        <v>664</v>
      </c>
      <c r="I135" s="103">
        <f t="shared" si="8"/>
        <v>1500</v>
      </c>
      <c r="J135" s="103">
        <f t="shared" si="11"/>
        <v>874.99999999999977</v>
      </c>
    </row>
    <row r="136" spans="1:10">
      <c r="A136" s="102"/>
      <c r="B136" s="102"/>
      <c r="C136" s="103">
        <v>20000</v>
      </c>
      <c r="D136" s="104" t="s">
        <v>2293</v>
      </c>
      <c r="E136" s="105">
        <v>2300</v>
      </c>
      <c r="F136" s="102">
        <v>10</v>
      </c>
      <c r="G136" s="208">
        <v>0.06</v>
      </c>
      <c r="H136" s="102" t="s">
        <v>664</v>
      </c>
      <c r="I136" s="103">
        <f t="shared" si="8"/>
        <v>3000</v>
      </c>
      <c r="J136" s="103">
        <f t="shared" si="11"/>
        <v>1749.9999999999995</v>
      </c>
    </row>
    <row r="137" spans="1:10">
      <c r="A137" s="102"/>
      <c r="B137" s="102"/>
      <c r="C137" s="103">
        <v>10000</v>
      </c>
      <c r="D137" s="104" t="s">
        <v>2296</v>
      </c>
      <c r="E137" s="105">
        <v>1150</v>
      </c>
      <c r="F137" s="102">
        <v>10</v>
      </c>
      <c r="G137" s="208">
        <v>0.06</v>
      </c>
      <c r="H137" s="102" t="s">
        <v>664</v>
      </c>
      <c r="I137" s="103">
        <f t="shared" si="8"/>
        <v>1500</v>
      </c>
      <c r="J137" s="103">
        <f t="shared" si="11"/>
        <v>874.99999999999977</v>
      </c>
    </row>
    <row r="138" spans="1:10">
      <c r="A138" s="102"/>
      <c r="B138" s="102"/>
      <c r="C138" s="103">
        <v>5000</v>
      </c>
      <c r="D138" s="104" t="s">
        <v>2298</v>
      </c>
      <c r="E138" s="105">
        <v>190</v>
      </c>
      <c r="F138" s="102">
        <v>20</v>
      </c>
      <c r="G138" s="208">
        <f>E138/(C138*H138/30)</f>
        <v>7.5999999999999998E-2</v>
      </c>
      <c r="H138" s="102">
        <v>15</v>
      </c>
      <c r="I138" s="103">
        <f t="shared" si="8"/>
        <v>3800</v>
      </c>
      <c r="J138" s="103">
        <f t="shared" si="11"/>
        <v>2549.9999999999995</v>
      </c>
    </row>
    <row r="139" spans="1:10">
      <c r="A139" s="102"/>
      <c r="B139" s="102"/>
      <c r="C139" s="103">
        <v>10000</v>
      </c>
      <c r="D139" s="104" t="s">
        <v>2255</v>
      </c>
      <c r="E139" s="105">
        <v>375</v>
      </c>
      <c r="F139" s="102">
        <v>7</v>
      </c>
      <c r="G139" s="208">
        <f>E139/(C139*H139/30)</f>
        <v>7.4999999999999997E-2</v>
      </c>
      <c r="H139" s="102">
        <v>15</v>
      </c>
      <c r="I139" s="103">
        <f t="shared" si="8"/>
        <v>2625</v>
      </c>
      <c r="J139" s="103">
        <f t="shared" si="11"/>
        <v>1749.9999999999998</v>
      </c>
    </row>
    <row r="140" spans="1:10">
      <c r="A140" s="102">
        <v>18</v>
      </c>
      <c r="B140" s="102" t="s">
        <v>2299</v>
      </c>
      <c r="C140" s="103">
        <v>30000</v>
      </c>
      <c r="D140" s="104" t="s">
        <v>2278</v>
      </c>
      <c r="E140" s="105">
        <v>1125</v>
      </c>
      <c r="F140" s="102">
        <v>11</v>
      </c>
      <c r="G140" s="208">
        <f>E140/(C140*H140/30)</f>
        <v>7.4999999999999997E-2</v>
      </c>
      <c r="H140" s="102">
        <v>15</v>
      </c>
      <c r="I140" s="103">
        <f t="shared" si="8"/>
        <v>12375</v>
      </c>
      <c r="J140" s="103">
        <f t="shared" si="11"/>
        <v>8249.9999999999982</v>
      </c>
    </row>
    <row r="141" spans="1:10">
      <c r="A141" s="102"/>
      <c r="B141" s="102"/>
      <c r="C141" s="103">
        <v>20000</v>
      </c>
      <c r="D141" s="104" t="s">
        <v>2260</v>
      </c>
      <c r="E141" s="105">
        <v>750</v>
      </c>
      <c r="F141" s="102">
        <v>8</v>
      </c>
      <c r="G141" s="208">
        <f>E141/(C141*H141/30)</f>
        <v>7.4999999999999997E-2</v>
      </c>
      <c r="H141" s="102">
        <v>15</v>
      </c>
      <c r="I141" s="103">
        <f t="shared" si="8"/>
        <v>6000</v>
      </c>
      <c r="J141" s="103">
        <f t="shared" si="11"/>
        <v>3999.9999999999995</v>
      </c>
    </row>
    <row r="142" spans="1:10">
      <c r="A142" s="102"/>
      <c r="B142" s="102"/>
      <c r="C142" s="103">
        <v>10000</v>
      </c>
      <c r="D142" s="104" t="s">
        <v>196</v>
      </c>
      <c r="E142" s="105">
        <v>375</v>
      </c>
      <c r="F142" s="102">
        <v>10</v>
      </c>
      <c r="G142" s="208">
        <f>E142/(C142*H142/30)</f>
        <v>7.4999999999999997E-2</v>
      </c>
      <c r="H142" s="102">
        <v>15</v>
      </c>
      <c r="I142" s="103">
        <f t="shared" si="8"/>
        <v>3750</v>
      </c>
      <c r="J142" s="103">
        <f t="shared" si="11"/>
        <v>2499.9999999999995</v>
      </c>
    </row>
    <row r="143" spans="1:10">
      <c r="A143" s="102"/>
      <c r="B143" s="102"/>
      <c r="C143" s="103">
        <v>20000</v>
      </c>
      <c r="D143" s="124" t="s">
        <v>1634</v>
      </c>
      <c r="E143" s="105">
        <v>2300</v>
      </c>
      <c r="F143" s="102">
        <v>10</v>
      </c>
      <c r="G143" s="208">
        <v>0.06</v>
      </c>
      <c r="H143" s="102" t="s">
        <v>1917</v>
      </c>
      <c r="I143" s="103">
        <f t="shared" si="8"/>
        <v>3000</v>
      </c>
      <c r="J143" s="103">
        <f t="shared" si="11"/>
        <v>1749.9999999999995</v>
      </c>
    </row>
    <row r="144" spans="1:10">
      <c r="A144" s="102">
        <v>19</v>
      </c>
      <c r="B144" s="102" t="s">
        <v>2300</v>
      </c>
      <c r="C144" s="103">
        <v>30000</v>
      </c>
      <c r="D144" s="104" t="s">
        <v>2278</v>
      </c>
      <c r="E144" s="105">
        <v>1125</v>
      </c>
      <c r="F144" s="102">
        <v>18</v>
      </c>
      <c r="G144" s="208">
        <f t="shared" ref="G144:G153" si="12">E144/(C144*H144/30)</f>
        <v>7.4999999999999997E-2</v>
      </c>
      <c r="H144" s="102">
        <v>15</v>
      </c>
      <c r="I144" s="103">
        <f t="shared" si="8"/>
        <v>20250</v>
      </c>
      <c r="J144" s="103">
        <f t="shared" si="11"/>
        <v>13499.999999999998</v>
      </c>
    </row>
    <row r="145" spans="1:10">
      <c r="A145" s="102"/>
      <c r="B145" s="102"/>
      <c r="C145" s="103">
        <v>20000</v>
      </c>
      <c r="D145" s="104" t="s">
        <v>2301</v>
      </c>
      <c r="E145" s="105">
        <v>750</v>
      </c>
      <c r="F145" s="102">
        <v>18</v>
      </c>
      <c r="G145" s="208">
        <f t="shared" si="12"/>
        <v>7.4999999999999997E-2</v>
      </c>
      <c r="H145" s="102">
        <v>15</v>
      </c>
      <c r="I145" s="103">
        <f t="shared" si="8"/>
        <v>13500</v>
      </c>
      <c r="J145" s="103">
        <f t="shared" si="11"/>
        <v>8999.9999999999982</v>
      </c>
    </row>
    <row r="146" spans="1:10">
      <c r="A146" s="102"/>
      <c r="B146" s="102"/>
      <c r="C146" s="103">
        <v>10000</v>
      </c>
      <c r="D146" s="104" t="s">
        <v>653</v>
      </c>
      <c r="E146" s="105">
        <v>375</v>
      </c>
      <c r="F146" s="102">
        <v>3</v>
      </c>
      <c r="G146" s="208">
        <f t="shared" si="12"/>
        <v>7.4999999999999997E-2</v>
      </c>
      <c r="H146" s="102">
        <v>15</v>
      </c>
      <c r="I146" s="103">
        <f t="shared" si="8"/>
        <v>1125</v>
      </c>
      <c r="J146" s="103">
        <f t="shared" si="11"/>
        <v>749.99999999999989</v>
      </c>
    </row>
    <row r="147" spans="1:10">
      <c r="A147" s="102"/>
      <c r="B147" s="102"/>
      <c r="C147" s="103">
        <v>5000</v>
      </c>
      <c r="D147" s="104" t="s">
        <v>2665</v>
      </c>
      <c r="E147" s="105">
        <v>190</v>
      </c>
      <c r="F147" s="102">
        <v>16</v>
      </c>
      <c r="G147" s="208">
        <f t="shared" si="12"/>
        <v>7.5999999999999998E-2</v>
      </c>
      <c r="H147" s="102">
        <v>15</v>
      </c>
      <c r="I147" s="103">
        <f t="shared" si="8"/>
        <v>3040</v>
      </c>
      <c r="J147" s="103">
        <f t="shared" si="11"/>
        <v>2039.9999999999998</v>
      </c>
    </row>
    <row r="148" spans="1:10">
      <c r="A148" s="102"/>
      <c r="B148" s="102"/>
      <c r="C148" s="103">
        <v>50000</v>
      </c>
      <c r="D148" s="104" t="s">
        <v>2305</v>
      </c>
      <c r="E148" s="105">
        <v>1875</v>
      </c>
      <c r="F148" s="102">
        <v>2</v>
      </c>
      <c r="G148" s="208">
        <f t="shared" si="12"/>
        <v>7.4999999999999997E-2</v>
      </c>
      <c r="H148" s="102">
        <v>15</v>
      </c>
      <c r="I148" s="103">
        <f t="shared" si="8"/>
        <v>3750</v>
      </c>
      <c r="J148" s="103">
        <f t="shared" si="11"/>
        <v>2500</v>
      </c>
    </row>
    <row r="149" spans="1:10">
      <c r="A149" s="102"/>
      <c r="B149" s="102"/>
      <c r="C149" s="103">
        <v>30000</v>
      </c>
      <c r="D149" s="104" t="s">
        <v>2250</v>
      </c>
      <c r="E149" s="105">
        <v>1125</v>
      </c>
      <c r="F149" s="102">
        <v>17</v>
      </c>
      <c r="G149" s="208">
        <f t="shared" si="12"/>
        <v>7.4999999999999997E-2</v>
      </c>
      <c r="H149" s="102">
        <v>15</v>
      </c>
      <c r="I149" s="103">
        <f t="shared" si="8"/>
        <v>19125</v>
      </c>
      <c r="J149" s="103">
        <f t="shared" si="11"/>
        <v>12749.999999999998</v>
      </c>
    </row>
    <row r="150" spans="1:10">
      <c r="A150" s="102"/>
      <c r="B150" s="102"/>
      <c r="C150" s="103">
        <v>20000</v>
      </c>
      <c r="D150" s="104" t="s">
        <v>677</v>
      </c>
      <c r="E150" s="105">
        <v>750</v>
      </c>
      <c r="F150" s="102">
        <v>16</v>
      </c>
      <c r="G150" s="208">
        <f t="shared" si="12"/>
        <v>7.4999999999999997E-2</v>
      </c>
      <c r="H150" s="102">
        <v>15</v>
      </c>
      <c r="I150" s="103">
        <f t="shared" ref="I150:I213" si="13">IF(H150="分期",C150*G150*2.5*F150/10,C150*G150*H150*F150/30)</f>
        <v>12000</v>
      </c>
      <c r="J150" s="103">
        <f t="shared" si="11"/>
        <v>7999.9999999999991</v>
      </c>
    </row>
    <row r="151" spans="1:10">
      <c r="A151" s="102">
        <v>20</v>
      </c>
      <c r="B151" s="102" t="s">
        <v>2306</v>
      </c>
      <c r="C151" s="103">
        <v>30000</v>
      </c>
      <c r="D151" s="104" t="s">
        <v>2278</v>
      </c>
      <c r="E151" s="105">
        <v>1125</v>
      </c>
      <c r="F151" s="102">
        <v>19</v>
      </c>
      <c r="G151" s="208">
        <f t="shared" si="12"/>
        <v>7.4999999999999997E-2</v>
      </c>
      <c r="H151" s="102">
        <v>15</v>
      </c>
      <c r="I151" s="103">
        <f t="shared" si="13"/>
        <v>21375</v>
      </c>
      <c r="J151" s="103">
        <f t="shared" si="11"/>
        <v>14249.999999999998</v>
      </c>
    </row>
    <row r="152" spans="1:10">
      <c r="A152" s="102"/>
      <c r="B152" s="102"/>
      <c r="C152" s="103">
        <v>30000</v>
      </c>
      <c r="D152" s="104" t="s">
        <v>2241</v>
      </c>
      <c r="E152" s="105">
        <v>1125</v>
      </c>
      <c r="F152" s="102">
        <v>19</v>
      </c>
      <c r="G152" s="208">
        <f t="shared" si="12"/>
        <v>7.4999999999999997E-2</v>
      </c>
      <c r="H152" s="102">
        <v>15</v>
      </c>
      <c r="I152" s="103">
        <f t="shared" si="13"/>
        <v>21375</v>
      </c>
      <c r="J152" s="103">
        <f t="shared" si="11"/>
        <v>14249.999999999998</v>
      </c>
    </row>
    <row r="153" spans="1:10">
      <c r="A153" s="102"/>
      <c r="B153" s="102"/>
      <c r="C153" s="103">
        <v>60000</v>
      </c>
      <c r="D153" s="104" t="s">
        <v>2294</v>
      </c>
      <c r="E153" s="105">
        <v>2250</v>
      </c>
      <c r="F153" s="102">
        <v>4</v>
      </c>
      <c r="G153" s="208">
        <f t="shared" si="12"/>
        <v>7.4999999999999997E-2</v>
      </c>
      <c r="H153" s="102">
        <v>15</v>
      </c>
      <c r="I153" s="103">
        <f t="shared" si="13"/>
        <v>9000</v>
      </c>
      <c r="J153" s="103">
        <f t="shared" si="11"/>
        <v>5999.9999999999991</v>
      </c>
    </row>
    <row r="154" spans="1:10">
      <c r="A154" s="102"/>
      <c r="B154" s="102"/>
      <c r="C154" s="103">
        <v>20000</v>
      </c>
      <c r="D154" s="104" t="s">
        <v>2308</v>
      </c>
      <c r="E154" s="105">
        <v>2300</v>
      </c>
      <c r="F154" s="102">
        <v>10</v>
      </c>
      <c r="G154" s="208">
        <v>0.06</v>
      </c>
      <c r="H154" s="102" t="s">
        <v>664</v>
      </c>
      <c r="I154" s="103">
        <f t="shared" si="13"/>
        <v>3000</v>
      </c>
      <c r="J154" s="103">
        <f t="shared" si="11"/>
        <v>1749.9999999999995</v>
      </c>
    </row>
    <row r="155" spans="1:10">
      <c r="A155" s="102"/>
      <c r="B155" s="102"/>
      <c r="C155" s="103">
        <v>20000</v>
      </c>
      <c r="D155" s="104" t="s">
        <v>2289</v>
      </c>
      <c r="E155" s="105">
        <v>2300</v>
      </c>
      <c r="F155" s="102">
        <v>10</v>
      </c>
      <c r="G155" s="208">
        <v>0.06</v>
      </c>
      <c r="H155" s="102" t="s">
        <v>664</v>
      </c>
      <c r="I155" s="103">
        <f t="shared" si="13"/>
        <v>3000</v>
      </c>
      <c r="J155" s="103">
        <f t="shared" si="11"/>
        <v>1749.9999999999995</v>
      </c>
    </row>
    <row r="156" spans="1:10">
      <c r="A156" s="102"/>
      <c r="B156" s="102"/>
      <c r="C156" s="103">
        <v>20000</v>
      </c>
      <c r="D156" s="104" t="s">
        <v>2283</v>
      </c>
      <c r="E156" s="105">
        <v>2300</v>
      </c>
      <c r="F156" s="102">
        <v>10</v>
      </c>
      <c r="G156" s="208">
        <v>0.06</v>
      </c>
      <c r="H156" s="102" t="s">
        <v>664</v>
      </c>
      <c r="I156" s="103">
        <f t="shared" si="13"/>
        <v>3000</v>
      </c>
      <c r="J156" s="103">
        <f t="shared" si="11"/>
        <v>1749.9999999999995</v>
      </c>
    </row>
    <row r="157" spans="1:10">
      <c r="A157" s="102"/>
      <c r="B157" s="102"/>
      <c r="C157" s="103">
        <v>20000</v>
      </c>
      <c r="D157" s="104" t="s">
        <v>2313</v>
      </c>
      <c r="E157" s="105">
        <v>2300</v>
      </c>
      <c r="F157" s="102">
        <v>10</v>
      </c>
      <c r="G157" s="208">
        <v>0.06</v>
      </c>
      <c r="H157" s="102" t="s">
        <v>664</v>
      </c>
      <c r="I157" s="103">
        <f t="shared" si="13"/>
        <v>3000</v>
      </c>
      <c r="J157" s="103">
        <f t="shared" si="11"/>
        <v>1749.9999999999995</v>
      </c>
    </row>
    <row r="158" spans="1:10">
      <c r="A158" s="102"/>
      <c r="B158" s="102"/>
      <c r="C158" s="103">
        <v>20000</v>
      </c>
      <c r="D158" s="110" t="s">
        <v>2415</v>
      </c>
      <c r="E158" s="105">
        <v>750</v>
      </c>
      <c r="F158" s="102">
        <v>7</v>
      </c>
      <c r="G158" s="208">
        <f>E158/(C158*H158/30)</f>
        <v>7.4999999999999997E-2</v>
      </c>
      <c r="H158" s="102">
        <v>15</v>
      </c>
      <c r="I158" s="103">
        <f t="shared" si="13"/>
        <v>5250</v>
      </c>
      <c r="J158" s="103">
        <f t="shared" si="11"/>
        <v>3499.9999999999995</v>
      </c>
    </row>
    <row r="159" spans="1:10">
      <c r="A159" s="102"/>
      <c r="B159" s="102"/>
      <c r="C159" s="103">
        <v>20000</v>
      </c>
      <c r="D159" s="104" t="s">
        <v>2307</v>
      </c>
      <c r="E159" s="105">
        <v>2300</v>
      </c>
      <c r="F159" s="102">
        <v>10</v>
      </c>
      <c r="G159" s="208">
        <v>0.06</v>
      </c>
      <c r="H159" s="102" t="s">
        <v>664</v>
      </c>
      <c r="I159" s="103">
        <f t="shared" si="13"/>
        <v>3000</v>
      </c>
      <c r="J159" s="103">
        <f t="shared" si="11"/>
        <v>1749.9999999999995</v>
      </c>
    </row>
    <row r="160" spans="1:10">
      <c r="A160" s="102"/>
      <c r="B160" s="102"/>
      <c r="C160" s="103">
        <v>10000</v>
      </c>
      <c r="D160" s="104" t="s">
        <v>2236</v>
      </c>
      <c r="E160" s="105">
        <v>1150</v>
      </c>
      <c r="F160" s="102">
        <v>10</v>
      </c>
      <c r="G160" s="208">
        <v>0.06</v>
      </c>
      <c r="H160" s="102" t="s">
        <v>664</v>
      </c>
      <c r="I160" s="103">
        <f t="shared" si="13"/>
        <v>1500</v>
      </c>
      <c r="J160" s="103">
        <f t="shared" si="11"/>
        <v>874.99999999999977</v>
      </c>
    </row>
    <row r="161" spans="1:10">
      <c r="A161" s="102"/>
      <c r="B161" s="102"/>
      <c r="C161" s="103">
        <v>10000</v>
      </c>
      <c r="D161" s="104" t="s">
        <v>2309</v>
      </c>
      <c r="E161" s="105">
        <v>1150</v>
      </c>
      <c r="F161" s="102">
        <v>10</v>
      </c>
      <c r="G161" s="208">
        <v>0.06</v>
      </c>
      <c r="H161" s="102" t="s">
        <v>664</v>
      </c>
      <c r="I161" s="103">
        <f t="shared" si="13"/>
        <v>1500</v>
      </c>
      <c r="J161" s="103">
        <f t="shared" si="11"/>
        <v>874.99999999999977</v>
      </c>
    </row>
    <row r="162" spans="1:10">
      <c r="A162" s="102"/>
      <c r="B162" s="102"/>
      <c r="C162" s="103">
        <v>25000</v>
      </c>
      <c r="D162" s="104" t="s">
        <v>2311</v>
      </c>
      <c r="E162" s="105">
        <v>940</v>
      </c>
      <c r="F162" s="102">
        <v>18</v>
      </c>
      <c r="G162" s="208">
        <f>E162/(C162*H162/30)</f>
        <v>7.5200000000000003E-2</v>
      </c>
      <c r="H162" s="102">
        <v>15</v>
      </c>
      <c r="I162" s="103">
        <f t="shared" si="13"/>
        <v>16920</v>
      </c>
      <c r="J162" s="103">
        <f t="shared" si="11"/>
        <v>11295</v>
      </c>
    </row>
    <row r="163" spans="1:10">
      <c r="A163" s="102"/>
      <c r="B163" s="102"/>
      <c r="C163" s="103">
        <v>10000</v>
      </c>
      <c r="D163" s="104" t="s">
        <v>2288</v>
      </c>
      <c r="E163" s="105">
        <v>1150</v>
      </c>
      <c r="F163" s="102">
        <v>10</v>
      </c>
      <c r="G163" s="208">
        <v>0.06</v>
      </c>
      <c r="H163" s="102" t="s">
        <v>664</v>
      </c>
      <c r="I163" s="103">
        <f t="shared" si="13"/>
        <v>1500</v>
      </c>
      <c r="J163" s="103">
        <f t="shared" si="11"/>
        <v>874.99999999999977</v>
      </c>
    </row>
    <row r="164" spans="1:10">
      <c r="A164" s="102"/>
      <c r="B164" s="102"/>
      <c r="C164" s="103">
        <v>10000</v>
      </c>
      <c r="D164" s="104" t="s">
        <v>2295</v>
      </c>
      <c r="E164" s="105">
        <v>1150</v>
      </c>
      <c r="F164" s="102">
        <v>10</v>
      </c>
      <c r="G164" s="208">
        <v>0.06</v>
      </c>
      <c r="H164" s="102" t="s">
        <v>664</v>
      </c>
      <c r="I164" s="103">
        <f t="shared" si="13"/>
        <v>1500</v>
      </c>
      <c r="J164" s="103">
        <f t="shared" si="11"/>
        <v>874.99999999999977</v>
      </c>
    </row>
    <row r="165" spans="1:10">
      <c r="A165" s="102"/>
      <c r="B165" s="102"/>
      <c r="C165" s="103">
        <v>10000</v>
      </c>
      <c r="D165" s="104" t="s">
        <v>2310</v>
      </c>
      <c r="E165" s="105">
        <v>375</v>
      </c>
      <c r="F165" s="102">
        <v>14</v>
      </c>
      <c r="G165" s="208">
        <f>E165/(C165*H165/30)</f>
        <v>7.4999999999999997E-2</v>
      </c>
      <c r="H165" s="102">
        <v>15</v>
      </c>
      <c r="I165" s="103">
        <f t="shared" si="13"/>
        <v>5250</v>
      </c>
      <c r="J165" s="103">
        <f t="shared" si="11"/>
        <v>3499.9999999999995</v>
      </c>
    </row>
    <row r="166" spans="1:10">
      <c r="A166" s="102"/>
      <c r="B166" s="102"/>
      <c r="C166" s="103">
        <v>10000</v>
      </c>
      <c r="D166" s="104" t="s">
        <v>2312</v>
      </c>
      <c r="E166" s="105">
        <v>1150</v>
      </c>
      <c r="F166" s="102">
        <v>10</v>
      </c>
      <c r="G166" s="208">
        <v>0.06</v>
      </c>
      <c r="H166" s="102" t="s">
        <v>664</v>
      </c>
      <c r="I166" s="103">
        <f t="shared" si="13"/>
        <v>1500</v>
      </c>
      <c r="J166" s="103">
        <f t="shared" si="11"/>
        <v>874.99999999999977</v>
      </c>
    </row>
    <row r="167" spans="1:10">
      <c r="A167" s="102"/>
      <c r="B167" s="102"/>
      <c r="C167" s="103">
        <v>10000</v>
      </c>
      <c r="D167" s="104" t="s">
        <v>2314</v>
      </c>
      <c r="E167" s="105">
        <v>1150</v>
      </c>
      <c r="F167" s="102">
        <v>10</v>
      </c>
      <c r="G167" s="208">
        <v>0.06</v>
      </c>
      <c r="H167" s="102" t="s">
        <v>664</v>
      </c>
      <c r="I167" s="103">
        <f t="shared" si="13"/>
        <v>1500</v>
      </c>
      <c r="J167" s="103">
        <f t="shared" si="11"/>
        <v>874.99999999999977</v>
      </c>
    </row>
    <row r="168" spans="1:10">
      <c r="A168" s="102"/>
      <c r="B168" s="102"/>
      <c r="C168" s="103">
        <v>10000</v>
      </c>
      <c r="D168" s="104" t="s">
        <v>2285</v>
      </c>
      <c r="E168" s="105">
        <v>1150</v>
      </c>
      <c r="F168" s="102">
        <v>10</v>
      </c>
      <c r="G168" s="208">
        <v>0.06</v>
      </c>
      <c r="H168" s="102" t="s">
        <v>664</v>
      </c>
      <c r="I168" s="103">
        <f t="shared" si="13"/>
        <v>1500</v>
      </c>
      <c r="J168" s="103">
        <f t="shared" si="11"/>
        <v>874.99999999999977</v>
      </c>
    </row>
    <row r="169" spans="1:10">
      <c r="A169" s="102"/>
      <c r="B169" s="102"/>
      <c r="C169" s="103">
        <v>10000</v>
      </c>
      <c r="D169" s="104" t="s">
        <v>2253</v>
      </c>
      <c r="E169" s="105">
        <v>1150</v>
      </c>
      <c r="F169" s="102">
        <v>10</v>
      </c>
      <c r="G169" s="208">
        <v>0.06</v>
      </c>
      <c r="H169" s="102" t="s">
        <v>664</v>
      </c>
      <c r="I169" s="103">
        <f t="shared" si="13"/>
        <v>1500</v>
      </c>
      <c r="J169" s="103">
        <f t="shared" si="11"/>
        <v>874.99999999999977</v>
      </c>
    </row>
    <row r="170" spans="1:10">
      <c r="A170" s="102">
        <v>22</v>
      </c>
      <c r="B170" s="102" t="s">
        <v>2315</v>
      </c>
      <c r="C170" s="103">
        <v>20000</v>
      </c>
      <c r="D170" s="104" t="s">
        <v>2263</v>
      </c>
      <c r="E170" s="105">
        <v>750</v>
      </c>
      <c r="F170" s="102">
        <v>41</v>
      </c>
      <c r="G170" s="208">
        <f>E170/(C170*H170/30)</f>
        <v>7.4999999999999997E-2</v>
      </c>
      <c r="H170" s="102">
        <v>15</v>
      </c>
      <c r="I170" s="103">
        <f t="shared" si="13"/>
        <v>30750</v>
      </c>
      <c r="J170" s="103">
        <f t="shared" si="11"/>
        <v>20499.999999999996</v>
      </c>
    </row>
    <row r="171" spans="1:10">
      <c r="A171" s="102"/>
      <c r="B171" s="102"/>
      <c r="C171" s="103">
        <v>10000</v>
      </c>
      <c r="D171" s="104" t="s">
        <v>686</v>
      </c>
      <c r="E171" s="105">
        <v>1150</v>
      </c>
      <c r="F171" s="102">
        <v>10</v>
      </c>
      <c r="G171" s="208">
        <v>0.06</v>
      </c>
      <c r="H171" s="102" t="s">
        <v>664</v>
      </c>
      <c r="I171" s="103">
        <f t="shared" si="13"/>
        <v>1500</v>
      </c>
      <c r="J171" s="103">
        <f t="shared" si="11"/>
        <v>874.99999999999977</v>
      </c>
    </row>
    <row r="172" spans="1:10">
      <c r="A172" s="102"/>
      <c r="B172" s="102"/>
      <c r="C172" s="103">
        <v>10000</v>
      </c>
      <c r="D172" s="104" t="s">
        <v>686</v>
      </c>
      <c r="E172" s="105">
        <v>375</v>
      </c>
      <c r="F172" s="102">
        <v>36</v>
      </c>
      <c r="G172" s="208">
        <f>E172/(C172*H172/30)</f>
        <v>7.4999999999999997E-2</v>
      </c>
      <c r="H172" s="102">
        <v>15</v>
      </c>
      <c r="I172" s="103">
        <f t="shared" si="13"/>
        <v>13500</v>
      </c>
      <c r="J172" s="103">
        <f t="shared" si="11"/>
        <v>8999.9999999999982</v>
      </c>
    </row>
    <row r="173" spans="1:10">
      <c r="A173" s="102"/>
      <c r="B173" s="102"/>
      <c r="C173" s="103">
        <v>20000</v>
      </c>
      <c r="D173" s="104" t="s">
        <v>2312</v>
      </c>
      <c r="E173" s="105">
        <v>750</v>
      </c>
      <c r="F173" s="102">
        <v>34</v>
      </c>
      <c r="G173" s="208">
        <f>E173/(C173*H173/30)</f>
        <v>7.4999999999999997E-2</v>
      </c>
      <c r="H173" s="102">
        <v>15</v>
      </c>
      <c r="I173" s="103">
        <f t="shared" si="13"/>
        <v>25500</v>
      </c>
      <c r="J173" s="103">
        <f t="shared" si="11"/>
        <v>16999.999999999996</v>
      </c>
    </row>
    <row r="174" spans="1:10">
      <c r="A174" s="102"/>
      <c r="B174" s="102"/>
      <c r="C174" s="103">
        <v>10000</v>
      </c>
      <c r="D174" s="110" t="s">
        <v>2416</v>
      </c>
      <c r="E174" s="105">
        <v>1150</v>
      </c>
      <c r="F174" s="102">
        <v>10</v>
      </c>
      <c r="G174" s="208">
        <v>0.06</v>
      </c>
      <c r="H174" s="102" t="s">
        <v>664</v>
      </c>
      <c r="I174" s="103">
        <f t="shared" si="13"/>
        <v>1500</v>
      </c>
      <c r="J174" s="103">
        <f t="shared" si="11"/>
        <v>874.99999999999977</v>
      </c>
    </row>
    <row r="175" spans="1:10">
      <c r="A175" s="102"/>
      <c r="B175" s="102"/>
      <c r="C175" s="103">
        <v>10000</v>
      </c>
      <c r="D175" s="104" t="s">
        <v>2317</v>
      </c>
      <c r="E175" s="105">
        <v>1150</v>
      </c>
      <c r="F175" s="102">
        <v>10</v>
      </c>
      <c r="G175" s="208">
        <v>0.06</v>
      </c>
      <c r="H175" s="102" t="s">
        <v>664</v>
      </c>
      <c r="I175" s="103">
        <f t="shared" si="13"/>
        <v>1500</v>
      </c>
      <c r="J175" s="103">
        <f t="shared" si="11"/>
        <v>874.99999999999977</v>
      </c>
    </row>
    <row r="176" spans="1:10">
      <c r="A176" s="102"/>
      <c r="B176" s="102"/>
      <c r="C176" s="103">
        <v>10000</v>
      </c>
      <c r="D176" s="104" t="s">
        <v>2316</v>
      </c>
      <c r="E176" s="105">
        <v>375</v>
      </c>
      <c r="F176" s="102">
        <v>33</v>
      </c>
      <c r="G176" s="208">
        <f>E176/(C176*H176/30)</f>
        <v>7.4999999999999997E-2</v>
      </c>
      <c r="H176" s="102">
        <v>15</v>
      </c>
      <c r="I176" s="103">
        <f t="shared" si="13"/>
        <v>12375</v>
      </c>
      <c r="J176" s="103">
        <f t="shared" si="11"/>
        <v>8249.9999999999982</v>
      </c>
    </row>
    <row r="177" spans="1:10">
      <c r="A177" s="102"/>
      <c r="B177" s="102"/>
      <c r="C177" s="103">
        <v>10000</v>
      </c>
      <c r="D177" s="104" t="s">
        <v>2314</v>
      </c>
      <c r="E177" s="105">
        <v>1150</v>
      </c>
      <c r="F177" s="102">
        <v>10</v>
      </c>
      <c r="G177" s="208">
        <v>0.06</v>
      </c>
      <c r="H177" s="102" t="s">
        <v>664</v>
      </c>
      <c r="I177" s="103">
        <f t="shared" si="13"/>
        <v>1500</v>
      </c>
      <c r="J177" s="103">
        <f t="shared" si="11"/>
        <v>874.99999999999977</v>
      </c>
    </row>
    <row r="178" spans="1:10">
      <c r="A178" s="102"/>
      <c r="B178" s="102"/>
      <c r="C178" s="103">
        <v>10000</v>
      </c>
      <c r="D178" s="110" t="s">
        <v>2417</v>
      </c>
      <c r="E178" s="105">
        <v>1150</v>
      </c>
      <c r="F178" s="102">
        <v>10</v>
      </c>
      <c r="G178" s="208">
        <v>0.06</v>
      </c>
      <c r="H178" s="102" t="s">
        <v>664</v>
      </c>
      <c r="I178" s="103">
        <f t="shared" si="13"/>
        <v>1500</v>
      </c>
      <c r="J178" s="103">
        <f t="shared" si="11"/>
        <v>874.99999999999977</v>
      </c>
    </row>
    <row r="179" spans="1:10">
      <c r="A179" s="102"/>
      <c r="B179" s="102"/>
      <c r="C179" s="103">
        <v>10000</v>
      </c>
      <c r="D179" s="104" t="s">
        <v>2301</v>
      </c>
      <c r="E179" s="105">
        <v>375</v>
      </c>
      <c r="F179" s="102">
        <v>25</v>
      </c>
      <c r="G179" s="208">
        <f>E179/(C179*H179/30)</f>
        <v>7.4999999999999997E-2</v>
      </c>
      <c r="H179" s="102">
        <v>15</v>
      </c>
      <c r="I179" s="103">
        <f t="shared" si="13"/>
        <v>9375</v>
      </c>
      <c r="J179" s="103">
        <f t="shared" si="11"/>
        <v>6249.9999999999991</v>
      </c>
    </row>
    <row r="180" spans="1:10">
      <c r="A180" s="102"/>
      <c r="B180" s="102"/>
      <c r="C180" s="103">
        <v>10000</v>
      </c>
      <c r="D180" s="104" t="s">
        <v>653</v>
      </c>
      <c r="E180" s="105">
        <v>1150</v>
      </c>
      <c r="F180" s="102">
        <v>10</v>
      </c>
      <c r="G180" s="208">
        <v>0.06</v>
      </c>
      <c r="H180" s="102" t="s">
        <v>664</v>
      </c>
      <c r="I180" s="103">
        <f t="shared" si="13"/>
        <v>1500</v>
      </c>
      <c r="J180" s="103">
        <f t="shared" si="11"/>
        <v>874.99999999999977</v>
      </c>
    </row>
    <row r="181" spans="1:10">
      <c r="A181" s="102"/>
      <c r="B181" s="102"/>
      <c r="C181" s="103">
        <v>10000</v>
      </c>
      <c r="D181" s="104" t="s">
        <v>2319</v>
      </c>
      <c r="E181" s="105">
        <v>1150</v>
      </c>
      <c r="F181" s="102">
        <v>10</v>
      </c>
      <c r="G181" s="208">
        <v>0.06</v>
      </c>
      <c r="H181" s="102" t="s">
        <v>664</v>
      </c>
      <c r="I181" s="103">
        <f t="shared" si="13"/>
        <v>1500</v>
      </c>
      <c r="J181" s="103">
        <f t="shared" si="11"/>
        <v>874.99999999999977</v>
      </c>
    </row>
    <row r="182" spans="1:10">
      <c r="A182" s="102"/>
      <c r="B182" s="102"/>
      <c r="C182" s="103">
        <v>10000</v>
      </c>
      <c r="D182" s="104" t="s">
        <v>2320</v>
      </c>
      <c r="E182" s="105">
        <v>1150</v>
      </c>
      <c r="F182" s="102">
        <v>10</v>
      </c>
      <c r="G182" s="208">
        <v>0.06</v>
      </c>
      <c r="H182" s="102" t="s">
        <v>664</v>
      </c>
      <c r="I182" s="103">
        <f t="shared" si="13"/>
        <v>1500</v>
      </c>
      <c r="J182" s="103">
        <f t="shared" si="11"/>
        <v>874.99999999999977</v>
      </c>
    </row>
    <row r="183" spans="1:10">
      <c r="A183" s="102"/>
      <c r="B183" s="102"/>
      <c r="C183" s="103">
        <v>30000</v>
      </c>
      <c r="D183" s="104" t="s">
        <v>2111</v>
      </c>
      <c r="E183" s="105">
        <v>1125</v>
      </c>
      <c r="F183" s="102">
        <v>1</v>
      </c>
      <c r="G183" s="208">
        <f>E183/(C183*H183/30)</f>
        <v>7.4999999999999997E-2</v>
      </c>
      <c r="H183" s="102">
        <v>15</v>
      </c>
      <c r="I183" s="103">
        <f t="shared" si="13"/>
        <v>1125</v>
      </c>
      <c r="J183" s="103">
        <f t="shared" si="11"/>
        <v>749.99999999999989</v>
      </c>
    </row>
    <row r="184" spans="1:10">
      <c r="A184" s="102"/>
      <c r="B184" s="102"/>
      <c r="C184" s="103">
        <v>10000</v>
      </c>
      <c r="D184" s="104" t="s">
        <v>2112</v>
      </c>
      <c r="E184" s="105">
        <v>1150</v>
      </c>
      <c r="F184" s="102">
        <v>10</v>
      </c>
      <c r="G184" s="208">
        <v>0.06</v>
      </c>
      <c r="H184" s="102" t="s">
        <v>664</v>
      </c>
      <c r="I184" s="103">
        <f t="shared" si="13"/>
        <v>1500</v>
      </c>
      <c r="J184" s="103">
        <f t="shared" si="11"/>
        <v>874.99999999999977</v>
      </c>
    </row>
    <row r="185" spans="1:10">
      <c r="A185" s="102"/>
      <c r="B185" s="102"/>
      <c r="C185" s="103">
        <v>10000</v>
      </c>
      <c r="D185" s="104" t="s">
        <v>659</v>
      </c>
      <c r="E185" s="105">
        <v>1150</v>
      </c>
      <c r="F185" s="102">
        <v>10</v>
      </c>
      <c r="G185" s="208">
        <v>0.06</v>
      </c>
      <c r="H185" s="102" t="s">
        <v>664</v>
      </c>
      <c r="I185" s="103">
        <f t="shared" si="13"/>
        <v>1500</v>
      </c>
      <c r="J185" s="103">
        <f t="shared" si="11"/>
        <v>874.99999999999977</v>
      </c>
    </row>
    <row r="186" spans="1:10">
      <c r="A186" s="102"/>
      <c r="B186" s="102"/>
      <c r="C186" s="103">
        <v>10000</v>
      </c>
      <c r="D186" s="104" t="s">
        <v>2302</v>
      </c>
      <c r="E186" s="105">
        <v>1150</v>
      </c>
      <c r="F186" s="102">
        <v>10</v>
      </c>
      <c r="G186" s="208">
        <v>0.06</v>
      </c>
      <c r="H186" s="102" t="s">
        <v>664</v>
      </c>
      <c r="I186" s="103">
        <f t="shared" si="13"/>
        <v>1500</v>
      </c>
      <c r="J186" s="103">
        <f t="shared" si="11"/>
        <v>874.99999999999977</v>
      </c>
    </row>
    <row r="187" spans="1:10">
      <c r="A187" s="102"/>
      <c r="B187" s="102"/>
      <c r="C187" s="103">
        <v>10000</v>
      </c>
      <c r="D187" s="104" t="s">
        <v>656</v>
      </c>
      <c r="E187" s="105">
        <v>1150</v>
      </c>
      <c r="F187" s="102">
        <v>10</v>
      </c>
      <c r="G187" s="208">
        <v>0.06</v>
      </c>
      <c r="H187" s="102" t="s">
        <v>664</v>
      </c>
      <c r="I187" s="103">
        <f t="shared" si="13"/>
        <v>1500</v>
      </c>
      <c r="J187" s="103">
        <f t="shared" si="11"/>
        <v>874.99999999999977</v>
      </c>
    </row>
    <row r="188" spans="1:10">
      <c r="A188" s="102"/>
      <c r="B188" s="102"/>
      <c r="C188" s="103">
        <v>10000</v>
      </c>
      <c r="D188" s="104" t="s">
        <v>2113</v>
      </c>
      <c r="E188" s="105">
        <v>375</v>
      </c>
      <c r="F188" s="102">
        <v>12</v>
      </c>
      <c r="G188" s="208">
        <f>E188/(C188*H188/30)</f>
        <v>7.4999999999999997E-2</v>
      </c>
      <c r="H188" s="102">
        <v>15</v>
      </c>
      <c r="I188" s="103">
        <f t="shared" si="13"/>
        <v>4500</v>
      </c>
      <c r="J188" s="103">
        <f t="shared" si="11"/>
        <v>2999.9999999999995</v>
      </c>
    </row>
    <row r="189" spans="1:10">
      <c r="A189" s="102"/>
      <c r="B189" s="102"/>
      <c r="C189" s="103">
        <v>10000</v>
      </c>
      <c r="D189" s="104" t="s">
        <v>2304</v>
      </c>
      <c r="E189" s="105">
        <v>375</v>
      </c>
      <c r="F189" s="102">
        <v>11</v>
      </c>
      <c r="G189" s="208">
        <f>E189/(C189*H189/30)</f>
        <v>7.4999999999999997E-2</v>
      </c>
      <c r="H189" s="102">
        <v>15</v>
      </c>
      <c r="I189" s="103">
        <f t="shared" si="13"/>
        <v>4125</v>
      </c>
      <c r="J189" s="103">
        <f t="shared" si="11"/>
        <v>2749.9999999999995</v>
      </c>
    </row>
    <row r="190" spans="1:10">
      <c r="A190" s="102"/>
      <c r="B190" s="102"/>
      <c r="C190" s="103">
        <v>10000</v>
      </c>
      <c r="D190" s="104" t="s">
        <v>2114</v>
      </c>
      <c r="E190" s="105">
        <v>375</v>
      </c>
      <c r="F190" s="102">
        <v>7</v>
      </c>
      <c r="G190" s="208">
        <f>E190/(C190*H190/30)</f>
        <v>7.4999999999999997E-2</v>
      </c>
      <c r="H190" s="102">
        <v>15</v>
      </c>
      <c r="I190" s="103">
        <f t="shared" si="13"/>
        <v>2625</v>
      </c>
      <c r="J190" s="103">
        <f t="shared" si="11"/>
        <v>1749.9999999999998</v>
      </c>
    </row>
    <row r="191" spans="1:10">
      <c r="A191" s="102"/>
      <c r="B191" s="102"/>
      <c r="C191" s="103">
        <v>10000</v>
      </c>
      <c r="D191" s="110" t="s">
        <v>2418</v>
      </c>
      <c r="E191" s="105">
        <v>1150</v>
      </c>
      <c r="F191" s="102">
        <v>10</v>
      </c>
      <c r="G191" s="208">
        <v>0.06</v>
      </c>
      <c r="H191" s="102" t="s">
        <v>664</v>
      </c>
      <c r="I191" s="103">
        <f t="shared" si="13"/>
        <v>1500</v>
      </c>
      <c r="J191" s="103">
        <f t="shared" si="11"/>
        <v>874.99999999999977</v>
      </c>
    </row>
    <row r="192" spans="1:10">
      <c r="A192" s="102"/>
      <c r="B192" s="102"/>
      <c r="C192" s="103">
        <v>20000</v>
      </c>
      <c r="D192" s="104" t="s">
        <v>2270</v>
      </c>
      <c r="E192" s="105">
        <v>750</v>
      </c>
      <c r="F192" s="102">
        <v>5</v>
      </c>
      <c r="G192" s="208">
        <f>E192/(C192*H192/30)</f>
        <v>7.4999999999999997E-2</v>
      </c>
      <c r="H192" s="102">
        <v>15</v>
      </c>
      <c r="I192" s="103">
        <f t="shared" si="13"/>
        <v>3750</v>
      </c>
      <c r="J192" s="103">
        <f t="shared" si="11"/>
        <v>2499.9999999999995</v>
      </c>
    </row>
    <row r="193" spans="1:10">
      <c r="A193" s="102"/>
      <c r="B193" s="102"/>
      <c r="C193" s="103">
        <v>10000</v>
      </c>
      <c r="D193" s="110" t="s">
        <v>2419</v>
      </c>
      <c r="E193" s="105">
        <v>1150</v>
      </c>
      <c r="F193" s="102">
        <v>10</v>
      </c>
      <c r="G193" s="208">
        <v>0.06</v>
      </c>
      <c r="H193" s="102" t="s">
        <v>664</v>
      </c>
      <c r="I193" s="103">
        <f t="shared" si="13"/>
        <v>1500</v>
      </c>
      <c r="J193" s="103">
        <f t="shared" si="11"/>
        <v>874.99999999999977</v>
      </c>
    </row>
    <row r="194" spans="1:10">
      <c r="A194" s="102"/>
      <c r="B194" s="102"/>
      <c r="C194" s="103">
        <v>20000</v>
      </c>
      <c r="D194" s="104" t="s">
        <v>2110</v>
      </c>
      <c r="E194" s="105">
        <v>750</v>
      </c>
      <c r="F194" s="102">
        <v>3</v>
      </c>
      <c r="G194" s="208">
        <f>E194/(C194*H194/30)</f>
        <v>7.4999999999999997E-2</v>
      </c>
      <c r="H194" s="102">
        <v>15</v>
      </c>
      <c r="I194" s="103">
        <f t="shared" si="13"/>
        <v>2250</v>
      </c>
      <c r="J194" s="103">
        <f t="shared" si="11"/>
        <v>1499.9999999999998</v>
      </c>
    </row>
    <row r="195" spans="1:10">
      <c r="A195" s="102"/>
      <c r="B195" s="102"/>
      <c r="C195" s="103">
        <v>10000</v>
      </c>
      <c r="D195" s="104" t="s">
        <v>2116</v>
      </c>
      <c r="E195" s="105">
        <v>1150</v>
      </c>
      <c r="F195" s="102">
        <v>1</v>
      </c>
      <c r="G195" s="208">
        <v>0.06</v>
      </c>
      <c r="H195" s="102" t="s">
        <v>664</v>
      </c>
      <c r="I195" s="103">
        <f t="shared" si="13"/>
        <v>150</v>
      </c>
      <c r="J195" s="103">
        <f t="shared" ref="J195:J258" si="14">IF(H195="分期",C195*(G195-0.025)*2.5*F195/10,C195*(G195-0.025)*H195*F195/30)</f>
        <v>87.499999999999986</v>
      </c>
    </row>
    <row r="196" spans="1:10">
      <c r="A196" s="102">
        <v>23</v>
      </c>
      <c r="B196" s="102" t="s">
        <v>2117</v>
      </c>
      <c r="C196" s="103">
        <v>60000</v>
      </c>
      <c r="D196" s="104" t="s">
        <v>2116</v>
      </c>
      <c r="E196" s="105">
        <v>2250</v>
      </c>
      <c r="F196" s="102">
        <v>34</v>
      </c>
      <c r="G196" s="208">
        <f t="shared" ref="G196:G210" si="15">E196/(C196*H196/30)</f>
        <v>7.4999999999999997E-2</v>
      </c>
      <c r="H196" s="102">
        <v>15</v>
      </c>
      <c r="I196" s="103">
        <f t="shared" si="13"/>
        <v>76500</v>
      </c>
      <c r="J196" s="103">
        <f t="shared" si="14"/>
        <v>50999.999999999993</v>
      </c>
    </row>
    <row r="197" spans="1:10">
      <c r="A197" s="102"/>
      <c r="B197" s="102"/>
      <c r="C197" s="103">
        <v>40000</v>
      </c>
      <c r="D197" s="104" t="s">
        <v>2119</v>
      </c>
      <c r="E197" s="105">
        <v>1500</v>
      </c>
      <c r="F197" s="102">
        <v>32</v>
      </c>
      <c r="G197" s="208">
        <f t="shared" si="15"/>
        <v>7.4999999999999997E-2</v>
      </c>
      <c r="H197" s="102">
        <v>15</v>
      </c>
      <c r="I197" s="103">
        <f t="shared" si="13"/>
        <v>48000</v>
      </c>
      <c r="J197" s="103">
        <f t="shared" si="14"/>
        <v>31999.999999999996</v>
      </c>
    </row>
    <row r="198" spans="1:10">
      <c r="A198" s="102"/>
      <c r="B198" s="102"/>
      <c r="C198" s="103">
        <v>50000</v>
      </c>
      <c r="D198" s="104" t="s">
        <v>2120</v>
      </c>
      <c r="E198" s="105">
        <v>1875</v>
      </c>
      <c r="F198" s="102">
        <v>6</v>
      </c>
      <c r="G198" s="208">
        <f t="shared" si="15"/>
        <v>7.4999999999999997E-2</v>
      </c>
      <c r="H198" s="102">
        <v>15</v>
      </c>
      <c r="I198" s="103">
        <f t="shared" si="13"/>
        <v>11250</v>
      </c>
      <c r="J198" s="103">
        <f t="shared" si="14"/>
        <v>7500</v>
      </c>
    </row>
    <row r="199" spans="1:10">
      <c r="A199" s="102"/>
      <c r="B199" s="102"/>
      <c r="C199" s="103">
        <v>50000</v>
      </c>
      <c r="D199" s="104" t="s">
        <v>2121</v>
      </c>
      <c r="E199" s="105">
        <v>1875</v>
      </c>
      <c r="F199" s="102">
        <v>23</v>
      </c>
      <c r="G199" s="208">
        <f t="shared" si="15"/>
        <v>7.4999999999999997E-2</v>
      </c>
      <c r="H199" s="102">
        <v>15</v>
      </c>
      <c r="I199" s="103">
        <f t="shared" si="13"/>
        <v>43125</v>
      </c>
      <c r="J199" s="103">
        <f t="shared" si="14"/>
        <v>28750</v>
      </c>
    </row>
    <row r="200" spans="1:10">
      <c r="A200" s="102">
        <v>24</v>
      </c>
      <c r="B200" s="102" t="s">
        <v>2122</v>
      </c>
      <c r="C200" s="103">
        <v>30000</v>
      </c>
      <c r="D200" s="104" t="s">
        <v>2116</v>
      </c>
      <c r="E200" s="105">
        <v>2250</v>
      </c>
      <c r="F200" s="102">
        <v>4</v>
      </c>
      <c r="G200" s="208">
        <f t="shared" si="15"/>
        <v>7.4999999999999997E-2</v>
      </c>
      <c r="H200" s="102">
        <v>30</v>
      </c>
      <c r="I200" s="103">
        <f t="shared" si="13"/>
        <v>9000</v>
      </c>
      <c r="J200" s="103">
        <f t="shared" si="14"/>
        <v>5999.9999999999991</v>
      </c>
    </row>
    <row r="201" spans="1:10">
      <c r="A201" s="102"/>
      <c r="B201" s="102"/>
      <c r="C201" s="103">
        <v>30000</v>
      </c>
      <c r="D201" s="104" t="s">
        <v>2123</v>
      </c>
      <c r="E201" s="105">
        <v>2250</v>
      </c>
      <c r="F201" s="102">
        <v>8</v>
      </c>
      <c r="G201" s="208">
        <f t="shared" si="15"/>
        <v>7.4999999999999997E-2</v>
      </c>
      <c r="H201" s="102">
        <v>30</v>
      </c>
      <c r="I201" s="103">
        <f t="shared" si="13"/>
        <v>18000</v>
      </c>
      <c r="J201" s="103">
        <f t="shared" si="14"/>
        <v>11999.999999999998</v>
      </c>
    </row>
    <row r="202" spans="1:10">
      <c r="A202" s="102"/>
      <c r="B202" s="102"/>
      <c r="C202" s="103">
        <v>30000</v>
      </c>
      <c r="D202" s="104" t="s">
        <v>2310</v>
      </c>
      <c r="E202" s="105">
        <v>2250</v>
      </c>
      <c r="F202" s="102">
        <v>6</v>
      </c>
      <c r="G202" s="208">
        <f t="shared" si="15"/>
        <v>7.4999999999999997E-2</v>
      </c>
      <c r="H202" s="102">
        <v>30</v>
      </c>
      <c r="I202" s="103">
        <f t="shared" si="13"/>
        <v>13500</v>
      </c>
      <c r="J202" s="103">
        <f t="shared" si="14"/>
        <v>8999.9999999999982</v>
      </c>
    </row>
    <row r="203" spans="1:10">
      <c r="A203" s="102"/>
      <c r="B203" s="102"/>
      <c r="C203" s="103">
        <v>20000</v>
      </c>
      <c r="D203" s="104" t="s">
        <v>2118</v>
      </c>
      <c r="E203" s="105">
        <v>1500</v>
      </c>
      <c r="F203" s="102">
        <v>13</v>
      </c>
      <c r="G203" s="208">
        <f t="shared" si="15"/>
        <v>7.4999999999999997E-2</v>
      </c>
      <c r="H203" s="102">
        <v>30</v>
      </c>
      <c r="I203" s="103">
        <f t="shared" si="13"/>
        <v>19500</v>
      </c>
      <c r="J203" s="103">
        <f t="shared" si="14"/>
        <v>12999.999999999998</v>
      </c>
    </row>
    <row r="204" spans="1:10">
      <c r="A204" s="102"/>
      <c r="B204" s="102"/>
      <c r="C204" s="103">
        <v>30000</v>
      </c>
      <c r="D204" s="104" t="s">
        <v>2124</v>
      </c>
      <c r="E204" s="105">
        <v>1125</v>
      </c>
      <c r="F204" s="102">
        <v>1</v>
      </c>
      <c r="G204" s="208">
        <f t="shared" si="15"/>
        <v>7.4999999999999997E-2</v>
      </c>
      <c r="H204" s="102">
        <v>15</v>
      </c>
      <c r="I204" s="103">
        <f t="shared" si="13"/>
        <v>1125</v>
      </c>
      <c r="J204" s="103">
        <f t="shared" si="14"/>
        <v>749.99999999999989</v>
      </c>
    </row>
    <row r="205" spans="1:10">
      <c r="A205" s="102"/>
      <c r="B205" s="102"/>
      <c r="C205" s="103">
        <v>30000</v>
      </c>
      <c r="D205" s="104" t="s">
        <v>2124</v>
      </c>
      <c r="E205" s="105">
        <v>2250</v>
      </c>
      <c r="F205" s="102">
        <v>10</v>
      </c>
      <c r="G205" s="208">
        <f t="shared" si="15"/>
        <v>7.4999999999999997E-2</v>
      </c>
      <c r="H205" s="102">
        <v>30</v>
      </c>
      <c r="I205" s="103">
        <f t="shared" si="13"/>
        <v>22500</v>
      </c>
      <c r="J205" s="103">
        <f t="shared" si="14"/>
        <v>14999.999999999998</v>
      </c>
    </row>
    <row r="206" spans="1:10">
      <c r="A206" s="102"/>
      <c r="B206" s="102"/>
      <c r="C206" s="103">
        <v>30000</v>
      </c>
      <c r="D206" s="104" t="s">
        <v>2116</v>
      </c>
      <c r="E206" s="105">
        <v>2250</v>
      </c>
      <c r="F206" s="102">
        <v>4</v>
      </c>
      <c r="G206" s="208">
        <f t="shared" si="15"/>
        <v>7.4999999999999997E-2</v>
      </c>
      <c r="H206" s="102">
        <v>30</v>
      </c>
      <c r="I206" s="103">
        <f t="shared" si="13"/>
        <v>9000</v>
      </c>
      <c r="J206" s="103">
        <f t="shared" si="14"/>
        <v>5999.9999999999991</v>
      </c>
    </row>
    <row r="207" spans="1:10">
      <c r="A207" s="102">
        <v>26</v>
      </c>
      <c r="B207" s="102" t="s">
        <v>2125</v>
      </c>
      <c r="C207" s="103">
        <v>10000</v>
      </c>
      <c r="D207" s="104" t="s">
        <v>2235</v>
      </c>
      <c r="E207" s="105">
        <v>375</v>
      </c>
      <c r="F207" s="102">
        <v>11</v>
      </c>
      <c r="G207" s="208">
        <f t="shared" si="15"/>
        <v>7.4999999999999997E-2</v>
      </c>
      <c r="H207" s="102">
        <v>15</v>
      </c>
      <c r="I207" s="103">
        <f t="shared" si="13"/>
        <v>4125</v>
      </c>
      <c r="J207" s="103">
        <f t="shared" si="14"/>
        <v>2749.9999999999995</v>
      </c>
    </row>
    <row r="208" spans="1:10">
      <c r="A208" s="102"/>
      <c r="B208" s="102"/>
      <c r="C208" s="103">
        <v>50000</v>
      </c>
      <c r="D208" s="104" t="s">
        <v>2264</v>
      </c>
      <c r="E208" s="105">
        <v>1875</v>
      </c>
      <c r="F208" s="102">
        <v>3</v>
      </c>
      <c r="G208" s="208">
        <f t="shared" si="15"/>
        <v>7.4999999999999997E-2</v>
      </c>
      <c r="H208" s="102">
        <v>15</v>
      </c>
      <c r="I208" s="103">
        <f t="shared" si="13"/>
        <v>5625</v>
      </c>
      <c r="J208" s="103">
        <f t="shared" si="14"/>
        <v>3750</v>
      </c>
    </row>
    <row r="209" spans="1:10">
      <c r="A209" s="102"/>
      <c r="B209" s="102"/>
      <c r="C209" s="103">
        <v>10000</v>
      </c>
      <c r="D209" s="104" t="s">
        <v>2304</v>
      </c>
      <c r="E209" s="105">
        <v>375</v>
      </c>
      <c r="F209" s="102">
        <v>8</v>
      </c>
      <c r="G209" s="208">
        <f t="shared" si="15"/>
        <v>7.4999999999999997E-2</v>
      </c>
      <c r="H209" s="102">
        <v>15</v>
      </c>
      <c r="I209" s="103">
        <f t="shared" si="13"/>
        <v>3000</v>
      </c>
      <c r="J209" s="103">
        <f t="shared" si="14"/>
        <v>1999.9999999999998</v>
      </c>
    </row>
    <row r="210" spans="1:10">
      <c r="A210" s="102"/>
      <c r="B210" s="102"/>
      <c r="C210" s="103">
        <v>30000</v>
      </c>
      <c r="D210" s="104" t="s">
        <v>2126</v>
      </c>
      <c r="E210" s="105">
        <v>1125</v>
      </c>
      <c r="F210" s="102">
        <v>8</v>
      </c>
      <c r="G210" s="208">
        <f t="shared" si="15"/>
        <v>7.4999999999999997E-2</v>
      </c>
      <c r="H210" s="102">
        <v>15</v>
      </c>
      <c r="I210" s="103">
        <f t="shared" si="13"/>
        <v>9000</v>
      </c>
      <c r="J210" s="103">
        <f t="shared" si="14"/>
        <v>5999.9999999999991</v>
      </c>
    </row>
    <row r="211" spans="1:10">
      <c r="A211" s="102"/>
      <c r="B211" s="102"/>
      <c r="C211" s="103">
        <v>50000</v>
      </c>
      <c r="D211" s="104" t="s">
        <v>2127</v>
      </c>
      <c r="E211" s="105">
        <v>5750</v>
      </c>
      <c r="F211" s="102">
        <v>10</v>
      </c>
      <c r="G211" s="208">
        <v>0.06</v>
      </c>
      <c r="H211" s="102" t="s">
        <v>664</v>
      </c>
      <c r="I211" s="103">
        <f t="shared" si="13"/>
        <v>7500</v>
      </c>
      <c r="J211" s="103">
        <f t="shared" si="14"/>
        <v>4374.9999999999991</v>
      </c>
    </row>
    <row r="212" spans="1:10">
      <c r="A212" s="102"/>
      <c r="B212" s="102"/>
      <c r="C212" s="103">
        <v>30000</v>
      </c>
      <c r="D212" s="104" t="s">
        <v>2129</v>
      </c>
      <c r="E212" s="105">
        <v>1125</v>
      </c>
      <c r="F212" s="102">
        <v>7</v>
      </c>
      <c r="G212" s="208">
        <f>E212/(C212*H212/30)</f>
        <v>7.4999999999999997E-2</v>
      </c>
      <c r="H212" s="102">
        <v>15</v>
      </c>
      <c r="I212" s="103">
        <f t="shared" si="13"/>
        <v>7875</v>
      </c>
      <c r="J212" s="103">
        <f t="shared" si="14"/>
        <v>5249.9999999999991</v>
      </c>
    </row>
    <row r="213" spans="1:10">
      <c r="A213" s="102"/>
      <c r="B213" s="102"/>
      <c r="C213" s="103">
        <v>20000</v>
      </c>
      <c r="D213" s="104" t="s">
        <v>2131</v>
      </c>
      <c r="E213" s="105">
        <v>2300</v>
      </c>
      <c r="F213" s="102">
        <v>10</v>
      </c>
      <c r="G213" s="208">
        <v>0.06</v>
      </c>
      <c r="H213" s="102" t="s">
        <v>664</v>
      </c>
      <c r="I213" s="103">
        <f t="shared" si="13"/>
        <v>3000</v>
      </c>
      <c r="J213" s="103">
        <f t="shared" si="14"/>
        <v>1749.9999999999995</v>
      </c>
    </row>
    <row r="214" spans="1:10">
      <c r="A214" s="102"/>
      <c r="B214" s="102"/>
      <c r="C214" s="103">
        <v>75000</v>
      </c>
      <c r="D214" s="104" t="s">
        <v>671</v>
      </c>
      <c r="E214" s="105">
        <v>2815</v>
      </c>
      <c r="F214" s="102">
        <v>4</v>
      </c>
      <c r="G214" s="208">
        <f t="shared" ref="G214:G219" si="16">E214/(C214*H214/30)</f>
        <v>7.506666666666667E-2</v>
      </c>
      <c r="H214" s="102">
        <v>15</v>
      </c>
      <c r="I214" s="103">
        <f t="shared" ref="I214:I277" si="17">IF(H214="分期",C214*G214*2.5*F214/10,C214*G214*H214*F214/30)</f>
        <v>11260</v>
      </c>
      <c r="J214" s="103">
        <f t="shared" si="14"/>
        <v>7510</v>
      </c>
    </row>
    <row r="215" spans="1:10">
      <c r="A215" s="102"/>
      <c r="B215" s="102"/>
      <c r="C215" s="103">
        <v>50000</v>
      </c>
      <c r="D215" s="104" t="s">
        <v>2128</v>
      </c>
      <c r="E215" s="105">
        <v>1875</v>
      </c>
      <c r="F215" s="102">
        <v>4</v>
      </c>
      <c r="G215" s="208">
        <f t="shared" si="16"/>
        <v>7.4999999999999997E-2</v>
      </c>
      <c r="H215" s="102">
        <v>15</v>
      </c>
      <c r="I215" s="103">
        <f t="shared" si="17"/>
        <v>7500</v>
      </c>
      <c r="J215" s="103">
        <f t="shared" si="14"/>
        <v>5000</v>
      </c>
    </row>
    <row r="216" spans="1:10">
      <c r="A216" s="102"/>
      <c r="B216" s="102"/>
      <c r="C216" s="103">
        <v>30000</v>
      </c>
      <c r="D216" s="110" t="s">
        <v>2420</v>
      </c>
      <c r="E216" s="105">
        <v>1125</v>
      </c>
      <c r="F216" s="102">
        <v>3</v>
      </c>
      <c r="G216" s="208">
        <f t="shared" si="16"/>
        <v>7.4999999999999997E-2</v>
      </c>
      <c r="H216" s="102">
        <v>15</v>
      </c>
      <c r="I216" s="103">
        <f t="shared" si="17"/>
        <v>3375</v>
      </c>
      <c r="J216" s="103">
        <f t="shared" si="14"/>
        <v>2249.9999999999995</v>
      </c>
    </row>
    <row r="217" spans="1:10">
      <c r="A217" s="102"/>
      <c r="B217" s="102"/>
      <c r="C217" s="103">
        <v>60000</v>
      </c>
      <c r="D217" s="104" t="s">
        <v>666</v>
      </c>
      <c r="E217" s="105">
        <v>2250</v>
      </c>
      <c r="F217" s="102">
        <v>6</v>
      </c>
      <c r="G217" s="208">
        <f t="shared" si="16"/>
        <v>7.4999999999999997E-2</v>
      </c>
      <c r="H217" s="102">
        <v>15</v>
      </c>
      <c r="I217" s="103">
        <f t="shared" si="17"/>
        <v>13500</v>
      </c>
      <c r="J217" s="103">
        <f t="shared" si="14"/>
        <v>8999.9999999999982</v>
      </c>
    </row>
    <row r="218" spans="1:10">
      <c r="A218" s="102"/>
      <c r="B218" s="102"/>
      <c r="C218" s="103">
        <v>45000</v>
      </c>
      <c r="D218" s="104" t="s">
        <v>2130</v>
      </c>
      <c r="E218" s="105">
        <v>1690</v>
      </c>
      <c r="F218" s="102">
        <v>3</v>
      </c>
      <c r="G218" s="208">
        <f t="shared" si="16"/>
        <v>7.5111111111111115E-2</v>
      </c>
      <c r="H218" s="102">
        <v>15</v>
      </c>
      <c r="I218" s="103">
        <f t="shared" si="17"/>
        <v>5070</v>
      </c>
      <c r="J218" s="103">
        <f t="shared" si="14"/>
        <v>3382.5</v>
      </c>
    </row>
    <row r="219" spans="1:10">
      <c r="A219" s="102"/>
      <c r="B219" s="102"/>
      <c r="C219" s="103">
        <v>40000</v>
      </c>
      <c r="D219" s="104" t="s">
        <v>2231</v>
      </c>
      <c r="E219" s="105">
        <v>1500</v>
      </c>
      <c r="F219" s="102">
        <v>3</v>
      </c>
      <c r="G219" s="208">
        <f t="shared" si="16"/>
        <v>7.4999999999999997E-2</v>
      </c>
      <c r="H219" s="102">
        <v>15</v>
      </c>
      <c r="I219" s="103">
        <f t="shared" si="17"/>
        <v>4500</v>
      </c>
      <c r="J219" s="103">
        <f t="shared" si="14"/>
        <v>2999.9999999999995</v>
      </c>
    </row>
    <row r="220" spans="1:10">
      <c r="A220" s="102"/>
      <c r="B220" s="102"/>
      <c r="C220" s="103">
        <v>20000</v>
      </c>
      <c r="D220" s="104" t="s">
        <v>2266</v>
      </c>
      <c r="E220" s="105">
        <v>2300</v>
      </c>
      <c r="F220" s="102">
        <v>2</v>
      </c>
      <c r="G220" s="208">
        <v>0.06</v>
      </c>
      <c r="H220" s="102" t="s">
        <v>664</v>
      </c>
      <c r="I220" s="103">
        <f t="shared" si="17"/>
        <v>600</v>
      </c>
      <c r="J220" s="103">
        <f t="shared" si="14"/>
        <v>349.99999999999994</v>
      </c>
    </row>
    <row r="221" spans="1:10">
      <c r="A221" s="102"/>
      <c r="B221" s="102"/>
      <c r="C221" s="103">
        <v>20000</v>
      </c>
      <c r="D221" s="110" t="s">
        <v>2421</v>
      </c>
      <c r="E221" s="105">
        <v>750</v>
      </c>
      <c r="F221" s="102">
        <v>2</v>
      </c>
      <c r="G221" s="208">
        <f t="shared" ref="G221:G228" si="18">E221/(C221*H221/30)</f>
        <v>7.4999999999999997E-2</v>
      </c>
      <c r="H221" s="102">
        <v>15</v>
      </c>
      <c r="I221" s="103">
        <f t="shared" si="17"/>
        <v>1500</v>
      </c>
      <c r="J221" s="103">
        <f t="shared" si="14"/>
        <v>999.99999999999989</v>
      </c>
    </row>
    <row r="222" spans="1:10">
      <c r="A222" s="102">
        <v>27</v>
      </c>
      <c r="B222" s="102" t="s">
        <v>2132</v>
      </c>
      <c r="C222" s="103">
        <v>20000</v>
      </c>
      <c r="D222" s="104" t="s">
        <v>2133</v>
      </c>
      <c r="E222" s="105">
        <v>750</v>
      </c>
      <c r="F222" s="102">
        <v>7</v>
      </c>
      <c r="G222" s="208">
        <f t="shared" si="18"/>
        <v>7.4999999999999997E-2</v>
      </c>
      <c r="H222" s="102">
        <v>15</v>
      </c>
      <c r="I222" s="103">
        <f t="shared" si="17"/>
        <v>5250</v>
      </c>
      <c r="J222" s="103">
        <f t="shared" si="14"/>
        <v>3499.9999999999995</v>
      </c>
    </row>
    <row r="223" spans="1:10">
      <c r="A223" s="102"/>
      <c r="B223" s="102"/>
      <c r="C223" s="103">
        <v>10000</v>
      </c>
      <c r="D223" s="104" t="s">
        <v>2134</v>
      </c>
      <c r="E223" s="105">
        <v>375</v>
      </c>
      <c r="F223" s="102">
        <v>7</v>
      </c>
      <c r="G223" s="208">
        <f t="shared" si="18"/>
        <v>7.4999999999999997E-2</v>
      </c>
      <c r="H223" s="102">
        <v>15</v>
      </c>
      <c r="I223" s="103">
        <f t="shared" si="17"/>
        <v>2625</v>
      </c>
      <c r="J223" s="103">
        <f t="shared" si="14"/>
        <v>1749.9999999999998</v>
      </c>
    </row>
    <row r="224" spans="1:10">
      <c r="A224" s="102"/>
      <c r="B224" s="102"/>
      <c r="C224" s="103">
        <v>20000</v>
      </c>
      <c r="D224" s="110" t="s">
        <v>2422</v>
      </c>
      <c r="E224" s="105">
        <v>750</v>
      </c>
      <c r="F224" s="102">
        <v>6</v>
      </c>
      <c r="G224" s="208">
        <f t="shared" si="18"/>
        <v>7.4999999999999997E-2</v>
      </c>
      <c r="H224" s="102">
        <v>15</v>
      </c>
      <c r="I224" s="103">
        <f t="shared" si="17"/>
        <v>4500</v>
      </c>
      <c r="J224" s="103">
        <f t="shared" si="14"/>
        <v>2999.9999999999995</v>
      </c>
    </row>
    <row r="225" spans="1:10">
      <c r="A225" s="102"/>
      <c r="B225" s="102"/>
      <c r="C225" s="103">
        <v>30000</v>
      </c>
      <c r="D225" s="104" t="s">
        <v>2142</v>
      </c>
      <c r="E225" s="105">
        <v>1125</v>
      </c>
      <c r="F225" s="102">
        <v>17</v>
      </c>
      <c r="G225" s="208">
        <f t="shared" si="18"/>
        <v>7.4999999999999997E-2</v>
      </c>
      <c r="H225" s="102">
        <v>15</v>
      </c>
      <c r="I225" s="103">
        <f t="shared" si="17"/>
        <v>19125</v>
      </c>
      <c r="J225" s="103">
        <f t="shared" si="14"/>
        <v>12749.999999999998</v>
      </c>
    </row>
    <row r="226" spans="1:10">
      <c r="A226" s="102"/>
      <c r="B226" s="102"/>
      <c r="C226" s="103">
        <v>5000</v>
      </c>
      <c r="D226" s="104" t="s">
        <v>2262</v>
      </c>
      <c r="E226" s="105">
        <v>190</v>
      </c>
      <c r="F226" s="102">
        <v>5</v>
      </c>
      <c r="G226" s="208">
        <f t="shared" si="18"/>
        <v>7.5999999999999998E-2</v>
      </c>
      <c r="H226" s="102">
        <v>15</v>
      </c>
      <c r="I226" s="103">
        <f t="shared" si="17"/>
        <v>950</v>
      </c>
      <c r="J226" s="103">
        <f t="shared" si="14"/>
        <v>637.49999999999989</v>
      </c>
    </row>
    <row r="227" spans="1:10">
      <c r="A227" s="102"/>
      <c r="B227" s="102"/>
      <c r="C227" s="103">
        <v>10000</v>
      </c>
      <c r="D227" s="104" t="s">
        <v>2135</v>
      </c>
      <c r="E227" s="105">
        <v>375</v>
      </c>
      <c r="F227" s="102">
        <v>4</v>
      </c>
      <c r="G227" s="208">
        <f t="shared" si="18"/>
        <v>7.4999999999999997E-2</v>
      </c>
      <c r="H227" s="102">
        <v>15</v>
      </c>
      <c r="I227" s="103">
        <f t="shared" si="17"/>
        <v>1500</v>
      </c>
      <c r="J227" s="103">
        <f t="shared" si="14"/>
        <v>999.99999999999989</v>
      </c>
    </row>
    <row r="228" spans="1:10">
      <c r="A228" s="102"/>
      <c r="B228" s="102"/>
      <c r="C228" s="103">
        <v>80000</v>
      </c>
      <c r="D228" s="104" t="s">
        <v>2140</v>
      </c>
      <c r="E228" s="105">
        <v>3000</v>
      </c>
      <c r="F228" s="102">
        <v>2</v>
      </c>
      <c r="G228" s="208">
        <f t="shared" si="18"/>
        <v>7.4999999999999997E-2</v>
      </c>
      <c r="H228" s="102">
        <v>15</v>
      </c>
      <c r="I228" s="103">
        <f t="shared" si="17"/>
        <v>6000</v>
      </c>
      <c r="J228" s="103">
        <f t="shared" si="14"/>
        <v>3999.9999999999995</v>
      </c>
    </row>
    <row r="229" spans="1:10">
      <c r="A229" s="102"/>
      <c r="B229" s="102"/>
      <c r="C229" s="103">
        <v>50000</v>
      </c>
      <c r="D229" s="104" t="s">
        <v>2142</v>
      </c>
      <c r="E229" s="105">
        <v>5750</v>
      </c>
      <c r="F229" s="102">
        <v>10</v>
      </c>
      <c r="G229" s="208">
        <v>0.06</v>
      </c>
      <c r="H229" s="102" t="s">
        <v>664</v>
      </c>
      <c r="I229" s="103">
        <f t="shared" si="17"/>
        <v>7500</v>
      </c>
      <c r="J229" s="103">
        <f t="shared" si="14"/>
        <v>4374.9999999999991</v>
      </c>
    </row>
    <row r="230" spans="1:10">
      <c r="A230" s="102"/>
      <c r="B230" s="102"/>
      <c r="C230" s="103">
        <v>5000</v>
      </c>
      <c r="D230" s="110" t="s">
        <v>2423</v>
      </c>
      <c r="E230" s="105">
        <v>190</v>
      </c>
      <c r="F230" s="102">
        <v>26</v>
      </c>
      <c r="G230" s="208">
        <f>E230/(C230*H230/30)</f>
        <v>7.5999999999999998E-2</v>
      </c>
      <c r="H230" s="102">
        <v>15</v>
      </c>
      <c r="I230" s="103">
        <f t="shared" si="17"/>
        <v>4940</v>
      </c>
      <c r="J230" s="103">
        <f t="shared" si="14"/>
        <v>3314.9999999999995</v>
      </c>
    </row>
    <row r="231" spans="1:10">
      <c r="A231" s="102"/>
      <c r="B231" s="102"/>
      <c r="C231" s="103">
        <v>10000</v>
      </c>
      <c r="D231" s="104" t="s">
        <v>660</v>
      </c>
      <c r="E231" s="105">
        <v>375</v>
      </c>
      <c r="F231" s="102">
        <v>26</v>
      </c>
      <c r="G231" s="208">
        <f>E231/(C231*H231/30)</f>
        <v>7.4999999999999997E-2</v>
      </c>
      <c r="H231" s="102">
        <v>15</v>
      </c>
      <c r="I231" s="103">
        <f t="shared" si="17"/>
        <v>9750</v>
      </c>
      <c r="J231" s="103">
        <f t="shared" si="14"/>
        <v>6499.9999999999991</v>
      </c>
    </row>
    <row r="232" spans="1:10">
      <c r="A232" s="102"/>
      <c r="B232" s="102"/>
      <c r="C232" s="103">
        <v>5000</v>
      </c>
      <c r="D232" s="104" t="s">
        <v>2141</v>
      </c>
      <c r="E232" s="105">
        <v>190</v>
      </c>
      <c r="F232" s="102">
        <v>25</v>
      </c>
      <c r="G232" s="208">
        <f>E232/(C232*H232/30)</f>
        <v>7.5999999999999998E-2</v>
      </c>
      <c r="H232" s="102">
        <v>15</v>
      </c>
      <c r="I232" s="103">
        <f t="shared" si="17"/>
        <v>4750</v>
      </c>
      <c r="J232" s="103">
        <f t="shared" si="14"/>
        <v>3187.4999999999995</v>
      </c>
    </row>
    <row r="233" spans="1:10">
      <c r="A233" s="102"/>
      <c r="B233" s="102"/>
      <c r="C233" s="103">
        <v>20000</v>
      </c>
      <c r="D233" s="104" t="s">
        <v>2307</v>
      </c>
      <c r="E233" s="105">
        <v>750</v>
      </c>
      <c r="F233" s="102">
        <v>25</v>
      </c>
      <c r="G233" s="208">
        <f>E233/(C233*H233/30)</f>
        <v>7.4999999999999997E-2</v>
      </c>
      <c r="H233" s="102">
        <v>15</v>
      </c>
      <c r="I233" s="103">
        <f t="shared" si="17"/>
        <v>18750</v>
      </c>
      <c r="J233" s="103">
        <f t="shared" si="14"/>
        <v>12499.999999999998</v>
      </c>
    </row>
    <row r="234" spans="1:10">
      <c r="A234" s="102"/>
      <c r="B234" s="102"/>
      <c r="C234" s="103">
        <v>5000</v>
      </c>
      <c r="D234" s="104" t="s">
        <v>2136</v>
      </c>
      <c r="E234" s="105">
        <v>190</v>
      </c>
      <c r="F234" s="102">
        <v>15</v>
      </c>
      <c r="G234" s="208">
        <f>E234/(C234*H234/30)</f>
        <v>7.5999999999999998E-2</v>
      </c>
      <c r="H234" s="102">
        <v>15</v>
      </c>
      <c r="I234" s="103">
        <f t="shared" si="17"/>
        <v>2850</v>
      </c>
      <c r="J234" s="103">
        <f t="shared" si="14"/>
        <v>1912.4999999999998</v>
      </c>
    </row>
    <row r="235" spans="1:10">
      <c r="A235" s="102"/>
      <c r="B235" s="102"/>
      <c r="C235" s="103">
        <v>10000</v>
      </c>
      <c r="D235" s="104" t="s">
        <v>2136</v>
      </c>
      <c r="E235" s="105">
        <v>1150</v>
      </c>
      <c r="F235" s="102">
        <v>2</v>
      </c>
      <c r="G235" s="208">
        <v>0.06</v>
      </c>
      <c r="H235" s="102" t="s">
        <v>664</v>
      </c>
      <c r="I235" s="103">
        <f t="shared" si="17"/>
        <v>300</v>
      </c>
      <c r="J235" s="103">
        <f t="shared" si="14"/>
        <v>174.99999999999997</v>
      </c>
    </row>
    <row r="236" spans="1:10">
      <c r="A236" s="102"/>
      <c r="B236" s="102"/>
      <c r="C236" s="103">
        <v>10000</v>
      </c>
      <c r="D236" s="104" t="s">
        <v>2110</v>
      </c>
      <c r="E236" s="105">
        <v>375</v>
      </c>
      <c r="F236" s="102">
        <v>18</v>
      </c>
      <c r="G236" s="208">
        <f>E236/(C236*H236/30)</f>
        <v>7.4999999999999997E-2</v>
      </c>
      <c r="H236" s="102">
        <v>15</v>
      </c>
      <c r="I236" s="103">
        <f t="shared" si="17"/>
        <v>6750</v>
      </c>
      <c r="J236" s="103">
        <f t="shared" si="14"/>
        <v>4499.9999999999991</v>
      </c>
    </row>
    <row r="237" spans="1:10">
      <c r="A237" s="102"/>
      <c r="B237" s="102"/>
      <c r="C237" s="103">
        <v>10000</v>
      </c>
      <c r="D237" s="104" t="s">
        <v>2318</v>
      </c>
      <c r="E237" s="105">
        <v>375</v>
      </c>
      <c r="F237" s="102">
        <v>16</v>
      </c>
      <c r="G237" s="208">
        <f>E237/(C237*H237/30)</f>
        <v>7.4999999999999997E-2</v>
      </c>
      <c r="H237" s="102">
        <v>15</v>
      </c>
      <c r="I237" s="103">
        <f t="shared" si="17"/>
        <v>6000</v>
      </c>
      <c r="J237" s="103">
        <f t="shared" si="14"/>
        <v>3999.9999999999995</v>
      </c>
    </row>
    <row r="238" spans="1:10">
      <c r="A238" s="102"/>
      <c r="B238" s="102"/>
      <c r="C238" s="103">
        <v>20000</v>
      </c>
      <c r="D238" s="104" t="s">
        <v>2144</v>
      </c>
      <c r="E238" s="105">
        <v>750</v>
      </c>
      <c r="F238" s="102">
        <v>16</v>
      </c>
      <c r="G238" s="208">
        <f>E238/(C238*H238/30)</f>
        <v>7.4999999999999997E-2</v>
      </c>
      <c r="H238" s="102">
        <v>15</v>
      </c>
      <c r="I238" s="103">
        <f t="shared" si="17"/>
        <v>12000</v>
      </c>
      <c r="J238" s="103">
        <f t="shared" si="14"/>
        <v>7999.9999999999991</v>
      </c>
    </row>
    <row r="239" spans="1:10">
      <c r="A239" s="102"/>
      <c r="B239" s="102"/>
      <c r="C239" s="103">
        <v>3000</v>
      </c>
      <c r="D239" s="104" t="s">
        <v>2135</v>
      </c>
      <c r="E239" s="105">
        <v>3450</v>
      </c>
      <c r="F239" s="102">
        <v>10</v>
      </c>
      <c r="G239" s="208">
        <v>0.06</v>
      </c>
      <c r="H239" s="102" t="s">
        <v>664</v>
      </c>
      <c r="I239" s="103">
        <f t="shared" si="17"/>
        <v>450</v>
      </c>
      <c r="J239" s="103">
        <f t="shared" si="14"/>
        <v>262.49999999999994</v>
      </c>
    </row>
    <row r="240" spans="1:10">
      <c r="A240" s="102"/>
      <c r="B240" s="102"/>
      <c r="C240" s="103">
        <v>5000</v>
      </c>
      <c r="D240" s="104" t="s">
        <v>2143</v>
      </c>
      <c r="E240" s="105">
        <v>600</v>
      </c>
      <c r="F240" s="102">
        <v>10</v>
      </c>
      <c r="G240" s="208">
        <v>0.06</v>
      </c>
      <c r="H240" s="102" t="s">
        <v>664</v>
      </c>
      <c r="I240" s="103">
        <f t="shared" si="17"/>
        <v>750</v>
      </c>
      <c r="J240" s="103">
        <f t="shared" si="14"/>
        <v>437.49999999999989</v>
      </c>
    </row>
    <row r="241" spans="1:10">
      <c r="A241" s="102"/>
      <c r="B241" s="102"/>
      <c r="C241" s="103">
        <v>30000</v>
      </c>
      <c r="D241" s="104" t="s">
        <v>2138</v>
      </c>
      <c r="E241" s="105">
        <v>3450</v>
      </c>
      <c r="F241" s="102">
        <v>10</v>
      </c>
      <c r="G241" s="208">
        <v>0.06</v>
      </c>
      <c r="H241" s="102" t="s">
        <v>664</v>
      </c>
      <c r="I241" s="103">
        <f t="shared" si="17"/>
        <v>4500</v>
      </c>
      <c r="J241" s="103">
        <f t="shared" si="14"/>
        <v>2625</v>
      </c>
    </row>
    <row r="242" spans="1:10">
      <c r="A242" s="102"/>
      <c r="B242" s="102"/>
      <c r="C242" s="103">
        <v>5000</v>
      </c>
      <c r="D242" s="104" t="s">
        <v>2145</v>
      </c>
      <c r="E242" s="105">
        <v>190</v>
      </c>
      <c r="F242" s="102">
        <v>9</v>
      </c>
      <c r="G242" s="208">
        <f>E242/(C242*H242/30)</f>
        <v>7.5999999999999998E-2</v>
      </c>
      <c r="H242" s="102">
        <v>15</v>
      </c>
      <c r="I242" s="103">
        <f t="shared" si="17"/>
        <v>1710</v>
      </c>
      <c r="J242" s="103">
        <f t="shared" si="14"/>
        <v>1147.4999999999998</v>
      </c>
    </row>
    <row r="243" spans="1:10">
      <c r="A243" s="102"/>
      <c r="B243" s="102"/>
      <c r="C243" s="103">
        <v>15000</v>
      </c>
      <c r="D243" s="104" t="s">
        <v>2137</v>
      </c>
      <c r="E243" s="105">
        <v>565</v>
      </c>
      <c r="F243" s="102">
        <v>8</v>
      </c>
      <c r="G243" s="208">
        <f>E243/(C243*H243/30)</f>
        <v>7.5333333333333335E-2</v>
      </c>
      <c r="H243" s="102">
        <v>15</v>
      </c>
      <c r="I243" s="103">
        <f t="shared" si="17"/>
        <v>4520</v>
      </c>
      <c r="J243" s="103">
        <f t="shared" si="14"/>
        <v>3020</v>
      </c>
    </row>
    <row r="244" spans="1:10">
      <c r="A244" s="102"/>
      <c r="B244" s="102"/>
      <c r="C244" s="103">
        <v>20000</v>
      </c>
      <c r="D244" s="104" t="s">
        <v>2259</v>
      </c>
      <c r="E244" s="105">
        <v>2300</v>
      </c>
      <c r="F244" s="102">
        <v>10</v>
      </c>
      <c r="G244" s="208">
        <v>0.06</v>
      </c>
      <c r="H244" s="102" t="s">
        <v>664</v>
      </c>
      <c r="I244" s="103">
        <f t="shared" si="17"/>
        <v>3000</v>
      </c>
      <c r="J244" s="103">
        <f t="shared" si="14"/>
        <v>1749.9999999999995</v>
      </c>
    </row>
    <row r="245" spans="1:10">
      <c r="A245" s="102"/>
      <c r="B245" s="102"/>
      <c r="C245" s="103">
        <v>15000</v>
      </c>
      <c r="D245" s="104" t="s">
        <v>205</v>
      </c>
      <c r="E245" s="105">
        <v>1750</v>
      </c>
      <c r="F245" s="102">
        <v>6</v>
      </c>
      <c r="G245" s="208">
        <v>0.06</v>
      </c>
      <c r="H245" s="102" t="s">
        <v>664</v>
      </c>
      <c r="I245" s="103">
        <f t="shared" si="17"/>
        <v>1350</v>
      </c>
      <c r="J245" s="103">
        <f t="shared" si="14"/>
        <v>787.5</v>
      </c>
    </row>
    <row r="246" spans="1:10">
      <c r="A246" s="102"/>
      <c r="B246" s="102"/>
      <c r="C246" s="103">
        <v>15000</v>
      </c>
      <c r="D246" s="104" t="s">
        <v>2139</v>
      </c>
      <c r="E246" s="105">
        <v>1750</v>
      </c>
      <c r="F246" s="102">
        <v>2</v>
      </c>
      <c r="G246" s="208">
        <v>0.06</v>
      </c>
      <c r="H246" s="102" t="s">
        <v>664</v>
      </c>
      <c r="I246" s="103">
        <f t="shared" si="17"/>
        <v>450</v>
      </c>
      <c r="J246" s="103">
        <f t="shared" si="14"/>
        <v>262.5</v>
      </c>
    </row>
    <row r="247" spans="1:10">
      <c r="A247" s="102"/>
      <c r="B247" s="102"/>
      <c r="C247" s="103">
        <v>15000</v>
      </c>
      <c r="D247" s="104" t="s">
        <v>2113</v>
      </c>
      <c r="E247" s="105">
        <v>1750</v>
      </c>
      <c r="F247" s="102">
        <v>7</v>
      </c>
      <c r="G247" s="208">
        <v>0.06</v>
      </c>
      <c r="H247" s="102" t="s">
        <v>664</v>
      </c>
      <c r="I247" s="103">
        <f t="shared" si="17"/>
        <v>1575</v>
      </c>
      <c r="J247" s="103">
        <f t="shared" si="14"/>
        <v>918.75</v>
      </c>
    </row>
    <row r="248" spans="1:10">
      <c r="A248" s="102"/>
      <c r="B248" s="102"/>
      <c r="C248" s="103">
        <v>15000</v>
      </c>
      <c r="D248" s="110" t="s">
        <v>2424</v>
      </c>
      <c r="E248" s="105">
        <v>1750</v>
      </c>
      <c r="F248" s="102">
        <v>4</v>
      </c>
      <c r="G248" s="208">
        <v>0.06</v>
      </c>
      <c r="H248" s="102" t="s">
        <v>2184</v>
      </c>
      <c r="I248" s="103">
        <f t="shared" si="17"/>
        <v>900</v>
      </c>
      <c r="J248" s="103">
        <f t="shared" si="14"/>
        <v>525</v>
      </c>
    </row>
    <row r="249" spans="1:10">
      <c r="A249" s="102">
        <v>28</v>
      </c>
      <c r="B249" s="102" t="s">
        <v>2146</v>
      </c>
      <c r="C249" s="103">
        <v>200000</v>
      </c>
      <c r="D249" s="104" t="s">
        <v>203</v>
      </c>
      <c r="E249" s="105">
        <v>7500</v>
      </c>
      <c r="F249" s="102">
        <v>8</v>
      </c>
      <c r="G249" s="208">
        <f>E249/(C249*H249/30)</f>
        <v>7.4999999999999997E-2</v>
      </c>
      <c r="H249" s="102">
        <v>15</v>
      </c>
      <c r="I249" s="103">
        <f t="shared" si="17"/>
        <v>60000</v>
      </c>
      <c r="J249" s="103">
        <f t="shared" si="14"/>
        <v>40000</v>
      </c>
    </row>
    <row r="250" spans="1:10">
      <c r="A250" s="102">
        <v>29</v>
      </c>
      <c r="B250" s="102" t="s">
        <v>2147</v>
      </c>
      <c r="C250" s="103">
        <v>140000</v>
      </c>
      <c r="D250" s="104" t="s">
        <v>203</v>
      </c>
      <c r="E250" s="105">
        <v>5250</v>
      </c>
      <c r="F250" s="102">
        <v>10</v>
      </c>
      <c r="G250" s="208">
        <f>E250/(C250*H250/30)</f>
        <v>7.4999999999999997E-2</v>
      </c>
      <c r="H250" s="102">
        <v>15</v>
      </c>
      <c r="I250" s="103">
        <f t="shared" si="17"/>
        <v>52500</v>
      </c>
      <c r="J250" s="103">
        <f t="shared" si="14"/>
        <v>34999.999999999993</v>
      </c>
    </row>
    <row r="251" spans="1:10">
      <c r="A251" s="102"/>
      <c r="B251" s="102"/>
      <c r="C251" s="103">
        <v>20000</v>
      </c>
      <c r="D251" s="104" t="s">
        <v>2287</v>
      </c>
      <c r="E251" s="105">
        <v>750</v>
      </c>
      <c r="F251" s="102">
        <v>10</v>
      </c>
      <c r="G251" s="208">
        <f>E251/(C251*H251/30)</f>
        <v>7.4999999999999997E-2</v>
      </c>
      <c r="H251" s="102">
        <v>15</v>
      </c>
      <c r="I251" s="103">
        <f t="shared" si="17"/>
        <v>7500</v>
      </c>
      <c r="J251" s="103">
        <f t="shared" si="14"/>
        <v>4999.9999999999991</v>
      </c>
    </row>
    <row r="252" spans="1:10">
      <c r="A252" s="102"/>
      <c r="B252" s="102"/>
      <c r="C252" s="103">
        <v>40000</v>
      </c>
      <c r="D252" s="104" t="s">
        <v>2257</v>
      </c>
      <c r="E252" s="105">
        <v>4600</v>
      </c>
      <c r="F252" s="102">
        <v>3</v>
      </c>
      <c r="G252" s="208">
        <v>0.06</v>
      </c>
      <c r="H252" s="102" t="s">
        <v>664</v>
      </c>
      <c r="I252" s="103">
        <f t="shared" si="17"/>
        <v>1800</v>
      </c>
      <c r="J252" s="103">
        <f t="shared" si="14"/>
        <v>1049.9999999999998</v>
      </c>
    </row>
    <row r="253" spans="1:10">
      <c r="A253" s="102"/>
      <c r="B253" s="102"/>
      <c r="C253" s="103">
        <v>160000</v>
      </c>
      <c r="D253" s="104" t="s">
        <v>688</v>
      </c>
      <c r="E253" s="105">
        <v>6000</v>
      </c>
      <c r="F253" s="102">
        <v>3</v>
      </c>
      <c r="G253" s="208">
        <f>E253/(C253*H253/30)</f>
        <v>7.4999999999999997E-2</v>
      </c>
      <c r="H253" s="102">
        <v>15</v>
      </c>
      <c r="I253" s="103">
        <f t="shared" si="17"/>
        <v>18000</v>
      </c>
      <c r="J253" s="103">
        <f t="shared" si="14"/>
        <v>11999.999999999998</v>
      </c>
    </row>
    <row r="254" spans="1:10">
      <c r="A254" s="102"/>
      <c r="B254" s="102"/>
      <c r="C254" s="103">
        <v>130000</v>
      </c>
      <c r="D254" s="104" t="s">
        <v>688</v>
      </c>
      <c r="E254" s="105">
        <v>4875</v>
      </c>
      <c r="F254" s="102">
        <v>7</v>
      </c>
      <c r="G254" s="208">
        <f>E254/(C254*H254/30)</f>
        <v>7.4999999999999997E-2</v>
      </c>
      <c r="H254" s="102">
        <v>15</v>
      </c>
      <c r="I254" s="103">
        <f t="shared" si="17"/>
        <v>34125</v>
      </c>
      <c r="J254" s="103">
        <f t="shared" si="14"/>
        <v>22749.999999999996</v>
      </c>
    </row>
    <row r="255" spans="1:10">
      <c r="A255" s="102"/>
      <c r="B255" s="102"/>
      <c r="C255" s="103">
        <v>20000</v>
      </c>
      <c r="D255" s="104" t="s">
        <v>2148</v>
      </c>
      <c r="E255" s="105">
        <v>2300</v>
      </c>
      <c r="F255" s="102">
        <v>10</v>
      </c>
      <c r="G255" s="208">
        <v>0.06</v>
      </c>
      <c r="H255" s="102" t="s">
        <v>664</v>
      </c>
      <c r="I255" s="103">
        <f t="shared" si="17"/>
        <v>3000</v>
      </c>
      <c r="J255" s="103">
        <f t="shared" si="14"/>
        <v>1749.9999999999995</v>
      </c>
    </row>
    <row r="256" spans="1:10">
      <c r="A256" s="102"/>
      <c r="B256" s="102"/>
      <c r="C256" s="103">
        <v>20000</v>
      </c>
      <c r="D256" s="104" t="s">
        <v>2148</v>
      </c>
      <c r="E256" s="105">
        <v>750</v>
      </c>
      <c r="F256" s="102">
        <v>7</v>
      </c>
      <c r="G256" s="208">
        <f t="shared" ref="G256:G266" si="19">E256/(C256*H256/30)</f>
        <v>7.4999999999999997E-2</v>
      </c>
      <c r="H256" s="102">
        <v>15</v>
      </c>
      <c r="I256" s="103">
        <f t="shared" si="17"/>
        <v>5250</v>
      </c>
      <c r="J256" s="103">
        <f t="shared" si="14"/>
        <v>3499.9999999999995</v>
      </c>
    </row>
    <row r="257" spans="1:10">
      <c r="A257" s="102"/>
      <c r="B257" s="102"/>
      <c r="C257" s="103">
        <v>30000</v>
      </c>
      <c r="D257" s="104" t="s">
        <v>2151</v>
      </c>
      <c r="E257" s="105">
        <v>1125</v>
      </c>
      <c r="F257" s="102">
        <v>5</v>
      </c>
      <c r="G257" s="208">
        <f t="shared" si="19"/>
        <v>7.4999999999999997E-2</v>
      </c>
      <c r="H257" s="102">
        <v>15</v>
      </c>
      <c r="I257" s="103">
        <f t="shared" si="17"/>
        <v>5625</v>
      </c>
      <c r="J257" s="103">
        <f t="shared" si="14"/>
        <v>3749.9999999999995</v>
      </c>
    </row>
    <row r="258" spans="1:10">
      <c r="A258" s="102"/>
      <c r="B258" s="102"/>
      <c r="C258" s="103">
        <v>15000</v>
      </c>
      <c r="D258" s="104" t="s">
        <v>2153</v>
      </c>
      <c r="E258" s="105">
        <v>565</v>
      </c>
      <c r="F258" s="102">
        <v>1</v>
      </c>
      <c r="G258" s="208">
        <f t="shared" si="19"/>
        <v>7.5333333333333335E-2</v>
      </c>
      <c r="H258" s="102">
        <v>15</v>
      </c>
      <c r="I258" s="103">
        <f t="shared" si="17"/>
        <v>565</v>
      </c>
      <c r="J258" s="103">
        <f t="shared" si="14"/>
        <v>377.5</v>
      </c>
    </row>
    <row r="259" spans="1:10">
      <c r="A259" s="102"/>
      <c r="B259" s="102"/>
      <c r="C259" s="103">
        <v>20000</v>
      </c>
      <c r="D259" s="104" t="s">
        <v>2149</v>
      </c>
      <c r="E259" s="105">
        <v>750</v>
      </c>
      <c r="F259" s="102">
        <v>2</v>
      </c>
      <c r="G259" s="208">
        <f t="shared" si="19"/>
        <v>7.4999999999999997E-2</v>
      </c>
      <c r="H259" s="102">
        <v>15</v>
      </c>
      <c r="I259" s="103">
        <f t="shared" si="17"/>
        <v>1500</v>
      </c>
      <c r="J259" s="103">
        <f t="shared" ref="J259:J322" si="20">IF(H259="分期",C259*(G259-0.025)*2.5*F259/10,C259*(G259-0.025)*H259*F259/30)</f>
        <v>999.99999999999989</v>
      </c>
    </row>
    <row r="260" spans="1:10">
      <c r="A260" s="102"/>
      <c r="B260" s="102"/>
      <c r="C260" s="103">
        <v>20000</v>
      </c>
      <c r="D260" s="104" t="s">
        <v>2152</v>
      </c>
      <c r="E260" s="105">
        <v>750</v>
      </c>
      <c r="F260" s="102">
        <v>2</v>
      </c>
      <c r="G260" s="208">
        <f t="shared" si="19"/>
        <v>7.4999999999999997E-2</v>
      </c>
      <c r="H260" s="102">
        <v>15</v>
      </c>
      <c r="I260" s="103">
        <f t="shared" si="17"/>
        <v>1500</v>
      </c>
      <c r="J260" s="103">
        <f t="shared" si="20"/>
        <v>999.99999999999989</v>
      </c>
    </row>
    <row r="261" spans="1:10">
      <c r="A261" s="102"/>
      <c r="B261" s="102"/>
      <c r="C261" s="103">
        <v>40000</v>
      </c>
      <c r="D261" s="110" t="s">
        <v>2425</v>
      </c>
      <c r="E261" s="105">
        <v>1500</v>
      </c>
      <c r="F261" s="102">
        <v>1</v>
      </c>
      <c r="G261" s="208">
        <f t="shared" si="19"/>
        <v>7.4999999999999997E-2</v>
      </c>
      <c r="H261" s="102">
        <v>15</v>
      </c>
      <c r="I261" s="103">
        <f t="shared" si="17"/>
        <v>1500</v>
      </c>
      <c r="J261" s="103">
        <f t="shared" si="20"/>
        <v>999.99999999999989</v>
      </c>
    </row>
    <row r="262" spans="1:10">
      <c r="A262" s="102"/>
      <c r="B262" s="102"/>
      <c r="C262" s="103">
        <v>100000</v>
      </c>
      <c r="D262" s="104" t="s">
        <v>2150</v>
      </c>
      <c r="E262" s="105">
        <v>3750</v>
      </c>
      <c r="F262" s="102">
        <v>5</v>
      </c>
      <c r="G262" s="208">
        <f t="shared" si="19"/>
        <v>7.4999999999999997E-2</v>
      </c>
      <c r="H262" s="102">
        <v>15</v>
      </c>
      <c r="I262" s="103">
        <f t="shared" si="17"/>
        <v>18750</v>
      </c>
      <c r="J262" s="103">
        <f t="shared" si="20"/>
        <v>12500</v>
      </c>
    </row>
    <row r="263" spans="1:10">
      <c r="A263" s="102"/>
      <c r="B263" s="102"/>
      <c r="C263" s="103">
        <v>40000</v>
      </c>
      <c r="D263" s="110" t="s">
        <v>2426</v>
      </c>
      <c r="E263" s="105">
        <v>1500</v>
      </c>
      <c r="F263" s="102">
        <v>1</v>
      </c>
      <c r="G263" s="208">
        <f t="shared" si="19"/>
        <v>7.4999999999999997E-2</v>
      </c>
      <c r="H263" s="102">
        <v>15</v>
      </c>
      <c r="I263" s="103">
        <f t="shared" si="17"/>
        <v>1500</v>
      </c>
      <c r="J263" s="103">
        <f t="shared" si="20"/>
        <v>999.99999999999989</v>
      </c>
    </row>
    <row r="264" spans="1:10">
      <c r="A264" s="102"/>
      <c r="B264" s="102"/>
      <c r="C264" s="103">
        <v>160000</v>
      </c>
      <c r="D264" s="104" t="s">
        <v>2154</v>
      </c>
      <c r="E264" s="105">
        <v>5600</v>
      </c>
      <c r="F264" s="102">
        <v>4</v>
      </c>
      <c r="G264" s="208">
        <f t="shared" si="19"/>
        <v>7.0000000000000007E-2</v>
      </c>
      <c r="H264" s="102">
        <v>15</v>
      </c>
      <c r="I264" s="103">
        <f t="shared" si="17"/>
        <v>22400.000000000004</v>
      </c>
      <c r="J264" s="103">
        <f t="shared" si="20"/>
        <v>14400.000000000002</v>
      </c>
    </row>
    <row r="265" spans="1:10">
      <c r="A265" s="102"/>
      <c r="B265" s="102"/>
      <c r="C265" s="103">
        <v>40000</v>
      </c>
      <c r="D265" s="104" t="s">
        <v>2110</v>
      </c>
      <c r="E265" s="105">
        <v>1400</v>
      </c>
      <c r="F265" s="102">
        <v>2</v>
      </c>
      <c r="G265" s="208">
        <f t="shared" si="19"/>
        <v>7.0000000000000007E-2</v>
      </c>
      <c r="H265" s="102">
        <v>15</v>
      </c>
      <c r="I265" s="103">
        <f t="shared" si="17"/>
        <v>2800.0000000000005</v>
      </c>
      <c r="J265" s="103">
        <f t="shared" si="20"/>
        <v>1800.0000000000002</v>
      </c>
    </row>
    <row r="266" spans="1:10">
      <c r="A266" s="102"/>
      <c r="B266" s="102"/>
      <c r="C266" s="103">
        <v>20000</v>
      </c>
      <c r="D266" s="110" t="s">
        <v>2427</v>
      </c>
      <c r="E266" s="105">
        <v>750</v>
      </c>
      <c r="F266" s="102">
        <v>2</v>
      </c>
      <c r="G266" s="208">
        <f t="shared" si="19"/>
        <v>7.4999999999999997E-2</v>
      </c>
      <c r="H266" s="102">
        <v>15</v>
      </c>
      <c r="I266" s="103">
        <f t="shared" si="17"/>
        <v>1500</v>
      </c>
      <c r="J266" s="103">
        <f t="shared" si="20"/>
        <v>999.99999999999989</v>
      </c>
    </row>
    <row r="267" spans="1:10">
      <c r="A267" s="102">
        <v>30</v>
      </c>
      <c r="B267" s="102" t="s">
        <v>2155</v>
      </c>
      <c r="C267" s="103">
        <v>20000</v>
      </c>
      <c r="D267" s="104" t="s">
        <v>2260</v>
      </c>
      <c r="E267" s="105">
        <v>2400</v>
      </c>
      <c r="F267" s="102">
        <v>10</v>
      </c>
      <c r="G267" s="208">
        <v>0.06</v>
      </c>
      <c r="H267" s="102" t="s">
        <v>664</v>
      </c>
      <c r="I267" s="103">
        <f t="shared" si="17"/>
        <v>3000</v>
      </c>
      <c r="J267" s="103">
        <f t="shared" si="20"/>
        <v>1749.9999999999995</v>
      </c>
    </row>
    <row r="268" spans="1:10">
      <c r="A268" s="102">
        <v>31</v>
      </c>
      <c r="B268" s="102" t="s">
        <v>2156</v>
      </c>
      <c r="C268" s="103">
        <v>20000</v>
      </c>
      <c r="D268" s="104" t="s">
        <v>2260</v>
      </c>
      <c r="E268" s="105">
        <v>750</v>
      </c>
      <c r="F268" s="102">
        <v>10</v>
      </c>
      <c r="G268" s="208">
        <f>E268/(C268*H268/30)</f>
        <v>7.4999999999999997E-2</v>
      </c>
      <c r="H268" s="102">
        <v>15</v>
      </c>
      <c r="I268" s="103">
        <f t="shared" si="17"/>
        <v>7500</v>
      </c>
      <c r="J268" s="103">
        <f t="shared" si="20"/>
        <v>4999.9999999999991</v>
      </c>
    </row>
    <row r="269" spans="1:10">
      <c r="A269" s="102"/>
      <c r="B269" s="102"/>
      <c r="C269" s="103">
        <v>10000</v>
      </c>
      <c r="D269" s="104" t="s">
        <v>209</v>
      </c>
      <c r="E269" s="105">
        <v>1200</v>
      </c>
      <c r="F269" s="102">
        <v>5</v>
      </c>
      <c r="G269" s="208">
        <v>0.06</v>
      </c>
      <c r="H269" s="102" t="s">
        <v>664</v>
      </c>
      <c r="I269" s="103">
        <f t="shared" si="17"/>
        <v>750</v>
      </c>
      <c r="J269" s="103">
        <f t="shared" si="20"/>
        <v>437.49999999999989</v>
      </c>
    </row>
    <row r="270" spans="1:10">
      <c r="A270" s="102"/>
      <c r="B270" s="102"/>
      <c r="C270" s="103">
        <v>20000</v>
      </c>
      <c r="D270" s="104" t="s">
        <v>2159</v>
      </c>
      <c r="E270" s="105">
        <v>750</v>
      </c>
      <c r="F270" s="102">
        <v>8</v>
      </c>
      <c r="G270" s="208">
        <f>E270/(C270*H270/30)</f>
        <v>7.4999999999999997E-2</v>
      </c>
      <c r="H270" s="102">
        <v>15</v>
      </c>
      <c r="I270" s="103">
        <f t="shared" si="17"/>
        <v>6000</v>
      </c>
      <c r="J270" s="103">
        <f t="shared" si="20"/>
        <v>3999.9999999999995</v>
      </c>
    </row>
    <row r="271" spans="1:10">
      <c r="A271" s="102"/>
      <c r="B271" s="102"/>
      <c r="C271" s="103">
        <v>10000</v>
      </c>
      <c r="D271" s="104" t="s">
        <v>2234</v>
      </c>
      <c r="E271" s="105">
        <v>1150</v>
      </c>
      <c r="F271" s="102">
        <v>10</v>
      </c>
      <c r="G271" s="208">
        <v>0.06</v>
      </c>
      <c r="H271" s="102" t="s">
        <v>664</v>
      </c>
      <c r="I271" s="103">
        <f t="shared" si="17"/>
        <v>1500</v>
      </c>
      <c r="J271" s="103">
        <f t="shared" si="20"/>
        <v>874.99999999999977</v>
      </c>
    </row>
    <row r="272" spans="1:10">
      <c r="A272" s="102"/>
      <c r="B272" s="102"/>
      <c r="C272" s="103">
        <v>10000</v>
      </c>
      <c r="D272" s="104" t="s">
        <v>2273</v>
      </c>
      <c r="E272" s="105">
        <v>1200</v>
      </c>
      <c r="F272" s="102">
        <v>10</v>
      </c>
      <c r="G272" s="208">
        <v>0.06</v>
      </c>
      <c r="H272" s="102" t="s">
        <v>664</v>
      </c>
      <c r="I272" s="103">
        <f t="shared" si="17"/>
        <v>1500</v>
      </c>
      <c r="J272" s="103">
        <f t="shared" si="20"/>
        <v>874.99999999999977</v>
      </c>
    </row>
    <row r="273" spans="1:10">
      <c r="A273" s="102"/>
      <c r="B273" s="102"/>
      <c r="C273" s="103">
        <v>20000</v>
      </c>
      <c r="D273" s="104" t="s">
        <v>2157</v>
      </c>
      <c r="E273" s="105">
        <v>750</v>
      </c>
      <c r="F273" s="102">
        <v>4</v>
      </c>
      <c r="G273" s="208">
        <f>E273/(C273*H273/30)</f>
        <v>7.4999999999999997E-2</v>
      </c>
      <c r="H273" s="102">
        <v>15</v>
      </c>
      <c r="I273" s="103">
        <f t="shared" si="17"/>
        <v>3000</v>
      </c>
      <c r="J273" s="103">
        <f t="shared" si="20"/>
        <v>1999.9999999999998</v>
      </c>
    </row>
    <row r="274" spans="1:10">
      <c r="A274" s="102"/>
      <c r="B274" s="102"/>
      <c r="C274" s="103">
        <v>10000</v>
      </c>
      <c r="D274" s="104" t="s">
        <v>2277</v>
      </c>
      <c r="E274" s="105">
        <v>1150</v>
      </c>
      <c r="F274" s="102">
        <v>10</v>
      </c>
      <c r="G274" s="208">
        <v>0.06</v>
      </c>
      <c r="H274" s="102" t="s">
        <v>664</v>
      </c>
      <c r="I274" s="103">
        <f t="shared" si="17"/>
        <v>1500</v>
      </c>
      <c r="J274" s="103">
        <f t="shared" si="20"/>
        <v>874.99999999999977</v>
      </c>
    </row>
    <row r="275" spans="1:10">
      <c r="A275" s="102"/>
      <c r="B275" s="102"/>
      <c r="C275" s="103">
        <v>10000</v>
      </c>
      <c r="D275" s="104" t="s">
        <v>655</v>
      </c>
      <c r="E275" s="105">
        <v>1150</v>
      </c>
      <c r="F275" s="102">
        <v>10</v>
      </c>
      <c r="G275" s="208">
        <v>0.06</v>
      </c>
      <c r="H275" s="102" t="s">
        <v>664</v>
      </c>
      <c r="I275" s="103">
        <f t="shared" si="17"/>
        <v>1500</v>
      </c>
      <c r="J275" s="103">
        <f t="shared" si="20"/>
        <v>874.99999999999977</v>
      </c>
    </row>
    <row r="276" spans="1:10">
      <c r="A276" s="102"/>
      <c r="B276" s="102"/>
      <c r="C276" s="103">
        <v>10000</v>
      </c>
      <c r="D276" s="104" t="s">
        <v>205</v>
      </c>
      <c r="E276" s="105">
        <v>1150</v>
      </c>
      <c r="F276" s="102">
        <v>10</v>
      </c>
      <c r="G276" s="208">
        <v>0.06</v>
      </c>
      <c r="H276" s="102" t="s">
        <v>664</v>
      </c>
      <c r="I276" s="103">
        <f t="shared" si="17"/>
        <v>1500</v>
      </c>
      <c r="J276" s="103">
        <f t="shared" si="20"/>
        <v>874.99999999999977</v>
      </c>
    </row>
    <row r="277" spans="1:10">
      <c r="A277" s="102"/>
      <c r="B277" s="102"/>
      <c r="C277" s="103">
        <v>10000</v>
      </c>
      <c r="D277" s="104" t="s">
        <v>2160</v>
      </c>
      <c r="E277" s="105">
        <v>1150</v>
      </c>
      <c r="F277" s="102">
        <v>10</v>
      </c>
      <c r="G277" s="208">
        <v>0.06</v>
      </c>
      <c r="H277" s="102" t="s">
        <v>664</v>
      </c>
      <c r="I277" s="103">
        <f t="shared" si="17"/>
        <v>1500</v>
      </c>
      <c r="J277" s="103">
        <f t="shared" si="20"/>
        <v>874.99999999999977</v>
      </c>
    </row>
    <row r="278" spans="1:10">
      <c r="A278" s="102"/>
      <c r="B278" s="102"/>
      <c r="C278" s="103">
        <v>10000</v>
      </c>
      <c r="D278" s="104" t="s">
        <v>2161</v>
      </c>
      <c r="E278" s="105">
        <v>1150</v>
      </c>
      <c r="F278" s="102">
        <v>10</v>
      </c>
      <c r="G278" s="208">
        <v>0.06</v>
      </c>
      <c r="H278" s="102" t="s">
        <v>664</v>
      </c>
      <c r="I278" s="103">
        <f t="shared" ref="I278:I334" si="21">IF(H278="分期",C278*G278*2.5*F278/10,C278*G278*H278*F278/30)</f>
        <v>1500</v>
      </c>
      <c r="J278" s="103">
        <f t="shared" si="20"/>
        <v>874.99999999999977</v>
      </c>
    </row>
    <row r="279" spans="1:10">
      <c r="A279" s="102"/>
      <c r="B279" s="102"/>
      <c r="C279" s="103">
        <v>10000</v>
      </c>
      <c r="D279" s="104" t="s">
        <v>2158</v>
      </c>
      <c r="E279" s="105">
        <v>1150</v>
      </c>
      <c r="F279" s="102">
        <v>10</v>
      </c>
      <c r="G279" s="208">
        <v>0.06</v>
      </c>
      <c r="H279" s="102" t="s">
        <v>664</v>
      </c>
      <c r="I279" s="103">
        <f t="shared" si="21"/>
        <v>1500</v>
      </c>
      <c r="J279" s="103">
        <f t="shared" si="20"/>
        <v>874.99999999999977</v>
      </c>
    </row>
    <row r="280" spans="1:10">
      <c r="A280" s="102"/>
      <c r="B280" s="102"/>
      <c r="C280" s="103">
        <v>10000</v>
      </c>
      <c r="D280" s="104" t="s">
        <v>2255</v>
      </c>
      <c r="E280" s="105">
        <v>375</v>
      </c>
      <c r="F280" s="102">
        <v>10</v>
      </c>
      <c r="G280" s="208">
        <f>E280/(C280*H280/30)</f>
        <v>7.4999999999999997E-2</v>
      </c>
      <c r="H280" s="102">
        <v>15</v>
      </c>
      <c r="I280" s="103">
        <f t="shared" si="21"/>
        <v>3750</v>
      </c>
      <c r="J280" s="103">
        <f t="shared" si="20"/>
        <v>2499.9999999999995</v>
      </c>
    </row>
    <row r="281" spans="1:10">
      <c r="A281" s="102"/>
      <c r="B281" s="102"/>
      <c r="C281" s="103">
        <v>10000</v>
      </c>
      <c r="D281" s="104" t="s">
        <v>2294</v>
      </c>
      <c r="E281" s="105">
        <v>1150</v>
      </c>
      <c r="F281" s="102">
        <v>10</v>
      </c>
      <c r="G281" s="208">
        <v>0.06</v>
      </c>
      <c r="H281" s="102" t="s">
        <v>664</v>
      </c>
      <c r="I281" s="103">
        <f t="shared" si="21"/>
        <v>1500</v>
      </c>
      <c r="J281" s="103">
        <f t="shared" si="20"/>
        <v>874.99999999999977</v>
      </c>
    </row>
    <row r="282" spans="1:10">
      <c r="A282" s="102"/>
      <c r="B282" s="102"/>
      <c r="C282" s="103">
        <v>10000</v>
      </c>
      <c r="D282" s="104" t="s">
        <v>2253</v>
      </c>
      <c r="E282" s="105">
        <v>1150</v>
      </c>
      <c r="F282" s="102">
        <v>6</v>
      </c>
      <c r="G282" s="208">
        <v>0.06</v>
      </c>
      <c r="H282" s="102" t="s">
        <v>664</v>
      </c>
      <c r="I282" s="103">
        <f t="shared" si="21"/>
        <v>900</v>
      </c>
      <c r="J282" s="103">
        <f t="shared" si="20"/>
        <v>524.99999999999989</v>
      </c>
    </row>
    <row r="283" spans="1:10">
      <c r="A283" s="102"/>
      <c r="B283" s="102"/>
      <c r="C283" s="103">
        <v>10000</v>
      </c>
      <c r="D283" s="104" t="s">
        <v>2241</v>
      </c>
      <c r="E283" s="105">
        <v>125</v>
      </c>
      <c r="F283" s="102">
        <v>1</v>
      </c>
      <c r="G283" s="208">
        <f t="shared" ref="G283:G291" si="22">E283/(C283*H283/30)</f>
        <v>2.5000000000000001E-2</v>
      </c>
      <c r="H283" s="102">
        <v>15</v>
      </c>
      <c r="I283" s="103">
        <f t="shared" si="21"/>
        <v>125</v>
      </c>
      <c r="J283" s="103">
        <f t="shared" si="20"/>
        <v>0</v>
      </c>
    </row>
    <row r="284" spans="1:10">
      <c r="A284" s="102">
        <v>32</v>
      </c>
      <c r="B284" s="102" t="s">
        <v>2162</v>
      </c>
      <c r="C284" s="103">
        <v>50000</v>
      </c>
      <c r="D284" s="104" t="s">
        <v>2260</v>
      </c>
      <c r="E284" s="105">
        <v>1875</v>
      </c>
      <c r="F284" s="102">
        <v>2</v>
      </c>
      <c r="G284" s="208">
        <f t="shared" si="22"/>
        <v>7.4999999999999997E-2</v>
      </c>
      <c r="H284" s="102">
        <v>15</v>
      </c>
      <c r="I284" s="103">
        <f t="shared" si="21"/>
        <v>3750</v>
      </c>
      <c r="J284" s="103">
        <f t="shared" si="20"/>
        <v>2500</v>
      </c>
    </row>
    <row r="285" spans="1:10">
      <c r="A285" s="102"/>
      <c r="B285" s="102"/>
      <c r="C285" s="103">
        <v>10000</v>
      </c>
      <c r="D285" s="104" t="s">
        <v>2287</v>
      </c>
      <c r="E285" s="105">
        <v>375</v>
      </c>
      <c r="F285" s="102">
        <v>2</v>
      </c>
      <c r="G285" s="208">
        <f t="shared" si="22"/>
        <v>7.4999999999999997E-2</v>
      </c>
      <c r="H285" s="102">
        <v>15</v>
      </c>
      <c r="I285" s="103">
        <f t="shared" si="21"/>
        <v>750</v>
      </c>
      <c r="J285" s="103">
        <f t="shared" si="20"/>
        <v>499.99999999999994</v>
      </c>
    </row>
    <row r="286" spans="1:10">
      <c r="A286" s="102"/>
      <c r="B286" s="102"/>
      <c r="C286" s="103">
        <v>50000</v>
      </c>
      <c r="D286" s="110" t="s">
        <v>2428</v>
      </c>
      <c r="E286" s="105">
        <v>3750</v>
      </c>
      <c r="F286" s="102">
        <v>1</v>
      </c>
      <c r="G286" s="208">
        <f t="shared" si="22"/>
        <v>7.4999999999999997E-2</v>
      </c>
      <c r="H286" s="102">
        <v>30</v>
      </c>
      <c r="I286" s="103">
        <f t="shared" si="21"/>
        <v>3750</v>
      </c>
      <c r="J286" s="103">
        <f t="shared" si="20"/>
        <v>2500</v>
      </c>
    </row>
    <row r="287" spans="1:10">
      <c r="A287" s="102">
        <v>33</v>
      </c>
      <c r="B287" s="102" t="s">
        <v>2163</v>
      </c>
      <c r="C287" s="103">
        <v>20000</v>
      </c>
      <c r="D287" s="104" t="s">
        <v>2260</v>
      </c>
      <c r="E287" s="105">
        <v>750</v>
      </c>
      <c r="F287" s="102">
        <v>1</v>
      </c>
      <c r="G287" s="208">
        <f t="shared" si="22"/>
        <v>7.4999999999999997E-2</v>
      </c>
      <c r="H287" s="102">
        <v>15</v>
      </c>
      <c r="I287" s="103">
        <f t="shared" si="21"/>
        <v>750</v>
      </c>
      <c r="J287" s="103">
        <f t="shared" si="20"/>
        <v>499.99999999999994</v>
      </c>
    </row>
    <row r="288" spans="1:10">
      <c r="A288" s="102">
        <v>34</v>
      </c>
      <c r="B288" s="102" t="s">
        <v>2164</v>
      </c>
      <c r="C288" s="103">
        <v>40000</v>
      </c>
      <c r="D288" s="104" t="s">
        <v>208</v>
      </c>
      <c r="E288" s="105">
        <v>1500</v>
      </c>
      <c r="F288" s="102">
        <v>12</v>
      </c>
      <c r="G288" s="208">
        <f t="shared" si="22"/>
        <v>7.4999999999999997E-2</v>
      </c>
      <c r="H288" s="102">
        <v>15</v>
      </c>
      <c r="I288" s="103">
        <f t="shared" si="21"/>
        <v>18000</v>
      </c>
      <c r="J288" s="103">
        <f t="shared" si="20"/>
        <v>11999.999999999998</v>
      </c>
    </row>
    <row r="289" spans="1:10">
      <c r="A289" s="102"/>
      <c r="B289" s="102"/>
      <c r="C289" s="103">
        <v>30000</v>
      </c>
      <c r="D289" s="104" t="s">
        <v>208</v>
      </c>
      <c r="E289" s="105">
        <v>1125</v>
      </c>
      <c r="F289" s="102">
        <v>2</v>
      </c>
      <c r="G289" s="208">
        <f t="shared" si="22"/>
        <v>7.4999999999999997E-2</v>
      </c>
      <c r="H289" s="102">
        <v>15</v>
      </c>
      <c r="I289" s="103">
        <f t="shared" si="21"/>
        <v>2250</v>
      </c>
      <c r="J289" s="103">
        <f t="shared" si="20"/>
        <v>1499.9999999999998</v>
      </c>
    </row>
    <row r="290" spans="1:10">
      <c r="A290" s="102"/>
      <c r="B290" s="102"/>
      <c r="C290" s="103">
        <v>25000</v>
      </c>
      <c r="D290" s="104" t="s">
        <v>208</v>
      </c>
      <c r="E290" s="105">
        <v>940</v>
      </c>
      <c r="F290" s="102">
        <v>11</v>
      </c>
      <c r="G290" s="208">
        <f t="shared" si="22"/>
        <v>7.5200000000000003E-2</v>
      </c>
      <c r="H290" s="102">
        <v>15</v>
      </c>
      <c r="I290" s="103">
        <f t="shared" si="21"/>
        <v>10340</v>
      </c>
      <c r="J290" s="103">
        <f t="shared" si="20"/>
        <v>6902.5</v>
      </c>
    </row>
    <row r="291" spans="1:10">
      <c r="A291" s="102"/>
      <c r="B291" s="102"/>
      <c r="C291" s="103">
        <v>20000</v>
      </c>
      <c r="D291" s="104" t="s">
        <v>2282</v>
      </c>
      <c r="E291" s="105">
        <v>750</v>
      </c>
      <c r="F291" s="102">
        <v>7</v>
      </c>
      <c r="G291" s="208">
        <f t="shared" si="22"/>
        <v>7.4999999999999997E-2</v>
      </c>
      <c r="H291" s="102">
        <v>15</v>
      </c>
      <c r="I291" s="103">
        <f t="shared" si="21"/>
        <v>5250</v>
      </c>
      <c r="J291" s="103">
        <f t="shared" si="20"/>
        <v>3499.9999999999995</v>
      </c>
    </row>
    <row r="292" spans="1:10">
      <c r="A292" s="102"/>
      <c r="B292" s="102"/>
      <c r="C292" s="103">
        <v>20000</v>
      </c>
      <c r="D292" s="104" t="s">
        <v>2274</v>
      </c>
      <c r="E292" s="105">
        <v>2400</v>
      </c>
      <c r="F292" s="102">
        <v>10</v>
      </c>
      <c r="G292" s="208">
        <v>0.06</v>
      </c>
      <c r="H292" s="102" t="s">
        <v>664</v>
      </c>
      <c r="I292" s="103">
        <f t="shared" si="21"/>
        <v>3000</v>
      </c>
      <c r="J292" s="103">
        <f t="shared" si="20"/>
        <v>1749.9999999999995</v>
      </c>
    </row>
    <row r="293" spans="1:10">
      <c r="A293" s="102"/>
      <c r="B293" s="102"/>
      <c r="C293" s="103">
        <v>20000</v>
      </c>
      <c r="D293" s="104" t="s">
        <v>2282</v>
      </c>
      <c r="E293" s="105">
        <v>2300</v>
      </c>
      <c r="F293" s="102">
        <v>10</v>
      </c>
      <c r="G293" s="208">
        <v>0.06</v>
      </c>
      <c r="H293" s="102" t="s">
        <v>664</v>
      </c>
      <c r="I293" s="103">
        <f t="shared" si="21"/>
        <v>3000</v>
      </c>
      <c r="J293" s="103">
        <f t="shared" si="20"/>
        <v>1749.9999999999995</v>
      </c>
    </row>
    <row r="294" spans="1:10">
      <c r="A294" s="102"/>
      <c r="B294" s="102"/>
      <c r="C294" s="103">
        <v>40000</v>
      </c>
      <c r="D294" s="104" t="s">
        <v>2165</v>
      </c>
      <c r="E294" s="105">
        <v>1500</v>
      </c>
      <c r="F294" s="102">
        <v>16</v>
      </c>
      <c r="G294" s="208">
        <f>E294/(C294*H294/30)</f>
        <v>7.4999999999999997E-2</v>
      </c>
      <c r="H294" s="102">
        <v>15</v>
      </c>
      <c r="I294" s="103">
        <f t="shared" si="21"/>
        <v>24000</v>
      </c>
      <c r="J294" s="103">
        <f t="shared" si="20"/>
        <v>15999.999999999998</v>
      </c>
    </row>
    <row r="295" spans="1:10">
      <c r="A295" s="102"/>
      <c r="B295" s="102"/>
      <c r="C295" s="103">
        <v>30000</v>
      </c>
      <c r="D295" s="104" t="s">
        <v>2165</v>
      </c>
      <c r="E295" s="105">
        <v>1125</v>
      </c>
      <c r="F295" s="102">
        <v>2</v>
      </c>
      <c r="G295" s="208">
        <f>E295/(C295*H295/30)</f>
        <v>7.4999999999999997E-2</v>
      </c>
      <c r="H295" s="102">
        <v>15</v>
      </c>
      <c r="I295" s="103">
        <f t="shared" si="21"/>
        <v>2250</v>
      </c>
      <c r="J295" s="103">
        <f t="shared" si="20"/>
        <v>1499.9999999999998</v>
      </c>
    </row>
    <row r="296" spans="1:10">
      <c r="A296" s="102"/>
      <c r="B296" s="102"/>
      <c r="C296" s="103">
        <v>100000</v>
      </c>
      <c r="D296" s="104" t="s">
        <v>193</v>
      </c>
      <c r="E296" s="105">
        <v>3750</v>
      </c>
      <c r="F296" s="102">
        <v>14</v>
      </c>
      <c r="G296" s="208">
        <f>E296/(C296*H296/30)</f>
        <v>7.4999999999999997E-2</v>
      </c>
      <c r="H296" s="102">
        <v>15</v>
      </c>
      <c r="I296" s="103">
        <f t="shared" si="21"/>
        <v>52500</v>
      </c>
      <c r="J296" s="103">
        <f t="shared" si="20"/>
        <v>35000</v>
      </c>
    </row>
    <row r="297" spans="1:10">
      <c r="A297" s="102"/>
      <c r="B297" s="102"/>
      <c r="C297" s="103">
        <v>80000</v>
      </c>
      <c r="D297" s="110" t="s">
        <v>2430</v>
      </c>
      <c r="E297" s="105">
        <v>3000</v>
      </c>
      <c r="F297" s="102">
        <v>3</v>
      </c>
      <c r="G297" s="208">
        <f>E297/(C297*H297/30)</f>
        <v>7.4999999999999997E-2</v>
      </c>
      <c r="H297" s="102">
        <v>15</v>
      </c>
      <c r="I297" s="103">
        <f t="shared" si="21"/>
        <v>9000</v>
      </c>
      <c r="J297" s="103">
        <f t="shared" si="20"/>
        <v>5999.9999999999991</v>
      </c>
    </row>
    <row r="298" spans="1:10">
      <c r="A298" s="102"/>
      <c r="B298" s="102"/>
      <c r="C298" s="103">
        <v>20000</v>
      </c>
      <c r="D298" s="110" t="s">
        <v>2429</v>
      </c>
      <c r="E298" s="105">
        <v>2300</v>
      </c>
      <c r="F298" s="102">
        <v>10</v>
      </c>
      <c r="G298" s="208">
        <v>0.06</v>
      </c>
      <c r="H298" s="102" t="s">
        <v>664</v>
      </c>
      <c r="I298" s="103">
        <f t="shared" si="21"/>
        <v>3000</v>
      </c>
      <c r="J298" s="103">
        <f t="shared" si="20"/>
        <v>1749.9999999999995</v>
      </c>
    </row>
    <row r="299" spans="1:10">
      <c r="A299" s="102"/>
      <c r="B299" s="102"/>
      <c r="C299" s="103">
        <v>20000</v>
      </c>
      <c r="D299" s="104" t="s">
        <v>2169</v>
      </c>
      <c r="E299" s="105">
        <v>2300</v>
      </c>
      <c r="F299" s="102">
        <v>10</v>
      </c>
      <c r="G299" s="208">
        <v>0.06</v>
      </c>
      <c r="H299" s="102" t="s">
        <v>664</v>
      </c>
      <c r="I299" s="103">
        <f t="shared" si="21"/>
        <v>3000</v>
      </c>
      <c r="J299" s="103">
        <f t="shared" si="20"/>
        <v>1749.9999999999995</v>
      </c>
    </row>
    <row r="300" spans="1:10">
      <c r="A300" s="102"/>
      <c r="B300" s="102"/>
      <c r="C300" s="103">
        <v>20000</v>
      </c>
      <c r="D300" s="104" t="s">
        <v>2256</v>
      </c>
      <c r="E300" s="105">
        <v>2300</v>
      </c>
      <c r="F300" s="102">
        <v>10</v>
      </c>
      <c r="G300" s="208">
        <v>0.06</v>
      </c>
      <c r="H300" s="102" t="s">
        <v>664</v>
      </c>
      <c r="I300" s="103">
        <f t="shared" si="21"/>
        <v>3000</v>
      </c>
      <c r="J300" s="103">
        <f t="shared" si="20"/>
        <v>1749.9999999999995</v>
      </c>
    </row>
    <row r="301" spans="1:10">
      <c r="A301" s="102"/>
      <c r="B301" s="102"/>
      <c r="C301" s="103">
        <v>20000</v>
      </c>
      <c r="D301" s="104" t="s">
        <v>2262</v>
      </c>
      <c r="E301" s="105">
        <v>750</v>
      </c>
      <c r="F301" s="102">
        <v>6</v>
      </c>
      <c r="G301" s="208">
        <f>E301/(C301*H301/30)</f>
        <v>7.4999999999999997E-2</v>
      </c>
      <c r="H301" s="102">
        <v>15</v>
      </c>
      <c r="I301" s="103">
        <f t="shared" si="21"/>
        <v>4500</v>
      </c>
      <c r="J301" s="103">
        <f t="shared" si="20"/>
        <v>2999.9999999999995</v>
      </c>
    </row>
    <row r="302" spans="1:10">
      <c r="A302" s="102"/>
      <c r="B302" s="102"/>
      <c r="C302" s="103">
        <v>20000</v>
      </c>
      <c r="D302" s="104" t="s">
        <v>2168</v>
      </c>
      <c r="E302" s="105">
        <v>2300</v>
      </c>
      <c r="F302" s="102">
        <v>5</v>
      </c>
      <c r="G302" s="208">
        <v>0.06</v>
      </c>
      <c r="H302" s="102" t="s">
        <v>664</v>
      </c>
      <c r="I302" s="103">
        <f t="shared" si="21"/>
        <v>1500</v>
      </c>
      <c r="J302" s="103">
        <f t="shared" si="20"/>
        <v>874.99999999999977</v>
      </c>
    </row>
    <row r="303" spans="1:10">
      <c r="A303" s="102"/>
      <c r="B303" s="102"/>
      <c r="C303" s="103">
        <v>20000</v>
      </c>
      <c r="D303" s="104" t="s">
        <v>2170</v>
      </c>
      <c r="E303" s="105">
        <v>750</v>
      </c>
      <c r="F303" s="102">
        <v>5</v>
      </c>
      <c r="G303" s="208">
        <f>E303/(C303*H303/30)</f>
        <v>7.4999999999999997E-2</v>
      </c>
      <c r="H303" s="102">
        <v>15</v>
      </c>
      <c r="I303" s="103">
        <f t="shared" si="21"/>
        <v>3750</v>
      </c>
      <c r="J303" s="103">
        <f t="shared" si="20"/>
        <v>2499.9999999999995</v>
      </c>
    </row>
    <row r="304" spans="1:10">
      <c r="A304" s="102"/>
      <c r="B304" s="102"/>
      <c r="C304" s="103">
        <v>5000</v>
      </c>
      <c r="D304" s="104" t="s">
        <v>2271</v>
      </c>
      <c r="E304" s="105">
        <v>600</v>
      </c>
      <c r="F304" s="102">
        <v>5</v>
      </c>
      <c r="G304" s="208">
        <v>0.06</v>
      </c>
      <c r="H304" s="102" t="s">
        <v>664</v>
      </c>
      <c r="I304" s="103">
        <f t="shared" si="21"/>
        <v>375</v>
      </c>
      <c r="J304" s="103">
        <f t="shared" si="20"/>
        <v>218.74999999999994</v>
      </c>
    </row>
    <row r="305" spans="1:10">
      <c r="A305" s="102"/>
      <c r="B305" s="102"/>
      <c r="C305" s="103">
        <v>20000</v>
      </c>
      <c r="D305" s="104" t="s">
        <v>2167</v>
      </c>
      <c r="E305" s="105">
        <v>2300</v>
      </c>
      <c r="F305" s="102">
        <v>4</v>
      </c>
      <c r="G305" s="208">
        <v>0.06</v>
      </c>
      <c r="H305" s="102" t="s">
        <v>2184</v>
      </c>
      <c r="I305" s="103">
        <f t="shared" si="21"/>
        <v>1200</v>
      </c>
      <c r="J305" s="103">
        <f t="shared" si="20"/>
        <v>699.99999999999989</v>
      </c>
    </row>
    <row r="306" spans="1:10">
      <c r="A306" s="102"/>
      <c r="B306" s="102"/>
      <c r="C306" s="103">
        <v>30000</v>
      </c>
      <c r="D306" s="104" t="s">
        <v>657</v>
      </c>
      <c r="E306" s="105">
        <v>1125</v>
      </c>
      <c r="F306" s="102">
        <v>4</v>
      </c>
      <c r="G306" s="208">
        <f>E306/(C306*H306/30)</f>
        <v>7.4999999999999997E-2</v>
      </c>
      <c r="H306" s="102">
        <v>15</v>
      </c>
      <c r="I306" s="103">
        <f t="shared" si="21"/>
        <v>4500</v>
      </c>
      <c r="J306" s="103">
        <f t="shared" si="20"/>
        <v>2999.9999999999995</v>
      </c>
    </row>
    <row r="307" spans="1:10">
      <c r="A307" s="102"/>
      <c r="B307" s="102"/>
      <c r="C307" s="103">
        <v>20000</v>
      </c>
      <c r="D307" s="104" t="s">
        <v>2246</v>
      </c>
      <c r="E307" s="105">
        <v>2300</v>
      </c>
      <c r="F307" s="102">
        <v>1</v>
      </c>
      <c r="G307" s="208">
        <v>0.06</v>
      </c>
      <c r="H307" s="102" t="s">
        <v>664</v>
      </c>
      <c r="I307" s="103">
        <f t="shared" si="21"/>
        <v>300</v>
      </c>
      <c r="J307" s="103">
        <f t="shared" si="20"/>
        <v>174.99999999999997</v>
      </c>
    </row>
    <row r="308" spans="1:10">
      <c r="A308" s="102"/>
      <c r="B308" s="102"/>
      <c r="C308" s="103">
        <v>37500</v>
      </c>
      <c r="D308" s="104" t="s">
        <v>2166</v>
      </c>
      <c r="E308" s="105">
        <v>1410</v>
      </c>
      <c r="F308" s="102">
        <v>3</v>
      </c>
      <c r="G308" s="208">
        <f t="shared" ref="G308:G313" si="23">E308/(C308*H308/30)</f>
        <v>7.5200000000000003E-2</v>
      </c>
      <c r="H308" s="102">
        <v>15</v>
      </c>
      <c r="I308" s="103">
        <f t="shared" si="21"/>
        <v>4230</v>
      </c>
      <c r="J308" s="103">
        <f t="shared" si="20"/>
        <v>2823.75</v>
      </c>
    </row>
    <row r="309" spans="1:10">
      <c r="A309" s="102"/>
      <c r="B309" s="102"/>
      <c r="C309" s="103">
        <v>10000</v>
      </c>
      <c r="D309" s="104" t="s">
        <v>2166</v>
      </c>
      <c r="E309" s="105">
        <v>375</v>
      </c>
      <c r="F309" s="102">
        <v>3</v>
      </c>
      <c r="G309" s="208">
        <f t="shared" si="23"/>
        <v>7.4999999999999997E-2</v>
      </c>
      <c r="H309" s="102">
        <v>15</v>
      </c>
      <c r="I309" s="103">
        <f t="shared" si="21"/>
        <v>1125</v>
      </c>
      <c r="J309" s="103">
        <f t="shared" si="20"/>
        <v>749.99999999999989</v>
      </c>
    </row>
    <row r="310" spans="1:10">
      <c r="A310" s="102">
        <v>35</v>
      </c>
      <c r="B310" s="102" t="s">
        <v>2171</v>
      </c>
      <c r="C310" s="103">
        <v>80000</v>
      </c>
      <c r="D310" s="104" t="s">
        <v>208</v>
      </c>
      <c r="E310" s="105">
        <v>3000</v>
      </c>
      <c r="F310" s="102">
        <v>2</v>
      </c>
      <c r="G310" s="208">
        <f t="shared" si="23"/>
        <v>7.4999999999999997E-2</v>
      </c>
      <c r="H310" s="102">
        <v>15</v>
      </c>
      <c r="I310" s="103">
        <f t="shared" si="21"/>
        <v>6000</v>
      </c>
      <c r="J310" s="103">
        <f t="shared" si="20"/>
        <v>3999.9999999999995</v>
      </c>
    </row>
    <row r="311" spans="1:10">
      <c r="A311" s="102"/>
      <c r="B311" s="102"/>
      <c r="C311" s="103">
        <v>20000</v>
      </c>
      <c r="D311" s="104" t="s">
        <v>2172</v>
      </c>
      <c r="E311" s="105">
        <v>750</v>
      </c>
      <c r="F311" s="102">
        <v>2</v>
      </c>
      <c r="G311" s="208">
        <f t="shared" si="23"/>
        <v>7.4999999999999997E-2</v>
      </c>
      <c r="H311" s="102">
        <v>15</v>
      </c>
      <c r="I311" s="103">
        <f t="shared" si="21"/>
        <v>1500</v>
      </c>
      <c r="J311" s="103">
        <f t="shared" si="20"/>
        <v>999.99999999999989</v>
      </c>
    </row>
    <row r="312" spans="1:10">
      <c r="A312" s="102">
        <v>36</v>
      </c>
      <c r="B312" s="102" t="s">
        <v>2173</v>
      </c>
      <c r="C312" s="103">
        <v>50000</v>
      </c>
      <c r="D312" s="104" t="s">
        <v>2134</v>
      </c>
      <c r="E312" s="105">
        <v>1875</v>
      </c>
      <c r="F312" s="102">
        <v>19</v>
      </c>
      <c r="G312" s="208">
        <f t="shared" si="23"/>
        <v>7.4999999999999997E-2</v>
      </c>
      <c r="H312" s="102">
        <v>15</v>
      </c>
      <c r="I312" s="103">
        <f t="shared" si="21"/>
        <v>35625</v>
      </c>
      <c r="J312" s="103">
        <f t="shared" si="20"/>
        <v>23750</v>
      </c>
    </row>
    <row r="313" spans="1:10">
      <c r="A313" s="102"/>
      <c r="B313" s="102"/>
      <c r="C313" s="103">
        <v>50000</v>
      </c>
      <c r="D313" s="104" t="s">
        <v>2167</v>
      </c>
      <c r="E313" s="105">
        <v>1875</v>
      </c>
      <c r="F313" s="102">
        <v>16</v>
      </c>
      <c r="G313" s="208">
        <f t="shared" si="23"/>
        <v>7.4999999999999997E-2</v>
      </c>
      <c r="H313" s="102">
        <v>15</v>
      </c>
      <c r="I313" s="103">
        <f t="shared" si="21"/>
        <v>30000</v>
      </c>
      <c r="J313" s="103">
        <f t="shared" si="20"/>
        <v>20000</v>
      </c>
    </row>
    <row r="314" spans="1:10">
      <c r="A314" s="102"/>
      <c r="B314" s="102"/>
      <c r="C314" s="103">
        <v>50000</v>
      </c>
      <c r="D314" s="104" t="s">
        <v>2242</v>
      </c>
      <c r="E314" s="105">
        <v>5750</v>
      </c>
      <c r="F314" s="102">
        <v>5</v>
      </c>
      <c r="G314" s="208">
        <v>0.06</v>
      </c>
      <c r="H314" s="102" t="s">
        <v>664</v>
      </c>
      <c r="I314" s="103">
        <f t="shared" si="21"/>
        <v>3750</v>
      </c>
      <c r="J314" s="103">
        <f t="shared" si="20"/>
        <v>2187.4999999999995</v>
      </c>
    </row>
    <row r="315" spans="1:10">
      <c r="A315" s="102"/>
      <c r="B315" s="102"/>
      <c r="C315" s="103">
        <v>50000</v>
      </c>
      <c r="D315" s="104" t="s">
        <v>2303</v>
      </c>
      <c r="E315" s="105">
        <v>1875</v>
      </c>
      <c r="F315" s="102">
        <v>21</v>
      </c>
      <c r="G315" s="208">
        <f t="shared" ref="G315:G320" si="24">E315/(C315*H315/30)</f>
        <v>7.4999999999999997E-2</v>
      </c>
      <c r="H315" s="102">
        <v>15</v>
      </c>
      <c r="I315" s="103">
        <f t="shared" si="21"/>
        <v>39375</v>
      </c>
      <c r="J315" s="103">
        <f t="shared" si="20"/>
        <v>26250</v>
      </c>
    </row>
    <row r="316" spans="1:10">
      <c r="A316" s="102"/>
      <c r="B316" s="102"/>
      <c r="C316" s="103">
        <v>50000</v>
      </c>
      <c r="D316" s="104" t="s">
        <v>2280</v>
      </c>
      <c r="E316" s="105">
        <v>1875</v>
      </c>
      <c r="F316" s="102">
        <v>5</v>
      </c>
      <c r="G316" s="208">
        <f t="shared" si="24"/>
        <v>7.4999999999999997E-2</v>
      </c>
      <c r="H316" s="102">
        <v>15</v>
      </c>
      <c r="I316" s="103">
        <f t="shared" si="21"/>
        <v>9375</v>
      </c>
      <c r="J316" s="103">
        <f t="shared" si="20"/>
        <v>6250</v>
      </c>
    </row>
    <row r="317" spans="1:10">
      <c r="A317" s="102"/>
      <c r="B317" s="102"/>
      <c r="C317" s="103">
        <v>50000</v>
      </c>
      <c r="D317" s="104" t="s">
        <v>2244</v>
      </c>
      <c r="E317" s="105">
        <v>1875</v>
      </c>
      <c r="F317" s="102">
        <v>26</v>
      </c>
      <c r="G317" s="208">
        <f t="shared" si="24"/>
        <v>7.4999999999999997E-2</v>
      </c>
      <c r="H317" s="102">
        <v>15</v>
      </c>
      <c r="I317" s="103">
        <f t="shared" si="21"/>
        <v>48750</v>
      </c>
      <c r="J317" s="103">
        <f t="shared" si="20"/>
        <v>32500</v>
      </c>
    </row>
    <row r="318" spans="1:10">
      <c r="A318" s="102"/>
      <c r="B318" s="102"/>
      <c r="C318" s="103">
        <v>50000</v>
      </c>
      <c r="D318" s="104" t="s">
        <v>2115</v>
      </c>
      <c r="E318" s="105">
        <v>1875</v>
      </c>
      <c r="F318" s="102">
        <v>27</v>
      </c>
      <c r="G318" s="208">
        <f t="shared" si="24"/>
        <v>7.4999999999999997E-2</v>
      </c>
      <c r="H318" s="102">
        <v>15</v>
      </c>
      <c r="I318" s="103">
        <f t="shared" si="21"/>
        <v>50625</v>
      </c>
      <c r="J318" s="103">
        <f t="shared" si="20"/>
        <v>33750</v>
      </c>
    </row>
    <row r="319" spans="1:10">
      <c r="A319" s="102">
        <v>37</v>
      </c>
      <c r="B319" s="102" t="s">
        <v>2174</v>
      </c>
      <c r="C319" s="103">
        <v>15000</v>
      </c>
      <c r="D319" s="104" t="s">
        <v>2134</v>
      </c>
      <c r="E319" s="105">
        <v>560</v>
      </c>
      <c r="F319" s="102">
        <v>1</v>
      </c>
      <c r="G319" s="208">
        <f t="shared" si="24"/>
        <v>7.4666666666666673E-2</v>
      </c>
      <c r="H319" s="102">
        <v>15</v>
      </c>
      <c r="I319" s="103">
        <f t="shared" si="21"/>
        <v>560</v>
      </c>
      <c r="J319" s="103">
        <f t="shared" si="20"/>
        <v>372.50000000000006</v>
      </c>
    </row>
    <row r="320" spans="1:10">
      <c r="A320" s="102">
        <v>39</v>
      </c>
      <c r="B320" s="102" t="s">
        <v>2175</v>
      </c>
      <c r="C320" s="103">
        <v>60000</v>
      </c>
      <c r="D320" s="104" t="s">
        <v>2287</v>
      </c>
      <c r="E320" s="105">
        <v>2250</v>
      </c>
      <c r="F320" s="102">
        <v>13</v>
      </c>
      <c r="G320" s="208">
        <f t="shared" si="24"/>
        <v>7.4999999999999997E-2</v>
      </c>
      <c r="H320" s="102">
        <v>15</v>
      </c>
      <c r="I320" s="103">
        <f t="shared" si="21"/>
        <v>29250</v>
      </c>
      <c r="J320" s="103">
        <f t="shared" si="20"/>
        <v>19499.999999999996</v>
      </c>
    </row>
    <row r="321" spans="1:10">
      <c r="A321" s="102">
        <v>40</v>
      </c>
      <c r="B321" s="102" t="s">
        <v>2176</v>
      </c>
      <c r="C321" s="103">
        <v>10000</v>
      </c>
      <c r="D321" s="104" t="s">
        <v>2177</v>
      </c>
      <c r="E321" s="105">
        <v>1150</v>
      </c>
      <c r="F321" s="102">
        <v>2</v>
      </c>
      <c r="G321" s="208">
        <v>0.06</v>
      </c>
      <c r="H321" s="102" t="s">
        <v>664</v>
      </c>
      <c r="I321" s="103">
        <f t="shared" si="21"/>
        <v>300</v>
      </c>
      <c r="J321" s="103">
        <f t="shared" si="20"/>
        <v>174.99999999999997</v>
      </c>
    </row>
    <row r="322" spans="1:10">
      <c r="A322" s="102"/>
      <c r="B322" s="102"/>
      <c r="C322" s="103">
        <v>15000</v>
      </c>
      <c r="D322" s="110" t="s">
        <v>2431</v>
      </c>
      <c r="E322" s="105">
        <v>565</v>
      </c>
      <c r="F322" s="102">
        <v>6</v>
      </c>
      <c r="G322" s="208">
        <f t="shared" ref="G322:G327" si="25">E322/(C322*H322/30)</f>
        <v>7.5333333333333335E-2</v>
      </c>
      <c r="H322" s="102">
        <v>15</v>
      </c>
      <c r="I322" s="103">
        <f t="shared" si="21"/>
        <v>3390</v>
      </c>
      <c r="J322" s="103">
        <f t="shared" si="20"/>
        <v>2265</v>
      </c>
    </row>
    <row r="323" spans="1:10">
      <c r="A323" s="102"/>
      <c r="B323" s="102"/>
      <c r="C323" s="103">
        <v>10000</v>
      </c>
      <c r="D323" s="104" t="s">
        <v>2252</v>
      </c>
      <c r="E323" s="105">
        <v>375</v>
      </c>
      <c r="F323" s="102">
        <v>5</v>
      </c>
      <c r="G323" s="208">
        <f t="shared" si="25"/>
        <v>7.4999999999999997E-2</v>
      </c>
      <c r="H323" s="102">
        <v>15</v>
      </c>
      <c r="I323" s="103">
        <f t="shared" si="21"/>
        <v>1875</v>
      </c>
      <c r="J323" s="103">
        <f t="shared" ref="J323:J334" si="26">IF(H323="分期",C323*(G323-0.025)*2.5*F323/10,C323*(G323-0.025)*H323*F323/30)</f>
        <v>1249.9999999999998</v>
      </c>
    </row>
    <row r="324" spans="1:10">
      <c r="A324" s="102">
        <v>41</v>
      </c>
      <c r="B324" s="102" t="s">
        <v>2178</v>
      </c>
      <c r="C324" s="103">
        <v>135000</v>
      </c>
      <c r="D324" s="110" t="s">
        <v>2432</v>
      </c>
      <c r="E324" s="105">
        <v>5063</v>
      </c>
      <c r="F324" s="102">
        <v>1</v>
      </c>
      <c r="G324" s="208">
        <f t="shared" si="25"/>
        <v>7.5007407407407412E-2</v>
      </c>
      <c r="H324" s="102">
        <v>15</v>
      </c>
      <c r="I324" s="103">
        <f t="shared" si="21"/>
        <v>5063</v>
      </c>
      <c r="J324" s="103">
        <f t="shared" si="26"/>
        <v>3375.5</v>
      </c>
    </row>
    <row r="325" spans="1:10">
      <c r="A325" s="102"/>
      <c r="B325" s="102"/>
      <c r="C325" s="103">
        <v>65000</v>
      </c>
      <c r="D325" s="110" t="s">
        <v>2432</v>
      </c>
      <c r="E325" s="105">
        <v>3650</v>
      </c>
      <c r="F325" s="102">
        <v>1</v>
      </c>
      <c r="G325" s="208">
        <f t="shared" si="25"/>
        <v>8.423076923076922E-2</v>
      </c>
      <c r="H325" s="102">
        <v>20</v>
      </c>
      <c r="I325" s="103">
        <f t="shared" si="21"/>
        <v>3649.9999999999995</v>
      </c>
      <c r="J325" s="103">
        <f t="shared" si="26"/>
        <v>2566.6666666666661</v>
      </c>
    </row>
    <row r="326" spans="1:10">
      <c r="A326" s="102">
        <v>43</v>
      </c>
      <c r="B326" s="102" t="s">
        <v>2179</v>
      </c>
      <c r="C326" s="103">
        <v>20000</v>
      </c>
      <c r="D326" s="104" t="s">
        <v>2180</v>
      </c>
      <c r="E326" s="105">
        <v>750</v>
      </c>
      <c r="F326" s="102">
        <v>7</v>
      </c>
      <c r="G326" s="208">
        <f t="shared" si="25"/>
        <v>7.4999999999999997E-2</v>
      </c>
      <c r="H326" s="102">
        <v>15</v>
      </c>
      <c r="I326" s="103">
        <f t="shared" si="21"/>
        <v>5250</v>
      </c>
      <c r="J326" s="103">
        <f t="shared" si="26"/>
        <v>3499.9999999999995</v>
      </c>
    </row>
    <row r="327" spans="1:10">
      <c r="A327" s="102"/>
      <c r="B327" s="102"/>
      <c r="C327" s="103">
        <v>60000</v>
      </c>
      <c r="D327" s="104" t="s">
        <v>2182</v>
      </c>
      <c r="E327" s="105">
        <v>2000</v>
      </c>
      <c r="F327" s="102">
        <v>1</v>
      </c>
      <c r="G327" s="208">
        <f t="shared" si="25"/>
        <v>6.6666666666666666E-2</v>
      </c>
      <c r="H327" s="102">
        <v>15</v>
      </c>
      <c r="I327" s="103">
        <f t="shared" si="21"/>
        <v>2000</v>
      </c>
      <c r="J327" s="103">
        <f t="shared" si="26"/>
        <v>1250</v>
      </c>
    </row>
    <row r="328" spans="1:10">
      <c r="A328" s="102"/>
      <c r="B328" s="102"/>
      <c r="C328" s="103">
        <v>20000</v>
      </c>
      <c r="D328" s="104" t="s">
        <v>2185</v>
      </c>
      <c r="E328" s="105">
        <v>2400</v>
      </c>
      <c r="F328" s="102">
        <v>10</v>
      </c>
      <c r="G328" s="208">
        <v>0.06</v>
      </c>
      <c r="H328" s="102" t="s">
        <v>2184</v>
      </c>
      <c r="I328" s="103">
        <f t="shared" si="21"/>
        <v>3000</v>
      </c>
      <c r="J328" s="103">
        <f t="shared" si="26"/>
        <v>1749.9999999999995</v>
      </c>
    </row>
    <row r="329" spans="1:10">
      <c r="A329" s="102"/>
      <c r="B329" s="102"/>
      <c r="C329" s="103">
        <v>60000</v>
      </c>
      <c r="D329" s="104" t="s">
        <v>2181</v>
      </c>
      <c r="E329" s="105">
        <v>2250</v>
      </c>
      <c r="F329" s="102">
        <v>5</v>
      </c>
      <c r="G329" s="208">
        <f>E329/(C329*H329/30)</f>
        <v>7.4999999999999997E-2</v>
      </c>
      <c r="H329" s="102">
        <v>15</v>
      </c>
      <c r="I329" s="103">
        <f t="shared" si="21"/>
        <v>11250</v>
      </c>
      <c r="J329" s="103">
        <f t="shared" si="26"/>
        <v>7499.9999999999991</v>
      </c>
    </row>
    <row r="330" spans="1:10">
      <c r="A330" s="102"/>
      <c r="B330" s="102"/>
      <c r="C330" s="103">
        <v>20000</v>
      </c>
      <c r="D330" s="104" t="s">
        <v>2183</v>
      </c>
      <c r="E330" s="105">
        <v>2400</v>
      </c>
      <c r="F330" s="102">
        <v>10</v>
      </c>
      <c r="G330" s="208">
        <v>0.06</v>
      </c>
      <c r="H330" s="102" t="s">
        <v>2184</v>
      </c>
      <c r="I330" s="103">
        <f t="shared" si="21"/>
        <v>3000</v>
      </c>
      <c r="J330" s="103">
        <f t="shared" si="26"/>
        <v>1749.9999999999995</v>
      </c>
    </row>
    <row r="331" spans="1:10">
      <c r="A331" s="102"/>
      <c r="B331" s="102"/>
      <c r="C331" s="103">
        <v>20000</v>
      </c>
      <c r="D331" s="104" t="s">
        <v>2186</v>
      </c>
      <c r="E331" s="105">
        <v>2300</v>
      </c>
      <c r="F331" s="102">
        <v>1</v>
      </c>
      <c r="G331" s="208">
        <v>0.06</v>
      </c>
      <c r="H331" s="102" t="s">
        <v>2184</v>
      </c>
      <c r="I331" s="103">
        <f t="shared" si="21"/>
        <v>300</v>
      </c>
      <c r="J331" s="103">
        <f t="shared" si="26"/>
        <v>174.99999999999997</v>
      </c>
    </row>
    <row r="332" spans="1:10">
      <c r="A332" s="102">
        <v>44</v>
      </c>
      <c r="B332" s="102" t="s">
        <v>2187</v>
      </c>
      <c r="C332" s="103">
        <v>120000</v>
      </c>
      <c r="D332" s="104" t="s">
        <v>2180</v>
      </c>
      <c r="E332" s="105">
        <v>4500</v>
      </c>
      <c r="F332" s="102">
        <v>1</v>
      </c>
      <c r="G332" s="208">
        <f>E332/(C332*H332/30)</f>
        <v>7.4999999999999997E-2</v>
      </c>
      <c r="H332" s="102">
        <v>15</v>
      </c>
      <c r="I332" s="103">
        <f t="shared" si="21"/>
        <v>4500</v>
      </c>
      <c r="J332" s="103">
        <f t="shared" si="26"/>
        <v>2999.9999999999995</v>
      </c>
    </row>
    <row r="333" spans="1:10">
      <c r="A333" s="102"/>
      <c r="B333" s="102"/>
      <c r="C333" s="103">
        <v>50000</v>
      </c>
      <c r="D333" s="104" t="s">
        <v>2189</v>
      </c>
      <c r="E333" s="105">
        <v>1875</v>
      </c>
      <c r="F333" s="102">
        <v>25</v>
      </c>
      <c r="G333" s="208">
        <f>E333/(C333*H333/30)</f>
        <v>7.4999999999999997E-2</v>
      </c>
      <c r="H333" s="102">
        <v>15</v>
      </c>
      <c r="I333" s="103">
        <f t="shared" si="21"/>
        <v>46875</v>
      </c>
      <c r="J333" s="103">
        <f t="shared" si="26"/>
        <v>31250</v>
      </c>
    </row>
    <row r="334" spans="1:10">
      <c r="A334" s="102"/>
      <c r="B334" s="102"/>
      <c r="C334" s="103">
        <v>430000</v>
      </c>
      <c r="D334" s="104" t="s">
        <v>2188</v>
      </c>
      <c r="E334" s="105">
        <v>16125</v>
      </c>
      <c r="F334" s="102">
        <v>14</v>
      </c>
      <c r="G334" s="208">
        <f>E334/(C334*H334/30)</f>
        <v>7.4999999999999997E-2</v>
      </c>
      <c r="H334" s="102">
        <v>15</v>
      </c>
      <c r="I334" s="103">
        <f t="shared" si="21"/>
        <v>225750</v>
      </c>
      <c r="J334" s="103">
        <f t="shared" si="26"/>
        <v>150500</v>
      </c>
    </row>
    <row r="335" spans="1:10">
      <c r="A335" s="102"/>
      <c r="B335" s="102"/>
      <c r="C335" s="103">
        <v>50000</v>
      </c>
      <c r="D335" s="104" t="s">
        <v>2190</v>
      </c>
      <c r="E335" s="105">
        <v>10000</v>
      </c>
      <c r="F335" s="102">
        <v>5</v>
      </c>
      <c r="G335" s="208">
        <v>0.06</v>
      </c>
      <c r="H335" s="125" t="s">
        <v>2433</v>
      </c>
      <c r="I335" s="103">
        <f>IF(H335="分期-30天",C335*G335*F335,C335*G335*H335*F335/30)</f>
        <v>15000</v>
      </c>
      <c r="J335" s="103">
        <f>IF(H335="分期-30天",C335*(G335-0.025)*2.5*F335/10,C335*(G335-0.025)*H335*F335/30)</f>
        <v>2187.4999999999995</v>
      </c>
    </row>
    <row r="336" spans="1:10">
      <c r="A336" s="102">
        <v>45</v>
      </c>
      <c r="B336" s="102" t="s">
        <v>2191</v>
      </c>
      <c r="C336" s="103">
        <v>20000</v>
      </c>
      <c r="D336" s="104" t="s">
        <v>2192</v>
      </c>
      <c r="E336" s="105">
        <v>2300</v>
      </c>
      <c r="F336" s="102">
        <v>10</v>
      </c>
      <c r="G336" s="208">
        <v>0.06</v>
      </c>
      <c r="H336" s="102" t="s">
        <v>2184</v>
      </c>
      <c r="I336" s="103">
        <f t="shared" ref="I336:I399" si="27">IF(H336="分期",C336*G336*2.5*F336/10,C336*G336*H336*F336/30)</f>
        <v>3000</v>
      </c>
      <c r="J336" s="103">
        <f t="shared" ref="J336:J399" si="28">IF(H336="分期",C336*(G336-0.025)*2.5*F336/10,C336*(G336-0.025)*H336*F336/30)</f>
        <v>1749.9999999999995</v>
      </c>
    </row>
    <row r="337" spans="1:10">
      <c r="A337" s="102">
        <v>46</v>
      </c>
      <c r="B337" s="102" t="s">
        <v>2193</v>
      </c>
      <c r="C337" s="103">
        <v>10000</v>
      </c>
      <c r="D337" s="104" t="s">
        <v>2182</v>
      </c>
      <c r="E337" s="105">
        <v>375</v>
      </c>
      <c r="F337" s="102">
        <v>18</v>
      </c>
      <c r="G337" s="208">
        <f>E337/(C337*H337/30)</f>
        <v>7.4999999999999997E-2</v>
      </c>
      <c r="H337" s="102">
        <v>15</v>
      </c>
      <c r="I337" s="103">
        <f t="shared" si="27"/>
        <v>6750</v>
      </c>
      <c r="J337" s="103">
        <f t="shared" si="28"/>
        <v>4499.9999999999991</v>
      </c>
    </row>
    <row r="338" spans="1:10">
      <c r="A338" s="102"/>
      <c r="B338" s="102"/>
      <c r="C338" s="103">
        <v>20000</v>
      </c>
      <c r="D338" s="104" t="s">
        <v>2194</v>
      </c>
      <c r="E338" s="105">
        <v>2400</v>
      </c>
      <c r="F338" s="102">
        <v>10</v>
      </c>
      <c r="G338" s="208">
        <v>0.06</v>
      </c>
      <c r="H338" s="102" t="s">
        <v>2184</v>
      </c>
      <c r="I338" s="103">
        <f t="shared" si="27"/>
        <v>3000</v>
      </c>
      <c r="J338" s="103">
        <f t="shared" si="28"/>
        <v>1749.9999999999995</v>
      </c>
    </row>
    <row r="339" spans="1:10">
      <c r="A339" s="102"/>
      <c r="B339" s="102"/>
      <c r="C339" s="103">
        <v>20000</v>
      </c>
      <c r="D339" s="104" t="s">
        <v>2195</v>
      </c>
      <c r="E339" s="105">
        <v>2400</v>
      </c>
      <c r="F339" s="102">
        <v>10</v>
      </c>
      <c r="G339" s="208">
        <v>0.06</v>
      </c>
      <c r="H339" s="102" t="s">
        <v>2184</v>
      </c>
      <c r="I339" s="103">
        <f t="shared" si="27"/>
        <v>3000</v>
      </c>
      <c r="J339" s="103">
        <f t="shared" si="28"/>
        <v>1749.9999999999995</v>
      </c>
    </row>
    <row r="340" spans="1:10">
      <c r="A340" s="102"/>
      <c r="B340" s="102"/>
      <c r="C340" s="103">
        <v>20000</v>
      </c>
      <c r="D340" s="104" t="s">
        <v>2198</v>
      </c>
      <c r="E340" s="105">
        <v>750</v>
      </c>
      <c r="F340" s="102">
        <v>17</v>
      </c>
      <c r="G340" s="208">
        <f>E340/(C340*H340/30)</f>
        <v>7.4999999999999997E-2</v>
      </c>
      <c r="H340" s="102">
        <v>15</v>
      </c>
      <c r="I340" s="103">
        <f t="shared" si="27"/>
        <v>12750</v>
      </c>
      <c r="J340" s="103">
        <f t="shared" si="28"/>
        <v>8499.9999999999982</v>
      </c>
    </row>
    <row r="341" spans="1:10">
      <c r="A341" s="102"/>
      <c r="B341" s="102"/>
      <c r="C341" s="103">
        <v>20000</v>
      </c>
      <c r="D341" s="104" t="s">
        <v>2196</v>
      </c>
      <c r="E341" s="105">
        <v>2300</v>
      </c>
      <c r="F341" s="102">
        <v>10</v>
      </c>
      <c r="G341" s="208">
        <v>0.06</v>
      </c>
      <c r="H341" s="102" t="s">
        <v>2184</v>
      </c>
      <c r="I341" s="103">
        <f t="shared" si="27"/>
        <v>3000</v>
      </c>
      <c r="J341" s="103">
        <f t="shared" si="28"/>
        <v>1749.9999999999995</v>
      </c>
    </row>
    <row r="342" spans="1:10">
      <c r="A342" s="102"/>
      <c r="B342" s="102"/>
      <c r="C342" s="103">
        <v>20000</v>
      </c>
      <c r="D342" s="104" t="s">
        <v>2199</v>
      </c>
      <c r="E342" s="105">
        <v>2300</v>
      </c>
      <c r="F342" s="102">
        <v>10</v>
      </c>
      <c r="G342" s="208">
        <v>0.06</v>
      </c>
      <c r="H342" s="102" t="s">
        <v>2184</v>
      </c>
      <c r="I342" s="103">
        <f t="shared" si="27"/>
        <v>3000</v>
      </c>
      <c r="J342" s="103">
        <f t="shared" si="28"/>
        <v>1749.9999999999995</v>
      </c>
    </row>
    <row r="343" spans="1:10">
      <c r="A343" s="102"/>
      <c r="B343" s="102"/>
      <c r="C343" s="103">
        <v>20000</v>
      </c>
      <c r="D343" s="104" t="s">
        <v>2197</v>
      </c>
      <c r="E343" s="105">
        <v>2300</v>
      </c>
      <c r="F343" s="102">
        <v>10</v>
      </c>
      <c r="G343" s="208">
        <v>0.06</v>
      </c>
      <c r="H343" s="102" t="s">
        <v>2184</v>
      </c>
      <c r="I343" s="103">
        <f t="shared" si="27"/>
        <v>3000</v>
      </c>
      <c r="J343" s="103">
        <f t="shared" si="28"/>
        <v>1749.9999999999995</v>
      </c>
    </row>
    <row r="344" spans="1:10">
      <c r="A344" s="102"/>
      <c r="B344" s="102"/>
      <c r="C344" s="103">
        <v>10000</v>
      </c>
      <c r="D344" s="104" t="s">
        <v>2200</v>
      </c>
      <c r="E344" s="105">
        <v>1150</v>
      </c>
      <c r="F344" s="102">
        <v>9</v>
      </c>
      <c r="G344" s="208">
        <v>0.06</v>
      </c>
      <c r="H344" s="102" t="s">
        <v>2184</v>
      </c>
      <c r="I344" s="103">
        <f t="shared" si="27"/>
        <v>1350</v>
      </c>
      <c r="J344" s="103">
        <f t="shared" si="28"/>
        <v>787.49999999999989</v>
      </c>
    </row>
    <row r="345" spans="1:10">
      <c r="A345" s="102">
        <v>47</v>
      </c>
      <c r="B345" s="102" t="s">
        <v>2201</v>
      </c>
      <c r="C345" s="103">
        <v>50000</v>
      </c>
      <c r="D345" s="104" t="s">
        <v>2195</v>
      </c>
      <c r="E345" s="105">
        <v>1875</v>
      </c>
      <c r="F345" s="102">
        <v>10</v>
      </c>
      <c r="G345" s="208">
        <f t="shared" ref="G345:G350" si="29">E345/(C345*H345/30)</f>
        <v>7.4999999999999997E-2</v>
      </c>
      <c r="H345" s="102">
        <v>15</v>
      </c>
      <c r="I345" s="103">
        <f t="shared" si="27"/>
        <v>18750</v>
      </c>
      <c r="J345" s="103">
        <f t="shared" si="28"/>
        <v>12500</v>
      </c>
    </row>
    <row r="346" spans="1:10">
      <c r="A346" s="102"/>
      <c r="B346" s="102"/>
      <c r="C346" s="103">
        <v>150000</v>
      </c>
      <c r="D346" s="104" t="s">
        <v>2202</v>
      </c>
      <c r="E346" s="105">
        <v>5625</v>
      </c>
      <c r="F346" s="102">
        <v>8</v>
      </c>
      <c r="G346" s="208">
        <f t="shared" si="29"/>
        <v>7.4999999999999997E-2</v>
      </c>
      <c r="H346" s="102">
        <v>15</v>
      </c>
      <c r="I346" s="103">
        <f t="shared" si="27"/>
        <v>45000</v>
      </c>
      <c r="J346" s="103">
        <f t="shared" si="28"/>
        <v>29999.999999999996</v>
      </c>
    </row>
    <row r="347" spans="1:10">
      <c r="A347" s="102"/>
      <c r="B347" s="102"/>
      <c r="C347" s="103">
        <v>450000</v>
      </c>
      <c r="D347" s="104" t="s">
        <v>2195</v>
      </c>
      <c r="E347" s="105">
        <v>16875</v>
      </c>
      <c r="F347" s="102">
        <v>9</v>
      </c>
      <c r="G347" s="208">
        <f t="shared" si="29"/>
        <v>7.4999999999999997E-2</v>
      </c>
      <c r="H347" s="102">
        <v>15</v>
      </c>
      <c r="I347" s="103">
        <f t="shared" si="27"/>
        <v>151875</v>
      </c>
      <c r="J347" s="103">
        <f t="shared" si="28"/>
        <v>101249.99999999999</v>
      </c>
    </row>
    <row r="348" spans="1:10">
      <c r="A348" s="102"/>
      <c r="B348" s="102"/>
      <c r="C348" s="103">
        <v>40000</v>
      </c>
      <c r="D348" s="104" t="s">
        <v>2203</v>
      </c>
      <c r="E348" s="105">
        <v>1500</v>
      </c>
      <c r="F348" s="102">
        <v>10</v>
      </c>
      <c r="G348" s="208">
        <f t="shared" si="29"/>
        <v>7.4999999999999997E-2</v>
      </c>
      <c r="H348" s="102">
        <v>15</v>
      </c>
      <c r="I348" s="103">
        <f t="shared" si="27"/>
        <v>15000</v>
      </c>
      <c r="J348" s="103">
        <f t="shared" si="28"/>
        <v>9999.9999999999982</v>
      </c>
    </row>
    <row r="349" spans="1:10">
      <c r="A349" s="102">
        <v>48</v>
      </c>
      <c r="B349" s="102" t="s">
        <v>2204</v>
      </c>
      <c r="C349" s="103">
        <v>15000</v>
      </c>
      <c r="D349" s="104" t="s">
        <v>2182</v>
      </c>
      <c r="E349" s="105">
        <v>560</v>
      </c>
      <c r="F349" s="102">
        <v>10</v>
      </c>
      <c r="G349" s="208">
        <f t="shared" si="29"/>
        <v>7.4666666666666673E-2</v>
      </c>
      <c r="H349" s="102">
        <v>15</v>
      </c>
      <c r="I349" s="103">
        <f t="shared" si="27"/>
        <v>5600</v>
      </c>
      <c r="J349" s="103">
        <f t="shared" si="28"/>
        <v>3725.0000000000005</v>
      </c>
    </row>
    <row r="350" spans="1:10">
      <c r="A350" s="102"/>
      <c r="B350" s="102"/>
      <c r="C350" s="103">
        <v>10000</v>
      </c>
      <c r="D350" s="104" t="s">
        <v>2182</v>
      </c>
      <c r="E350" s="105">
        <v>375</v>
      </c>
      <c r="F350" s="102">
        <v>10</v>
      </c>
      <c r="G350" s="208">
        <f t="shared" si="29"/>
        <v>7.4999999999999997E-2</v>
      </c>
      <c r="H350" s="102">
        <v>15</v>
      </c>
      <c r="I350" s="103">
        <f t="shared" si="27"/>
        <v>3750</v>
      </c>
      <c r="J350" s="103">
        <f t="shared" si="28"/>
        <v>2499.9999999999995</v>
      </c>
    </row>
    <row r="351" spans="1:10">
      <c r="A351" s="102"/>
      <c r="B351" s="102"/>
      <c r="C351" s="103">
        <v>20000</v>
      </c>
      <c r="D351" s="104" t="s">
        <v>2645</v>
      </c>
      <c r="E351" s="105">
        <v>2300</v>
      </c>
      <c r="F351" s="102">
        <v>10</v>
      </c>
      <c r="G351" s="208">
        <v>0.06</v>
      </c>
      <c r="H351" s="102" t="s">
        <v>2184</v>
      </c>
      <c r="I351" s="103">
        <f t="shared" si="27"/>
        <v>3000</v>
      </c>
      <c r="J351" s="103">
        <f t="shared" si="28"/>
        <v>1749.9999999999995</v>
      </c>
    </row>
    <row r="352" spans="1:10">
      <c r="A352" s="102"/>
      <c r="B352" s="102"/>
      <c r="C352" s="103">
        <v>30000</v>
      </c>
      <c r="D352" s="104" t="s">
        <v>2185</v>
      </c>
      <c r="E352" s="105">
        <v>1125</v>
      </c>
      <c r="F352" s="102">
        <v>19</v>
      </c>
      <c r="G352" s="208">
        <f>E352/(C352*H352/30)</f>
        <v>7.4999999999999997E-2</v>
      </c>
      <c r="H352" s="102">
        <v>15</v>
      </c>
      <c r="I352" s="103">
        <f t="shared" si="27"/>
        <v>21375</v>
      </c>
      <c r="J352" s="103">
        <f t="shared" si="28"/>
        <v>14249.999999999998</v>
      </c>
    </row>
    <row r="353" spans="1:10">
      <c r="A353" s="102"/>
      <c r="B353" s="102"/>
      <c r="C353" s="103">
        <v>20000</v>
      </c>
      <c r="D353" s="104" t="s">
        <v>2647</v>
      </c>
      <c r="E353" s="105">
        <v>750</v>
      </c>
      <c r="F353" s="102">
        <v>16</v>
      </c>
      <c r="G353" s="208">
        <f>E353/(C353*H353/30)</f>
        <v>7.4999999999999997E-2</v>
      </c>
      <c r="H353" s="102">
        <v>15</v>
      </c>
      <c r="I353" s="103">
        <f t="shared" si="27"/>
        <v>12000</v>
      </c>
      <c r="J353" s="103">
        <f t="shared" si="28"/>
        <v>7999.9999999999991</v>
      </c>
    </row>
    <row r="354" spans="1:10">
      <c r="A354" s="102"/>
      <c r="B354" s="102"/>
      <c r="C354" s="103">
        <v>50000</v>
      </c>
      <c r="D354" s="104" t="s">
        <v>2645</v>
      </c>
      <c r="E354" s="105">
        <v>1875</v>
      </c>
      <c r="F354" s="102">
        <v>12</v>
      </c>
      <c r="G354" s="208">
        <f>E354/(C354*H354/30)</f>
        <v>7.4999999999999997E-2</v>
      </c>
      <c r="H354" s="102">
        <v>15</v>
      </c>
      <c r="I354" s="103">
        <f t="shared" si="27"/>
        <v>22500</v>
      </c>
      <c r="J354" s="103">
        <f t="shared" si="28"/>
        <v>15000</v>
      </c>
    </row>
    <row r="355" spans="1:10">
      <c r="A355" s="102"/>
      <c r="B355" s="102"/>
      <c r="C355" s="103">
        <v>20000</v>
      </c>
      <c r="D355" s="104" t="s">
        <v>2199</v>
      </c>
      <c r="E355" s="105">
        <v>750</v>
      </c>
      <c r="F355" s="102">
        <v>5</v>
      </c>
      <c r="G355" s="208">
        <f>E355/(C355*H355/30)</f>
        <v>7.4999999999999997E-2</v>
      </c>
      <c r="H355" s="102">
        <v>15</v>
      </c>
      <c r="I355" s="103">
        <f t="shared" si="27"/>
        <v>3750</v>
      </c>
      <c r="J355" s="103">
        <f t="shared" si="28"/>
        <v>2499.9999999999995</v>
      </c>
    </row>
    <row r="356" spans="1:10">
      <c r="A356" s="102"/>
      <c r="B356" s="102"/>
      <c r="C356" s="103">
        <v>40000</v>
      </c>
      <c r="D356" s="104" t="s">
        <v>2646</v>
      </c>
      <c r="E356" s="105">
        <v>1500</v>
      </c>
      <c r="F356" s="102">
        <v>11</v>
      </c>
      <c r="G356" s="208">
        <f>E356/(C356*H356/30)</f>
        <v>7.4999999999999997E-2</v>
      </c>
      <c r="H356" s="102">
        <v>15</v>
      </c>
      <c r="I356" s="103">
        <f t="shared" si="27"/>
        <v>16500</v>
      </c>
      <c r="J356" s="103">
        <f t="shared" si="28"/>
        <v>10999.999999999998</v>
      </c>
    </row>
    <row r="357" spans="1:10">
      <c r="A357" s="102"/>
      <c r="B357" s="102"/>
      <c r="C357" s="103">
        <v>20000</v>
      </c>
      <c r="D357" s="104" t="s">
        <v>2648</v>
      </c>
      <c r="E357" s="105">
        <v>2300</v>
      </c>
      <c r="F357" s="102">
        <v>10</v>
      </c>
      <c r="G357" s="208">
        <v>0.06</v>
      </c>
      <c r="H357" s="102" t="s">
        <v>2184</v>
      </c>
      <c r="I357" s="103">
        <f t="shared" si="27"/>
        <v>3000</v>
      </c>
      <c r="J357" s="103">
        <f t="shared" si="28"/>
        <v>1749.9999999999995</v>
      </c>
    </row>
    <row r="358" spans="1:10">
      <c r="A358" s="102"/>
      <c r="B358" s="102"/>
      <c r="C358" s="103">
        <v>5000</v>
      </c>
      <c r="D358" s="104" t="s">
        <v>2649</v>
      </c>
      <c r="E358" s="105">
        <v>190</v>
      </c>
      <c r="F358" s="102">
        <v>6</v>
      </c>
      <c r="G358" s="208">
        <f>E358/(C358*H358/30)</f>
        <v>7.5999999999999998E-2</v>
      </c>
      <c r="H358" s="102">
        <v>15</v>
      </c>
      <c r="I358" s="103">
        <f t="shared" si="27"/>
        <v>1140</v>
      </c>
      <c r="J358" s="103">
        <f t="shared" si="28"/>
        <v>764.99999999999989</v>
      </c>
    </row>
    <row r="359" spans="1:10">
      <c r="A359" s="102"/>
      <c r="B359" s="102"/>
      <c r="C359" s="103">
        <v>350000</v>
      </c>
      <c r="D359" s="110" t="s">
        <v>2434</v>
      </c>
      <c r="E359" s="105">
        <v>13125</v>
      </c>
      <c r="F359" s="102">
        <v>6</v>
      </c>
      <c r="G359" s="208">
        <f>E359/(C359*H359/30)</f>
        <v>7.4999999999999997E-2</v>
      </c>
      <c r="H359" s="102">
        <v>15</v>
      </c>
      <c r="I359" s="103">
        <f t="shared" si="27"/>
        <v>78750</v>
      </c>
      <c r="J359" s="103">
        <f t="shared" si="28"/>
        <v>52500</v>
      </c>
    </row>
    <row r="360" spans="1:10">
      <c r="A360" s="102"/>
      <c r="B360" s="102"/>
      <c r="C360" s="103">
        <v>25000</v>
      </c>
      <c r="D360" s="104" t="s">
        <v>2650</v>
      </c>
      <c r="E360" s="105">
        <v>940</v>
      </c>
      <c r="F360" s="102">
        <v>1</v>
      </c>
      <c r="G360" s="208">
        <f>E360/(C360*H360/30)</f>
        <v>7.5200000000000003E-2</v>
      </c>
      <c r="H360" s="102">
        <v>15</v>
      </c>
      <c r="I360" s="103">
        <f t="shared" si="27"/>
        <v>940</v>
      </c>
      <c r="J360" s="103">
        <f t="shared" si="28"/>
        <v>627.5</v>
      </c>
    </row>
    <row r="361" spans="1:10">
      <c r="A361" s="102"/>
      <c r="B361" s="102"/>
      <c r="C361" s="103">
        <v>25000</v>
      </c>
      <c r="D361" s="104" t="s">
        <v>2651</v>
      </c>
      <c r="E361" s="105">
        <v>940</v>
      </c>
      <c r="F361" s="102">
        <v>19</v>
      </c>
      <c r="G361" s="208">
        <f>E361/(C361*H361/30)</f>
        <v>7.5200000000000003E-2</v>
      </c>
      <c r="H361" s="102">
        <v>15</v>
      </c>
      <c r="I361" s="103">
        <f t="shared" si="27"/>
        <v>17860</v>
      </c>
      <c r="J361" s="103">
        <f t="shared" si="28"/>
        <v>11922.5</v>
      </c>
    </row>
    <row r="362" spans="1:10">
      <c r="A362" s="102"/>
      <c r="B362" s="102"/>
      <c r="C362" s="103">
        <v>350000</v>
      </c>
      <c r="D362" s="110" t="s">
        <v>2434</v>
      </c>
      <c r="E362" s="105">
        <v>13125</v>
      </c>
      <c r="F362" s="102">
        <v>13</v>
      </c>
      <c r="G362" s="208">
        <f>E362/(C362*H362/30)</f>
        <v>7.4999999999999997E-2</v>
      </c>
      <c r="H362" s="102">
        <v>15</v>
      </c>
      <c r="I362" s="103">
        <f t="shared" si="27"/>
        <v>170625</v>
      </c>
      <c r="J362" s="103">
        <f t="shared" si="28"/>
        <v>113750</v>
      </c>
    </row>
    <row r="363" spans="1:10">
      <c r="A363" s="102"/>
      <c r="B363" s="102"/>
      <c r="C363" s="103">
        <v>5000</v>
      </c>
      <c r="D363" s="104" t="s">
        <v>2652</v>
      </c>
      <c r="E363" s="105">
        <v>575</v>
      </c>
      <c r="F363" s="102">
        <v>10</v>
      </c>
      <c r="G363" s="208">
        <v>0.06</v>
      </c>
      <c r="H363" s="102" t="s">
        <v>2184</v>
      </c>
      <c r="I363" s="103">
        <f t="shared" si="27"/>
        <v>750</v>
      </c>
      <c r="J363" s="103">
        <f t="shared" si="28"/>
        <v>437.49999999999989</v>
      </c>
    </row>
    <row r="364" spans="1:10">
      <c r="A364" s="102">
        <v>49</v>
      </c>
      <c r="B364" s="102" t="s">
        <v>2653</v>
      </c>
      <c r="C364" s="103">
        <v>30000</v>
      </c>
      <c r="D364" s="104" t="s">
        <v>2195</v>
      </c>
      <c r="E364" s="105">
        <v>1125</v>
      </c>
      <c r="F364" s="102">
        <v>20</v>
      </c>
      <c r="G364" s="208">
        <f t="shared" ref="G364:G379" si="30">E364/(C364*H364/30)</f>
        <v>7.4999999999999997E-2</v>
      </c>
      <c r="H364" s="102">
        <v>15</v>
      </c>
      <c r="I364" s="103">
        <f t="shared" si="27"/>
        <v>22500</v>
      </c>
      <c r="J364" s="103">
        <f t="shared" si="28"/>
        <v>14999.999999999998</v>
      </c>
    </row>
    <row r="365" spans="1:10">
      <c r="A365" s="102"/>
      <c r="B365" s="102"/>
      <c r="C365" s="103">
        <v>20000</v>
      </c>
      <c r="D365" s="104" t="s">
        <v>2144</v>
      </c>
      <c r="E365" s="105">
        <v>750</v>
      </c>
      <c r="F365" s="102">
        <v>2</v>
      </c>
      <c r="G365" s="208">
        <f t="shared" si="30"/>
        <v>7.4999999999999997E-2</v>
      </c>
      <c r="H365" s="102">
        <v>15</v>
      </c>
      <c r="I365" s="103">
        <f t="shared" si="27"/>
        <v>1500</v>
      </c>
      <c r="J365" s="103">
        <f t="shared" si="28"/>
        <v>999.99999999999989</v>
      </c>
    </row>
    <row r="366" spans="1:10">
      <c r="A366" s="102"/>
      <c r="B366" s="102"/>
      <c r="C366" s="103">
        <v>10000</v>
      </c>
      <c r="D366" s="104" t="s">
        <v>2144</v>
      </c>
      <c r="E366" s="105">
        <v>375</v>
      </c>
      <c r="F366" s="102">
        <v>8</v>
      </c>
      <c r="G366" s="208">
        <f t="shared" si="30"/>
        <v>7.4999999999999997E-2</v>
      </c>
      <c r="H366" s="102">
        <v>15</v>
      </c>
      <c r="I366" s="103">
        <f t="shared" si="27"/>
        <v>3000</v>
      </c>
      <c r="J366" s="103">
        <f t="shared" si="28"/>
        <v>1999.9999999999998</v>
      </c>
    </row>
    <row r="367" spans="1:10">
      <c r="A367" s="102"/>
      <c r="B367" s="102"/>
      <c r="C367" s="103">
        <v>90000</v>
      </c>
      <c r="D367" s="104" t="s">
        <v>2654</v>
      </c>
      <c r="E367" s="105">
        <v>3375</v>
      </c>
      <c r="F367" s="102">
        <v>28</v>
      </c>
      <c r="G367" s="208">
        <f t="shared" si="30"/>
        <v>7.4999999999999997E-2</v>
      </c>
      <c r="H367" s="102">
        <v>15</v>
      </c>
      <c r="I367" s="103">
        <f t="shared" si="27"/>
        <v>94500</v>
      </c>
      <c r="J367" s="103">
        <f t="shared" si="28"/>
        <v>63000</v>
      </c>
    </row>
    <row r="368" spans="1:10">
      <c r="A368" s="102"/>
      <c r="B368" s="102"/>
      <c r="C368" s="103">
        <v>10000</v>
      </c>
      <c r="D368" s="104" t="s">
        <v>2656</v>
      </c>
      <c r="E368" s="105">
        <v>375</v>
      </c>
      <c r="F368" s="102">
        <v>6</v>
      </c>
      <c r="G368" s="208">
        <f t="shared" si="30"/>
        <v>7.4999999999999997E-2</v>
      </c>
      <c r="H368" s="102">
        <v>15</v>
      </c>
      <c r="I368" s="103">
        <f t="shared" si="27"/>
        <v>2250</v>
      </c>
      <c r="J368" s="103">
        <f t="shared" si="28"/>
        <v>1499.9999999999998</v>
      </c>
    </row>
    <row r="369" spans="1:12">
      <c r="A369" s="102"/>
      <c r="B369" s="102"/>
      <c r="C369" s="103">
        <v>10000</v>
      </c>
      <c r="D369" s="104" t="s">
        <v>2657</v>
      </c>
      <c r="E369" s="105">
        <v>375</v>
      </c>
      <c r="F369" s="102">
        <v>6</v>
      </c>
      <c r="G369" s="208">
        <f t="shared" si="30"/>
        <v>7.4999999999999997E-2</v>
      </c>
      <c r="H369" s="102">
        <v>15</v>
      </c>
      <c r="I369" s="103">
        <f t="shared" si="27"/>
        <v>2250</v>
      </c>
      <c r="J369" s="103">
        <f t="shared" si="28"/>
        <v>1499.9999999999998</v>
      </c>
    </row>
    <row r="370" spans="1:12">
      <c r="A370" s="102"/>
      <c r="B370" s="102"/>
      <c r="C370" s="103">
        <v>10000</v>
      </c>
      <c r="D370" s="104" t="s">
        <v>2655</v>
      </c>
      <c r="E370" s="105">
        <v>375</v>
      </c>
      <c r="F370" s="102">
        <v>8</v>
      </c>
      <c r="G370" s="208">
        <f t="shared" si="30"/>
        <v>7.4999999999999997E-2</v>
      </c>
      <c r="H370" s="102">
        <v>15</v>
      </c>
      <c r="I370" s="103">
        <f t="shared" si="27"/>
        <v>3000</v>
      </c>
      <c r="J370" s="103">
        <f t="shared" si="28"/>
        <v>1999.9999999999998</v>
      </c>
    </row>
    <row r="371" spans="1:12">
      <c r="A371" s="102"/>
      <c r="B371" s="102"/>
      <c r="C371" s="103">
        <v>20000</v>
      </c>
      <c r="D371" s="104" t="s">
        <v>2658</v>
      </c>
      <c r="E371" s="105">
        <v>750</v>
      </c>
      <c r="F371" s="102">
        <v>5</v>
      </c>
      <c r="G371" s="208">
        <f t="shared" si="30"/>
        <v>7.4999999999999997E-2</v>
      </c>
      <c r="H371" s="102">
        <v>15</v>
      </c>
      <c r="I371" s="103">
        <f t="shared" si="27"/>
        <v>3750</v>
      </c>
      <c r="J371" s="103">
        <f t="shared" si="28"/>
        <v>2499.9999999999995</v>
      </c>
    </row>
    <row r="372" spans="1:12">
      <c r="A372" s="102"/>
      <c r="B372" s="102"/>
      <c r="C372" s="103">
        <v>20000</v>
      </c>
      <c r="D372" s="104" t="s">
        <v>2659</v>
      </c>
      <c r="E372" s="105">
        <v>750</v>
      </c>
      <c r="F372" s="102">
        <v>6</v>
      </c>
      <c r="G372" s="208">
        <f t="shared" si="30"/>
        <v>7.4999999999999997E-2</v>
      </c>
      <c r="H372" s="102">
        <v>15</v>
      </c>
      <c r="I372" s="103">
        <f t="shared" si="27"/>
        <v>4500</v>
      </c>
      <c r="J372" s="103">
        <f t="shared" si="28"/>
        <v>2999.9999999999995</v>
      </c>
    </row>
    <row r="373" spans="1:12">
      <c r="A373" s="102"/>
      <c r="B373" s="102"/>
      <c r="C373" s="103">
        <v>30000</v>
      </c>
      <c r="D373" s="104" t="s">
        <v>2660</v>
      </c>
      <c r="E373" s="105">
        <v>1125</v>
      </c>
      <c r="F373" s="102">
        <v>8</v>
      </c>
      <c r="G373" s="208">
        <f t="shared" si="30"/>
        <v>7.4999999999999997E-2</v>
      </c>
      <c r="H373" s="102">
        <v>15</v>
      </c>
      <c r="I373" s="103">
        <f t="shared" si="27"/>
        <v>9000</v>
      </c>
      <c r="J373" s="103">
        <f t="shared" si="28"/>
        <v>5999.9999999999991</v>
      </c>
    </row>
    <row r="374" spans="1:12">
      <c r="A374" s="102"/>
      <c r="B374" s="102"/>
      <c r="C374" s="103">
        <v>20000</v>
      </c>
      <c r="D374" s="104" t="s">
        <v>2652</v>
      </c>
      <c r="E374" s="105">
        <v>750</v>
      </c>
      <c r="F374" s="102">
        <v>8</v>
      </c>
      <c r="G374" s="208">
        <f t="shared" si="30"/>
        <v>7.4999999999999997E-2</v>
      </c>
      <c r="H374" s="102">
        <v>15</v>
      </c>
      <c r="I374" s="103">
        <f t="shared" si="27"/>
        <v>6000</v>
      </c>
      <c r="J374" s="103">
        <f t="shared" si="28"/>
        <v>3999.9999999999995</v>
      </c>
    </row>
    <row r="375" spans="1:12">
      <c r="A375" s="102"/>
      <c r="B375" s="102"/>
      <c r="C375" s="103">
        <v>20000</v>
      </c>
      <c r="D375" s="104" t="s">
        <v>2663</v>
      </c>
      <c r="E375" s="105">
        <v>750</v>
      </c>
      <c r="F375" s="102">
        <v>8</v>
      </c>
      <c r="G375" s="208">
        <f t="shared" si="30"/>
        <v>7.4999999999999997E-2</v>
      </c>
      <c r="H375" s="102">
        <v>15</v>
      </c>
      <c r="I375" s="103">
        <f t="shared" si="27"/>
        <v>6000</v>
      </c>
      <c r="J375" s="103">
        <f t="shared" si="28"/>
        <v>3999.9999999999995</v>
      </c>
    </row>
    <row r="376" spans="1:12">
      <c r="A376" s="102"/>
      <c r="B376" s="102"/>
      <c r="C376" s="103">
        <v>20000</v>
      </c>
      <c r="D376" s="104" t="s">
        <v>2661</v>
      </c>
      <c r="E376" s="105">
        <v>750</v>
      </c>
      <c r="F376" s="102">
        <v>7</v>
      </c>
      <c r="G376" s="208">
        <f t="shared" si="30"/>
        <v>7.4999999999999997E-2</v>
      </c>
      <c r="H376" s="102">
        <v>15</v>
      </c>
      <c r="I376" s="103">
        <f t="shared" si="27"/>
        <v>5250</v>
      </c>
      <c r="J376" s="103">
        <f t="shared" si="28"/>
        <v>3499.9999999999995</v>
      </c>
    </row>
    <row r="377" spans="1:12">
      <c r="A377" s="102"/>
      <c r="B377" s="102"/>
      <c r="C377" s="103">
        <v>20000</v>
      </c>
      <c r="D377" s="104" t="s">
        <v>2662</v>
      </c>
      <c r="E377" s="105">
        <v>750</v>
      </c>
      <c r="F377" s="102">
        <v>6</v>
      </c>
      <c r="G377" s="208">
        <f t="shared" si="30"/>
        <v>7.4999999999999997E-2</v>
      </c>
      <c r="H377" s="102">
        <v>15</v>
      </c>
      <c r="I377" s="103">
        <f t="shared" si="27"/>
        <v>4500</v>
      </c>
      <c r="J377" s="103">
        <f t="shared" si="28"/>
        <v>2999.9999999999995</v>
      </c>
    </row>
    <row r="378" spans="1:12">
      <c r="A378" s="102"/>
      <c r="B378" s="102"/>
      <c r="C378" s="103">
        <v>130000</v>
      </c>
      <c r="D378" s="104" t="s">
        <v>2646</v>
      </c>
      <c r="E378" s="105">
        <v>4875</v>
      </c>
      <c r="F378" s="102">
        <v>5</v>
      </c>
      <c r="G378" s="208">
        <f t="shared" si="30"/>
        <v>7.4999999999999997E-2</v>
      </c>
      <c r="H378" s="102">
        <v>15</v>
      </c>
      <c r="I378" s="103">
        <f t="shared" si="27"/>
        <v>24375</v>
      </c>
      <c r="J378" s="103">
        <f t="shared" si="28"/>
        <v>16249.999999999998</v>
      </c>
    </row>
    <row r="379" spans="1:12">
      <c r="A379" s="102">
        <v>50</v>
      </c>
      <c r="B379" s="102" t="s">
        <v>2664</v>
      </c>
      <c r="C379" s="103">
        <v>30000</v>
      </c>
      <c r="D379" s="104" t="s">
        <v>2195</v>
      </c>
      <c r="E379" s="105">
        <v>1125</v>
      </c>
      <c r="F379" s="102">
        <v>8</v>
      </c>
      <c r="G379" s="208">
        <f t="shared" si="30"/>
        <v>7.4999999999999997E-2</v>
      </c>
      <c r="H379" s="102">
        <v>15</v>
      </c>
      <c r="I379" s="103">
        <f t="shared" si="27"/>
        <v>9000</v>
      </c>
      <c r="J379" s="103">
        <f t="shared" si="28"/>
        <v>5999.9999999999991</v>
      </c>
    </row>
    <row r="380" spans="1:12">
      <c r="A380" s="102"/>
      <c r="B380" s="102"/>
      <c r="C380" s="103">
        <v>20000</v>
      </c>
      <c r="D380" s="104" t="s">
        <v>2665</v>
      </c>
      <c r="E380" s="105">
        <v>2400</v>
      </c>
      <c r="F380" s="102">
        <v>10</v>
      </c>
      <c r="G380" s="208">
        <v>0.06</v>
      </c>
      <c r="H380" s="102" t="s">
        <v>2184</v>
      </c>
      <c r="I380" s="103">
        <f t="shared" si="27"/>
        <v>3000</v>
      </c>
      <c r="J380" s="103">
        <f t="shared" si="28"/>
        <v>1749.9999999999995</v>
      </c>
    </row>
    <row r="381" spans="1:12">
      <c r="A381" s="102"/>
      <c r="B381" s="102"/>
      <c r="C381" s="103">
        <v>20000</v>
      </c>
      <c r="D381" s="104" t="s">
        <v>2190</v>
      </c>
      <c r="E381" s="105">
        <v>2400</v>
      </c>
      <c r="F381" s="102">
        <v>3</v>
      </c>
      <c r="G381" s="208">
        <v>0.06</v>
      </c>
      <c r="H381" s="102" t="s">
        <v>2184</v>
      </c>
      <c r="I381" s="103">
        <f t="shared" si="27"/>
        <v>900</v>
      </c>
      <c r="J381" s="103">
        <f t="shared" si="28"/>
        <v>524.99999999999989</v>
      </c>
    </row>
    <row r="382" spans="1:12">
      <c r="A382" s="102"/>
      <c r="B382" s="102"/>
      <c r="C382" s="103">
        <v>14000</v>
      </c>
      <c r="D382" s="104" t="s">
        <v>2666</v>
      </c>
      <c r="E382" s="105">
        <v>525</v>
      </c>
      <c r="F382" s="102">
        <v>3</v>
      </c>
      <c r="G382" s="208">
        <f>E382/(C382*H382/30)</f>
        <v>7.4999999999999997E-2</v>
      </c>
      <c r="H382" s="102">
        <v>15</v>
      </c>
      <c r="I382" s="103">
        <f t="shared" si="27"/>
        <v>1575</v>
      </c>
      <c r="J382" s="103">
        <f t="shared" si="28"/>
        <v>1049.9999999999998</v>
      </c>
    </row>
    <row r="383" spans="1:12" s="99" customFormat="1">
      <c r="A383" s="102">
        <v>56</v>
      </c>
      <c r="B383" s="102" t="s">
        <v>2667</v>
      </c>
      <c r="C383" s="103">
        <v>30000</v>
      </c>
      <c r="D383" s="104" t="s">
        <v>247</v>
      </c>
      <c r="E383" s="105">
        <v>3600</v>
      </c>
      <c r="F383" s="102">
        <v>5</v>
      </c>
      <c r="G383" s="208">
        <v>0.06</v>
      </c>
      <c r="H383" s="102" t="s">
        <v>664</v>
      </c>
      <c r="I383" s="103">
        <f t="shared" si="27"/>
        <v>2250</v>
      </c>
      <c r="J383" s="103">
        <f t="shared" si="28"/>
        <v>1312.5</v>
      </c>
      <c r="K383" s="97"/>
      <c r="L383" s="97"/>
    </row>
    <row r="384" spans="1:12" s="99" customFormat="1">
      <c r="A384" s="102"/>
      <c r="B384" s="102"/>
      <c r="C384" s="103">
        <v>40000</v>
      </c>
      <c r="D384" s="104" t="s">
        <v>1002</v>
      </c>
      <c r="E384" s="105">
        <v>4600</v>
      </c>
      <c r="F384" s="102">
        <v>10</v>
      </c>
      <c r="G384" s="208">
        <v>0.06</v>
      </c>
      <c r="H384" s="102" t="s">
        <v>664</v>
      </c>
      <c r="I384" s="103">
        <f t="shared" si="27"/>
        <v>6000</v>
      </c>
      <c r="J384" s="103">
        <f t="shared" si="28"/>
        <v>3499.9999999999991</v>
      </c>
      <c r="K384" s="97"/>
      <c r="L384" s="97"/>
    </row>
    <row r="385" spans="1:12" s="99" customFormat="1">
      <c r="A385" s="102"/>
      <c r="B385" s="102"/>
      <c r="C385" s="103">
        <v>50000</v>
      </c>
      <c r="D385" s="104" t="s">
        <v>269</v>
      </c>
      <c r="E385" s="105">
        <v>6000</v>
      </c>
      <c r="F385" s="102">
        <v>10</v>
      </c>
      <c r="G385" s="208">
        <v>0.06</v>
      </c>
      <c r="H385" s="102" t="s">
        <v>664</v>
      </c>
      <c r="I385" s="103">
        <f t="shared" si="27"/>
        <v>7500</v>
      </c>
      <c r="J385" s="103">
        <f t="shared" si="28"/>
        <v>4374.9999999999991</v>
      </c>
      <c r="K385" s="97"/>
      <c r="L385" s="97"/>
    </row>
    <row r="386" spans="1:12" s="99" customFormat="1">
      <c r="A386" s="102"/>
      <c r="B386" s="102"/>
      <c r="C386" s="103">
        <v>50000</v>
      </c>
      <c r="D386" s="104" t="s">
        <v>1982</v>
      </c>
      <c r="E386" s="105">
        <v>1875</v>
      </c>
      <c r="F386" s="102">
        <v>2</v>
      </c>
      <c r="G386" s="208">
        <f>E386/(C386*H386/30)</f>
        <v>7.4999999999999997E-2</v>
      </c>
      <c r="H386" s="102">
        <v>15</v>
      </c>
      <c r="I386" s="103">
        <f t="shared" si="27"/>
        <v>3750</v>
      </c>
      <c r="J386" s="103">
        <f t="shared" si="28"/>
        <v>2500</v>
      </c>
      <c r="K386" s="97"/>
      <c r="L386" s="97"/>
    </row>
    <row r="387" spans="1:12" s="99" customFormat="1">
      <c r="A387" s="102"/>
      <c r="B387" s="102"/>
      <c r="C387" s="103">
        <v>20000</v>
      </c>
      <c r="D387" s="110" t="s">
        <v>2435</v>
      </c>
      <c r="E387" s="105">
        <v>750</v>
      </c>
      <c r="F387" s="102">
        <v>1</v>
      </c>
      <c r="G387" s="208">
        <f>E387/(C387*H387/30)</f>
        <v>7.4999999999999997E-2</v>
      </c>
      <c r="H387" s="102">
        <v>15</v>
      </c>
      <c r="I387" s="103">
        <f t="shared" si="27"/>
        <v>750</v>
      </c>
      <c r="J387" s="103">
        <f t="shared" si="28"/>
        <v>499.99999999999994</v>
      </c>
      <c r="K387" s="97"/>
      <c r="L387" s="97"/>
    </row>
    <row r="388" spans="1:12" s="99" customFormat="1">
      <c r="A388" s="102"/>
      <c r="B388" s="102"/>
      <c r="C388" s="103">
        <v>30000</v>
      </c>
      <c r="D388" s="104" t="s">
        <v>1002</v>
      </c>
      <c r="E388" s="105">
        <v>1125</v>
      </c>
      <c r="F388" s="102">
        <v>1</v>
      </c>
      <c r="G388" s="208">
        <f>E388/(C388*H388/30)</f>
        <v>7.4999999999999997E-2</v>
      </c>
      <c r="H388" s="102">
        <v>15</v>
      </c>
      <c r="I388" s="103">
        <f t="shared" si="27"/>
        <v>1125</v>
      </c>
      <c r="J388" s="103">
        <f t="shared" si="28"/>
        <v>749.99999999999989</v>
      </c>
      <c r="K388" s="97"/>
      <c r="L388" s="97"/>
    </row>
    <row r="389" spans="1:12" s="99" customFormat="1">
      <c r="A389" s="102"/>
      <c r="B389" s="102"/>
      <c r="C389" s="103">
        <v>50000</v>
      </c>
      <c r="D389" s="104" t="s">
        <v>441</v>
      </c>
      <c r="E389" s="105">
        <v>1875</v>
      </c>
      <c r="F389" s="102">
        <v>7</v>
      </c>
      <c r="G389" s="208">
        <f>E389/(C389*H389/30)</f>
        <v>7.4999999999999997E-2</v>
      </c>
      <c r="H389" s="102">
        <v>15</v>
      </c>
      <c r="I389" s="103">
        <f t="shared" si="27"/>
        <v>13125</v>
      </c>
      <c r="J389" s="103">
        <f t="shared" si="28"/>
        <v>8750</v>
      </c>
      <c r="K389" s="97"/>
      <c r="L389" s="97"/>
    </row>
    <row r="390" spans="1:12" s="99" customFormat="1">
      <c r="A390" s="102"/>
      <c r="B390" s="102"/>
      <c r="C390" s="103">
        <v>40000</v>
      </c>
      <c r="D390" s="104" t="s">
        <v>3187</v>
      </c>
      <c r="E390" s="105">
        <v>4600</v>
      </c>
      <c r="F390" s="102">
        <v>6</v>
      </c>
      <c r="G390" s="208">
        <v>0.06</v>
      </c>
      <c r="H390" s="102" t="s">
        <v>664</v>
      </c>
      <c r="I390" s="103">
        <f t="shared" si="27"/>
        <v>3600</v>
      </c>
      <c r="J390" s="103">
        <f t="shared" si="28"/>
        <v>2099.9999999999995</v>
      </c>
      <c r="K390" s="97"/>
      <c r="L390" s="97"/>
    </row>
    <row r="391" spans="1:12" s="99" customFormat="1">
      <c r="A391" s="102">
        <v>57</v>
      </c>
      <c r="B391" s="102" t="s">
        <v>2668</v>
      </c>
      <c r="C391" s="103">
        <v>150000</v>
      </c>
      <c r="D391" s="104" t="s">
        <v>1669</v>
      </c>
      <c r="E391" s="105">
        <v>3750</v>
      </c>
      <c r="F391" s="102">
        <v>1</v>
      </c>
      <c r="G391" s="208">
        <f t="shared" ref="G391:G400" si="31">E391/(C391*H391/30)</f>
        <v>7.4999999999999997E-2</v>
      </c>
      <c r="H391" s="102">
        <v>10</v>
      </c>
      <c r="I391" s="103">
        <f t="shared" si="27"/>
        <v>3750</v>
      </c>
      <c r="J391" s="103">
        <f t="shared" si="28"/>
        <v>2499.9999999999995</v>
      </c>
      <c r="K391" s="97"/>
      <c r="L391" s="97"/>
    </row>
    <row r="392" spans="1:12" s="99" customFormat="1">
      <c r="A392" s="102">
        <v>58</v>
      </c>
      <c r="B392" s="102" t="s">
        <v>2669</v>
      </c>
      <c r="C392" s="103">
        <v>30000</v>
      </c>
      <c r="D392" s="104" t="s">
        <v>423</v>
      </c>
      <c r="E392" s="105">
        <v>2250</v>
      </c>
      <c r="F392" s="102">
        <v>1</v>
      </c>
      <c r="G392" s="208">
        <f t="shared" si="31"/>
        <v>7.4999999999999997E-2</v>
      </c>
      <c r="H392" s="102">
        <v>30</v>
      </c>
      <c r="I392" s="103">
        <f t="shared" si="27"/>
        <v>2250</v>
      </c>
      <c r="J392" s="103">
        <f t="shared" si="28"/>
        <v>1499.9999999999998</v>
      </c>
      <c r="K392" s="97"/>
      <c r="L392" s="97"/>
    </row>
    <row r="393" spans="1:12" s="99" customFormat="1">
      <c r="A393" s="102"/>
      <c r="B393" s="102"/>
      <c r="C393" s="103">
        <v>40000</v>
      </c>
      <c r="D393" s="104" t="s">
        <v>2121</v>
      </c>
      <c r="E393" s="105">
        <v>1500</v>
      </c>
      <c r="F393" s="102">
        <v>1</v>
      </c>
      <c r="G393" s="208">
        <f t="shared" si="31"/>
        <v>7.4999999999999997E-2</v>
      </c>
      <c r="H393" s="102">
        <v>15</v>
      </c>
      <c r="I393" s="103">
        <f t="shared" si="27"/>
        <v>1500</v>
      </c>
      <c r="J393" s="103">
        <f t="shared" si="28"/>
        <v>999.99999999999989</v>
      </c>
      <c r="K393" s="97"/>
      <c r="L393" s="97"/>
    </row>
    <row r="394" spans="1:12" s="99" customFormat="1">
      <c r="A394" s="102">
        <v>59</v>
      </c>
      <c r="B394" s="102" t="s">
        <v>2670</v>
      </c>
      <c r="C394" s="103">
        <v>55000</v>
      </c>
      <c r="D394" s="104" t="s">
        <v>1965</v>
      </c>
      <c r="E394" s="105">
        <v>2063</v>
      </c>
      <c r="F394" s="102">
        <v>18</v>
      </c>
      <c r="G394" s="208">
        <f t="shared" si="31"/>
        <v>7.5018181818181817E-2</v>
      </c>
      <c r="H394" s="102">
        <v>15</v>
      </c>
      <c r="I394" s="103">
        <f t="shared" si="27"/>
        <v>37134</v>
      </c>
      <c r="J394" s="103">
        <f t="shared" si="28"/>
        <v>24759</v>
      </c>
      <c r="K394" s="97"/>
      <c r="L394" s="97"/>
    </row>
    <row r="395" spans="1:12" s="99" customFormat="1">
      <c r="A395" s="102"/>
      <c r="B395" s="102"/>
      <c r="C395" s="103">
        <v>50000</v>
      </c>
      <c r="D395" s="104" t="s">
        <v>2172</v>
      </c>
      <c r="E395" s="105">
        <v>1875</v>
      </c>
      <c r="F395" s="102">
        <v>2</v>
      </c>
      <c r="G395" s="208">
        <f t="shared" si="31"/>
        <v>7.4999999999999997E-2</v>
      </c>
      <c r="H395" s="102">
        <v>15</v>
      </c>
      <c r="I395" s="103">
        <f t="shared" si="27"/>
        <v>3750</v>
      </c>
      <c r="J395" s="103">
        <f t="shared" si="28"/>
        <v>2500</v>
      </c>
      <c r="K395" s="97"/>
      <c r="L395" s="97"/>
    </row>
    <row r="396" spans="1:12" s="99" customFormat="1">
      <c r="A396" s="102"/>
      <c r="B396" s="102"/>
      <c r="C396" s="103">
        <v>40000</v>
      </c>
      <c r="D396" s="104" t="s">
        <v>2172</v>
      </c>
      <c r="E396" s="105">
        <v>1500</v>
      </c>
      <c r="F396" s="102">
        <v>13</v>
      </c>
      <c r="G396" s="208">
        <f t="shared" si="31"/>
        <v>7.4999999999999997E-2</v>
      </c>
      <c r="H396" s="102">
        <v>15</v>
      </c>
      <c r="I396" s="103">
        <f t="shared" si="27"/>
        <v>19500</v>
      </c>
      <c r="J396" s="103">
        <f t="shared" si="28"/>
        <v>12999.999999999998</v>
      </c>
      <c r="K396" s="97"/>
      <c r="L396" s="97"/>
    </row>
    <row r="397" spans="1:12" s="99" customFormat="1">
      <c r="A397" s="102"/>
      <c r="B397" s="102"/>
      <c r="C397" s="103">
        <v>25000</v>
      </c>
      <c r="D397" s="104" t="s">
        <v>1685</v>
      </c>
      <c r="E397" s="105">
        <v>940</v>
      </c>
      <c r="F397" s="102">
        <v>16</v>
      </c>
      <c r="G397" s="208">
        <f t="shared" si="31"/>
        <v>7.5200000000000003E-2</v>
      </c>
      <c r="H397" s="102">
        <v>15</v>
      </c>
      <c r="I397" s="103">
        <f t="shared" si="27"/>
        <v>15040</v>
      </c>
      <c r="J397" s="103">
        <f t="shared" si="28"/>
        <v>10040</v>
      </c>
      <c r="K397" s="97"/>
      <c r="L397" s="97"/>
    </row>
    <row r="398" spans="1:12" s="99" customFormat="1">
      <c r="A398" s="102"/>
      <c r="B398" s="102"/>
      <c r="C398" s="103">
        <v>20000</v>
      </c>
      <c r="D398" s="104" t="s">
        <v>2194</v>
      </c>
      <c r="E398" s="105">
        <v>750</v>
      </c>
      <c r="F398" s="102">
        <v>2</v>
      </c>
      <c r="G398" s="208">
        <f t="shared" si="31"/>
        <v>7.4999999999999997E-2</v>
      </c>
      <c r="H398" s="102">
        <v>15</v>
      </c>
      <c r="I398" s="103">
        <f t="shared" si="27"/>
        <v>1500</v>
      </c>
      <c r="J398" s="103">
        <f t="shared" si="28"/>
        <v>999.99999999999989</v>
      </c>
      <c r="K398" s="97"/>
      <c r="L398" s="97"/>
    </row>
    <row r="399" spans="1:12" s="99" customFormat="1">
      <c r="A399" s="102"/>
      <c r="B399" s="102"/>
      <c r="C399" s="103">
        <v>15000</v>
      </c>
      <c r="D399" s="104" t="s">
        <v>2194</v>
      </c>
      <c r="E399" s="105">
        <v>565</v>
      </c>
      <c r="F399" s="102">
        <v>7</v>
      </c>
      <c r="G399" s="208">
        <f t="shared" si="31"/>
        <v>7.5333333333333335E-2</v>
      </c>
      <c r="H399" s="102">
        <v>15</v>
      </c>
      <c r="I399" s="103">
        <f t="shared" si="27"/>
        <v>3955</v>
      </c>
      <c r="J399" s="103">
        <f t="shared" si="28"/>
        <v>2642.5</v>
      </c>
      <c r="K399" s="97"/>
      <c r="L399" s="97"/>
    </row>
    <row r="400" spans="1:12" s="99" customFormat="1">
      <c r="A400" s="102"/>
      <c r="B400" s="102"/>
      <c r="C400" s="103">
        <v>10000</v>
      </c>
      <c r="D400" s="104" t="s">
        <v>2194</v>
      </c>
      <c r="E400" s="105">
        <v>375</v>
      </c>
      <c r="F400" s="102">
        <v>5</v>
      </c>
      <c r="G400" s="208">
        <f t="shared" si="31"/>
        <v>7.4999999999999997E-2</v>
      </c>
      <c r="H400" s="102">
        <v>15</v>
      </c>
      <c r="I400" s="103">
        <f t="shared" ref="I400:I463" si="32">IF(H400="分期",C400*G400*2.5*F400/10,C400*G400*H400*F400/30)</f>
        <v>1875</v>
      </c>
      <c r="J400" s="103">
        <f t="shared" ref="J400:J463" si="33">IF(H400="分期",C400*(G400-0.025)*2.5*F400/10,C400*(G400-0.025)*H400*F400/30)</f>
        <v>1249.9999999999998</v>
      </c>
      <c r="K400" s="97"/>
      <c r="L400" s="97"/>
    </row>
    <row r="401" spans="1:12" s="99" customFormat="1">
      <c r="A401" s="102"/>
      <c r="B401" s="102"/>
      <c r="C401" s="103">
        <v>15000</v>
      </c>
      <c r="D401" s="104" t="s">
        <v>3135</v>
      </c>
      <c r="E401" s="105">
        <v>1800</v>
      </c>
      <c r="F401" s="102">
        <v>10</v>
      </c>
      <c r="G401" s="208">
        <v>0.06</v>
      </c>
      <c r="H401" s="102" t="s">
        <v>1917</v>
      </c>
      <c r="I401" s="103">
        <f t="shared" si="32"/>
        <v>2250</v>
      </c>
      <c r="J401" s="103">
        <f t="shared" si="33"/>
        <v>1312.5</v>
      </c>
      <c r="K401" s="97"/>
      <c r="L401" s="97"/>
    </row>
    <row r="402" spans="1:12" s="99" customFormat="1">
      <c r="A402" s="102"/>
      <c r="B402" s="102"/>
      <c r="C402" s="103">
        <v>15000</v>
      </c>
      <c r="D402" s="104" t="s">
        <v>491</v>
      </c>
      <c r="E402" s="105">
        <v>1750</v>
      </c>
      <c r="F402" s="102">
        <v>1</v>
      </c>
      <c r="G402" s="208">
        <v>0.06</v>
      </c>
      <c r="H402" s="102" t="s">
        <v>2184</v>
      </c>
      <c r="I402" s="103">
        <f t="shared" si="32"/>
        <v>225</v>
      </c>
      <c r="J402" s="103">
        <f t="shared" si="33"/>
        <v>131.25</v>
      </c>
      <c r="K402" s="97"/>
      <c r="L402" s="97"/>
    </row>
    <row r="403" spans="1:12" s="99" customFormat="1">
      <c r="A403" s="102"/>
      <c r="B403" s="102"/>
      <c r="C403" s="103">
        <v>10000</v>
      </c>
      <c r="D403" s="104" t="s">
        <v>1006</v>
      </c>
      <c r="E403" s="105">
        <v>375</v>
      </c>
      <c r="F403" s="102">
        <v>9</v>
      </c>
      <c r="G403" s="208">
        <f t="shared" ref="G403:G415" si="34">E403/(C403*H403/30)</f>
        <v>7.4999999999999997E-2</v>
      </c>
      <c r="H403" s="102">
        <v>15</v>
      </c>
      <c r="I403" s="103">
        <f t="shared" si="32"/>
        <v>3375</v>
      </c>
      <c r="J403" s="103">
        <f t="shared" si="33"/>
        <v>2249.9999999999995</v>
      </c>
      <c r="K403" s="97"/>
      <c r="L403" s="97"/>
    </row>
    <row r="404" spans="1:12" s="99" customFormat="1">
      <c r="A404" s="102"/>
      <c r="B404" s="102"/>
      <c r="C404" s="103">
        <v>5000</v>
      </c>
      <c r="D404" s="104" t="s">
        <v>207</v>
      </c>
      <c r="E404" s="105">
        <v>190</v>
      </c>
      <c r="F404" s="102">
        <v>2</v>
      </c>
      <c r="G404" s="208">
        <f t="shared" si="34"/>
        <v>7.5999999999999998E-2</v>
      </c>
      <c r="H404" s="102">
        <v>15</v>
      </c>
      <c r="I404" s="103">
        <f t="shared" si="32"/>
        <v>380</v>
      </c>
      <c r="J404" s="103">
        <f t="shared" si="33"/>
        <v>254.99999999999997</v>
      </c>
      <c r="K404" s="97"/>
      <c r="L404" s="97"/>
    </row>
    <row r="405" spans="1:12" s="99" customFormat="1">
      <c r="A405" s="102"/>
      <c r="B405" s="102"/>
      <c r="C405" s="103">
        <v>26000</v>
      </c>
      <c r="D405" s="104" t="s">
        <v>3151</v>
      </c>
      <c r="E405" s="105">
        <v>975</v>
      </c>
      <c r="F405" s="102">
        <v>6</v>
      </c>
      <c r="G405" s="208">
        <f t="shared" si="34"/>
        <v>7.4999999999999997E-2</v>
      </c>
      <c r="H405" s="102">
        <v>15</v>
      </c>
      <c r="I405" s="103">
        <f t="shared" si="32"/>
        <v>5850</v>
      </c>
      <c r="J405" s="103">
        <f t="shared" si="33"/>
        <v>3900</v>
      </c>
      <c r="K405" s="97"/>
      <c r="L405" s="97"/>
    </row>
    <row r="406" spans="1:12" s="99" customFormat="1">
      <c r="A406" s="102"/>
      <c r="B406" s="102"/>
      <c r="C406" s="103">
        <v>20000</v>
      </c>
      <c r="D406" s="104" t="s">
        <v>2256</v>
      </c>
      <c r="E406" s="105">
        <v>750</v>
      </c>
      <c r="F406" s="102">
        <v>11</v>
      </c>
      <c r="G406" s="208">
        <f t="shared" si="34"/>
        <v>7.4999999999999997E-2</v>
      </c>
      <c r="H406" s="102">
        <v>15</v>
      </c>
      <c r="I406" s="103">
        <f t="shared" si="32"/>
        <v>8250</v>
      </c>
      <c r="J406" s="103">
        <f t="shared" si="33"/>
        <v>5499.9999999999991</v>
      </c>
      <c r="K406" s="97"/>
      <c r="L406" s="97"/>
    </row>
    <row r="407" spans="1:12" s="99" customFormat="1">
      <c r="A407" s="102"/>
      <c r="B407" s="102"/>
      <c r="C407" s="103">
        <v>10000</v>
      </c>
      <c r="D407" s="104" t="s">
        <v>2256</v>
      </c>
      <c r="E407" s="105">
        <v>375</v>
      </c>
      <c r="F407" s="102">
        <v>4</v>
      </c>
      <c r="G407" s="208">
        <f t="shared" si="34"/>
        <v>7.4999999999999997E-2</v>
      </c>
      <c r="H407" s="102">
        <v>15</v>
      </c>
      <c r="I407" s="103">
        <f t="shared" si="32"/>
        <v>1500</v>
      </c>
      <c r="J407" s="103">
        <f t="shared" si="33"/>
        <v>999.99999999999989</v>
      </c>
      <c r="K407" s="97"/>
      <c r="L407" s="97"/>
    </row>
    <row r="408" spans="1:12" s="99" customFormat="1">
      <c r="A408" s="102"/>
      <c r="B408" s="102"/>
      <c r="C408" s="103">
        <v>30000</v>
      </c>
      <c r="D408" s="104" t="s">
        <v>1988</v>
      </c>
      <c r="E408" s="105">
        <v>1125</v>
      </c>
      <c r="F408" s="102">
        <v>2</v>
      </c>
      <c r="G408" s="208">
        <f t="shared" si="34"/>
        <v>7.4999999999999997E-2</v>
      </c>
      <c r="H408" s="102">
        <v>15</v>
      </c>
      <c r="I408" s="103">
        <f t="shared" si="32"/>
        <v>2250</v>
      </c>
      <c r="J408" s="103">
        <f t="shared" si="33"/>
        <v>1499.9999999999998</v>
      </c>
      <c r="K408" s="97"/>
      <c r="L408" s="97"/>
    </row>
    <row r="409" spans="1:12" s="99" customFormat="1">
      <c r="A409" s="102"/>
      <c r="B409" s="102"/>
      <c r="C409" s="103">
        <v>20000</v>
      </c>
      <c r="D409" s="110" t="s">
        <v>2436</v>
      </c>
      <c r="E409" s="105">
        <v>750</v>
      </c>
      <c r="F409" s="102">
        <v>12</v>
      </c>
      <c r="G409" s="208">
        <f t="shared" si="34"/>
        <v>7.4999999999999997E-2</v>
      </c>
      <c r="H409" s="102">
        <v>15</v>
      </c>
      <c r="I409" s="103">
        <f t="shared" si="32"/>
        <v>9000</v>
      </c>
      <c r="J409" s="103">
        <f t="shared" si="33"/>
        <v>5999.9999999999991</v>
      </c>
      <c r="K409" s="97"/>
      <c r="L409" s="97"/>
    </row>
    <row r="410" spans="1:12" s="99" customFormat="1">
      <c r="A410" s="102"/>
      <c r="B410" s="102"/>
      <c r="C410" s="103">
        <v>15000</v>
      </c>
      <c r="D410" s="104" t="s">
        <v>1533</v>
      </c>
      <c r="E410" s="105">
        <v>565</v>
      </c>
      <c r="F410" s="102">
        <v>4</v>
      </c>
      <c r="G410" s="208">
        <f t="shared" si="34"/>
        <v>7.5333333333333335E-2</v>
      </c>
      <c r="H410" s="102">
        <v>15</v>
      </c>
      <c r="I410" s="103">
        <f t="shared" si="32"/>
        <v>2260</v>
      </c>
      <c r="J410" s="103">
        <f t="shared" si="33"/>
        <v>1510</v>
      </c>
      <c r="K410" s="97"/>
      <c r="L410" s="97"/>
    </row>
    <row r="411" spans="1:12" s="99" customFormat="1">
      <c r="A411" s="102"/>
      <c r="B411" s="102"/>
      <c r="C411" s="103">
        <v>20000</v>
      </c>
      <c r="D411" s="104" t="s">
        <v>425</v>
      </c>
      <c r="E411" s="105">
        <v>750</v>
      </c>
      <c r="F411" s="102">
        <v>2</v>
      </c>
      <c r="G411" s="208">
        <f t="shared" si="34"/>
        <v>7.4999999999999997E-2</v>
      </c>
      <c r="H411" s="102">
        <v>15</v>
      </c>
      <c r="I411" s="103">
        <f t="shared" si="32"/>
        <v>1500</v>
      </c>
      <c r="J411" s="103">
        <f t="shared" si="33"/>
        <v>999.99999999999989</v>
      </c>
      <c r="K411" s="97"/>
      <c r="L411" s="97"/>
    </row>
    <row r="412" spans="1:12" s="99" customFormat="1">
      <c r="A412" s="102"/>
      <c r="B412" s="102"/>
      <c r="C412" s="103">
        <v>15000</v>
      </c>
      <c r="D412" s="104" t="s">
        <v>3144</v>
      </c>
      <c r="E412" s="105">
        <v>565</v>
      </c>
      <c r="F412" s="102">
        <v>6</v>
      </c>
      <c r="G412" s="208">
        <f t="shared" si="34"/>
        <v>7.5333333333333335E-2</v>
      </c>
      <c r="H412" s="102">
        <v>15</v>
      </c>
      <c r="I412" s="103">
        <f t="shared" si="32"/>
        <v>3390</v>
      </c>
      <c r="J412" s="103">
        <f t="shared" si="33"/>
        <v>2265</v>
      </c>
      <c r="K412" s="97"/>
      <c r="L412" s="97"/>
    </row>
    <row r="413" spans="1:12" s="99" customFormat="1">
      <c r="A413" s="102"/>
      <c r="B413" s="102"/>
      <c r="C413" s="103">
        <v>10000</v>
      </c>
      <c r="D413" s="104" t="s">
        <v>3178</v>
      </c>
      <c r="E413" s="105">
        <v>375</v>
      </c>
      <c r="F413" s="102">
        <v>3</v>
      </c>
      <c r="G413" s="208">
        <f t="shared" si="34"/>
        <v>7.4999999999999997E-2</v>
      </c>
      <c r="H413" s="102">
        <v>15</v>
      </c>
      <c r="I413" s="103">
        <f t="shared" si="32"/>
        <v>1125</v>
      </c>
      <c r="J413" s="103">
        <f t="shared" si="33"/>
        <v>749.99999999999989</v>
      </c>
      <c r="K413" s="97"/>
      <c r="L413" s="97"/>
    </row>
    <row r="414" spans="1:12" s="99" customFormat="1">
      <c r="A414" s="102"/>
      <c r="B414" s="102"/>
      <c r="C414" s="103">
        <v>20000</v>
      </c>
      <c r="D414" s="104" t="s">
        <v>3175</v>
      </c>
      <c r="E414" s="105">
        <v>750</v>
      </c>
      <c r="F414" s="102">
        <v>1</v>
      </c>
      <c r="G414" s="208">
        <f t="shared" si="34"/>
        <v>7.4999999999999997E-2</v>
      </c>
      <c r="H414" s="102">
        <v>15</v>
      </c>
      <c r="I414" s="103">
        <f t="shared" si="32"/>
        <v>750</v>
      </c>
      <c r="J414" s="103">
        <f t="shared" si="33"/>
        <v>499.99999999999994</v>
      </c>
      <c r="K414" s="97"/>
      <c r="L414" s="97"/>
    </row>
    <row r="415" spans="1:12" s="99" customFormat="1">
      <c r="A415" s="102"/>
      <c r="B415" s="102"/>
      <c r="C415" s="103">
        <v>20000</v>
      </c>
      <c r="D415" s="104" t="s">
        <v>2244</v>
      </c>
      <c r="E415" s="105">
        <v>250</v>
      </c>
      <c r="F415" s="102">
        <v>1</v>
      </c>
      <c r="G415" s="208">
        <f t="shared" si="34"/>
        <v>2.5000000000000001E-2</v>
      </c>
      <c r="H415" s="102">
        <v>15</v>
      </c>
      <c r="I415" s="103">
        <f t="shared" si="32"/>
        <v>250</v>
      </c>
      <c r="J415" s="103">
        <f t="shared" si="33"/>
        <v>0</v>
      </c>
      <c r="K415" s="97"/>
      <c r="L415" s="97"/>
    </row>
    <row r="416" spans="1:12" s="99" customFormat="1">
      <c r="A416" s="102">
        <v>60</v>
      </c>
      <c r="B416" s="102" t="s">
        <v>2671</v>
      </c>
      <c r="C416" s="103">
        <v>10000</v>
      </c>
      <c r="D416" s="104" t="s">
        <v>667</v>
      </c>
      <c r="E416" s="105">
        <v>1200</v>
      </c>
      <c r="F416" s="102">
        <v>10</v>
      </c>
      <c r="G416" s="208">
        <v>0.06</v>
      </c>
      <c r="H416" s="102" t="s">
        <v>664</v>
      </c>
      <c r="I416" s="103">
        <f t="shared" si="32"/>
        <v>1500</v>
      </c>
      <c r="J416" s="103">
        <f t="shared" si="33"/>
        <v>874.99999999999977</v>
      </c>
      <c r="K416" s="97"/>
      <c r="L416" s="97"/>
    </row>
    <row r="417" spans="1:12" s="99" customFormat="1">
      <c r="A417" s="102"/>
      <c r="B417" s="102"/>
      <c r="C417" s="103">
        <v>10000</v>
      </c>
      <c r="D417" s="104" t="s">
        <v>1985</v>
      </c>
      <c r="E417" s="105">
        <v>375</v>
      </c>
      <c r="F417" s="102">
        <v>2</v>
      </c>
      <c r="G417" s="208">
        <f>E417/(C417*H417/30)</f>
        <v>7.4999999999999997E-2</v>
      </c>
      <c r="H417" s="102">
        <v>15</v>
      </c>
      <c r="I417" s="103">
        <f t="shared" si="32"/>
        <v>750</v>
      </c>
      <c r="J417" s="103">
        <f t="shared" si="33"/>
        <v>499.99999999999994</v>
      </c>
      <c r="K417" s="97"/>
      <c r="L417" s="97"/>
    </row>
    <row r="418" spans="1:12" s="99" customFormat="1">
      <c r="A418" s="102"/>
      <c r="B418" s="102"/>
      <c r="C418" s="103">
        <v>10000</v>
      </c>
      <c r="D418" s="104" t="s">
        <v>239</v>
      </c>
      <c r="E418" s="105">
        <v>1150</v>
      </c>
      <c r="F418" s="102">
        <v>2</v>
      </c>
      <c r="G418" s="208">
        <v>0.06</v>
      </c>
      <c r="H418" s="102" t="s">
        <v>664</v>
      </c>
      <c r="I418" s="103">
        <f t="shared" si="32"/>
        <v>300</v>
      </c>
      <c r="J418" s="103">
        <f t="shared" si="33"/>
        <v>174.99999999999997</v>
      </c>
      <c r="K418" s="97"/>
      <c r="L418" s="97"/>
    </row>
    <row r="419" spans="1:12" s="99" customFormat="1">
      <c r="A419" s="102">
        <v>62</v>
      </c>
      <c r="B419" s="102" t="s">
        <v>2672</v>
      </c>
      <c r="C419" s="103">
        <v>10000</v>
      </c>
      <c r="D419" s="112" t="s">
        <v>47</v>
      </c>
      <c r="E419" s="105">
        <v>750</v>
      </c>
      <c r="F419" s="102">
        <v>8</v>
      </c>
      <c r="G419" s="208">
        <f>E419/(C419*H419/30)</f>
        <v>7.4999999999999997E-2</v>
      </c>
      <c r="H419" s="102">
        <v>30</v>
      </c>
      <c r="I419" s="103">
        <f t="shared" si="32"/>
        <v>6000</v>
      </c>
      <c r="J419" s="103">
        <f t="shared" si="33"/>
        <v>3999.9999999999995</v>
      </c>
      <c r="K419" s="97"/>
      <c r="L419" s="97"/>
    </row>
    <row r="420" spans="1:12" s="99" customFormat="1">
      <c r="A420" s="102"/>
      <c r="B420" s="102"/>
      <c r="C420" s="103">
        <v>20000</v>
      </c>
      <c r="D420" s="112" t="s">
        <v>48</v>
      </c>
      <c r="E420" s="105">
        <v>750</v>
      </c>
      <c r="F420" s="102">
        <v>37</v>
      </c>
      <c r="G420" s="208">
        <f>E420/(C420*H420/30)</f>
        <v>7.4999999999999997E-2</v>
      </c>
      <c r="H420" s="102">
        <v>15</v>
      </c>
      <c r="I420" s="103">
        <f t="shared" si="32"/>
        <v>27750</v>
      </c>
      <c r="J420" s="103">
        <f t="shared" si="33"/>
        <v>18499.999999999996</v>
      </c>
      <c r="K420" s="97"/>
      <c r="L420" s="97"/>
    </row>
    <row r="421" spans="1:12" s="99" customFormat="1">
      <c r="A421" s="102"/>
      <c r="B421" s="102"/>
      <c r="C421" s="103">
        <v>5000</v>
      </c>
      <c r="D421" s="112" t="s">
        <v>49</v>
      </c>
      <c r="E421" s="105">
        <v>575</v>
      </c>
      <c r="F421" s="102">
        <v>10</v>
      </c>
      <c r="G421" s="208">
        <v>0.06</v>
      </c>
      <c r="H421" s="102" t="s">
        <v>664</v>
      </c>
      <c r="I421" s="103">
        <f t="shared" si="32"/>
        <v>750</v>
      </c>
      <c r="J421" s="103">
        <f t="shared" si="33"/>
        <v>437.49999999999989</v>
      </c>
      <c r="K421" s="97"/>
      <c r="L421" s="97"/>
    </row>
    <row r="422" spans="1:12" s="99" customFormat="1">
      <c r="A422" s="102"/>
      <c r="B422" s="102"/>
      <c r="C422" s="103">
        <v>10000</v>
      </c>
      <c r="D422" s="104" t="s">
        <v>3168</v>
      </c>
      <c r="E422" s="105">
        <v>1150</v>
      </c>
      <c r="F422" s="102">
        <v>10</v>
      </c>
      <c r="G422" s="208">
        <v>0.06</v>
      </c>
      <c r="H422" s="102" t="s">
        <v>664</v>
      </c>
      <c r="I422" s="103">
        <f t="shared" si="32"/>
        <v>1500</v>
      </c>
      <c r="J422" s="103">
        <f t="shared" si="33"/>
        <v>874.99999999999977</v>
      </c>
      <c r="K422" s="97"/>
      <c r="L422" s="97"/>
    </row>
    <row r="423" spans="1:12" s="99" customFormat="1">
      <c r="A423" s="102"/>
      <c r="B423" s="102"/>
      <c r="C423" s="103">
        <v>20000</v>
      </c>
      <c r="D423" s="104" t="s">
        <v>419</v>
      </c>
      <c r="E423" s="105">
        <v>2300</v>
      </c>
      <c r="F423" s="102">
        <v>10</v>
      </c>
      <c r="G423" s="208">
        <v>0.06</v>
      </c>
      <c r="H423" s="102" t="s">
        <v>664</v>
      </c>
      <c r="I423" s="103">
        <f t="shared" si="32"/>
        <v>3000</v>
      </c>
      <c r="J423" s="103">
        <f t="shared" si="33"/>
        <v>1749.9999999999995</v>
      </c>
      <c r="K423" s="97"/>
      <c r="L423" s="97"/>
    </row>
    <row r="424" spans="1:12" s="99" customFormat="1">
      <c r="A424" s="102"/>
      <c r="B424" s="102"/>
      <c r="C424" s="103">
        <v>10000</v>
      </c>
      <c r="D424" s="104" t="s">
        <v>1986</v>
      </c>
      <c r="E424" s="105">
        <v>375</v>
      </c>
      <c r="F424" s="102">
        <v>16</v>
      </c>
      <c r="G424" s="208">
        <f>E424/(C424*H424/30)</f>
        <v>7.4999999999999997E-2</v>
      </c>
      <c r="H424" s="102">
        <v>15</v>
      </c>
      <c r="I424" s="103">
        <f t="shared" si="32"/>
        <v>6000</v>
      </c>
      <c r="J424" s="103">
        <f t="shared" si="33"/>
        <v>3999.9999999999995</v>
      </c>
      <c r="K424" s="97"/>
      <c r="L424" s="97"/>
    </row>
    <row r="425" spans="1:12" s="99" customFormat="1">
      <c r="A425" s="102"/>
      <c r="B425" s="102"/>
      <c r="C425" s="103">
        <v>20000</v>
      </c>
      <c r="D425" s="104" t="s">
        <v>3115</v>
      </c>
      <c r="E425" s="105">
        <v>750</v>
      </c>
      <c r="F425" s="102">
        <v>27</v>
      </c>
      <c r="G425" s="208">
        <f>E425/(C425*H425/30)</f>
        <v>7.4999999999999997E-2</v>
      </c>
      <c r="H425" s="102">
        <v>15</v>
      </c>
      <c r="I425" s="103">
        <f t="shared" si="32"/>
        <v>20250</v>
      </c>
      <c r="J425" s="103">
        <f t="shared" si="33"/>
        <v>13499.999999999998</v>
      </c>
      <c r="K425" s="97"/>
      <c r="L425" s="97"/>
    </row>
    <row r="426" spans="1:12" s="99" customFormat="1">
      <c r="A426" s="102"/>
      <c r="B426" s="102"/>
      <c r="C426" s="103">
        <v>20000</v>
      </c>
      <c r="D426" s="104" t="s">
        <v>1707</v>
      </c>
      <c r="E426" s="105">
        <v>750</v>
      </c>
      <c r="F426" s="102">
        <v>21</v>
      </c>
      <c r="G426" s="208">
        <f>E426/(C426*H426/30)</f>
        <v>7.4999999999999997E-2</v>
      </c>
      <c r="H426" s="102">
        <v>15</v>
      </c>
      <c r="I426" s="103">
        <f t="shared" si="32"/>
        <v>15750</v>
      </c>
      <c r="J426" s="103">
        <f t="shared" si="33"/>
        <v>10499.999999999998</v>
      </c>
      <c r="K426" s="97"/>
      <c r="L426" s="97"/>
    </row>
    <row r="427" spans="1:12" s="99" customFormat="1">
      <c r="A427" s="102"/>
      <c r="B427" s="102"/>
      <c r="C427" s="103">
        <v>10000</v>
      </c>
      <c r="D427" s="104" t="s">
        <v>3133</v>
      </c>
      <c r="E427" s="105">
        <v>375</v>
      </c>
      <c r="F427" s="102">
        <v>19</v>
      </c>
      <c r="G427" s="208">
        <f>E427/(C427*H427/30)</f>
        <v>7.4999999999999997E-2</v>
      </c>
      <c r="H427" s="102">
        <v>15</v>
      </c>
      <c r="I427" s="103">
        <f t="shared" si="32"/>
        <v>7125</v>
      </c>
      <c r="J427" s="103">
        <f t="shared" si="33"/>
        <v>4749.9999999999991</v>
      </c>
      <c r="K427" s="97"/>
      <c r="L427" s="97"/>
    </row>
    <row r="428" spans="1:12" s="99" customFormat="1">
      <c r="A428" s="102"/>
      <c r="B428" s="102"/>
      <c r="C428" s="103">
        <v>20000</v>
      </c>
      <c r="D428" s="104" t="s">
        <v>1727</v>
      </c>
      <c r="E428" s="105">
        <v>750</v>
      </c>
      <c r="F428" s="102">
        <v>26</v>
      </c>
      <c r="G428" s="208">
        <f>E428/(C428*H428/30)</f>
        <v>7.4999999999999997E-2</v>
      </c>
      <c r="H428" s="102">
        <v>15</v>
      </c>
      <c r="I428" s="103">
        <f t="shared" si="32"/>
        <v>19500</v>
      </c>
      <c r="J428" s="103">
        <f t="shared" si="33"/>
        <v>12999.999999999998</v>
      </c>
      <c r="K428" s="97"/>
      <c r="L428" s="97"/>
    </row>
    <row r="429" spans="1:12" s="99" customFormat="1">
      <c r="A429" s="102"/>
      <c r="B429" s="102"/>
      <c r="C429" s="103">
        <v>10000</v>
      </c>
      <c r="D429" s="104" t="s">
        <v>1515</v>
      </c>
      <c r="E429" s="105">
        <v>1150</v>
      </c>
      <c r="F429" s="102">
        <v>10</v>
      </c>
      <c r="G429" s="208">
        <v>0.06</v>
      </c>
      <c r="H429" s="102" t="s">
        <v>664</v>
      </c>
      <c r="I429" s="103">
        <f t="shared" si="32"/>
        <v>1500</v>
      </c>
      <c r="J429" s="103">
        <f t="shared" si="33"/>
        <v>874.99999999999977</v>
      </c>
      <c r="K429" s="97"/>
      <c r="L429" s="97"/>
    </row>
    <row r="430" spans="1:12" s="99" customFormat="1">
      <c r="A430" s="102"/>
      <c r="B430" s="102"/>
      <c r="C430" s="103">
        <v>20000</v>
      </c>
      <c r="D430" s="104" t="s">
        <v>1515</v>
      </c>
      <c r="E430" s="105">
        <v>750</v>
      </c>
      <c r="F430" s="102">
        <v>21</v>
      </c>
      <c r="G430" s="208">
        <f>E430/(C430*H430/30)</f>
        <v>7.4999999999999997E-2</v>
      </c>
      <c r="H430" s="102">
        <v>15</v>
      </c>
      <c r="I430" s="103">
        <f t="shared" si="32"/>
        <v>15750</v>
      </c>
      <c r="J430" s="103">
        <f t="shared" si="33"/>
        <v>10499.999999999998</v>
      </c>
      <c r="K430" s="97"/>
      <c r="L430" s="97"/>
    </row>
    <row r="431" spans="1:12" s="99" customFormat="1">
      <c r="A431" s="102"/>
      <c r="B431" s="102"/>
      <c r="C431" s="103">
        <v>20000</v>
      </c>
      <c r="D431" s="104" t="s">
        <v>1515</v>
      </c>
      <c r="E431" s="105">
        <v>750</v>
      </c>
      <c r="F431" s="102">
        <v>14</v>
      </c>
      <c r="G431" s="208">
        <f>E431/(C431*H431/30)</f>
        <v>7.4999999999999997E-2</v>
      </c>
      <c r="H431" s="102">
        <v>15</v>
      </c>
      <c r="I431" s="103">
        <f t="shared" si="32"/>
        <v>10500</v>
      </c>
      <c r="J431" s="103">
        <f t="shared" si="33"/>
        <v>6999.9999999999991</v>
      </c>
      <c r="K431" s="97"/>
      <c r="L431" s="97"/>
    </row>
    <row r="432" spans="1:12" s="99" customFormat="1">
      <c r="A432" s="102"/>
      <c r="B432" s="102"/>
      <c r="C432" s="103">
        <v>20000</v>
      </c>
      <c r="D432" s="112" t="s">
        <v>50</v>
      </c>
      <c r="E432" s="105">
        <v>2300</v>
      </c>
      <c r="F432" s="102">
        <v>10</v>
      </c>
      <c r="G432" s="208">
        <v>0.06</v>
      </c>
      <c r="H432" s="102" t="s">
        <v>1917</v>
      </c>
      <c r="I432" s="103">
        <f t="shared" si="32"/>
        <v>3000</v>
      </c>
      <c r="J432" s="103">
        <f t="shared" si="33"/>
        <v>1749.9999999999995</v>
      </c>
      <c r="K432" s="97"/>
      <c r="L432" s="97"/>
    </row>
    <row r="433" spans="1:12" s="99" customFormat="1">
      <c r="A433" s="102"/>
      <c r="B433" s="102"/>
      <c r="C433" s="103">
        <v>10000</v>
      </c>
      <c r="D433" s="104" t="s">
        <v>274</v>
      </c>
      <c r="E433" s="105">
        <v>1150</v>
      </c>
      <c r="F433" s="102">
        <v>10</v>
      </c>
      <c r="G433" s="208">
        <v>0.06</v>
      </c>
      <c r="H433" s="102" t="s">
        <v>664</v>
      </c>
      <c r="I433" s="103">
        <f t="shared" si="32"/>
        <v>1500</v>
      </c>
      <c r="J433" s="103">
        <f t="shared" si="33"/>
        <v>874.99999999999977</v>
      </c>
      <c r="K433" s="97"/>
      <c r="L433" s="97"/>
    </row>
    <row r="434" spans="1:12" s="99" customFormat="1">
      <c r="A434" s="102"/>
      <c r="B434" s="102"/>
      <c r="C434" s="103">
        <v>20000</v>
      </c>
      <c r="D434" s="112" t="s">
        <v>51</v>
      </c>
      <c r="E434" s="105">
        <v>2300</v>
      </c>
      <c r="F434" s="102">
        <v>10</v>
      </c>
      <c r="G434" s="208">
        <v>0.06</v>
      </c>
      <c r="H434" s="102" t="s">
        <v>1917</v>
      </c>
      <c r="I434" s="103">
        <f t="shared" si="32"/>
        <v>3000</v>
      </c>
      <c r="J434" s="103">
        <f t="shared" si="33"/>
        <v>1749.9999999999995</v>
      </c>
      <c r="K434" s="97"/>
      <c r="L434" s="97"/>
    </row>
    <row r="435" spans="1:12" s="99" customFormat="1">
      <c r="A435" s="102"/>
      <c r="B435" s="102"/>
      <c r="C435" s="103">
        <v>25000</v>
      </c>
      <c r="D435" s="104" t="s">
        <v>2531</v>
      </c>
      <c r="E435" s="105">
        <v>940</v>
      </c>
      <c r="F435" s="102">
        <v>10</v>
      </c>
      <c r="G435" s="208">
        <f>E435/(C435*H435/30)</f>
        <v>7.5200000000000003E-2</v>
      </c>
      <c r="H435" s="102">
        <v>15</v>
      </c>
      <c r="I435" s="103">
        <f t="shared" si="32"/>
        <v>9400</v>
      </c>
      <c r="J435" s="103">
        <f t="shared" si="33"/>
        <v>6275</v>
      </c>
      <c r="K435" s="97"/>
      <c r="L435" s="97"/>
    </row>
    <row r="436" spans="1:12" s="99" customFormat="1">
      <c r="A436" s="102"/>
      <c r="B436" s="102"/>
      <c r="C436" s="103">
        <v>25000</v>
      </c>
      <c r="D436" s="104" t="s">
        <v>2531</v>
      </c>
      <c r="E436" s="105">
        <v>750</v>
      </c>
      <c r="F436" s="102">
        <v>1</v>
      </c>
      <c r="G436" s="208">
        <f>E436/(C436*H436/30)</f>
        <v>0.06</v>
      </c>
      <c r="H436" s="102">
        <v>15</v>
      </c>
      <c r="I436" s="103">
        <f t="shared" si="32"/>
        <v>750</v>
      </c>
      <c r="J436" s="103">
        <f t="shared" si="33"/>
        <v>437.49999999999994</v>
      </c>
      <c r="K436" s="97"/>
      <c r="L436" s="97"/>
    </row>
    <row r="437" spans="1:12" s="99" customFormat="1">
      <c r="A437" s="102"/>
      <c r="B437" s="102"/>
      <c r="C437" s="103">
        <v>20000</v>
      </c>
      <c r="D437" s="104" t="s">
        <v>669</v>
      </c>
      <c r="E437" s="105">
        <v>750</v>
      </c>
      <c r="F437" s="102">
        <v>10</v>
      </c>
      <c r="G437" s="208">
        <f>E437/(C437*H437/30)</f>
        <v>7.4999999999999997E-2</v>
      </c>
      <c r="H437" s="102">
        <v>15</v>
      </c>
      <c r="I437" s="103">
        <f t="shared" si="32"/>
        <v>7500</v>
      </c>
      <c r="J437" s="103">
        <f t="shared" si="33"/>
        <v>4999.9999999999991</v>
      </c>
      <c r="K437" s="97"/>
      <c r="L437" s="97"/>
    </row>
    <row r="438" spans="1:12" s="99" customFormat="1">
      <c r="A438" s="102"/>
      <c r="B438" s="102"/>
      <c r="C438" s="103">
        <v>10000</v>
      </c>
      <c r="D438" s="104" t="s">
        <v>1986</v>
      </c>
      <c r="E438" s="105">
        <v>1150</v>
      </c>
      <c r="F438" s="102">
        <v>10</v>
      </c>
      <c r="G438" s="208">
        <v>0.06</v>
      </c>
      <c r="H438" s="102" t="s">
        <v>664</v>
      </c>
      <c r="I438" s="103">
        <f t="shared" si="32"/>
        <v>1500</v>
      </c>
      <c r="J438" s="103">
        <f t="shared" si="33"/>
        <v>874.99999999999977</v>
      </c>
      <c r="K438" s="97"/>
      <c r="L438" s="97"/>
    </row>
    <row r="439" spans="1:12" s="99" customFormat="1">
      <c r="A439" s="102"/>
      <c r="B439" s="102"/>
      <c r="C439" s="103">
        <v>10000</v>
      </c>
      <c r="D439" s="104" t="s">
        <v>2610</v>
      </c>
      <c r="E439" s="105">
        <v>1150</v>
      </c>
      <c r="F439" s="102">
        <v>7</v>
      </c>
      <c r="G439" s="208">
        <v>0.06</v>
      </c>
      <c r="H439" s="102" t="s">
        <v>664</v>
      </c>
      <c r="I439" s="103">
        <f t="shared" si="32"/>
        <v>1050</v>
      </c>
      <c r="J439" s="103">
        <f t="shared" si="33"/>
        <v>612.49999999999989</v>
      </c>
      <c r="K439" s="97"/>
      <c r="L439" s="97"/>
    </row>
    <row r="440" spans="1:12" s="99" customFormat="1">
      <c r="A440" s="111">
        <v>63</v>
      </c>
      <c r="B440" s="111" t="s">
        <v>2673</v>
      </c>
      <c r="C440" s="103">
        <v>50000</v>
      </c>
      <c r="D440" s="104" t="s">
        <v>3137</v>
      </c>
      <c r="E440" s="105">
        <v>1875</v>
      </c>
      <c r="F440" s="102">
        <v>1</v>
      </c>
      <c r="G440" s="208">
        <f>E440/(C440*H440/30)</f>
        <v>7.4999999999999997E-2</v>
      </c>
      <c r="H440" s="102">
        <v>15</v>
      </c>
      <c r="I440" s="103">
        <f t="shared" si="32"/>
        <v>1875</v>
      </c>
      <c r="J440" s="103">
        <f t="shared" si="33"/>
        <v>1250</v>
      </c>
    </row>
    <row r="441" spans="1:12" s="99" customFormat="1">
      <c r="A441" s="111"/>
      <c r="B441" s="111"/>
      <c r="C441" s="103">
        <v>35000</v>
      </c>
      <c r="D441" s="104" t="s">
        <v>976</v>
      </c>
      <c r="E441" s="105">
        <v>1315</v>
      </c>
      <c r="F441" s="102">
        <v>9</v>
      </c>
      <c r="G441" s="208">
        <f>E441/(C441*H441/30)</f>
        <v>7.5142857142857136E-2</v>
      </c>
      <c r="H441" s="102">
        <v>15</v>
      </c>
      <c r="I441" s="103">
        <f t="shared" si="32"/>
        <v>11834.999999999998</v>
      </c>
      <c r="J441" s="103">
        <f t="shared" si="33"/>
        <v>7897.4999999999991</v>
      </c>
    </row>
    <row r="442" spans="1:12" s="99" customFormat="1">
      <c r="A442" s="111"/>
      <c r="B442" s="111"/>
      <c r="C442" s="103">
        <v>5000</v>
      </c>
      <c r="D442" s="104" t="s">
        <v>3134</v>
      </c>
      <c r="E442" s="105">
        <v>190</v>
      </c>
      <c r="F442" s="102">
        <v>4</v>
      </c>
      <c r="G442" s="208">
        <f>E442/(C442*H442/30)</f>
        <v>7.5999999999999998E-2</v>
      </c>
      <c r="H442" s="102">
        <v>15</v>
      </c>
      <c r="I442" s="103">
        <f t="shared" si="32"/>
        <v>760</v>
      </c>
      <c r="J442" s="103">
        <f t="shared" si="33"/>
        <v>509.99999999999994</v>
      </c>
    </row>
    <row r="443" spans="1:12" s="99" customFormat="1">
      <c r="A443" s="111"/>
      <c r="B443" s="111"/>
      <c r="C443" s="103">
        <v>30000</v>
      </c>
      <c r="D443" s="112" t="s">
        <v>52</v>
      </c>
      <c r="E443" s="105">
        <v>3450</v>
      </c>
      <c r="F443" s="102">
        <v>10</v>
      </c>
      <c r="G443" s="208">
        <v>0.06</v>
      </c>
      <c r="H443" s="102" t="s">
        <v>664</v>
      </c>
      <c r="I443" s="103">
        <f t="shared" si="32"/>
        <v>4500</v>
      </c>
      <c r="J443" s="103">
        <f t="shared" si="33"/>
        <v>2625</v>
      </c>
    </row>
    <row r="444" spans="1:12" s="99" customFormat="1">
      <c r="A444" s="111">
        <v>64</v>
      </c>
      <c r="B444" s="111" t="s">
        <v>1955</v>
      </c>
      <c r="C444" s="103">
        <v>60000</v>
      </c>
      <c r="D444" s="104" t="s">
        <v>1956</v>
      </c>
      <c r="E444" s="105">
        <v>2250</v>
      </c>
      <c r="F444" s="102">
        <v>11</v>
      </c>
      <c r="G444" s="208">
        <f>E444/(C444*H444/30)</f>
        <v>7.4999999999999997E-2</v>
      </c>
      <c r="H444" s="102">
        <v>15</v>
      </c>
      <c r="I444" s="103">
        <f t="shared" si="32"/>
        <v>24750</v>
      </c>
      <c r="J444" s="103">
        <f t="shared" si="33"/>
        <v>16499.999999999996</v>
      </c>
    </row>
    <row r="445" spans="1:12" s="99" customFormat="1">
      <c r="A445" s="111"/>
      <c r="B445" s="111"/>
      <c r="C445" s="103">
        <v>20000</v>
      </c>
      <c r="D445" s="104" t="s">
        <v>268</v>
      </c>
      <c r="E445" s="105">
        <v>2300</v>
      </c>
      <c r="F445" s="102">
        <v>10</v>
      </c>
      <c r="G445" s="208">
        <v>0.06</v>
      </c>
      <c r="H445" s="102" t="s">
        <v>664</v>
      </c>
      <c r="I445" s="103">
        <f t="shared" si="32"/>
        <v>3000</v>
      </c>
      <c r="J445" s="103">
        <f t="shared" si="33"/>
        <v>1749.9999999999995</v>
      </c>
    </row>
    <row r="446" spans="1:12" s="99" customFormat="1">
      <c r="A446" s="111"/>
      <c r="B446" s="111"/>
      <c r="C446" s="103">
        <v>10000</v>
      </c>
      <c r="D446" s="104" t="s">
        <v>268</v>
      </c>
      <c r="E446" s="105">
        <v>375</v>
      </c>
      <c r="F446" s="102">
        <v>5</v>
      </c>
      <c r="G446" s="208">
        <f>E446/(C446*H446/30)</f>
        <v>7.4999999999999997E-2</v>
      </c>
      <c r="H446" s="102">
        <v>15</v>
      </c>
      <c r="I446" s="103">
        <f t="shared" si="32"/>
        <v>1875</v>
      </c>
      <c r="J446" s="103">
        <f t="shared" si="33"/>
        <v>1249.9999999999998</v>
      </c>
    </row>
    <row r="447" spans="1:12" s="99" customFormat="1">
      <c r="A447" s="111"/>
      <c r="B447" s="111"/>
      <c r="C447" s="103">
        <v>20000</v>
      </c>
      <c r="D447" s="104" t="s">
        <v>1536</v>
      </c>
      <c r="E447" s="105">
        <v>750</v>
      </c>
      <c r="F447" s="102">
        <v>2</v>
      </c>
      <c r="G447" s="208">
        <f>E447/(C447*H447/30)</f>
        <v>7.4999999999999997E-2</v>
      </c>
      <c r="H447" s="102">
        <v>15</v>
      </c>
      <c r="I447" s="103">
        <f t="shared" si="32"/>
        <v>1500</v>
      </c>
      <c r="J447" s="103">
        <f t="shared" si="33"/>
        <v>999.99999999999989</v>
      </c>
    </row>
    <row r="448" spans="1:12" s="99" customFormat="1">
      <c r="A448" s="111">
        <v>65</v>
      </c>
      <c r="B448" s="111" t="s">
        <v>1957</v>
      </c>
      <c r="C448" s="103">
        <v>10000</v>
      </c>
      <c r="D448" s="104" t="s">
        <v>856</v>
      </c>
      <c r="E448" s="105">
        <v>1200</v>
      </c>
      <c r="F448" s="102">
        <v>10</v>
      </c>
      <c r="G448" s="208">
        <v>0.06</v>
      </c>
      <c r="H448" s="102" t="s">
        <v>664</v>
      </c>
      <c r="I448" s="103">
        <f t="shared" si="32"/>
        <v>1500</v>
      </c>
      <c r="J448" s="103">
        <f t="shared" si="33"/>
        <v>874.99999999999977</v>
      </c>
    </row>
    <row r="449" spans="1:10" s="99" customFormat="1">
      <c r="A449" s="111">
        <v>66</v>
      </c>
      <c r="B449" s="111" t="s">
        <v>1958</v>
      </c>
      <c r="C449" s="103">
        <v>40000</v>
      </c>
      <c r="D449" s="104" t="s">
        <v>984</v>
      </c>
      <c r="E449" s="105">
        <v>3000</v>
      </c>
      <c r="F449" s="102">
        <v>1</v>
      </c>
      <c r="G449" s="208">
        <f t="shared" ref="G449:G458" si="35">E449/(C449*H449/30)</f>
        <v>7.4999999999999997E-2</v>
      </c>
      <c r="H449" s="102">
        <v>30</v>
      </c>
      <c r="I449" s="103">
        <f t="shared" si="32"/>
        <v>3000</v>
      </c>
      <c r="J449" s="103">
        <f t="shared" si="33"/>
        <v>1999.9999999999998</v>
      </c>
    </row>
    <row r="450" spans="1:10" s="99" customFormat="1">
      <c r="A450" s="111"/>
      <c r="B450" s="111"/>
      <c r="C450" s="103">
        <v>40000</v>
      </c>
      <c r="D450" s="104" t="s">
        <v>984</v>
      </c>
      <c r="E450" s="105">
        <v>1500</v>
      </c>
      <c r="F450" s="102">
        <v>12</v>
      </c>
      <c r="G450" s="208">
        <f t="shared" si="35"/>
        <v>7.4999999999999997E-2</v>
      </c>
      <c r="H450" s="102">
        <v>15</v>
      </c>
      <c r="I450" s="103">
        <f t="shared" si="32"/>
        <v>18000</v>
      </c>
      <c r="J450" s="103">
        <f t="shared" si="33"/>
        <v>11999.999999999998</v>
      </c>
    </row>
    <row r="451" spans="1:10" s="99" customFormat="1">
      <c r="A451" s="111"/>
      <c r="B451" s="111"/>
      <c r="C451" s="103">
        <v>10000</v>
      </c>
      <c r="D451" s="104" t="s">
        <v>446</v>
      </c>
      <c r="E451" s="105">
        <v>375</v>
      </c>
      <c r="F451" s="102">
        <v>6</v>
      </c>
      <c r="G451" s="208">
        <f t="shared" si="35"/>
        <v>7.4999999999999997E-2</v>
      </c>
      <c r="H451" s="102">
        <v>15</v>
      </c>
      <c r="I451" s="103">
        <f t="shared" si="32"/>
        <v>2250</v>
      </c>
      <c r="J451" s="103">
        <f t="shared" si="33"/>
        <v>1499.9999999999998</v>
      </c>
    </row>
    <row r="452" spans="1:10" s="99" customFormat="1">
      <c r="A452" s="111"/>
      <c r="B452" s="111"/>
      <c r="C452" s="103">
        <v>20000</v>
      </c>
      <c r="D452" s="104" t="s">
        <v>980</v>
      </c>
      <c r="E452" s="105">
        <v>750</v>
      </c>
      <c r="F452" s="102">
        <v>5</v>
      </c>
      <c r="G452" s="208">
        <f t="shared" si="35"/>
        <v>7.4999999999999997E-2</v>
      </c>
      <c r="H452" s="102">
        <v>15</v>
      </c>
      <c r="I452" s="103">
        <f t="shared" si="32"/>
        <v>3750</v>
      </c>
      <c r="J452" s="103">
        <f t="shared" si="33"/>
        <v>2499.9999999999995</v>
      </c>
    </row>
    <row r="453" spans="1:10" s="99" customFormat="1">
      <c r="A453" s="111">
        <v>67</v>
      </c>
      <c r="B453" s="111" t="s">
        <v>1959</v>
      </c>
      <c r="C453" s="103">
        <v>30000</v>
      </c>
      <c r="D453" s="104" t="s">
        <v>653</v>
      </c>
      <c r="E453" s="105">
        <v>1125</v>
      </c>
      <c r="F453" s="102">
        <v>10</v>
      </c>
      <c r="G453" s="208">
        <f t="shared" si="35"/>
        <v>7.4999999999999997E-2</v>
      </c>
      <c r="H453" s="102">
        <v>15</v>
      </c>
      <c r="I453" s="103">
        <f t="shared" si="32"/>
        <v>11250</v>
      </c>
      <c r="J453" s="103">
        <f t="shared" si="33"/>
        <v>7499.9999999999991</v>
      </c>
    </row>
    <row r="454" spans="1:10" s="99" customFormat="1">
      <c r="A454" s="111"/>
      <c r="B454" s="111"/>
      <c r="C454" s="103">
        <v>50000</v>
      </c>
      <c r="D454" s="104" t="s">
        <v>653</v>
      </c>
      <c r="E454" s="105">
        <v>1875</v>
      </c>
      <c r="F454" s="102">
        <v>20</v>
      </c>
      <c r="G454" s="208">
        <f t="shared" si="35"/>
        <v>7.4999999999999997E-2</v>
      </c>
      <c r="H454" s="102">
        <v>15</v>
      </c>
      <c r="I454" s="103">
        <f t="shared" si="32"/>
        <v>37500</v>
      </c>
      <c r="J454" s="103">
        <f t="shared" si="33"/>
        <v>25000</v>
      </c>
    </row>
    <row r="455" spans="1:10" s="99" customFormat="1">
      <c r="A455" s="111"/>
      <c r="B455" s="111"/>
      <c r="C455" s="103">
        <v>20000</v>
      </c>
      <c r="D455" s="104" t="s">
        <v>583</v>
      </c>
      <c r="E455" s="105">
        <v>750</v>
      </c>
      <c r="F455" s="102">
        <v>10</v>
      </c>
      <c r="G455" s="208">
        <f t="shared" si="35"/>
        <v>7.4999999999999997E-2</v>
      </c>
      <c r="H455" s="102">
        <v>15</v>
      </c>
      <c r="I455" s="103">
        <f t="shared" si="32"/>
        <v>7500</v>
      </c>
      <c r="J455" s="103">
        <f t="shared" si="33"/>
        <v>4999.9999999999991</v>
      </c>
    </row>
    <row r="456" spans="1:10" s="99" customFormat="1">
      <c r="A456" s="111"/>
      <c r="B456" s="111"/>
      <c r="C456" s="103">
        <v>5000</v>
      </c>
      <c r="D456" s="104" t="s">
        <v>1695</v>
      </c>
      <c r="E456" s="105">
        <v>190</v>
      </c>
      <c r="F456" s="102">
        <v>27</v>
      </c>
      <c r="G456" s="208">
        <f t="shared" si="35"/>
        <v>7.5999999999999998E-2</v>
      </c>
      <c r="H456" s="102">
        <v>15</v>
      </c>
      <c r="I456" s="103">
        <f t="shared" si="32"/>
        <v>5130</v>
      </c>
      <c r="J456" s="103">
        <f t="shared" si="33"/>
        <v>3442.4999999999995</v>
      </c>
    </row>
    <row r="457" spans="1:10" s="99" customFormat="1">
      <c r="A457" s="111">
        <v>68</v>
      </c>
      <c r="B457" s="111" t="s">
        <v>1961</v>
      </c>
      <c r="C457" s="103">
        <v>30000</v>
      </c>
      <c r="D457" s="104" t="s">
        <v>1750</v>
      </c>
      <c r="E457" s="105">
        <v>1125</v>
      </c>
      <c r="F457" s="102">
        <v>33</v>
      </c>
      <c r="G457" s="208">
        <f t="shared" si="35"/>
        <v>7.4999999999999997E-2</v>
      </c>
      <c r="H457" s="102">
        <v>15</v>
      </c>
      <c r="I457" s="103">
        <f t="shared" si="32"/>
        <v>37125</v>
      </c>
      <c r="J457" s="103">
        <f t="shared" si="33"/>
        <v>24749.999999999996</v>
      </c>
    </row>
    <row r="458" spans="1:10" s="99" customFormat="1">
      <c r="A458" s="111"/>
      <c r="B458" s="111"/>
      <c r="C458" s="103">
        <v>10000</v>
      </c>
      <c r="D458" s="104" t="s">
        <v>1000</v>
      </c>
      <c r="E458" s="105">
        <v>375</v>
      </c>
      <c r="F458" s="102">
        <v>26</v>
      </c>
      <c r="G458" s="208">
        <f t="shared" si="35"/>
        <v>7.4999999999999997E-2</v>
      </c>
      <c r="H458" s="102">
        <v>15</v>
      </c>
      <c r="I458" s="103">
        <f t="shared" si="32"/>
        <v>9750</v>
      </c>
      <c r="J458" s="103">
        <f t="shared" si="33"/>
        <v>6499.9999999999991</v>
      </c>
    </row>
    <row r="459" spans="1:10" s="99" customFormat="1">
      <c r="A459" s="111"/>
      <c r="B459" s="111"/>
      <c r="C459" s="103">
        <v>10000</v>
      </c>
      <c r="D459" s="104" t="s">
        <v>3140</v>
      </c>
      <c r="E459" s="105">
        <v>1150</v>
      </c>
      <c r="F459" s="102">
        <v>10</v>
      </c>
      <c r="G459" s="208">
        <v>0.06</v>
      </c>
      <c r="H459" s="102" t="s">
        <v>664</v>
      </c>
      <c r="I459" s="103">
        <f t="shared" si="32"/>
        <v>1500</v>
      </c>
      <c r="J459" s="103">
        <f t="shared" si="33"/>
        <v>874.99999999999977</v>
      </c>
    </row>
    <row r="460" spans="1:10" s="99" customFormat="1">
      <c r="A460" s="111">
        <v>69</v>
      </c>
      <c r="B460" s="111" t="s">
        <v>1962</v>
      </c>
      <c r="C460" s="103">
        <v>150000</v>
      </c>
      <c r="D460" s="104" t="s">
        <v>1963</v>
      </c>
      <c r="E460" s="105">
        <v>5625</v>
      </c>
      <c r="F460" s="102">
        <v>11</v>
      </c>
      <c r="G460" s="208">
        <f>E460/(C460*H460/30)</f>
        <v>7.4999999999999997E-2</v>
      </c>
      <c r="H460" s="102">
        <v>15</v>
      </c>
      <c r="I460" s="103">
        <f t="shared" si="32"/>
        <v>61875</v>
      </c>
      <c r="J460" s="103">
        <f t="shared" si="33"/>
        <v>41249.999999999993</v>
      </c>
    </row>
    <row r="461" spans="1:10" s="99" customFormat="1">
      <c r="A461" s="111"/>
      <c r="B461" s="111"/>
      <c r="C461" s="103">
        <v>20000</v>
      </c>
      <c r="D461" s="104" t="s">
        <v>1963</v>
      </c>
      <c r="E461" s="105">
        <v>2400</v>
      </c>
      <c r="F461" s="102">
        <v>4</v>
      </c>
      <c r="G461" s="208">
        <v>0.06</v>
      </c>
      <c r="H461" s="102" t="s">
        <v>664</v>
      </c>
      <c r="I461" s="103">
        <f t="shared" si="32"/>
        <v>1200</v>
      </c>
      <c r="J461" s="103">
        <f t="shared" si="33"/>
        <v>699.99999999999989</v>
      </c>
    </row>
    <row r="462" spans="1:10" s="99" customFormat="1">
      <c r="A462" s="111"/>
      <c r="B462" s="111"/>
      <c r="C462" s="103">
        <v>40000</v>
      </c>
      <c r="D462" s="112" t="s">
        <v>53</v>
      </c>
      <c r="E462" s="105">
        <v>1500</v>
      </c>
      <c r="F462" s="102">
        <v>7</v>
      </c>
      <c r="G462" s="208">
        <f>E462/(C462*H462/30)</f>
        <v>7.4999999999999997E-2</v>
      </c>
      <c r="H462" s="102">
        <v>15</v>
      </c>
      <c r="I462" s="103">
        <f t="shared" si="32"/>
        <v>10500</v>
      </c>
      <c r="J462" s="103">
        <f t="shared" si="33"/>
        <v>6999.9999999999991</v>
      </c>
    </row>
    <row r="463" spans="1:10" s="99" customFormat="1">
      <c r="A463" s="111">
        <v>70</v>
      </c>
      <c r="B463" s="111" t="s">
        <v>1964</v>
      </c>
      <c r="C463" s="103">
        <v>30000</v>
      </c>
      <c r="D463" s="104" t="s">
        <v>1963</v>
      </c>
      <c r="E463" s="105">
        <v>1125</v>
      </c>
      <c r="F463" s="102">
        <v>5</v>
      </c>
      <c r="G463" s="208">
        <f>E463/(C463*H463/30)</f>
        <v>7.4999999999999997E-2</v>
      </c>
      <c r="H463" s="102">
        <v>15</v>
      </c>
      <c r="I463" s="103">
        <f t="shared" si="32"/>
        <v>5625</v>
      </c>
      <c r="J463" s="103">
        <f t="shared" si="33"/>
        <v>3749.9999999999995</v>
      </c>
    </row>
    <row r="464" spans="1:10" s="99" customFormat="1">
      <c r="A464" s="111"/>
      <c r="B464" s="111"/>
      <c r="C464" s="103">
        <v>20000</v>
      </c>
      <c r="D464" s="104" t="s">
        <v>413</v>
      </c>
      <c r="E464" s="105">
        <v>750</v>
      </c>
      <c r="F464" s="102">
        <v>21</v>
      </c>
      <c r="G464" s="208">
        <f>E464/(C464*H464/30)</f>
        <v>7.4999999999999997E-2</v>
      </c>
      <c r="H464" s="102">
        <v>15</v>
      </c>
      <c r="I464" s="103">
        <f t="shared" ref="I464:I527" si="36">IF(H464="分期",C464*G464*2.5*F464/10,C464*G464*H464*F464/30)</f>
        <v>15750</v>
      </c>
      <c r="J464" s="103">
        <f t="shared" ref="J464:J527" si="37">IF(H464="分期",C464*(G464-0.025)*2.5*F464/10,C464*(G464-0.025)*H464*F464/30)</f>
        <v>10499.999999999998</v>
      </c>
    </row>
    <row r="465" spans="1:10" s="99" customFormat="1">
      <c r="A465" s="111"/>
      <c r="B465" s="111"/>
      <c r="C465" s="103">
        <v>20000</v>
      </c>
      <c r="D465" s="104" t="s">
        <v>3147</v>
      </c>
      <c r="E465" s="105">
        <v>2300</v>
      </c>
      <c r="F465" s="102">
        <v>10</v>
      </c>
      <c r="G465" s="208">
        <v>0.06</v>
      </c>
      <c r="H465" s="102" t="s">
        <v>664</v>
      </c>
      <c r="I465" s="103">
        <f t="shared" si="36"/>
        <v>3000</v>
      </c>
      <c r="J465" s="103">
        <f t="shared" si="37"/>
        <v>1749.9999999999995</v>
      </c>
    </row>
    <row r="466" spans="1:10" s="99" customFormat="1">
      <c r="A466" s="111"/>
      <c r="B466" s="111"/>
      <c r="C466" s="103">
        <v>20000</v>
      </c>
      <c r="D466" s="104" t="s">
        <v>997</v>
      </c>
      <c r="E466" s="105">
        <v>2300</v>
      </c>
      <c r="F466" s="102">
        <v>4</v>
      </c>
      <c r="G466" s="208">
        <v>0.06</v>
      </c>
      <c r="H466" s="102" t="s">
        <v>664</v>
      </c>
      <c r="I466" s="103">
        <f t="shared" si="36"/>
        <v>1200</v>
      </c>
      <c r="J466" s="103">
        <f t="shared" si="37"/>
        <v>699.99999999999989</v>
      </c>
    </row>
    <row r="467" spans="1:10" s="99" customFormat="1">
      <c r="A467" s="111"/>
      <c r="B467" s="111"/>
      <c r="C467" s="103">
        <v>30000</v>
      </c>
      <c r="D467" s="112" t="s">
        <v>54</v>
      </c>
      <c r="E467" s="105">
        <v>1125</v>
      </c>
      <c r="F467" s="102">
        <v>19</v>
      </c>
      <c r="G467" s="208">
        <f>E467/(C467*H467/30)</f>
        <v>7.4999999999999997E-2</v>
      </c>
      <c r="H467" s="102">
        <v>15</v>
      </c>
      <c r="I467" s="103">
        <f t="shared" si="36"/>
        <v>21375</v>
      </c>
      <c r="J467" s="103">
        <f t="shared" si="37"/>
        <v>14249.999999999998</v>
      </c>
    </row>
    <row r="468" spans="1:10" s="99" customFormat="1">
      <c r="A468" s="111"/>
      <c r="B468" s="111"/>
      <c r="C468" s="103">
        <v>20000</v>
      </c>
      <c r="D468" s="104" t="s">
        <v>1668</v>
      </c>
      <c r="E468" s="105">
        <v>750</v>
      </c>
      <c r="F468" s="102">
        <v>12</v>
      </c>
      <c r="G468" s="208">
        <f>E468/(C468*H468/30)</f>
        <v>7.4999999999999997E-2</v>
      </c>
      <c r="H468" s="102">
        <v>15</v>
      </c>
      <c r="I468" s="103">
        <f t="shared" si="36"/>
        <v>9000</v>
      </c>
      <c r="J468" s="103">
        <f t="shared" si="37"/>
        <v>5999.9999999999991</v>
      </c>
    </row>
    <row r="469" spans="1:10" s="99" customFormat="1">
      <c r="A469" s="111"/>
      <c r="B469" s="111"/>
      <c r="C469" s="103">
        <v>20000</v>
      </c>
      <c r="D469" s="104" t="s">
        <v>3140</v>
      </c>
      <c r="E469" s="105">
        <v>2300</v>
      </c>
      <c r="F469" s="102">
        <v>10</v>
      </c>
      <c r="G469" s="208">
        <v>0.06</v>
      </c>
      <c r="H469" s="102" t="s">
        <v>664</v>
      </c>
      <c r="I469" s="103">
        <f t="shared" si="36"/>
        <v>3000</v>
      </c>
      <c r="J469" s="103">
        <f t="shared" si="37"/>
        <v>1749.9999999999995</v>
      </c>
    </row>
    <row r="470" spans="1:10" s="99" customFormat="1">
      <c r="A470" s="111"/>
      <c r="B470" s="111"/>
      <c r="C470" s="103">
        <v>10000</v>
      </c>
      <c r="D470" s="104" t="s">
        <v>1532</v>
      </c>
      <c r="E470" s="105">
        <v>375</v>
      </c>
      <c r="F470" s="102">
        <v>1</v>
      </c>
      <c r="G470" s="208">
        <f>E470/(C470*H470/30)</f>
        <v>7.4999999999999997E-2</v>
      </c>
      <c r="H470" s="102">
        <v>15</v>
      </c>
      <c r="I470" s="103">
        <f t="shared" si="36"/>
        <v>375</v>
      </c>
      <c r="J470" s="103">
        <f t="shared" si="37"/>
        <v>249.99999999999997</v>
      </c>
    </row>
    <row r="471" spans="1:10" s="99" customFormat="1">
      <c r="A471" s="111"/>
      <c r="B471" s="111"/>
      <c r="C471" s="103">
        <v>30000</v>
      </c>
      <c r="D471" s="104" t="s">
        <v>966</v>
      </c>
      <c r="E471" s="105">
        <v>2300</v>
      </c>
      <c r="F471" s="102">
        <v>10</v>
      </c>
      <c r="G471" s="208">
        <v>0.06</v>
      </c>
      <c r="H471" s="102" t="s">
        <v>664</v>
      </c>
      <c r="I471" s="103">
        <f t="shared" si="36"/>
        <v>4500</v>
      </c>
      <c r="J471" s="103">
        <f t="shared" si="37"/>
        <v>2625</v>
      </c>
    </row>
    <row r="472" spans="1:10" s="99" customFormat="1">
      <c r="A472" s="111"/>
      <c r="B472" s="111"/>
      <c r="C472" s="103">
        <v>20000</v>
      </c>
      <c r="D472" s="104" t="s">
        <v>1383</v>
      </c>
      <c r="E472" s="105">
        <v>2300</v>
      </c>
      <c r="F472" s="102">
        <v>10</v>
      </c>
      <c r="G472" s="208">
        <v>0.06</v>
      </c>
      <c r="H472" s="102" t="s">
        <v>664</v>
      </c>
      <c r="I472" s="103">
        <f t="shared" si="36"/>
        <v>3000</v>
      </c>
      <c r="J472" s="103">
        <f t="shared" si="37"/>
        <v>1749.9999999999995</v>
      </c>
    </row>
    <row r="473" spans="1:10" s="99" customFormat="1">
      <c r="A473" s="111"/>
      <c r="B473" s="111"/>
      <c r="C473" s="103">
        <v>272800</v>
      </c>
      <c r="D473" s="104" t="s">
        <v>982</v>
      </c>
      <c r="E473" s="105">
        <v>10230</v>
      </c>
      <c r="F473" s="102">
        <v>7</v>
      </c>
      <c r="G473" s="208">
        <f>E473/(C473*H473/30)</f>
        <v>7.4999999999999997E-2</v>
      </c>
      <c r="H473" s="102">
        <v>15</v>
      </c>
      <c r="I473" s="103">
        <f t="shared" si="36"/>
        <v>71610</v>
      </c>
      <c r="J473" s="103">
        <f t="shared" si="37"/>
        <v>47739.999999999993</v>
      </c>
    </row>
    <row r="474" spans="1:10" s="99" customFormat="1">
      <c r="A474" s="111"/>
      <c r="B474" s="111"/>
      <c r="C474" s="103">
        <v>20000</v>
      </c>
      <c r="D474" s="104" t="s">
        <v>500</v>
      </c>
      <c r="E474" s="105">
        <v>2300</v>
      </c>
      <c r="F474" s="102">
        <v>10</v>
      </c>
      <c r="G474" s="208">
        <v>0.06</v>
      </c>
      <c r="H474" s="102" t="s">
        <v>664</v>
      </c>
      <c r="I474" s="103">
        <f t="shared" si="36"/>
        <v>3000</v>
      </c>
      <c r="J474" s="103">
        <f t="shared" si="37"/>
        <v>1749.9999999999995</v>
      </c>
    </row>
    <row r="475" spans="1:10" s="99" customFormat="1">
      <c r="A475" s="111"/>
      <c r="B475" s="111"/>
      <c r="C475" s="103">
        <v>20000</v>
      </c>
      <c r="D475" s="104" t="s">
        <v>483</v>
      </c>
      <c r="E475" s="105">
        <v>2300</v>
      </c>
      <c r="F475" s="102">
        <v>10</v>
      </c>
      <c r="G475" s="208">
        <v>0.06</v>
      </c>
      <c r="H475" s="102" t="s">
        <v>664</v>
      </c>
      <c r="I475" s="103">
        <f t="shared" si="36"/>
        <v>3000</v>
      </c>
      <c r="J475" s="103">
        <f t="shared" si="37"/>
        <v>1749.9999999999995</v>
      </c>
    </row>
    <row r="476" spans="1:10" s="99" customFormat="1">
      <c r="A476" s="111"/>
      <c r="B476" s="111"/>
      <c r="C476" s="103">
        <v>10000</v>
      </c>
      <c r="D476" s="104" t="s">
        <v>1698</v>
      </c>
      <c r="E476" s="105">
        <v>375</v>
      </c>
      <c r="F476" s="102">
        <v>2</v>
      </c>
      <c r="G476" s="208">
        <f t="shared" ref="G476:G483" si="38">E476/(C476*H476/30)</f>
        <v>7.4999999999999997E-2</v>
      </c>
      <c r="H476" s="102">
        <v>15</v>
      </c>
      <c r="I476" s="103">
        <f t="shared" si="36"/>
        <v>750</v>
      </c>
      <c r="J476" s="103">
        <f t="shared" si="37"/>
        <v>499.99999999999994</v>
      </c>
    </row>
    <row r="477" spans="1:10" s="99" customFormat="1">
      <c r="A477" s="111"/>
      <c r="B477" s="111"/>
      <c r="C477" s="103">
        <v>10000</v>
      </c>
      <c r="D477" s="104" t="s">
        <v>652</v>
      </c>
      <c r="E477" s="105">
        <v>375</v>
      </c>
      <c r="F477" s="102">
        <v>5</v>
      </c>
      <c r="G477" s="208">
        <f t="shared" si="38"/>
        <v>7.4999999999999997E-2</v>
      </c>
      <c r="H477" s="102">
        <v>15</v>
      </c>
      <c r="I477" s="103">
        <f t="shared" si="36"/>
        <v>1875</v>
      </c>
      <c r="J477" s="103">
        <f t="shared" si="37"/>
        <v>1249.9999999999998</v>
      </c>
    </row>
    <row r="478" spans="1:10" s="99" customFormat="1">
      <c r="A478" s="111"/>
      <c r="B478" s="111"/>
      <c r="C478" s="103">
        <v>272800</v>
      </c>
      <c r="D478" s="104" t="s">
        <v>982</v>
      </c>
      <c r="E478" s="105">
        <v>10230</v>
      </c>
      <c r="F478" s="102">
        <v>7</v>
      </c>
      <c r="G478" s="208">
        <f t="shared" si="38"/>
        <v>7.4999999999999997E-2</v>
      </c>
      <c r="H478" s="102">
        <v>15</v>
      </c>
      <c r="I478" s="103">
        <f t="shared" si="36"/>
        <v>71610</v>
      </c>
      <c r="J478" s="103">
        <f t="shared" si="37"/>
        <v>47739.999999999993</v>
      </c>
    </row>
    <row r="479" spans="1:10" s="99" customFormat="1">
      <c r="A479" s="111"/>
      <c r="B479" s="111"/>
      <c r="C479" s="103">
        <v>10000</v>
      </c>
      <c r="D479" s="104" t="s">
        <v>1532</v>
      </c>
      <c r="E479" s="105">
        <v>375</v>
      </c>
      <c r="F479" s="102">
        <v>2</v>
      </c>
      <c r="G479" s="208">
        <f t="shared" si="38"/>
        <v>7.4999999999999997E-2</v>
      </c>
      <c r="H479" s="102">
        <v>15</v>
      </c>
      <c r="I479" s="103">
        <f t="shared" si="36"/>
        <v>750</v>
      </c>
      <c r="J479" s="103">
        <f t="shared" si="37"/>
        <v>499.99999999999994</v>
      </c>
    </row>
    <row r="480" spans="1:10" s="99" customFormat="1">
      <c r="A480" s="111"/>
      <c r="B480" s="111"/>
      <c r="C480" s="103">
        <v>10000</v>
      </c>
      <c r="D480" s="104" t="s">
        <v>1698</v>
      </c>
      <c r="E480" s="105">
        <v>375</v>
      </c>
      <c r="F480" s="102">
        <v>2</v>
      </c>
      <c r="G480" s="208">
        <f t="shared" si="38"/>
        <v>7.4999999999999997E-2</v>
      </c>
      <c r="H480" s="102">
        <v>15</v>
      </c>
      <c r="I480" s="103">
        <f t="shared" si="36"/>
        <v>750</v>
      </c>
      <c r="J480" s="103">
        <f t="shared" si="37"/>
        <v>499.99999999999994</v>
      </c>
    </row>
    <row r="481" spans="1:10" s="99" customFormat="1">
      <c r="A481" s="111"/>
      <c r="B481" s="111"/>
      <c r="C481" s="103">
        <v>10000</v>
      </c>
      <c r="D481" s="104" t="s">
        <v>3154</v>
      </c>
      <c r="E481" s="105">
        <v>375</v>
      </c>
      <c r="F481" s="102">
        <v>1</v>
      </c>
      <c r="G481" s="208">
        <f t="shared" si="38"/>
        <v>7.4999999999999997E-2</v>
      </c>
      <c r="H481" s="102">
        <v>15</v>
      </c>
      <c r="I481" s="103">
        <f t="shared" si="36"/>
        <v>375</v>
      </c>
      <c r="J481" s="103">
        <f t="shared" si="37"/>
        <v>249.99999999999997</v>
      </c>
    </row>
    <row r="482" spans="1:10" s="99" customFormat="1">
      <c r="A482" s="111">
        <v>71</v>
      </c>
      <c r="B482" s="111" t="s">
        <v>1966</v>
      </c>
      <c r="C482" s="103">
        <v>200000</v>
      </c>
      <c r="D482" s="104" t="s">
        <v>1963</v>
      </c>
      <c r="E482" s="105">
        <v>15000</v>
      </c>
      <c r="F482" s="102">
        <v>1</v>
      </c>
      <c r="G482" s="208">
        <f t="shared" si="38"/>
        <v>7.4999999999999997E-2</v>
      </c>
      <c r="H482" s="102">
        <v>30</v>
      </c>
      <c r="I482" s="103">
        <f t="shared" si="36"/>
        <v>15000</v>
      </c>
      <c r="J482" s="103">
        <f t="shared" si="37"/>
        <v>10000</v>
      </c>
    </row>
    <row r="483" spans="1:10" s="99" customFormat="1">
      <c r="A483" s="111"/>
      <c r="B483" s="111"/>
      <c r="C483" s="103">
        <v>100000</v>
      </c>
      <c r="D483" s="104" t="s">
        <v>1963</v>
      </c>
      <c r="E483" s="105">
        <v>3750</v>
      </c>
      <c r="F483" s="102">
        <v>1</v>
      </c>
      <c r="G483" s="208">
        <f t="shared" si="38"/>
        <v>7.4999999999999997E-2</v>
      </c>
      <c r="H483" s="102">
        <v>15</v>
      </c>
      <c r="I483" s="103">
        <f t="shared" si="36"/>
        <v>3750</v>
      </c>
      <c r="J483" s="103">
        <f t="shared" si="37"/>
        <v>2500</v>
      </c>
    </row>
    <row r="484" spans="1:10" s="99" customFormat="1">
      <c r="A484" s="111">
        <v>72</v>
      </c>
      <c r="B484" s="111" t="s">
        <v>1967</v>
      </c>
      <c r="C484" s="103">
        <v>40000</v>
      </c>
      <c r="D484" s="104" t="s">
        <v>1726</v>
      </c>
      <c r="E484" s="105">
        <v>4600</v>
      </c>
      <c r="F484" s="102">
        <v>10</v>
      </c>
      <c r="G484" s="208">
        <v>0.06</v>
      </c>
      <c r="H484" s="102" t="s">
        <v>664</v>
      </c>
      <c r="I484" s="103">
        <f t="shared" si="36"/>
        <v>6000</v>
      </c>
      <c r="J484" s="103">
        <f t="shared" si="37"/>
        <v>3499.9999999999991</v>
      </c>
    </row>
    <row r="485" spans="1:10" s="99" customFormat="1">
      <c r="A485" s="111"/>
      <c r="B485" s="111"/>
      <c r="C485" s="103">
        <v>30000</v>
      </c>
      <c r="D485" s="104" t="s">
        <v>1727</v>
      </c>
      <c r="E485" s="105">
        <v>1125</v>
      </c>
      <c r="F485" s="102">
        <v>6</v>
      </c>
      <c r="G485" s="208">
        <f>E485/(C485*H485/30)</f>
        <v>7.4999999999999997E-2</v>
      </c>
      <c r="H485" s="102">
        <v>15</v>
      </c>
      <c r="I485" s="103">
        <f t="shared" si="36"/>
        <v>6750</v>
      </c>
      <c r="J485" s="103">
        <f t="shared" si="37"/>
        <v>4499.9999999999991</v>
      </c>
    </row>
    <row r="486" spans="1:10" s="99" customFormat="1">
      <c r="A486" s="111"/>
      <c r="B486" s="111"/>
      <c r="C486" s="103">
        <v>10000</v>
      </c>
      <c r="D486" s="104" t="s">
        <v>1750</v>
      </c>
      <c r="E486" s="105">
        <v>1150</v>
      </c>
      <c r="F486" s="102">
        <v>10</v>
      </c>
      <c r="G486" s="208">
        <v>0.06</v>
      </c>
      <c r="H486" s="102" t="s">
        <v>664</v>
      </c>
      <c r="I486" s="103">
        <f t="shared" si="36"/>
        <v>1500</v>
      </c>
      <c r="J486" s="103">
        <f t="shared" si="37"/>
        <v>874.99999999999977</v>
      </c>
    </row>
    <row r="487" spans="1:10" s="99" customFormat="1">
      <c r="A487" s="111"/>
      <c r="B487" s="111"/>
      <c r="C487" s="103">
        <v>40000</v>
      </c>
      <c r="D487" s="104" t="s">
        <v>3145</v>
      </c>
      <c r="E487" s="105">
        <v>4600</v>
      </c>
      <c r="F487" s="102">
        <v>10</v>
      </c>
      <c r="G487" s="208">
        <v>0.06</v>
      </c>
      <c r="H487" s="102" t="s">
        <v>664</v>
      </c>
      <c r="I487" s="103">
        <f t="shared" si="36"/>
        <v>6000</v>
      </c>
      <c r="J487" s="103">
        <f t="shared" si="37"/>
        <v>3499.9999999999991</v>
      </c>
    </row>
    <row r="488" spans="1:10" s="99" customFormat="1">
      <c r="A488" s="111"/>
      <c r="B488" s="111"/>
      <c r="C488" s="103">
        <v>15000</v>
      </c>
      <c r="D488" s="104" t="s">
        <v>3150</v>
      </c>
      <c r="E488" s="105">
        <v>565</v>
      </c>
      <c r="F488" s="102">
        <v>7</v>
      </c>
      <c r="G488" s="208">
        <f t="shared" ref="G488:G493" si="39">E488/(C488*H488/30)</f>
        <v>7.5333333333333335E-2</v>
      </c>
      <c r="H488" s="102">
        <v>15</v>
      </c>
      <c r="I488" s="103">
        <f t="shared" si="36"/>
        <v>3955</v>
      </c>
      <c r="J488" s="103">
        <f t="shared" si="37"/>
        <v>2642.5</v>
      </c>
    </row>
    <row r="489" spans="1:10" s="99" customFormat="1">
      <c r="A489" s="111"/>
      <c r="B489" s="111"/>
      <c r="C489" s="103">
        <v>25000</v>
      </c>
      <c r="D489" s="104" t="s">
        <v>970</v>
      </c>
      <c r="E489" s="105">
        <v>940</v>
      </c>
      <c r="F489" s="102">
        <v>6</v>
      </c>
      <c r="G489" s="208">
        <f t="shared" si="39"/>
        <v>7.5200000000000003E-2</v>
      </c>
      <c r="H489" s="102">
        <v>15</v>
      </c>
      <c r="I489" s="103">
        <f t="shared" si="36"/>
        <v>5640</v>
      </c>
      <c r="J489" s="103">
        <f t="shared" si="37"/>
        <v>3765</v>
      </c>
    </row>
    <row r="490" spans="1:10" s="99" customFormat="1">
      <c r="A490" s="111"/>
      <c r="B490" s="111"/>
      <c r="C490" s="103">
        <v>20000</v>
      </c>
      <c r="D490" s="104" t="s">
        <v>413</v>
      </c>
      <c r="E490" s="105">
        <v>750</v>
      </c>
      <c r="F490" s="102">
        <v>6</v>
      </c>
      <c r="G490" s="208">
        <f t="shared" si="39"/>
        <v>7.4999999999999997E-2</v>
      </c>
      <c r="H490" s="102">
        <v>15</v>
      </c>
      <c r="I490" s="103">
        <f t="shared" si="36"/>
        <v>4500</v>
      </c>
      <c r="J490" s="103">
        <f t="shared" si="37"/>
        <v>2999.9999999999995</v>
      </c>
    </row>
    <row r="491" spans="1:10" s="99" customFormat="1">
      <c r="A491" s="111"/>
      <c r="B491" s="111"/>
      <c r="C491" s="103">
        <v>25000</v>
      </c>
      <c r="D491" s="104" t="s">
        <v>1533</v>
      </c>
      <c r="E491" s="105">
        <v>940</v>
      </c>
      <c r="F491" s="102">
        <v>5</v>
      </c>
      <c r="G491" s="208">
        <f t="shared" si="39"/>
        <v>7.5200000000000003E-2</v>
      </c>
      <c r="H491" s="102">
        <v>15</v>
      </c>
      <c r="I491" s="103">
        <f t="shared" si="36"/>
        <v>4700</v>
      </c>
      <c r="J491" s="103">
        <f t="shared" si="37"/>
        <v>3137.5</v>
      </c>
    </row>
    <row r="492" spans="1:10" s="99" customFormat="1">
      <c r="A492" s="111"/>
      <c r="B492" s="111"/>
      <c r="C492" s="103">
        <v>20000</v>
      </c>
      <c r="D492" s="104" t="s">
        <v>491</v>
      </c>
      <c r="E492" s="105">
        <v>750</v>
      </c>
      <c r="F492" s="102">
        <v>3</v>
      </c>
      <c r="G492" s="208">
        <f t="shared" si="39"/>
        <v>7.4999999999999997E-2</v>
      </c>
      <c r="H492" s="102">
        <v>15</v>
      </c>
      <c r="I492" s="103">
        <f t="shared" si="36"/>
        <v>2250</v>
      </c>
      <c r="J492" s="103">
        <f t="shared" si="37"/>
        <v>1499.9999999999998</v>
      </c>
    </row>
    <row r="493" spans="1:10" s="99" customFormat="1">
      <c r="A493" s="111">
        <v>73</v>
      </c>
      <c r="B493" s="111" t="s">
        <v>1968</v>
      </c>
      <c r="C493" s="103">
        <v>20000</v>
      </c>
      <c r="D493" s="104" t="s">
        <v>1990</v>
      </c>
      <c r="E493" s="105">
        <v>750</v>
      </c>
      <c r="F493" s="102">
        <v>24</v>
      </c>
      <c r="G493" s="208">
        <f t="shared" si="39"/>
        <v>7.4999999999999997E-2</v>
      </c>
      <c r="H493" s="102">
        <v>15</v>
      </c>
      <c r="I493" s="103">
        <f t="shared" si="36"/>
        <v>18000</v>
      </c>
      <c r="J493" s="103">
        <f t="shared" si="37"/>
        <v>11999.999999999998</v>
      </c>
    </row>
    <row r="494" spans="1:10" s="99" customFormat="1">
      <c r="A494" s="111"/>
      <c r="B494" s="111"/>
      <c r="C494" s="103">
        <v>10000</v>
      </c>
      <c r="D494" s="104" t="s">
        <v>1990</v>
      </c>
      <c r="E494" s="105">
        <v>1200</v>
      </c>
      <c r="F494" s="102">
        <v>10</v>
      </c>
      <c r="G494" s="208">
        <v>0.06</v>
      </c>
      <c r="H494" s="102" t="s">
        <v>664</v>
      </c>
      <c r="I494" s="103">
        <f t="shared" si="36"/>
        <v>1500</v>
      </c>
      <c r="J494" s="103">
        <f t="shared" si="37"/>
        <v>874.99999999999977</v>
      </c>
    </row>
    <row r="495" spans="1:10" s="99" customFormat="1">
      <c r="A495" s="111"/>
      <c r="B495" s="111"/>
      <c r="C495" s="103">
        <v>50000</v>
      </c>
      <c r="D495" s="104" t="s">
        <v>2590</v>
      </c>
      <c r="E495" s="105">
        <v>1875</v>
      </c>
      <c r="F495" s="102">
        <v>26</v>
      </c>
      <c r="G495" s="208">
        <f>E495/(C495*H495/30)</f>
        <v>7.4999999999999997E-2</v>
      </c>
      <c r="H495" s="102">
        <v>15</v>
      </c>
      <c r="I495" s="103">
        <f t="shared" si="36"/>
        <v>48750</v>
      </c>
      <c r="J495" s="103">
        <f t="shared" si="37"/>
        <v>32500</v>
      </c>
    </row>
    <row r="496" spans="1:10" s="99" customFormat="1">
      <c r="A496" s="111"/>
      <c r="B496" s="111"/>
      <c r="C496" s="103">
        <v>20000</v>
      </c>
      <c r="D496" s="104" t="s">
        <v>461</v>
      </c>
      <c r="E496" s="105">
        <v>750</v>
      </c>
      <c r="F496" s="102">
        <v>22</v>
      </c>
      <c r="G496" s="208">
        <f>E496/(C496*H496/30)</f>
        <v>7.4999999999999997E-2</v>
      </c>
      <c r="H496" s="102">
        <v>15</v>
      </c>
      <c r="I496" s="103">
        <f t="shared" si="36"/>
        <v>16500</v>
      </c>
      <c r="J496" s="103">
        <f t="shared" si="37"/>
        <v>10999.999999999998</v>
      </c>
    </row>
    <row r="497" spans="1:10" s="99" customFormat="1">
      <c r="A497" s="111"/>
      <c r="B497" s="111"/>
      <c r="C497" s="103">
        <v>10000</v>
      </c>
      <c r="D497" s="104" t="s">
        <v>461</v>
      </c>
      <c r="E497" s="105">
        <v>1150</v>
      </c>
      <c r="F497" s="102">
        <v>10</v>
      </c>
      <c r="G497" s="208">
        <v>0.06</v>
      </c>
      <c r="H497" s="102" t="s">
        <v>664</v>
      </c>
      <c r="I497" s="103">
        <f t="shared" si="36"/>
        <v>1500</v>
      </c>
      <c r="J497" s="103">
        <f t="shared" si="37"/>
        <v>874.99999999999977</v>
      </c>
    </row>
    <row r="498" spans="1:10" s="99" customFormat="1">
      <c r="A498" s="111"/>
      <c r="B498" s="111"/>
      <c r="C498" s="103">
        <v>40000</v>
      </c>
      <c r="D498" s="104" t="s">
        <v>441</v>
      </c>
      <c r="E498" s="105">
        <v>1500</v>
      </c>
      <c r="F498" s="102">
        <v>19</v>
      </c>
      <c r="G498" s="208">
        <f t="shared" ref="G498:G507" si="40">E498/(C498*H498/30)</f>
        <v>7.4999999999999997E-2</v>
      </c>
      <c r="H498" s="102">
        <v>15</v>
      </c>
      <c r="I498" s="103">
        <f t="shared" si="36"/>
        <v>28500</v>
      </c>
      <c r="J498" s="103">
        <f t="shared" si="37"/>
        <v>18999.999999999996</v>
      </c>
    </row>
    <row r="499" spans="1:10" s="99" customFormat="1">
      <c r="A499" s="111"/>
      <c r="B499" s="111"/>
      <c r="C499" s="103">
        <v>20000</v>
      </c>
      <c r="D499" s="104" t="s">
        <v>2346</v>
      </c>
      <c r="E499" s="105">
        <v>750</v>
      </c>
      <c r="F499" s="102">
        <v>19</v>
      </c>
      <c r="G499" s="208">
        <f t="shared" si="40"/>
        <v>7.4999999999999997E-2</v>
      </c>
      <c r="H499" s="102">
        <v>15</v>
      </c>
      <c r="I499" s="103">
        <f t="shared" si="36"/>
        <v>14250</v>
      </c>
      <c r="J499" s="103">
        <f t="shared" si="37"/>
        <v>9499.9999999999982</v>
      </c>
    </row>
    <row r="500" spans="1:10" s="99" customFormat="1">
      <c r="A500" s="111"/>
      <c r="B500" s="111"/>
      <c r="C500" s="103">
        <v>10000</v>
      </c>
      <c r="D500" s="104" t="s">
        <v>688</v>
      </c>
      <c r="E500" s="105">
        <v>375</v>
      </c>
      <c r="F500" s="102">
        <v>17</v>
      </c>
      <c r="G500" s="208">
        <f t="shared" si="40"/>
        <v>7.4999999999999997E-2</v>
      </c>
      <c r="H500" s="102">
        <v>15</v>
      </c>
      <c r="I500" s="103">
        <f t="shared" si="36"/>
        <v>6375</v>
      </c>
      <c r="J500" s="103">
        <f t="shared" si="37"/>
        <v>4249.9999999999991</v>
      </c>
    </row>
    <row r="501" spans="1:10" s="99" customFormat="1">
      <c r="A501" s="111"/>
      <c r="B501" s="111"/>
      <c r="C501" s="103">
        <v>55000</v>
      </c>
      <c r="D501" s="104" t="s">
        <v>435</v>
      </c>
      <c r="E501" s="105">
        <v>2065</v>
      </c>
      <c r="F501" s="102">
        <v>17</v>
      </c>
      <c r="G501" s="208">
        <f t="shared" si="40"/>
        <v>7.5090909090909097E-2</v>
      </c>
      <c r="H501" s="102">
        <v>15</v>
      </c>
      <c r="I501" s="103">
        <f t="shared" si="36"/>
        <v>35105</v>
      </c>
      <c r="J501" s="103">
        <f t="shared" si="37"/>
        <v>23417.500000000004</v>
      </c>
    </row>
    <row r="502" spans="1:10" s="99" customFormat="1">
      <c r="A502" s="111"/>
      <c r="B502" s="111"/>
      <c r="C502" s="103">
        <v>5000</v>
      </c>
      <c r="D502" s="104" t="s">
        <v>3125</v>
      </c>
      <c r="E502" s="105">
        <v>190</v>
      </c>
      <c r="F502" s="102">
        <v>6</v>
      </c>
      <c r="G502" s="208">
        <f t="shared" si="40"/>
        <v>7.5999999999999998E-2</v>
      </c>
      <c r="H502" s="102">
        <v>15</v>
      </c>
      <c r="I502" s="103">
        <f t="shared" si="36"/>
        <v>1140</v>
      </c>
      <c r="J502" s="103">
        <f t="shared" si="37"/>
        <v>764.99999999999989</v>
      </c>
    </row>
    <row r="503" spans="1:10" s="99" customFormat="1">
      <c r="A503" s="111"/>
      <c r="B503" s="111"/>
      <c r="C503" s="103">
        <v>20000</v>
      </c>
      <c r="D503" s="104" t="s">
        <v>3172</v>
      </c>
      <c r="E503" s="105">
        <v>750</v>
      </c>
      <c r="F503" s="102">
        <v>5</v>
      </c>
      <c r="G503" s="208">
        <f t="shared" si="40"/>
        <v>7.4999999999999997E-2</v>
      </c>
      <c r="H503" s="102">
        <v>15</v>
      </c>
      <c r="I503" s="103">
        <f t="shared" si="36"/>
        <v>3750</v>
      </c>
      <c r="J503" s="103">
        <f t="shared" si="37"/>
        <v>2499.9999999999995</v>
      </c>
    </row>
    <row r="504" spans="1:10" s="99" customFormat="1">
      <c r="A504" s="111"/>
      <c r="B504" s="111"/>
      <c r="C504" s="103">
        <v>20000</v>
      </c>
      <c r="D504" s="104" t="s">
        <v>3178</v>
      </c>
      <c r="E504" s="105">
        <v>750</v>
      </c>
      <c r="F504" s="102">
        <v>5</v>
      </c>
      <c r="G504" s="208">
        <f t="shared" si="40"/>
        <v>7.4999999999999997E-2</v>
      </c>
      <c r="H504" s="102">
        <v>15</v>
      </c>
      <c r="I504" s="103">
        <f t="shared" si="36"/>
        <v>3750</v>
      </c>
      <c r="J504" s="103">
        <f t="shared" si="37"/>
        <v>2499.9999999999995</v>
      </c>
    </row>
    <row r="505" spans="1:10" s="99" customFormat="1">
      <c r="A505" s="111">
        <v>74</v>
      </c>
      <c r="B505" s="111" t="s">
        <v>2591</v>
      </c>
      <c r="C505" s="103">
        <v>20000</v>
      </c>
      <c r="D505" s="104" t="s">
        <v>976</v>
      </c>
      <c r="E505" s="105">
        <v>750</v>
      </c>
      <c r="F505" s="102">
        <v>8</v>
      </c>
      <c r="G505" s="208">
        <f t="shared" si="40"/>
        <v>7.4999999999999997E-2</v>
      </c>
      <c r="H505" s="102">
        <v>15</v>
      </c>
      <c r="I505" s="103">
        <f t="shared" si="36"/>
        <v>6000</v>
      </c>
      <c r="J505" s="103">
        <f t="shared" si="37"/>
        <v>3999.9999999999995</v>
      </c>
    </row>
    <row r="506" spans="1:10" s="99" customFormat="1">
      <c r="A506" s="111"/>
      <c r="B506" s="111"/>
      <c r="C506" s="103">
        <v>10000</v>
      </c>
      <c r="D506" s="104" t="s">
        <v>243</v>
      </c>
      <c r="E506" s="105">
        <v>375</v>
      </c>
      <c r="F506" s="102">
        <v>19</v>
      </c>
      <c r="G506" s="208">
        <f t="shared" si="40"/>
        <v>7.4999999999999997E-2</v>
      </c>
      <c r="H506" s="102">
        <v>15</v>
      </c>
      <c r="I506" s="103">
        <f t="shared" si="36"/>
        <v>7125</v>
      </c>
      <c r="J506" s="103">
        <f t="shared" si="37"/>
        <v>4749.9999999999991</v>
      </c>
    </row>
    <row r="507" spans="1:10" s="99" customFormat="1">
      <c r="A507" s="111"/>
      <c r="B507" s="111"/>
      <c r="C507" s="103">
        <v>10000</v>
      </c>
      <c r="D507" s="104" t="s">
        <v>467</v>
      </c>
      <c r="E507" s="105">
        <v>375</v>
      </c>
      <c r="F507" s="102">
        <v>18</v>
      </c>
      <c r="G507" s="208">
        <f t="shared" si="40"/>
        <v>7.4999999999999997E-2</v>
      </c>
      <c r="H507" s="102">
        <v>15</v>
      </c>
      <c r="I507" s="103">
        <f t="shared" si="36"/>
        <v>6750</v>
      </c>
      <c r="J507" s="103">
        <f t="shared" si="37"/>
        <v>4499.9999999999991</v>
      </c>
    </row>
    <row r="508" spans="1:10" s="99" customFormat="1">
      <c r="A508" s="111"/>
      <c r="B508" s="111"/>
      <c r="C508" s="103">
        <v>20000</v>
      </c>
      <c r="D508" s="104" t="s">
        <v>467</v>
      </c>
      <c r="E508" s="105">
        <v>2300</v>
      </c>
      <c r="F508" s="102">
        <v>8</v>
      </c>
      <c r="G508" s="208">
        <v>0.06</v>
      </c>
      <c r="H508" s="102" t="s">
        <v>664</v>
      </c>
      <c r="I508" s="103">
        <f t="shared" si="36"/>
        <v>2400</v>
      </c>
      <c r="J508" s="103">
        <f t="shared" si="37"/>
        <v>1399.9999999999998</v>
      </c>
    </row>
    <row r="509" spans="1:10" s="99" customFormat="1">
      <c r="A509" s="111"/>
      <c r="B509" s="111"/>
      <c r="C509" s="103">
        <v>10000</v>
      </c>
      <c r="D509" s="104" t="s">
        <v>2593</v>
      </c>
      <c r="E509" s="105">
        <v>1150</v>
      </c>
      <c r="F509" s="102">
        <v>10</v>
      </c>
      <c r="G509" s="208">
        <v>0.06</v>
      </c>
      <c r="H509" s="102" t="s">
        <v>664</v>
      </c>
      <c r="I509" s="103">
        <f t="shared" si="36"/>
        <v>1500</v>
      </c>
      <c r="J509" s="103">
        <f t="shared" si="37"/>
        <v>874.99999999999977</v>
      </c>
    </row>
    <row r="510" spans="1:10" s="99" customFormat="1">
      <c r="A510" s="111"/>
      <c r="B510" s="111"/>
      <c r="C510" s="103">
        <v>10000</v>
      </c>
      <c r="D510" s="104" t="s">
        <v>441</v>
      </c>
      <c r="E510" s="105">
        <v>375</v>
      </c>
      <c r="F510" s="102">
        <v>16</v>
      </c>
      <c r="G510" s="208">
        <f>E510/(C510*H510/30)</f>
        <v>7.4999999999999997E-2</v>
      </c>
      <c r="H510" s="102">
        <v>15</v>
      </c>
      <c r="I510" s="103">
        <f t="shared" si="36"/>
        <v>6000</v>
      </c>
      <c r="J510" s="103">
        <f t="shared" si="37"/>
        <v>3999.9999999999995</v>
      </c>
    </row>
    <row r="511" spans="1:10" s="99" customFormat="1">
      <c r="A511" s="111"/>
      <c r="B511" s="111"/>
      <c r="C511" s="103">
        <v>20000</v>
      </c>
      <c r="D511" s="112" t="s">
        <v>55</v>
      </c>
      <c r="E511" s="105">
        <v>750</v>
      </c>
      <c r="F511" s="102">
        <v>6</v>
      </c>
      <c r="G511" s="208">
        <f>E511/(C511*H511/30)</f>
        <v>7.4999999999999997E-2</v>
      </c>
      <c r="H511" s="102">
        <v>15</v>
      </c>
      <c r="I511" s="103">
        <f t="shared" si="36"/>
        <v>4500</v>
      </c>
      <c r="J511" s="103">
        <f t="shared" si="37"/>
        <v>2999.9999999999995</v>
      </c>
    </row>
    <row r="512" spans="1:10" s="99" customFormat="1">
      <c r="A512" s="111"/>
      <c r="B512" s="111"/>
      <c r="C512" s="103">
        <v>35000</v>
      </c>
      <c r="D512" s="104" t="s">
        <v>2592</v>
      </c>
      <c r="E512" s="105">
        <v>1315</v>
      </c>
      <c r="F512" s="102">
        <v>16</v>
      </c>
      <c r="G512" s="208">
        <f>E512/(C512*H512/30)</f>
        <v>7.5142857142857136E-2</v>
      </c>
      <c r="H512" s="102">
        <v>15</v>
      </c>
      <c r="I512" s="103">
        <f t="shared" si="36"/>
        <v>21039.999999999996</v>
      </c>
      <c r="J512" s="103">
        <f t="shared" si="37"/>
        <v>14039.999999999998</v>
      </c>
    </row>
    <row r="513" spans="1:10" s="99" customFormat="1">
      <c r="A513" s="111"/>
      <c r="B513" s="111"/>
      <c r="C513" s="103">
        <v>10000</v>
      </c>
      <c r="D513" s="104" t="s">
        <v>1006</v>
      </c>
      <c r="E513" s="105">
        <v>375</v>
      </c>
      <c r="F513" s="102">
        <v>15</v>
      </c>
      <c r="G513" s="208">
        <f>E513/(C513*H513/30)</f>
        <v>7.4999999999999997E-2</v>
      </c>
      <c r="H513" s="102">
        <v>15</v>
      </c>
      <c r="I513" s="103">
        <f t="shared" si="36"/>
        <v>5625</v>
      </c>
      <c r="J513" s="103">
        <f t="shared" si="37"/>
        <v>3749.9999999999995</v>
      </c>
    </row>
    <row r="514" spans="1:10" s="99" customFormat="1">
      <c r="A514" s="111"/>
      <c r="B514" s="111"/>
      <c r="C514" s="103">
        <v>30000</v>
      </c>
      <c r="D514" s="104" t="s">
        <v>235</v>
      </c>
      <c r="E514" s="105">
        <v>1125</v>
      </c>
      <c r="F514" s="102">
        <v>14</v>
      </c>
      <c r="G514" s="208">
        <f>E514/(C514*H514/30)</f>
        <v>7.4999999999999997E-2</v>
      </c>
      <c r="H514" s="102">
        <v>15</v>
      </c>
      <c r="I514" s="103">
        <f t="shared" si="36"/>
        <v>15750</v>
      </c>
      <c r="J514" s="103">
        <f t="shared" si="37"/>
        <v>10499.999999999998</v>
      </c>
    </row>
    <row r="515" spans="1:10" s="99" customFormat="1">
      <c r="A515" s="111"/>
      <c r="B515" s="111"/>
      <c r="C515" s="103">
        <v>20000</v>
      </c>
      <c r="D515" s="112" t="s">
        <v>56</v>
      </c>
      <c r="E515" s="105">
        <v>2300</v>
      </c>
      <c r="F515" s="102">
        <v>10</v>
      </c>
      <c r="G515" s="208">
        <v>0.06</v>
      </c>
      <c r="H515" s="102" t="s">
        <v>664</v>
      </c>
      <c r="I515" s="103">
        <f t="shared" si="36"/>
        <v>3000</v>
      </c>
      <c r="J515" s="103">
        <f t="shared" si="37"/>
        <v>1749.9999999999995</v>
      </c>
    </row>
    <row r="516" spans="1:10" s="99" customFormat="1">
      <c r="A516" s="111"/>
      <c r="B516" s="111"/>
      <c r="C516" s="103">
        <v>10000</v>
      </c>
      <c r="D516" s="104" t="s">
        <v>1991</v>
      </c>
      <c r="E516" s="105">
        <v>1150</v>
      </c>
      <c r="F516" s="102">
        <v>10</v>
      </c>
      <c r="G516" s="208">
        <v>0.06</v>
      </c>
      <c r="H516" s="102" t="s">
        <v>664</v>
      </c>
      <c r="I516" s="103">
        <f t="shared" si="36"/>
        <v>1500</v>
      </c>
      <c r="J516" s="103">
        <f t="shared" si="37"/>
        <v>874.99999999999977</v>
      </c>
    </row>
    <row r="517" spans="1:10" s="99" customFormat="1">
      <c r="A517" s="111"/>
      <c r="B517" s="111"/>
      <c r="C517" s="103">
        <v>10000</v>
      </c>
      <c r="D517" s="104" t="s">
        <v>1991</v>
      </c>
      <c r="E517" s="105">
        <v>375</v>
      </c>
      <c r="F517" s="102">
        <v>4</v>
      </c>
      <c r="G517" s="208">
        <f>E517/(C517*H517/30)</f>
        <v>7.4999999999999997E-2</v>
      </c>
      <c r="H517" s="102">
        <v>15</v>
      </c>
      <c r="I517" s="103">
        <f t="shared" si="36"/>
        <v>1500</v>
      </c>
      <c r="J517" s="103">
        <f t="shared" si="37"/>
        <v>999.99999999999989</v>
      </c>
    </row>
    <row r="518" spans="1:10" s="99" customFormat="1">
      <c r="A518" s="111"/>
      <c r="B518" s="111"/>
      <c r="C518" s="103">
        <v>20000</v>
      </c>
      <c r="D518" s="112" t="s">
        <v>57</v>
      </c>
      <c r="E518" s="105">
        <v>750</v>
      </c>
      <c r="F518" s="102">
        <v>11</v>
      </c>
      <c r="G518" s="208">
        <f>E518/(C518*H518/30)</f>
        <v>7.4999999999999997E-2</v>
      </c>
      <c r="H518" s="102">
        <v>15</v>
      </c>
      <c r="I518" s="103">
        <f t="shared" si="36"/>
        <v>8250</v>
      </c>
      <c r="J518" s="103">
        <f t="shared" si="37"/>
        <v>5499.9999999999991</v>
      </c>
    </row>
    <row r="519" spans="1:10" s="99" customFormat="1">
      <c r="A519" s="111"/>
      <c r="B519" s="111"/>
      <c r="C519" s="103">
        <v>40000</v>
      </c>
      <c r="D519" s="104" t="s">
        <v>2594</v>
      </c>
      <c r="E519" s="105">
        <v>4600</v>
      </c>
      <c r="F519" s="102">
        <v>10</v>
      </c>
      <c r="G519" s="208">
        <v>0.06</v>
      </c>
      <c r="H519" s="102" t="s">
        <v>664</v>
      </c>
      <c r="I519" s="103">
        <f t="shared" si="36"/>
        <v>6000</v>
      </c>
      <c r="J519" s="103">
        <f t="shared" si="37"/>
        <v>3499.9999999999991</v>
      </c>
    </row>
    <row r="520" spans="1:10" s="99" customFormat="1">
      <c r="A520" s="111"/>
      <c r="B520" s="111"/>
      <c r="C520" s="103">
        <v>30000</v>
      </c>
      <c r="D520" s="104" t="s">
        <v>2594</v>
      </c>
      <c r="E520" s="105">
        <v>1125</v>
      </c>
      <c r="F520" s="102">
        <v>10</v>
      </c>
      <c r="G520" s="208">
        <f>E520/(C520*H520/30)</f>
        <v>7.4999999999999997E-2</v>
      </c>
      <c r="H520" s="102">
        <v>15</v>
      </c>
      <c r="I520" s="103">
        <f t="shared" si="36"/>
        <v>11250</v>
      </c>
      <c r="J520" s="103">
        <f t="shared" si="37"/>
        <v>7499.9999999999991</v>
      </c>
    </row>
    <row r="521" spans="1:10" s="99" customFormat="1">
      <c r="A521" s="111"/>
      <c r="B521" s="111"/>
      <c r="C521" s="103">
        <v>40000</v>
      </c>
      <c r="D521" s="104" t="s">
        <v>966</v>
      </c>
      <c r="E521" s="105">
        <v>4600</v>
      </c>
      <c r="F521" s="102">
        <v>10</v>
      </c>
      <c r="G521" s="208">
        <v>0.06</v>
      </c>
      <c r="H521" s="102" t="s">
        <v>664</v>
      </c>
      <c r="I521" s="103">
        <f t="shared" si="36"/>
        <v>6000</v>
      </c>
      <c r="J521" s="103">
        <f t="shared" si="37"/>
        <v>3499.9999999999991</v>
      </c>
    </row>
    <row r="522" spans="1:10" s="99" customFormat="1">
      <c r="A522" s="111"/>
      <c r="B522" s="111"/>
      <c r="C522" s="103">
        <v>10000</v>
      </c>
      <c r="D522" s="104" t="s">
        <v>966</v>
      </c>
      <c r="E522" s="105">
        <v>1150</v>
      </c>
      <c r="F522" s="102">
        <v>10</v>
      </c>
      <c r="G522" s="208">
        <v>0.06</v>
      </c>
      <c r="H522" s="102" t="s">
        <v>664</v>
      </c>
      <c r="I522" s="103">
        <f t="shared" si="36"/>
        <v>1500</v>
      </c>
      <c r="J522" s="103">
        <f t="shared" si="37"/>
        <v>874.99999999999977</v>
      </c>
    </row>
    <row r="523" spans="1:10" s="99" customFormat="1">
      <c r="A523" s="111"/>
      <c r="B523" s="111"/>
      <c r="C523" s="103">
        <v>10000</v>
      </c>
      <c r="D523" s="104" t="s">
        <v>3113</v>
      </c>
      <c r="E523" s="105">
        <v>1150</v>
      </c>
      <c r="F523" s="102">
        <v>9</v>
      </c>
      <c r="G523" s="208">
        <v>0.06</v>
      </c>
      <c r="H523" s="102" t="s">
        <v>1917</v>
      </c>
      <c r="I523" s="103">
        <f t="shared" si="36"/>
        <v>1350</v>
      </c>
      <c r="J523" s="103">
        <f t="shared" si="37"/>
        <v>787.49999999999989</v>
      </c>
    </row>
    <row r="524" spans="1:10" s="99" customFormat="1">
      <c r="A524" s="111"/>
      <c r="B524" s="111"/>
      <c r="C524" s="103">
        <v>5000</v>
      </c>
      <c r="D524" s="104" t="s">
        <v>688</v>
      </c>
      <c r="E524" s="105">
        <v>575</v>
      </c>
      <c r="F524" s="102">
        <v>10</v>
      </c>
      <c r="G524" s="208">
        <v>0.06</v>
      </c>
      <c r="H524" s="102" t="s">
        <v>1917</v>
      </c>
      <c r="I524" s="103">
        <f t="shared" si="36"/>
        <v>750</v>
      </c>
      <c r="J524" s="103">
        <f t="shared" si="37"/>
        <v>437.49999999999989</v>
      </c>
    </row>
    <row r="525" spans="1:10" s="99" customFormat="1">
      <c r="A525" s="111"/>
      <c r="B525" s="111"/>
      <c r="C525" s="103">
        <v>10000</v>
      </c>
      <c r="D525" s="104" t="s">
        <v>3701</v>
      </c>
      <c r="E525" s="105">
        <v>1150</v>
      </c>
      <c r="F525" s="102">
        <v>3</v>
      </c>
      <c r="G525" s="208">
        <v>0.06</v>
      </c>
      <c r="H525" s="102" t="s">
        <v>664</v>
      </c>
      <c r="I525" s="103">
        <f t="shared" si="36"/>
        <v>450</v>
      </c>
      <c r="J525" s="103">
        <f t="shared" si="37"/>
        <v>262.49999999999994</v>
      </c>
    </row>
    <row r="526" spans="1:10" s="99" customFormat="1">
      <c r="A526" s="111"/>
      <c r="B526" s="111"/>
      <c r="C526" s="103">
        <v>10000</v>
      </c>
      <c r="D526" s="104" t="s">
        <v>3701</v>
      </c>
      <c r="E526" s="105">
        <v>375</v>
      </c>
      <c r="F526" s="102">
        <v>8</v>
      </c>
      <c r="G526" s="208">
        <f>E526/(C526*H526/30)</f>
        <v>7.4999999999999997E-2</v>
      </c>
      <c r="H526" s="102">
        <v>15</v>
      </c>
      <c r="I526" s="103">
        <f t="shared" si="36"/>
        <v>3000</v>
      </c>
      <c r="J526" s="103">
        <f t="shared" si="37"/>
        <v>1999.9999999999998</v>
      </c>
    </row>
    <row r="527" spans="1:10" s="99" customFormat="1">
      <c r="A527" s="111"/>
      <c r="B527" s="111"/>
      <c r="C527" s="103">
        <v>10000</v>
      </c>
      <c r="D527" s="104" t="s">
        <v>3178</v>
      </c>
      <c r="E527" s="105">
        <v>1150</v>
      </c>
      <c r="F527" s="102">
        <v>4</v>
      </c>
      <c r="G527" s="208">
        <v>0.06</v>
      </c>
      <c r="H527" s="102" t="s">
        <v>664</v>
      </c>
      <c r="I527" s="103">
        <f t="shared" si="36"/>
        <v>600</v>
      </c>
      <c r="J527" s="103">
        <f t="shared" si="37"/>
        <v>349.99999999999994</v>
      </c>
    </row>
    <row r="528" spans="1:10" s="99" customFormat="1">
      <c r="A528" s="111">
        <v>75</v>
      </c>
      <c r="B528" s="111" t="s">
        <v>2595</v>
      </c>
      <c r="C528" s="103">
        <v>230000</v>
      </c>
      <c r="D528" s="112" t="s">
        <v>58</v>
      </c>
      <c r="E528" s="105">
        <v>9750</v>
      </c>
      <c r="F528" s="102">
        <v>1</v>
      </c>
      <c r="G528" s="208">
        <f t="shared" ref="G528:G534" si="41">E528/(C528*H528/30)</f>
        <v>8.478260869565217E-2</v>
      </c>
      <c r="H528" s="102">
        <v>15</v>
      </c>
      <c r="I528" s="103">
        <f t="shared" ref="I528:I591" si="42">IF(H528="分期",C528*G528*2.5*F528/10,C528*G528*H528*F528/30)</f>
        <v>9750</v>
      </c>
      <c r="J528" s="103">
        <f t="shared" ref="J528:J591" si="43">IF(H528="分期",C528*(G528-0.025)*2.5*F528/10,C528*(G528-0.025)*H528*F528/30)</f>
        <v>6874.9999999999991</v>
      </c>
    </row>
    <row r="529" spans="1:10" s="99" customFormat="1">
      <c r="A529" s="111"/>
      <c r="B529" s="111"/>
      <c r="C529" s="103">
        <v>10000</v>
      </c>
      <c r="D529" s="104" t="s">
        <v>999</v>
      </c>
      <c r="E529" s="105">
        <v>375</v>
      </c>
      <c r="F529" s="102">
        <v>1</v>
      </c>
      <c r="G529" s="208">
        <f t="shared" si="41"/>
        <v>7.4999999999999997E-2</v>
      </c>
      <c r="H529" s="102">
        <v>15</v>
      </c>
      <c r="I529" s="103">
        <f t="shared" si="42"/>
        <v>375</v>
      </c>
      <c r="J529" s="103">
        <f t="shared" si="43"/>
        <v>249.99999999999997</v>
      </c>
    </row>
    <row r="530" spans="1:10" s="99" customFormat="1">
      <c r="A530" s="111"/>
      <c r="B530" s="111"/>
      <c r="C530" s="103">
        <v>50000</v>
      </c>
      <c r="D530" s="104" t="s">
        <v>585</v>
      </c>
      <c r="E530" s="105">
        <v>1875</v>
      </c>
      <c r="F530" s="102">
        <v>18</v>
      </c>
      <c r="G530" s="208">
        <f t="shared" si="41"/>
        <v>7.4999999999999997E-2</v>
      </c>
      <c r="H530" s="102">
        <v>15</v>
      </c>
      <c r="I530" s="103">
        <f t="shared" si="42"/>
        <v>33750</v>
      </c>
      <c r="J530" s="103">
        <f t="shared" si="43"/>
        <v>22500</v>
      </c>
    </row>
    <row r="531" spans="1:10" s="99" customFormat="1">
      <c r="A531" s="111"/>
      <c r="B531" s="111"/>
      <c r="C531" s="103">
        <v>30000</v>
      </c>
      <c r="D531" s="104" t="s">
        <v>3135</v>
      </c>
      <c r="E531" s="105">
        <v>1125</v>
      </c>
      <c r="F531" s="102">
        <v>17</v>
      </c>
      <c r="G531" s="208">
        <f t="shared" si="41"/>
        <v>7.4999999999999997E-2</v>
      </c>
      <c r="H531" s="102">
        <v>15</v>
      </c>
      <c r="I531" s="103">
        <f t="shared" si="42"/>
        <v>19125</v>
      </c>
      <c r="J531" s="103">
        <f t="shared" si="43"/>
        <v>12749.999999999998</v>
      </c>
    </row>
    <row r="532" spans="1:10" s="99" customFormat="1">
      <c r="A532" s="111"/>
      <c r="B532" s="111"/>
      <c r="C532" s="103">
        <v>20000</v>
      </c>
      <c r="D532" s="104" t="s">
        <v>250</v>
      </c>
      <c r="E532" s="105">
        <v>750</v>
      </c>
      <c r="F532" s="102">
        <v>16</v>
      </c>
      <c r="G532" s="208">
        <f t="shared" si="41"/>
        <v>7.4999999999999997E-2</v>
      </c>
      <c r="H532" s="102">
        <v>15</v>
      </c>
      <c r="I532" s="103">
        <f t="shared" si="42"/>
        <v>12000</v>
      </c>
      <c r="J532" s="103">
        <f t="shared" si="43"/>
        <v>7999.9999999999991</v>
      </c>
    </row>
    <row r="533" spans="1:10" s="99" customFormat="1">
      <c r="A533" s="111">
        <v>76</v>
      </c>
      <c r="B533" s="111" t="s">
        <v>2596</v>
      </c>
      <c r="C533" s="103">
        <v>20000</v>
      </c>
      <c r="D533" s="104" t="s">
        <v>2597</v>
      </c>
      <c r="E533" s="105">
        <v>750</v>
      </c>
      <c r="F533" s="102">
        <v>31</v>
      </c>
      <c r="G533" s="208">
        <f t="shared" si="41"/>
        <v>7.4999999999999997E-2</v>
      </c>
      <c r="H533" s="102">
        <v>15</v>
      </c>
      <c r="I533" s="103">
        <f t="shared" si="42"/>
        <v>23250</v>
      </c>
      <c r="J533" s="103">
        <f t="shared" si="43"/>
        <v>15499.999999999998</v>
      </c>
    </row>
    <row r="534" spans="1:10" s="99" customFormat="1">
      <c r="A534" s="111"/>
      <c r="B534" s="111"/>
      <c r="C534" s="103">
        <v>30000</v>
      </c>
      <c r="D534" s="104" t="s">
        <v>269</v>
      </c>
      <c r="E534" s="105">
        <v>1125</v>
      </c>
      <c r="F534" s="102">
        <v>31</v>
      </c>
      <c r="G534" s="208">
        <f t="shared" si="41"/>
        <v>7.4999999999999997E-2</v>
      </c>
      <c r="H534" s="102">
        <v>15</v>
      </c>
      <c r="I534" s="103">
        <f t="shared" si="42"/>
        <v>34875</v>
      </c>
      <c r="J534" s="103">
        <f t="shared" si="43"/>
        <v>23249.999999999996</v>
      </c>
    </row>
    <row r="535" spans="1:10" s="99" customFormat="1">
      <c r="A535" s="111"/>
      <c r="B535" s="111"/>
      <c r="C535" s="103">
        <v>20000</v>
      </c>
      <c r="D535" s="104" t="s">
        <v>3179</v>
      </c>
      <c r="E535" s="105">
        <v>2300</v>
      </c>
      <c r="F535" s="102">
        <v>10</v>
      </c>
      <c r="G535" s="208">
        <v>0.06</v>
      </c>
      <c r="H535" s="102" t="s">
        <v>664</v>
      </c>
      <c r="I535" s="103">
        <f t="shared" si="42"/>
        <v>3000</v>
      </c>
      <c r="J535" s="103">
        <f t="shared" si="43"/>
        <v>1749.9999999999995</v>
      </c>
    </row>
    <row r="536" spans="1:10" s="99" customFormat="1">
      <c r="A536" s="111"/>
      <c r="B536" s="111"/>
      <c r="C536" s="103">
        <v>20000</v>
      </c>
      <c r="D536" s="104" t="s">
        <v>669</v>
      </c>
      <c r="E536" s="105">
        <v>2300</v>
      </c>
      <c r="F536" s="102">
        <v>10</v>
      </c>
      <c r="G536" s="208">
        <v>0.06</v>
      </c>
      <c r="H536" s="102" t="s">
        <v>664</v>
      </c>
      <c r="I536" s="103">
        <f t="shared" si="42"/>
        <v>3000</v>
      </c>
      <c r="J536" s="103">
        <f t="shared" si="43"/>
        <v>1749.9999999999995</v>
      </c>
    </row>
    <row r="537" spans="1:10" s="99" customFormat="1">
      <c r="A537" s="111"/>
      <c r="B537" s="111"/>
      <c r="C537" s="103">
        <v>10000</v>
      </c>
      <c r="D537" s="104" t="s">
        <v>1978</v>
      </c>
      <c r="E537" s="105">
        <v>375</v>
      </c>
      <c r="F537" s="102">
        <v>18</v>
      </c>
      <c r="G537" s="208">
        <f>E537/(C537*H537/30)</f>
        <v>7.4999999999999997E-2</v>
      </c>
      <c r="H537" s="102">
        <v>15</v>
      </c>
      <c r="I537" s="103">
        <f t="shared" si="42"/>
        <v>6750</v>
      </c>
      <c r="J537" s="103">
        <f t="shared" si="43"/>
        <v>4499.9999999999991</v>
      </c>
    </row>
    <row r="538" spans="1:10" s="99" customFormat="1">
      <c r="A538" s="111"/>
      <c r="B538" s="111"/>
      <c r="C538" s="103">
        <v>20000</v>
      </c>
      <c r="D538" s="104" t="s">
        <v>1683</v>
      </c>
      <c r="E538" s="105">
        <v>2300</v>
      </c>
      <c r="F538" s="102">
        <v>10</v>
      </c>
      <c r="G538" s="208">
        <v>0.06</v>
      </c>
      <c r="H538" s="102" t="s">
        <v>664</v>
      </c>
      <c r="I538" s="103">
        <f t="shared" si="42"/>
        <v>3000</v>
      </c>
      <c r="J538" s="103">
        <f t="shared" si="43"/>
        <v>1749.9999999999995</v>
      </c>
    </row>
    <row r="539" spans="1:10" s="99" customFormat="1">
      <c r="A539" s="111"/>
      <c r="B539" s="111"/>
      <c r="C539" s="103">
        <v>20000</v>
      </c>
      <c r="D539" s="104" t="s">
        <v>2599</v>
      </c>
      <c r="E539" s="105">
        <v>2300</v>
      </c>
      <c r="F539" s="102">
        <v>10</v>
      </c>
      <c r="G539" s="208">
        <v>0.06</v>
      </c>
      <c r="H539" s="102" t="s">
        <v>664</v>
      </c>
      <c r="I539" s="103">
        <f t="shared" si="42"/>
        <v>3000</v>
      </c>
      <c r="J539" s="103">
        <f t="shared" si="43"/>
        <v>1749.9999999999995</v>
      </c>
    </row>
    <row r="540" spans="1:10" s="99" customFormat="1">
      <c r="A540" s="111"/>
      <c r="B540" s="111"/>
      <c r="C540" s="103">
        <v>20000</v>
      </c>
      <c r="D540" s="104" t="s">
        <v>2598</v>
      </c>
      <c r="E540" s="105">
        <v>2300</v>
      </c>
      <c r="F540" s="102">
        <v>10</v>
      </c>
      <c r="G540" s="208">
        <v>0.06</v>
      </c>
      <c r="H540" s="102" t="s">
        <v>664</v>
      </c>
      <c r="I540" s="103">
        <f t="shared" si="42"/>
        <v>3000</v>
      </c>
      <c r="J540" s="103">
        <f t="shared" si="43"/>
        <v>1749.9999999999995</v>
      </c>
    </row>
    <row r="541" spans="1:10" s="99" customFormat="1">
      <c r="A541" s="111"/>
      <c r="B541" s="111"/>
      <c r="C541" s="103">
        <v>20000</v>
      </c>
      <c r="D541" s="104" t="s">
        <v>3172</v>
      </c>
      <c r="E541" s="105">
        <v>2300</v>
      </c>
      <c r="F541" s="102">
        <v>10</v>
      </c>
      <c r="G541" s="208">
        <v>0.06</v>
      </c>
      <c r="H541" s="102" t="s">
        <v>664</v>
      </c>
      <c r="I541" s="103">
        <f t="shared" si="42"/>
        <v>3000</v>
      </c>
      <c r="J541" s="103">
        <f t="shared" si="43"/>
        <v>1749.9999999999995</v>
      </c>
    </row>
    <row r="542" spans="1:10" s="99" customFormat="1">
      <c r="A542" s="111"/>
      <c r="B542" s="111"/>
      <c r="C542" s="103">
        <v>20000</v>
      </c>
      <c r="D542" s="104" t="s">
        <v>3175</v>
      </c>
      <c r="E542" s="105">
        <v>2300</v>
      </c>
      <c r="F542" s="102">
        <v>10</v>
      </c>
      <c r="G542" s="208">
        <v>0.06</v>
      </c>
      <c r="H542" s="102" t="s">
        <v>664</v>
      </c>
      <c r="I542" s="103">
        <f t="shared" si="42"/>
        <v>3000</v>
      </c>
      <c r="J542" s="103">
        <f t="shared" si="43"/>
        <v>1749.9999999999995</v>
      </c>
    </row>
    <row r="543" spans="1:10" s="99" customFormat="1">
      <c r="A543" s="111"/>
      <c r="B543" s="111"/>
      <c r="C543" s="103">
        <v>20000</v>
      </c>
      <c r="D543" s="104" t="s">
        <v>3150</v>
      </c>
      <c r="E543" s="105">
        <v>2300</v>
      </c>
      <c r="F543" s="102">
        <v>10</v>
      </c>
      <c r="G543" s="208">
        <v>0.06</v>
      </c>
      <c r="H543" s="102" t="s">
        <v>664</v>
      </c>
      <c r="I543" s="103">
        <f t="shared" si="42"/>
        <v>3000</v>
      </c>
      <c r="J543" s="103">
        <f t="shared" si="43"/>
        <v>1749.9999999999995</v>
      </c>
    </row>
    <row r="544" spans="1:10" s="99" customFormat="1">
      <c r="A544" s="111"/>
      <c r="B544" s="111"/>
      <c r="C544" s="103">
        <v>20000</v>
      </c>
      <c r="D544" s="104" t="s">
        <v>266</v>
      </c>
      <c r="E544" s="105">
        <v>2300</v>
      </c>
      <c r="F544" s="102">
        <v>5</v>
      </c>
      <c r="G544" s="208">
        <v>0.06</v>
      </c>
      <c r="H544" s="102" t="s">
        <v>664</v>
      </c>
      <c r="I544" s="103">
        <f t="shared" si="42"/>
        <v>1500</v>
      </c>
      <c r="J544" s="103">
        <f t="shared" si="43"/>
        <v>874.99999999999977</v>
      </c>
    </row>
    <row r="545" spans="1:10" s="99" customFormat="1">
      <c r="A545" s="111"/>
      <c r="B545" s="111"/>
      <c r="C545" s="103">
        <v>20000</v>
      </c>
      <c r="D545" s="104" t="s">
        <v>984</v>
      </c>
      <c r="E545" s="105">
        <v>750</v>
      </c>
      <c r="F545" s="102">
        <v>1</v>
      </c>
      <c r="G545" s="208">
        <f>E545/(C545*H545/30)</f>
        <v>7.4999999999999997E-2</v>
      </c>
      <c r="H545" s="102">
        <v>15</v>
      </c>
      <c r="I545" s="103">
        <f t="shared" si="42"/>
        <v>750</v>
      </c>
      <c r="J545" s="103">
        <f t="shared" si="43"/>
        <v>499.99999999999994</v>
      </c>
    </row>
    <row r="546" spans="1:10" s="99" customFormat="1">
      <c r="A546" s="111">
        <v>77</v>
      </c>
      <c r="B546" s="111" t="s">
        <v>2600</v>
      </c>
      <c r="C546" s="103">
        <v>20000</v>
      </c>
      <c r="D546" s="104" t="s">
        <v>238</v>
      </c>
      <c r="E546" s="105">
        <v>2300</v>
      </c>
      <c r="F546" s="102">
        <v>10</v>
      </c>
      <c r="G546" s="208">
        <v>0.06</v>
      </c>
      <c r="H546" s="102" t="s">
        <v>664</v>
      </c>
      <c r="I546" s="103">
        <f t="shared" si="42"/>
        <v>3000</v>
      </c>
      <c r="J546" s="103">
        <f t="shared" si="43"/>
        <v>1749.9999999999995</v>
      </c>
    </row>
    <row r="547" spans="1:10" s="99" customFormat="1">
      <c r="A547" s="111"/>
      <c r="B547" s="111"/>
      <c r="C547" s="103">
        <v>15000</v>
      </c>
      <c r="D547" s="104" t="s">
        <v>245</v>
      </c>
      <c r="E547" s="105">
        <v>565</v>
      </c>
      <c r="F547" s="102">
        <v>15</v>
      </c>
      <c r="G547" s="208">
        <f t="shared" ref="G547:G552" si="44">E547/(C547*H547/30)</f>
        <v>7.5333333333333335E-2</v>
      </c>
      <c r="H547" s="102">
        <v>15</v>
      </c>
      <c r="I547" s="103">
        <f t="shared" si="42"/>
        <v>8475</v>
      </c>
      <c r="J547" s="103">
        <f t="shared" si="43"/>
        <v>5662.5</v>
      </c>
    </row>
    <row r="548" spans="1:10" s="99" customFormat="1">
      <c r="A548" s="111"/>
      <c r="B548" s="111"/>
      <c r="C548" s="103">
        <v>50000</v>
      </c>
      <c r="D548" s="104" t="s">
        <v>2531</v>
      </c>
      <c r="E548" s="105">
        <v>3750</v>
      </c>
      <c r="F548" s="102">
        <v>7</v>
      </c>
      <c r="G548" s="208">
        <f t="shared" si="44"/>
        <v>7.4999999999999997E-2</v>
      </c>
      <c r="H548" s="102">
        <v>30</v>
      </c>
      <c r="I548" s="103">
        <f t="shared" si="42"/>
        <v>26250</v>
      </c>
      <c r="J548" s="103">
        <f t="shared" si="43"/>
        <v>17500</v>
      </c>
    </row>
    <row r="549" spans="1:10" s="99" customFormat="1">
      <c r="A549" s="111"/>
      <c r="B549" s="111"/>
      <c r="C549" s="103">
        <v>6000</v>
      </c>
      <c r="D549" s="104" t="s">
        <v>1007</v>
      </c>
      <c r="E549" s="105">
        <v>225</v>
      </c>
      <c r="F549" s="102">
        <v>12</v>
      </c>
      <c r="G549" s="208">
        <f t="shared" si="44"/>
        <v>7.4999999999999997E-2</v>
      </c>
      <c r="H549" s="102">
        <v>15</v>
      </c>
      <c r="I549" s="103">
        <f t="shared" si="42"/>
        <v>2700</v>
      </c>
      <c r="J549" s="103">
        <f t="shared" si="43"/>
        <v>1800</v>
      </c>
    </row>
    <row r="550" spans="1:10" s="99" customFormat="1">
      <c r="A550" s="111">
        <v>78</v>
      </c>
      <c r="B550" s="111" t="s">
        <v>2601</v>
      </c>
      <c r="C550" s="103">
        <v>50000</v>
      </c>
      <c r="D550" s="104" t="s">
        <v>3706</v>
      </c>
      <c r="E550" s="105">
        <v>1875</v>
      </c>
      <c r="F550" s="102">
        <v>30</v>
      </c>
      <c r="G550" s="208">
        <f t="shared" si="44"/>
        <v>7.4999999999999997E-2</v>
      </c>
      <c r="H550" s="102">
        <v>15</v>
      </c>
      <c r="I550" s="103">
        <f t="shared" si="42"/>
        <v>56250</v>
      </c>
      <c r="J550" s="103">
        <f t="shared" si="43"/>
        <v>37500</v>
      </c>
    </row>
    <row r="551" spans="1:10" s="99" customFormat="1">
      <c r="A551" s="111"/>
      <c r="B551" s="111"/>
      <c r="C551" s="103">
        <v>30000</v>
      </c>
      <c r="D551" s="104" t="s">
        <v>682</v>
      </c>
      <c r="E551" s="105">
        <v>1125</v>
      </c>
      <c r="F551" s="102">
        <v>24</v>
      </c>
      <c r="G551" s="208">
        <f t="shared" si="44"/>
        <v>7.4999999999999997E-2</v>
      </c>
      <c r="H551" s="102">
        <v>15</v>
      </c>
      <c r="I551" s="103">
        <f t="shared" si="42"/>
        <v>27000</v>
      </c>
      <c r="J551" s="103">
        <f t="shared" si="43"/>
        <v>17999.999999999996</v>
      </c>
    </row>
    <row r="552" spans="1:10" s="99" customFormat="1">
      <c r="A552" s="111"/>
      <c r="B552" s="111"/>
      <c r="C552" s="103">
        <v>30000</v>
      </c>
      <c r="D552" s="104" t="s">
        <v>581</v>
      </c>
      <c r="E552" s="105">
        <v>1125</v>
      </c>
      <c r="F552" s="102">
        <v>17</v>
      </c>
      <c r="G552" s="208">
        <f t="shared" si="44"/>
        <v>7.4999999999999997E-2</v>
      </c>
      <c r="H552" s="102">
        <v>15</v>
      </c>
      <c r="I552" s="103">
        <f t="shared" si="42"/>
        <v>19125</v>
      </c>
      <c r="J552" s="103">
        <f t="shared" si="43"/>
        <v>12749.999999999998</v>
      </c>
    </row>
    <row r="553" spans="1:10" s="99" customFormat="1">
      <c r="A553" s="111"/>
      <c r="B553" s="111"/>
      <c r="C553" s="103">
        <v>20000</v>
      </c>
      <c r="D553" s="112" t="s">
        <v>59</v>
      </c>
      <c r="E553" s="105">
        <v>2300</v>
      </c>
      <c r="F553" s="102">
        <v>10</v>
      </c>
      <c r="G553" s="208">
        <v>0.06</v>
      </c>
      <c r="H553" s="102" t="s">
        <v>664</v>
      </c>
      <c r="I553" s="103">
        <f t="shared" si="42"/>
        <v>3000</v>
      </c>
      <c r="J553" s="103">
        <f t="shared" si="43"/>
        <v>1749.9999999999995</v>
      </c>
    </row>
    <row r="554" spans="1:10" s="99" customFormat="1">
      <c r="A554" s="111"/>
      <c r="B554" s="111"/>
      <c r="C554" s="103">
        <v>10000</v>
      </c>
      <c r="D554" s="104" t="s">
        <v>993</v>
      </c>
      <c r="E554" s="105">
        <v>375</v>
      </c>
      <c r="F554" s="102">
        <v>14</v>
      </c>
      <c r="G554" s="208">
        <f t="shared" ref="G554:G572" si="45">E554/(C554*H554/30)</f>
        <v>7.4999999999999997E-2</v>
      </c>
      <c r="H554" s="102">
        <v>15</v>
      </c>
      <c r="I554" s="103">
        <f t="shared" si="42"/>
        <v>5250</v>
      </c>
      <c r="J554" s="103">
        <f t="shared" si="43"/>
        <v>3499.9999999999995</v>
      </c>
    </row>
    <row r="555" spans="1:10" s="99" customFormat="1">
      <c r="A555" s="111">
        <v>79</v>
      </c>
      <c r="B555" s="111" t="s">
        <v>2602</v>
      </c>
      <c r="C555" s="103">
        <v>20000</v>
      </c>
      <c r="D555" s="104" t="s">
        <v>3706</v>
      </c>
      <c r="E555" s="105">
        <v>750</v>
      </c>
      <c r="F555" s="102">
        <v>14</v>
      </c>
      <c r="G555" s="208">
        <f t="shared" si="45"/>
        <v>7.4999999999999997E-2</v>
      </c>
      <c r="H555" s="102">
        <v>15</v>
      </c>
      <c r="I555" s="103">
        <f t="shared" si="42"/>
        <v>10500</v>
      </c>
      <c r="J555" s="103">
        <f t="shared" si="43"/>
        <v>6999.9999999999991</v>
      </c>
    </row>
    <row r="556" spans="1:10" s="99" customFormat="1">
      <c r="A556" s="111"/>
      <c r="B556" s="111"/>
      <c r="C556" s="103">
        <v>10000</v>
      </c>
      <c r="D556" s="104" t="s">
        <v>3706</v>
      </c>
      <c r="E556" s="105">
        <v>375</v>
      </c>
      <c r="F556" s="102">
        <v>20</v>
      </c>
      <c r="G556" s="208">
        <f t="shared" si="45"/>
        <v>7.4999999999999997E-2</v>
      </c>
      <c r="H556" s="102">
        <v>15</v>
      </c>
      <c r="I556" s="103">
        <f t="shared" si="42"/>
        <v>7500</v>
      </c>
      <c r="J556" s="103">
        <f t="shared" si="43"/>
        <v>4999.9999999999991</v>
      </c>
    </row>
    <row r="557" spans="1:10" s="99" customFormat="1">
      <c r="A557" s="111"/>
      <c r="B557" s="111"/>
      <c r="C557" s="103">
        <v>10000</v>
      </c>
      <c r="D557" s="104" t="s">
        <v>688</v>
      </c>
      <c r="E557" s="105">
        <v>375</v>
      </c>
      <c r="F557" s="102">
        <v>26</v>
      </c>
      <c r="G557" s="208">
        <f t="shared" si="45"/>
        <v>7.4999999999999997E-2</v>
      </c>
      <c r="H557" s="102">
        <v>15</v>
      </c>
      <c r="I557" s="103">
        <f t="shared" si="42"/>
        <v>9750</v>
      </c>
      <c r="J557" s="103">
        <f t="shared" si="43"/>
        <v>6499.9999999999991</v>
      </c>
    </row>
    <row r="558" spans="1:10" s="99" customFormat="1">
      <c r="A558" s="111"/>
      <c r="B558" s="111"/>
      <c r="C558" s="103">
        <v>20000</v>
      </c>
      <c r="D558" s="112" t="s">
        <v>60</v>
      </c>
      <c r="E558" s="105">
        <v>750</v>
      </c>
      <c r="F558" s="102">
        <v>24</v>
      </c>
      <c r="G558" s="208">
        <f t="shared" si="45"/>
        <v>7.4999999999999997E-2</v>
      </c>
      <c r="H558" s="102">
        <v>15</v>
      </c>
      <c r="I558" s="103">
        <f t="shared" si="42"/>
        <v>18000</v>
      </c>
      <c r="J558" s="103">
        <f t="shared" si="43"/>
        <v>11999.999999999998</v>
      </c>
    </row>
    <row r="559" spans="1:10" s="99" customFormat="1">
      <c r="A559" s="111"/>
      <c r="B559" s="111"/>
      <c r="C559" s="103">
        <v>20000</v>
      </c>
      <c r="D559" s="104" t="s">
        <v>3124</v>
      </c>
      <c r="E559" s="105">
        <v>750</v>
      </c>
      <c r="F559" s="102">
        <v>22</v>
      </c>
      <c r="G559" s="208">
        <f t="shared" si="45"/>
        <v>7.4999999999999997E-2</v>
      </c>
      <c r="H559" s="102">
        <v>15</v>
      </c>
      <c r="I559" s="103">
        <f t="shared" si="42"/>
        <v>16500</v>
      </c>
      <c r="J559" s="103">
        <f t="shared" si="43"/>
        <v>10999.999999999998</v>
      </c>
    </row>
    <row r="560" spans="1:10" s="99" customFormat="1">
      <c r="A560" s="111"/>
      <c r="B560" s="111"/>
      <c r="C560" s="103">
        <v>10000</v>
      </c>
      <c r="D560" s="104" t="s">
        <v>1974</v>
      </c>
      <c r="E560" s="105">
        <v>375</v>
      </c>
      <c r="F560" s="102">
        <v>8</v>
      </c>
      <c r="G560" s="208">
        <f t="shared" si="45"/>
        <v>7.4999999999999997E-2</v>
      </c>
      <c r="H560" s="102">
        <v>15</v>
      </c>
      <c r="I560" s="103">
        <f t="shared" si="42"/>
        <v>3000</v>
      </c>
      <c r="J560" s="103">
        <f t="shared" si="43"/>
        <v>1999.9999999999998</v>
      </c>
    </row>
    <row r="561" spans="1:10" s="99" customFormat="1">
      <c r="A561" s="111"/>
      <c r="B561" s="111"/>
      <c r="C561" s="103">
        <v>20000</v>
      </c>
      <c r="D561" s="104" t="s">
        <v>257</v>
      </c>
      <c r="E561" s="105">
        <v>750</v>
      </c>
      <c r="F561" s="102">
        <v>18</v>
      </c>
      <c r="G561" s="208">
        <f t="shared" si="45"/>
        <v>7.4999999999999997E-2</v>
      </c>
      <c r="H561" s="102">
        <v>15</v>
      </c>
      <c r="I561" s="103">
        <f t="shared" si="42"/>
        <v>13500</v>
      </c>
      <c r="J561" s="103">
        <f t="shared" si="43"/>
        <v>8999.9999999999982</v>
      </c>
    </row>
    <row r="562" spans="1:10" s="99" customFormat="1">
      <c r="A562" s="111">
        <v>80</v>
      </c>
      <c r="B562" s="111" t="s">
        <v>2603</v>
      </c>
      <c r="C562" s="103">
        <v>20000</v>
      </c>
      <c r="D562" s="104" t="s">
        <v>3706</v>
      </c>
      <c r="E562" s="105">
        <v>750</v>
      </c>
      <c r="F562" s="102">
        <v>5</v>
      </c>
      <c r="G562" s="208">
        <f t="shared" si="45"/>
        <v>7.4999999999999997E-2</v>
      </c>
      <c r="H562" s="102">
        <v>15</v>
      </c>
      <c r="I562" s="103">
        <f t="shared" si="42"/>
        <v>3750</v>
      </c>
      <c r="J562" s="103">
        <f t="shared" si="43"/>
        <v>2499.9999999999995</v>
      </c>
    </row>
    <row r="563" spans="1:10" s="99" customFormat="1">
      <c r="A563" s="111">
        <v>81</v>
      </c>
      <c r="B563" s="111" t="s">
        <v>2604</v>
      </c>
      <c r="C563" s="103">
        <v>300000</v>
      </c>
      <c r="D563" s="104" t="s">
        <v>675</v>
      </c>
      <c r="E563" s="105">
        <v>22500</v>
      </c>
      <c r="F563" s="102">
        <v>1</v>
      </c>
      <c r="G563" s="208">
        <f t="shared" si="45"/>
        <v>7.4999999999999997E-2</v>
      </c>
      <c r="H563" s="102">
        <v>30</v>
      </c>
      <c r="I563" s="103">
        <f t="shared" si="42"/>
        <v>22500</v>
      </c>
      <c r="J563" s="103">
        <f t="shared" si="43"/>
        <v>14999.999999999998</v>
      </c>
    </row>
    <row r="564" spans="1:10" s="99" customFormat="1">
      <c r="A564" s="111">
        <v>82</v>
      </c>
      <c r="B564" s="111" t="s">
        <v>2605</v>
      </c>
      <c r="C564" s="103">
        <v>120000</v>
      </c>
      <c r="D564" s="104" t="s">
        <v>583</v>
      </c>
      <c r="E564" s="105">
        <v>4500</v>
      </c>
      <c r="F564" s="102">
        <v>1</v>
      </c>
      <c r="G564" s="208">
        <f t="shared" si="45"/>
        <v>7.4999999999999997E-2</v>
      </c>
      <c r="H564" s="102">
        <v>15</v>
      </c>
      <c r="I564" s="103">
        <f t="shared" si="42"/>
        <v>4500</v>
      </c>
      <c r="J564" s="103">
        <f t="shared" si="43"/>
        <v>2999.9999999999995</v>
      </c>
    </row>
    <row r="565" spans="1:10" s="99" customFormat="1">
      <c r="A565" s="111">
        <v>83</v>
      </c>
      <c r="B565" s="111" t="s">
        <v>2606</v>
      </c>
      <c r="C565" s="103">
        <v>10000</v>
      </c>
      <c r="D565" s="104" t="s">
        <v>583</v>
      </c>
      <c r="E565" s="105">
        <v>375</v>
      </c>
      <c r="F565" s="102">
        <v>16</v>
      </c>
      <c r="G565" s="208">
        <f t="shared" si="45"/>
        <v>7.4999999999999997E-2</v>
      </c>
      <c r="H565" s="102">
        <v>15</v>
      </c>
      <c r="I565" s="103">
        <f t="shared" si="42"/>
        <v>6000</v>
      </c>
      <c r="J565" s="103">
        <f t="shared" si="43"/>
        <v>3999.9999999999995</v>
      </c>
    </row>
    <row r="566" spans="1:10" s="99" customFormat="1">
      <c r="A566" s="111"/>
      <c r="B566" s="111"/>
      <c r="C566" s="103">
        <v>30000</v>
      </c>
      <c r="D566" s="104" t="s">
        <v>3138</v>
      </c>
      <c r="E566" s="105">
        <v>1125</v>
      </c>
      <c r="F566" s="102">
        <v>15</v>
      </c>
      <c r="G566" s="208">
        <f t="shared" si="45"/>
        <v>7.4999999999999997E-2</v>
      </c>
      <c r="H566" s="102">
        <v>15</v>
      </c>
      <c r="I566" s="103">
        <f t="shared" si="42"/>
        <v>16875</v>
      </c>
      <c r="J566" s="103">
        <f t="shared" si="43"/>
        <v>11249.999999999998</v>
      </c>
    </row>
    <row r="567" spans="1:10" s="99" customFormat="1">
      <c r="A567" s="111"/>
      <c r="B567" s="111"/>
      <c r="C567" s="103">
        <v>50000</v>
      </c>
      <c r="D567" s="104" t="s">
        <v>3179</v>
      </c>
      <c r="E567" s="105">
        <v>1875</v>
      </c>
      <c r="F567" s="102">
        <v>10</v>
      </c>
      <c r="G567" s="208">
        <f t="shared" si="45"/>
        <v>7.4999999999999997E-2</v>
      </c>
      <c r="H567" s="102">
        <v>15</v>
      </c>
      <c r="I567" s="103">
        <f t="shared" si="42"/>
        <v>18750</v>
      </c>
      <c r="J567" s="103">
        <f t="shared" si="43"/>
        <v>12500</v>
      </c>
    </row>
    <row r="568" spans="1:10" s="99" customFormat="1">
      <c r="A568" s="111"/>
      <c r="B568" s="111"/>
      <c r="C568" s="103">
        <v>60000</v>
      </c>
      <c r="D568" s="104" t="s">
        <v>1978</v>
      </c>
      <c r="E568" s="105">
        <v>2250</v>
      </c>
      <c r="F568" s="102">
        <v>3</v>
      </c>
      <c r="G568" s="208">
        <f t="shared" si="45"/>
        <v>7.4999999999999997E-2</v>
      </c>
      <c r="H568" s="102">
        <v>15</v>
      </c>
      <c r="I568" s="103">
        <f t="shared" si="42"/>
        <v>6750</v>
      </c>
      <c r="J568" s="103">
        <f t="shared" si="43"/>
        <v>4499.9999999999991</v>
      </c>
    </row>
    <row r="569" spans="1:10" s="99" customFormat="1">
      <c r="A569" s="111"/>
      <c r="B569" s="111"/>
      <c r="C569" s="103">
        <v>50000</v>
      </c>
      <c r="D569" s="104" t="s">
        <v>581</v>
      </c>
      <c r="E569" s="105">
        <v>1875</v>
      </c>
      <c r="F569" s="102">
        <v>3</v>
      </c>
      <c r="G569" s="208">
        <f t="shared" si="45"/>
        <v>7.4999999999999997E-2</v>
      </c>
      <c r="H569" s="102">
        <v>15</v>
      </c>
      <c r="I569" s="103">
        <f t="shared" si="42"/>
        <v>5625</v>
      </c>
      <c r="J569" s="103">
        <f t="shared" si="43"/>
        <v>3750</v>
      </c>
    </row>
    <row r="570" spans="1:10" s="99" customFormat="1">
      <c r="A570" s="111"/>
      <c r="B570" s="111"/>
      <c r="C570" s="103">
        <v>30000</v>
      </c>
      <c r="D570" s="104" t="s">
        <v>1977</v>
      </c>
      <c r="E570" s="105">
        <v>1125</v>
      </c>
      <c r="F570" s="102">
        <v>1</v>
      </c>
      <c r="G570" s="208">
        <f t="shared" si="45"/>
        <v>7.4999999999999997E-2</v>
      </c>
      <c r="H570" s="102">
        <v>15</v>
      </c>
      <c r="I570" s="103">
        <f t="shared" si="42"/>
        <v>1125</v>
      </c>
      <c r="J570" s="103">
        <f t="shared" si="43"/>
        <v>749.99999999999989</v>
      </c>
    </row>
    <row r="571" spans="1:10" s="99" customFormat="1">
      <c r="A571" s="111">
        <v>84</v>
      </c>
      <c r="B571" s="111" t="s">
        <v>2607</v>
      </c>
      <c r="C571" s="103">
        <v>30000</v>
      </c>
      <c r="D571" s="104" t="s">
        <v>583</v>
      </c>
      <c r="E571" s="105">
        <v>1125</v>
      </c>
      <c r="F571" s="102">
        <v>11</v>
      </c>
      <c r="G571" s="208">
        <f t="shared" si="45"/>
        <v>7.4999999999999997E-2</v>
      </c>
      <c r="H571" s="102">
        <v>15</v>
      </c>
      <c r="I571" s="103">
        <f t="shared" si="42"/>
        <v>12375</v>
      </c>
      <c r="J571" s="103">
        <f t="shared" si="43"/>
        <v>8249.9999999999982</v>
      </c>
    </row>
    <row r="572" spans="1:10" s="99" customFormat="1">
      <c r="A572" s="111"/>
      <c r="B572" s="111"/>
      <c r="C572" s="103">
        <v>20000</v>
      </c>
      <c r="D572" s="104" t="s">
        <v>2262</v>
      </c>
      <c r="E572" s="105">
        <v>750</v>
      </c>
      <c r="F572" s="102">
        <v>17</v>
      </c>
      <c r="G572" s="208">
        <f t="shared" si="45"/>
        <v>7.4999999999999997E-2</v>
      </c>
      <c r="H572" s="102">
        <v>15</v>
      </c>
      <c r="I572" s="103">
        <f t="shared" si="42"/>
        <v>12750</v>
      </c>
      <c r="J572" s="103">
        <f t="shared" si="43"/>
        <v>8499.9999999999982</v>
      </c>
    </row>
    <row r="573" spans="1:10" s="99" customFormat="1">
      <c r="A573" s="111"/>
      <c r="B573" s="111"/>
      <c r="C573" s="103">
        <v>10000</v>
      </c>
      <c r="D573" s="104" t="s">
        <v>654</v>
      </c>
      <c r="E573" s="105">
        <v>1200</v>
      </c>
      <c r="F573" s="102">
        <v>10</v>
      </c>
      <c r="G573" s="208">
        <v>0.06</v>
      </c>
      <c r="H573" s="102" t="s">
        <v>664</v>
      </c>
      <c r="I573" s="103">
        <f t="shared" si="42"/>
        <v>1500</v>
      </c>
      <c r="J573" s="103">
        <f t="shared" si="43"/>
        <v>874.99999999999977</v>
      </c>
    </row>
    <row r="574" spans="1:10" s="99" customFormat="1">
      <c r="A574" s="111"/>
      <c r="B574" s="111"/>
      <c r="C574" s="103">
        <v>20000</v>
      </c>
      <c r="D574" s="104" t="s">
        <v>654</v>
      </c>
      <c r="E574" s="105">
        <v>750</v>
      </c>
      <c r="F574" s="102">
        <v>25</v>
      </c>
      <c r="G574" s="208">
        <f>E574/(C574*H574/30)</f>
        <v>7.4999999999999997E-2</v>
      </c>
      <c r="H574" s="102">
        <v>15</v>
      </c>
      <c r="I574" s="103">
        <f t="shared" si="42"/>
        <v>18750</v>
      </c>
      <c r="J574" s="103">
        <f t="shared" si="43"/>
        <v>12499.999999999998</v>
      </c>
    </row>
    <row r="575" spans="1:10" s="99" customFormat="1">
      <c r="A575" s="111"/>
      <c r="B575" s="111"/>
      <c r="C575" s="103">
        <v>10000</v>
      </c>
      <c r="D575" s="104" t="s">
        <v>3179</v>
      </c>
      <c r="E575" s="105">
        <v>1150</v>
      </c>
      <c r="F575" s="102">
        <v>10</v>
      </c>
      <c r="G575" s="208">
        <v>0.06</v>
      </c>
      <c r="H575" s="102" t="s">
        <v>664</v>
      </c>
      <c r="I575" s="103">
        <f t="shared" si="42"/>
        <v>1500</v>
      </c>
      <c r="J575" s="103">
        <f t="shared" si="43"/>
        <v>874.99999999999977</v>
      </c>
    </row>
    <row r="576" spans="1:10" s="99" customFormat="1">
      <c r="A576" s="111"/>
      <c r="B576" s="111"/>
      <c r="C576" s="103">
        <v>100000</v>
      </c>
      <c r="D576" s="104" t="s">
        <v>1003</v>
      </c>
      <c r="E576" s="105">
        <v>3750</v>
      </c>
      <c r="F576" s="102">
        <v>3</v>
      </c>
      <c r="G576" s="208">
        <f>E576/(C576*H576/30)</f>
        <v>7.4999999999999997E-2</v>
      </c>
      <c r="H576" s="102">
        <v>15</v>
      </c>
      <c r="I576" s="103">
        <f t="shared" si="42"/>
        <v>11250</v>
      </c>
      <c r="J576" s="103">
        <f t="shared" si="43"/>
        <v>7500</v>
      </c>
    </row>
    <row r="577" spans="1:10" s="99" customFormat="1">
      <c r="A577" s="111"/>
      <c r="B577" s="111"/>
      <c r="C577" s="103">
        <v>10000</v>
      </c>
      <c r="D577" s="104" t="s">
        <v>1668</v>
      </c>
      <c r="E577" s="105">
        <v>1150</v>
      </c>
      <c r="F577" s="102">
        <v>10</v>
      </c>
      <c r="G577" s="208">
        <v>0.06</v>
      </c>
      <c r="H577" s="102" t="s">
        <v>664</v>
      </c>
      <c r="I577" s="103">
        <f t="shared" si="42"/>
        <v>1500</v>
      </c>
      <c r="J577" s="103">
        <f t="shared" si="43"/>
        <v>874.99999999999977</v>
      </c>
    </row>
    <row r="578" spans="1:10" s="99" customFormat="1">
      <c r="A578" s="111"/>
      <c r="B578" s="111"/>
      <c r="C578" s="103">
        <v>10000</v>
      </c>
      <c r="D578" s="104" t="s">
        <v>449</v>
      </c>
      <c r="E578" s="105">
        <v>1150</v>
      </c>
      <c r="F578" s="102">
        <v>10</v>
      </c>
      <c r="G578" s="208">
        <v>0.06</v>
      </c>
      <c r="H578" s="102" t="s">
        <v>664</v>
      </c>
      <c r="I578" s="103">
        <f t="shared" si="42"/>
        <v>1500</v>
      </c>
      <c r="J578" s="103">
        <f t="shared" si="43"/>
        <v>874.99999999999977</v>
      </c>
    </row>
    <row r="579" spans="1:10" s="99" customFormat="1">
      <c r="A579" s="111">
        <v>85</v>
      </c>
      <c r="B579" s="111" t="s">
        <v>2609</v>
      </c>
      <c r="C579" s="103">
        <v>20000</v>
      </c>
      <c r="D579" s="104" t="s">
        <v>3121</v>
      </c>
      <c r="E579" s="105">
        <v>2400</v>
      </c>
      <c r="F579" s="102">
        <v>10</v>
      </c>
      <c r="G579" s="208">
        <v>0.06</v>
      </c>
      <c r="H579" s="102" t="s">
        <v>664</v>
      </c>
      <c r="I579" s="103">
        <f t="shared" si="42"/>
        <v>3000</v>
      </c>
      <c r="J579" s="103">
        <f t="shared" si="43"/>
        <v>1749.9999999999995</v>
      </c>
    </row>
    <row r="580" spans="1:10" s="99" customFormat="1">
      <c r="A580" s="111"/>
      <c r="B580" s="111"/>
      <c r="C580" s="103">
        <v>40000</v>
      </c>
      <c r="D580" s="104" t="s">
        <v>3121</v>
      </c>
      <c r="E580" s="105">
        <v>1500</v>
      </c>
      <c r="F580" s="102">
        <v>8</v>
      </c>
      <c r="G580" s="208">
        <f>E580/(C580*H580/30)</f>
        <v>7.4999999999999997E-2</v>
      </c>
      <c r="H580" s="102">
        <v>15</v>
      </c>
      <c r="I580" s="103">
        <f t="shared" si="42"/>
        <v>12000</v>
      </c>
      <c r="J580" s="103">
        <f t="shared" si="43"/>
        <v>7999.9999999999991</v>
      </c>
    </row>
    <row r="581" spans="1:10" s="99" customFormat="1">
      <c r="A581" s="111"/>
      <c r="B581" s="111"/>
      <c r="C581" s="103">
        <v>10000</v>
      </c>
      <c r="D581" s="104" t="s">
        <v>3395</v>
      </c>
      <c r="E581" s="105">
        <v>375</v>
      </c>
      <c r="F581" s="102">
        <v>7</v>
      </c>
      <c r="G581" s="208">
        <f>E581/(C581*H581/30)</f>
        <v>7.4999999999999997E-2</v>
      </c>
      <c r="H581" s="102">
        <v>15</v>
      </c>
      <c r="I581" s="103">
        <f t="shared" si="42"/>
        <v>2625</v>
      </c>
      <c r="J581" s="103">
        <f t="shared" si="43"/>
        <v>1749.9999999999998</v>
      </c>
    </row>
    <row r="582" spans="1:10" s="99" customFormat="1">
      <c r="A582" s="111"/>
      <c r="B582" s="111"/>
      <c r="C582" s="103">
        <v>10000</v>
      </c>
      <c r="D582" s="104" t="s">
        <v>1988</v>
      </c>
      <c r="E582" s="105">
        <v>375</v>
      </c>
      <c r="F582" s="102">
        <v>2</v>
      </c>
      <c r="G582" s="208">
        <f>E582/(C582*H582/30)</f>
        <v>7.4999999999999997E-2</v>
      </c>
      <c r="H582" s="102">
        <v>15</v>
      </c>
      <c r="I582" s="103">
        <f t="shared" si="42"/>
        <v>750</v>
      </c>
      <c r="J582" s="103">
        <f t="shared" si="43"/>
        <v>499.99999999999994</v>
      </c>
    </row>
    <row r="583" spans="1:10" s="99" customFormat="1">
      <c r="A583" s="111"/>
      <c r="B583" s="111"/>
      <c r="C583" s="103">
        <v>10000</v>
      </c>
      <c r="D583" s="104" t="s">
        <v>650</v>
      </c>
      <c r="E583" s="105">
        <v>375</v>
      </c>
      <c r="F583" s="102">
        <v>1</v>
      </c>
      <c r="G583" s="208">
        <f>E583/(C583*H583/30)</f>
        <v>7.4999999999999997E-2</v>
      </c>
      <c r="H583" s="102">
        <v>15</v>
      </c>
      <c r="I583" s="103">
        <f t="shared" si="42"/>
        <v>375</v>
      </c>
      <c r="J583" s="103">
        <f t="shared" si="43"/>
        <v>249.99999999999997</v>
      </c>
    </row>
    <row r="584" spans="1:10" s="99" customFormat="1">
      <c r="A584" s="111"/>
      <c r="B584" s="111"/>
      <c r="C584" s="103">
        <v>20000</v>
      </c>
      <c r="D584" s="104" t="s">
        <v>976</v>
      </c>
      <c r="E584" s="105">
        <v>2300</v>
      </c>
      <c r="F584" s="102">
        <v>10</v>
      </c>
      <c r="G584" s="208">
        <v>0.06</v>
      </c>
      <c r="H584" s="102" t="s">
        <v>664</v>
      </c>
      <c r="I584" s="103">
        <f t="shared" si="42"/>
        <v>3000</v>
      </c>
      <c r="J584" s="103">
        <f t="shared" si="43"/>
        <v>1749.9999999999995</v>
      </c>
    </row>
    <row r="585" spans="1:10" s="99" customFormat="1">
      <c r="A585" s="111"/>
      <c r="B585" s="111"/>
      <c r="C585" s="103">
        <v>10000</v>
      </c>
      <c r="D585" s="104" t="s">
        <v>2322</v>
      </c>
      <c r="E585" s="105">
        <v>375</v>
      </c>
      <c r="F585" s="102">
        <v>1</v>
      </c>
      <c r="G585" s="208">
        <f>E585/(C585*H585/30)</f>
        <v>7.4999999999999997E-2</v>
      </c>
      <c r="H585" s="102">
        <v>15</v>
      </c>
      <c r="I585" s="103">
        <f t="shared" si="42"/>
        <v>375</v>
      </c>
      <c r="J585" s="103">
        <f t="shared" si="43"/>
        <v>249.99999999999997</v>
      </c>
    </row>
    <row r="586" spans="1:10" s="99" customFormat="1">
      <c r="A586" s="111"/>
      <c r="B586" s="111"/>
      <c r="C586" s="103">
        <v>20000</v>
      </c>
      <c r="D586" s="104" t="s">
        <v>2332</v>
      </c>
      <c r="E586" s="105">
        <v>2300</v>
      </c>
      <c r="F586" s="102">
        <v>7</v>
      </c>
      <c r="G586" s="208">
        <v>0.06</v>
      </c>
      <c r="H586" s="102" t="s">
        <v>664</v>
      </c>
      <c r="I586" s="103">
        <f t="shared" si="42"/>
        <v>2100</v>
      </c>
      <c r="J586" s="103">
        <f t="shared" si="43"/>
        <v>1224.9999999999998</v>
      </c>
    </row>
    <row r="587" spans="1:10" s="99" customFormat="1">
      <c r="A587" s="111"/>
      <c r="B587" s="111"/>
      <c r="C587" s="103">
        <v>30000</v>
      </c>
      <c r="D587" s="104" t="s">
        <v>976</v>
      </c>
      <c r="E587" s="105">
        <v>1125</v>
      </c>
      <c r="F587" s="102">
        <v>9</v>
      </c>
      <c r="G587" s="208">
        <f>E587/(C587*H587/30)</f>
        <v>7.4999999999999997E-2</v>
      </c>
      <c r="H587" s="102">
        <v>15</v>
      </c>
      <c r="I587" s="103">
        <f t="shared" si="42"/>
        <v>10125</v>
      </c>
      <c r="J587" s="103">
        <f t="shared" si="43"/>
        <v>6749.9999999999991</v>
      </c>
    </row>
    <row r="588" spans="1:10" s="99" customFormat="1">
      <c r="A588" s="111"/>
      <c r="B588" s="111"/>
      <c r="C588" s="103">
        <v>50000</v>
      </c>
      <c r="D588" s="104" t="s">
        <v>3398</v>
      </c>
      <c r="E588" s="105">
        <v>1875</v>
      </c>
      <c r="F588" s="102">
        <v>3</v>
      </c>
      <c r="G588" s="208">
        <f>E588/(C588*H588/30)</f>
        <v>7.4999999999999997E-2</v>
      </c>
      <c r="H588" s="102">
        <v>15</v>
      </c>
      <c r="I588" s="103">
        <f t="shared" si="42"/>
        <v>5625</v>
      </c>
      <c r="J588" s="103">
        <f t="shared" si="43"/>
        <v>3750</v>
      </c>
    </row>
    <row r="589" spans="1:10" s="99" customFormat="1">
      <c r="A589" s="111"/>
      <c r="B589" s="111"/>
      <c r="C589" s="103">
        <v>10000</v>
      </c>
      <c r="D589" s="104" t="s">
        <v>425</v>
      </c>
      <c r="E589" s="105">
        <v>375</v>
      </c>
      <c r="F589" s="102">
        <v>3</v>
      </c>
      <c r="G589" s="208">
        <f>E589/(C589*H589/30)</f>
        <v>7.4999999999999997E-2</v>
      </c>
      <c r="H589" s="102">
        <v>15</v>
      </c>
      <c r="I589" s="103">
        <f t="shared" si="42"/>
        <v>1125</v>
      </c>
      <c r="J589" s="103">
        <f t="shared" si="43"/>
        <v>749.99999999999989</v>
      </c>
    </row>
    <row r="590" spans="1:10" s="99" customFormat="1">
      <c r="A590" s="111"/>
      <c r="B590" s="111"/>
      <c r="C590" s="103">
        <v>30000</v>
      </c>
      <c r="D590" s="104" t="s">
        <v>686</v>
      </c>
      <c r="E590" s="105">
        <v>1125</v>
      </c>
      <c r="F590" s="102">
        <v>5</v>
      </c>
      <c r="G590" s="208">
        <f>E590/(C590*H590/30)</f>
        <v>7.4999999999999997E-2</v>
      </c>
      <c r="H590" s="102">
        <v>15</v>
      </c>
      <c r="I590" s="103">
        <f t="shared" si="42"/>
        <v>5625</v>
      </c>
      <c r="J590" s="103">
        <f t="shared" si="43"/>
        <v>3749.9999999999995</v>
      </c>
    </row>
    <row r="591" spans="1:10" s="99" customFormat="1">
      <c r="A591" s="111"/>
      <c r="B591" s="111"/>
      <c r="C591" s="103">
        <v>20000</v>
      </c>
      <c r="D591" s="104" t="s">
        <v>686</v>
      </c>
      <c r="E591" s="105">
        <v>2300</v>
      </c>
      <c r="F591" s="102">
        <v>10</v>
      </c>
      <c r="G591" s="208">
        <v>0.06</v>
      </c>
      <c r="H591" s="102" t="s">
        <v>664</v>
      </c>
      <c r="I591" s="103">
        <f t="shared" si="42"/>
        <v>3000</v>
      </c>
      <c r="J591" s="103">
        <f t="shared" si="43"/>
        <v>1749.9999999999995</v>
      </c>
    </row>
    <row r="592" spans="1:10" s="99" customFormat="1">
      <c r="A592" s="111"/>
      <c r="B592" s="111"/>
      <c r="C592" s="103">
        <v>20000</v>
      </c>
      <c r="D592" s="112" t="s">
        <v>61</v>
      </c>
      <c r="E592" s="105">
        <v>2300</v>
      </c>
      <c r="F592" s="102">
        <v>10</v>
      </c>
      <c r="G592" s="208">
        <v>0.06</v>
      </c>
      <c r="H592" s="102" t="s">
        <v>664</v>
      </c>
      <c r="I592" s="103">
        <f t="shared" ref="I592:I655" si="46">IF(H592="分期",C592*G592*2.5*F592/10,C592*G592*H592*F592/30)</f>
        <v>3000</v>
      </c>
      <c r="J592" s="103">
        <f t="shared" ref="J592:J655" si="47">IF(H592="分期",C592*(G592-0.025)*2.5*F592/10,C592*(G592-0.025)*H592*F592/30)</f>
        <v>1749.9999999999995</v>
      </c>
    </row>
    <row r="593" spans="1:10" s="99" customFormat="1">
      <c r="A593" s="111"/>
      <c r="B593" s="111"/>
      <c r="C593" s="103">
        <v>20000</v>
      </c>
      <c r="D593" s="104" t="s">
        <v>449</v>
      </c>
      <c r="E593" s="105">
        <v>750</v>
      </c>
      <c r="F593" s="102">
        <v>4</v>
      </c>
      <c r="G593" s="208">
        <f>E593/(C593*H593/30)</f>
        <v>7.4999999999999997E-2</v>
      </c>
      <c r="H593" s="102">
        <v>15</v>
      </c>
      <c r="I593" s="103">
        <f t="shared" si="46"/>
        <v>3000</v>
      </c>
      <c r="J593" s="103">
        <f t="shared" si="47"/>
        <v>1999.9999999999998</v>
      </c>
    </row>
    <row r="594" spans="1:10" s="99" customFormat="1">
      <c r="A594" s="111"/>
      <c r="B594" s="111"/>
      <c r="C594" s="103">
        <v>20000</v>
      </c>
      <c r="D594" s="104" t="s">
        <v>434</v>
      </c>
      <c r="E594" s="105">
        <v>750</v>
      </c>
      <c r="F594" s="102">
        <v>9</v>
      </c>
      <c r="G594" s="208">
        <f>E594/(C594*H594/30)</f>
        <v>7.4999999999999997E-2</v>
      </c>
      <c r="H594" s="102">
        <v>15</v>
      </c>
      <c r="I594" s="103">
        <f t="shared" si="46"/>
        <v>6750</v>
      </c>
      <c r="J594" s="103">
        <f t="shared" si="47"/>
        <v>4499.9999999999991</v>
      </c>
    </row>
    <row r="595" spans="1:10" s="99" customFormat="1">
      <c r="A595" s="111"/>
      <c r="B595" s="111"/>
      <c r="C595" s="103">
        <v>10000</v>
      </c>
      <c r="D595" s="104" t="s">
        <v>3124</v>
      </c>
      <c r="E595" s="105">
        <v>375</v>
      </c>
      <c r="F595" s="102">
        <v>7</v>
      </c>
      <c r="G595" s="208">
        <f>E595/(C595*H595/30)</f>
        <v>7.4999999999999997E-2</v>
      </c>
      <c r="H595" s="102">
        <v>15</v>
      </c>
      <c r="I595" s="103">
        <f t="shared" si="46"/>
        <v>2625</v>
      </c>
      <c r="J595" s="103">
        <f t="shared" si="47"/>
        <v>1749.9999999999998</v>
      </c>
    </row>
    <row r="596" spans="1:10" s="99" customFormat="1">
      <c r="A596" s="111"/>
      <c r="B596" s="111"/>
      <c r="C596" s="103">
        <v>10000</v>
      </c>
      <c r="D596" s="104" t="s">
        <v>242</v>
      </c>
      <c r="E596" s="105">
        <v>375</v>
      </c>
      <c r="F596" s="102">
        <v>6</v>
      </c>
      <c r="G596" s="208">
        <f>E596/(C596*H596/30)</f>
        <v>7.4999999999999997E-2</v>
      </c>
      <c r="H596" s="102">
        <v>15</v>
      </c>
      <c r="I596" s="103">
        <f t="shared" si="46"/>
        <v>2250</v>
      </c>
      <c r="J596" s="103">
        <f t="shared" si="47"/>
        <v>1499.9999999999998</v>
      </c>
    </row>
    <row r="597" spans="1:10" s="99" customFormat="1">
      <c r="A597" s="111"/>
      <c r="B597" s="111"/>
      <c r="C597" s="103">
        <v>20000</v>
      </c>
      <c r="D597" s="112" t="s">
        <v>62</v>
      </c>
      <c r="E597" s="105">
        <v>2300</v>
      </c>
      <c r="F597" s="102">
        <v>10</v>
      </c>
      <c r="G597" s="208">
        <v>0.06</v>
      </c>
      <c r="H597" s="102" t="s">
        <v>1917</v>
      </c>
      <c r="I597" s="103">
        <f t="shared" si="46"/>
        <v>3000</v>
      </c>
      <c r="J597" s="103">
        <f t="shared" si="47"/>
        <v>1749.9999999999995</v>
      </c>
    </row>
    <row r="598" spans="1:10" s="99" customFormat="1">
      <c r="A598" s="111"/>
      <c r="B598" s="111"/>
      <c r="C598" s="103">
        <v>10000</v>
      </c>
      <c r="D598" s="112" t="s">
        <v>63</v>
      </c>
      <c r="E598" s="105">
        <v>375</v>
      </c>
      <c r="F598" s="102">
        <v>4</v>
      </c>
      <c r="G598" s="208">
        <f t="shared" ref="G598:G606" si="48">E598/(C598*H598/30)</f>
        <v>7.4999999999999997E-2</v>
      </c>
      <c r="H598" s="102">
        <v>15</v>
      </c>
      <c r="I598" s="103">
        <f t="shared" si="46"/>
        <v>1500</v>
      </c>
      <c r="J598" s="103">
        <f t="shared" si="47"/>
        <v>999.99999999999989</v>
      </c>
    </row>
    <row r="599" spans="1:10" s="99" customFormat="1">
      <c r="A599" s="111"/>
      <c r="B599" s="111"/>
      <c r="C599" s="103">
        <v>30000</v>
      </c>
      <c r="D599" s="104" t="s">
        <v>686</v>
      </c>
      <c r="E599" s="105">
        <v>1125</v>
      </c>
      <c r="F599" s="102">
        <v>1</v>
      </c>
      <c r="G599" s="208">
        <f t="shared" si="48"/>
        <v>7.4999999999999997E-2</v>
      </c>
      <c r="H599" s="102">
        <v>15</v>
      </c>
      <c r="I599" s="103">
        <f t="shared" si="46"/>
        <v>1125</v>
      </c>
      <c r="J599" s="103">
        <f t="shared" si="47"/>
        <v>749.99999999999989</v>
      </c>
    </row>
    <row r="600" spans="1:10" s="99" customFormat="1">
      <c r="A600" s="111"/>
      <c r="B600" s="111"/>
      <c r="C600" s="103">
        <v>20000</v>
      </c>
      <c r="D600" s="104" t="s">
        <v>434</v>
      </c>
      <c r="E600" s="105">
        <v>750</v>
      </c>
      <c r="F600" s="102">
        <v>1</v>
      </c>
      <c r="G600" s="208">
        <f t="shared" si="48"/>
        <v>7.4999999999999997E-2</v>
      </c>
      <c r="H600" s="102">
        <v>15</v>
      </c>
      <c r="I600" s="103">
        <f t="shared" si="46"/>
        <v>750</v>
      </c>
      <c r="J600" s="103">
        <f t="shared" si="47"/>
        <v>499.99999999999994</v>
      </c>
    </row>
    <row r="601" spans="1:10" s="99" customFormat="1">
      <c r="A601" s="111"/>
      <c r="B601" s="111"/>
      <c r="C601" s="103">
        <v>30000</v>
      </c>
      <c r="D601" s="104" t="s">
        <v>1523</v>
      </c>
      <c r="E601" s="105">
        <v>1125</v>
      </c>
      <c r="F601" s="102">
        <v>10</v>
      </c>
      <c r="G601" s="208">
        <f t="shared" si="48"/>
        <v>7.4999999999999997E-2</v>
      </c>
      <c r="H601" s="102">
        <v>15</v>
      </c>
      <c r="I601" s="103">
        <f t="shared" si="46"/>
        <v>11250</v>
      </c>
      <c r="J601" s="103">
        <f t="shared" si="47"/>
        <v>7499.9999999999991</v>
      </c>
    </row>
    <row r="602" spans="1:10" s="99" customFormat="1">
      <c r="A602" s="111"/>
      <c r="B602" s="111"/>
      <c r="C602" s="103">
        <v>20000</v>
      </c>
      <c r="D602" s="104" t="s">
        <v>499</v>
      </c>
      <c r="E602" s="105">
        <v>750</v>
      </c>
      <c r="F602" s="102">
        <v>12</v>
      </c>
      <c r="G602" s="208">
        <f t="shared" si="48"/>
        <v>7.4999999999999997E-2</v>
      </c>
      <c r="H602" s="102">
        <v>15</v>
      </c>
      <c r="I602" s="103">
        <f t="shared" si="46"/>
        <v>9000</v>
      </c>
      <c r="J602" s="103">
        <f t="shared" si="47"/>
        <v>5999.9999999999991</v>
      </c>
    </row>
    <row r="603" spans="1:10" s="99" customFormat="1">
      <c r="A603" s="111"/>
      <c r="B603" s="111"/>
      <c r="C603" s="103">
        <v>20000</v>
      </c>
      <c r="D603" s="104" t="s">
        <v>2350</v>
      </c>
      <c r="E603" s="105">
        <v>750</v>
      </c>
      <c r="F603" s="102">
        <v>11</v>
      </c>
      <c r="G603" s="208">
        <f t="shared" si="48"/>
        <v>7.4999999999999997E-2</v>
      </c>
      <c r="H603" s="102">
        <v>15</v>
      </c>
      <c r="I603" s="103">
        <f t="shared" si="46"/>
        <v>8250</v>
      </c>
      <c r="J603" s="103">
        <f t="shared" si="47"/>
        <v>5499.9999999999991</v>
      </c>
    </row>
    <row r="604" spans="1:10" s="99" customFormat="1">
      <c r="A604" s="111"/>
      <c r="B604" s="111"/>
      <c r="C604" s="103">
        <v>20000</v>
      </c>
      <c r="D604" s="104" t="s">
        <v>2610</v>
      </c>
      <c r="E604" s="105">
        <v>750</v>
      </c>
      <c r="F604" s="102">
        <v>10</v>
      </c>
      <c r="G604" s="208">
        <f t="shared" si="48"/>
        <v>7.4999999999999997E-2</v>
      </c>
      <c r="H604" s="102">
        <v>15</v>
      </c>
      <c r="I604" s="103">
        <f t="shared" si="46"/>
        <v>7500</v>
      </c>
      <c r="J604" s="103">
        <f t="shared" si="47"/>
        <v>4999.9999999999991</v>
      </c>
    </row>
    <row r="605" spans="1:10" s="99" customFormat="1">
      <c r="A605" s="111"/>
      <c r="B605" s="111"/>
      <c r="C605" s="103">
        <v>20000</v>
      </c>
      <c r="D605" s="104" t="s">
        <v>1986</v>
      </c>
      <c r="E605" s="105">
        <v>750</v>
      </c>
      <c r="F605" s="102">
        <v>8</v>
      </c>
      <c r="G605" s="208">
        <f t="shared" si="48"/>
        <v>7.4999999999999997E-2</v>
      </c>
      <c r="H605" s="102">
        <v>15</v>
      </c>
      <c r="I605" s="103">
        <f t="shared" si="46"/>
        <v>6000</v>
      </c>
      <c r="J605" s="103">
        <f t="shared" si="47"/>
        <v>3999.9999999999995</v>
      </c>
    </row>
    <row r="606" spans="1:10" s="99" customFormat="1">
      <c r="A606" s="111"/>
      <c r="B606" s="111"/>
      <c r="C606" s="103">
        <v>30000</v>
      </c>
      <c r="D606" s="112" t="s">
        <v>64</v>
      </c>
      <c r="E606" s="105">
        <v>1125</v>
      </c>
      <c r="F606" s="102">
        <v>2</v>
      </c>
      <c r="G606" s="208">
        <f t="shared" si="48"/>
        <v>7.4999999999999997E-2</v>
      </c>
      <c r="H606" s="102">
        <v>15</v>
      </c>
      <c r="I606" s="103">
        <f t="shared" si="46"/>
        <v>2250</v>
      </c>
      <c r="J606" s="103">
        <f t="shared" si="47"/>
        <v>1499.9999999999998</v>
      </c>
    </row>
    <row r="607" spans="1:10" s="99" customFormat="1">
      <c r="A607" s="111">
        <v>86</v>
      </c>
      <c r="B607" s="111" t="s">
        <v>2611</v>
      </c>
      <c r="C607" s="103">
        <v>30000</v>
      </c>
      <c r="D607" s="104" t="s">
        <v>3121</v>
      </c>
      <c r="E607" s="105">
        <v>3600</v>
      </c>
      <c r="F607" s="102">
        <v>10</v>
      </c>
      <c r="G607" s="208">
        <v>0.06</v>
      </c>
      <c r="H607" s="102" t="s">
        <v>664</v>
      </c>
      <c r="I607" s="103">
        <f t="shared" si="46"/>
        <v>4500</v>
      </c>
      <c r="J607" s="103">
        <f t="shared" si="47"/>
        <v>2625</v>
      </c>
    </row>
    <row r="608" spans="1:10" s="99" customFormat="1">
      <c r="A608" s="111"/>
      <c r="B608" s="111"/>
      <c r="C608" s="103">
        <v>30000</v>
      </c>
      <c r="D608" s="104" t="s">
        <v>676</v>
      </c>
      <c r="E608" s="105">
        <v>3450</v>
      </c>
      <c r="F608" s="102">
        <v>10</v>
      </c>
      <c r="G608" s="208">
        <v>0.06</v>
      </c>
      <c r="H608" s="102" t="s">
        <v>664</v>
      </c>
      <c r="I608" s="103">
        <f t="shared" si="46"/>
        <v>4500</v>
      </c>
      <c r="J608" s="103">
        <f t="shared" si="47"/>
        <v>2625</v>
      </c>
    </row>
    <row r="609" spans="1:10" s="99" customFormat="1">
      <c r="A609" s="111"/>
      <c r="B609" s="111"/>
      <c r="C609" s="103">
        <v>30000</v>
      </c>
      <c r="D609" s="104" t="s">
        <v>3181</v>
      </c>
      <c r="E609" s="105">
        <v>3450</v>
      </c>
      <c r="F609" s="102">
        <v>10</v>
      </c>
      <c r="G609" s="208">
        <v>0.06</v>
      </c>
      <c r="H609" s="102" t="s">
        <v>664</v>
      </c>
      <c r="I609" s="103">
        <f t="shared" si="46"/>
        <v>4500</v>
      </c>
      <c r="J609" s="103">
        <f t="shared" si="47"/>
        <v>2625</v>
      </c>
    </row>
    <row r="610" spans="1:10" s="99" customFormat="1">
      <c r="A610" s="111"/>
      <c r="B610" s="111"/>
      <c r="C610" s="103">
        <v>60000</v>
      </c>
      <c r="D610" s="104" t="s">
        <v>583</v>
      </c>
      <c r="E610" s="105">
        <v>6900</v>
      </c>
      <c r="F610" s="102">
        <v>9</v>
      </c>
      <c r="G610" s="208">
        <v>0.06</v>
      </c>
      <c r="H610" s="102" t="s">
        <v>664</v>
      </c>
      <c r="I610" s="103">
        <f t="shared" si="46"/>
        <v>8100</v>
      </c>
      <c r="J610" s="103">
        <f t="shared" si="47"/>
        <v>4725</v>
      </c>
    </row>
    <row r="611" spans="1:10" s="99" customFormat="1">
      <c r="A611" s="111"/>
      <c r="B611" s="111"/>
      <c r="C611" s="103">
        <v>60000</v>
      </c>
      <c r="D611" s="112" t="s">
        <v>65</v>
      </c>
      <c r="E611" s="105">
        <v>6900</v>
      </c>
      <c r="F611" s="102">
        <v>10</v>
      </c>
      <c r="G611" s="208">
        <v>0.06</v>
      </c>
      <c r="H611" s="102" t="s">
        <v>664</v>
      </c>
      <c r="I611" s="103">
        <f t="shared" si="46"/>
        <v>9000</v>
      </c>
      <c r="J611" s="103">
        <f t="shared" si="47"/>
        <v>5250</v>
      </c>
    </row>
    <row r="612" spans="1:10" s="99" customFormat="1">
      <c r="A612" s="111"/>
      <c r="B612" s="111"/>
      <c r="C612" s="103">
        <v>100000</v>
      </c>
      <c r="D612" s="104" t="s">
        <v>1513</v>
      </c>
      <c r="E612" s="105">
        <v>3750</v>
      </c>
      <c r="F612" s="102">
        <v>2</v>
      </c>
      <c r="G612" s="208">
        <f>E612/(C612*H612/30)</f>
        <v>7.4999999999999997E-2</v>
      </c>
      <c r="H612" s="102">
        <v>15</v>
      </c>
      <c r="I612" s="103">
        <f t="shared" si="46"/>
        <v>7500</v>
      </c>
      <c r="J612" s="103">
        <f t="shared" si="47"/>
        <v>5000</v>
      </c>
    </row>
    <row r="613" spans="1:10" s="99" customFormat="1">
      <c r="A613" s="111"/>
      <c r="B613" s="111"/>
      <c r="C613" s="103">
        <v>40000</v>
      </c>
      <c r="D613" s="104" t="s">
        <v>1513</v>
      </c>
      <c r="E613" s="105">
        <v>1500</v>
      </c>
      <c r="F613" s="102">
        <v>3</v>
      </c>
      <c r="G613" s="208">
        <f>E613/(C613*H613/30)</f>
        <v>7.4999999999999997E-2</v>
      </c>
      <c r="H613" s="102">
        <v>15</v>
      </c>
      <c r="I613" s="103">
        <f t="shared" si="46"/>
        <v>4500</v>
      </c>
      <c r="J613" s="103">
        <f t="shared" si="47"/>
        <v>2999.9999999999995</v>
      </c>
    </row>
    <row r="614" spans="1:10" s="99" customFormat="1">
      <c r="A614" s="111"/>
      <c r="B614" s="111"/>
      <c r="C614" s="103">
        <v>30000</v>
      </c>
      <c r="D614" s="104" t="s">
        <v>1513</v>
      </c>
      <c r="E614" s="105">
        <v>1125</v>
      </c>
      <c r="F614" s="102">
        <v>1</v>
      </c>
      <c r="G614" s="208">
        <f>E614/(C614*H614/30)</f>
        <v>7.4999999999999997E-2</v>
      </c>
      <c r="H614" s="102">
        <v>15</v>
      </c>
      <c r="I614" s="103">
        <f t="shared" si="46"/>
        <v>1125</v>
      </c>
      <c r="J614" s="103">
        <f t="shared" si="47"/>
        <v>749.99999999999989</v>
      </c>
    </row>
    <row r="615" spans="1:10" s="99" customFormat="1">
      <c r="A615" s="111"/>
      <c r="B615" s="111"/>
      <c r="C615" s="103">
        <v>60000</v>
      </c>
      <c r="D615" s="112" t="s">
        <v>66</v>
      </c>
      <c r="E615" s="105">
        <v>6900</v>
      </c>
      <c r="F615" s="102">
        <v>10</v>
      </c>
      <c r="G615" s="208">
        <v>0.06</v>
      </c>
      <c r="H615" s="102" t="s">
        <v>1917</v>
      </c>
      <c r="I615" s="103">
        <f t="shared" si="46"/>
        <v>9000</v>
      </c>
      <c r="J615" s="103">
        <f t="shared" si="47"/>
        <v>5250</v>
      </c>
    </row>
    <row r="616" spans="1:10" s="99" customFormat="1">
      <c r="A616" s="111">
        <v>87</v>
      </c>
      <c r="B616" s="111" t="s">
        <v>2612</v>
      </c>
      <c r="C616" s="103">
        <v>10000</v>
      </c>
      <c r="D616" s="104" t="s">
        <v>269</v>
      </c>
      <c r="E616" s="105">
        <v>1200</v>
      </c>
      <c r="F616" s="102">
        <v>10</v>
      </c>
      <c r="G616" s="208">
        <v>0.06</v>
      </c>
      <c r="H616" s="102" t="s">
        <v>664</v>
      </c>
      <c r="I616" s="103">
        <f t="shared" si="46"/>
        <v>1500</v>
      </c>
      <c r="J616" s="103">
        <f t="shared" si="47"/>
        <v>874.99999999999977</v>
      </c>
    </row>
    <row r="617" spans="1:10" s="99" customFormat="1">
      <c r="A617" s="111"/>
      <c r="B617" s="111"/>
      <c r="C617" s="103">
        <v>70000</v>
      </c>
      <c r="D617" s="104" t="s">
        <v>269</v>
      </c>
      <c r="E617" s="105">
        <v>2625</v>
      </c>
      <c r="F617" s="102">
        <v>20</v>
      </c>
      <c r="G617" s="208">
        <f>E617/(C617*H617/30)</f>
        <v>7.4999999999999997E-2</v>
      </c>
      <c r="H617" s="102">
        <v>15</v>
      </c>
      <c r="I617" s="103">
        <f t="shared" si="46"/>
        <v>52500</v>
      </c>
      <c r="J617" s="103">
        <f t="shared" si="47"/>
        <v>34999.999999999993</v>
      </c>
    </row>
    <row r="618" spans="1:10" s="99" customFormat="1">
      <c r="A618" s="111"/>
      <c r="B618" s="111"/>
      <c r="C618" s="103">
        <v>10000</v>
      </c>
      <c r="D618" s="104" t="s">
        <v>498</v>
      </c>
      <c r="E618" s="105">
        <v>1200</v>
      </c>
      <c r="F618" s="102">
        <v>10</v>
      </c>
      <c r="G618" s="208">
        <v>0.06</v>
      </c>
      <c r="H618" s="102" t="s">
        <v>1917</v>
      </c>
      <c r="I618" s="103">
        <f t="shared" si="46"/>
        <v>1500</v>
      </c>
      <c r="J618" s="103">
        <f t="shared" si="47"/>
        <v>874.99999999999977</v>
      </c>
    </row>
    <row r="619" spans="1:10" s="99" customFormat="1">
      <c r="A619" s="111"/>
      <c r="B619" s="111"/>
      <c r="C619" s="103">
        <v>10000</v>
      </c>
      <c r="D619" s="104" t="s">
        <v>449</v>
      </c>
      <c r="E619" s="105">
        <v>1150</v>
      </c>
      <c r="F619" s="102">
        <v>10</v>
      </c>
      <c r="G619" s="208">
        <v>0.06</v>
      </c>
      <c r="H619" s="102" t="s">
        <v>664</v>
      </c>
      <c r="I619" s="103">
        <f t="shared" si="46"/>
        <v>1500</v>
      </c>
      <c r="J619" s="103">
        <f t="shared" si="47"/>
        <v>874.99999999999977</v>
      </c>
    </row>
    <row r="620" spans="1:10" s="99" customFormat="1">
      <c r="A620" s="111">
        <v>88</v>
      </c>
      <c r="B620" s="111" t="s">
        <v>2613</v>
      </c>
      <c r="C620" s="103">
        <v>30000</v>
      </c>
      <c r="D620" s="104" t="s">
        <v>960</v>
      </c>
      <c r="E620" s="105">
        <v>1125</v>
      </c>
      <c r="F620" s="102">
        <v>31</v>
      </c>
      <c r="G620" s="208">
        <f>E620/(C620*H620/30)</f>
        <v>7.4999999999999997E-2</v>
      </c>
      <c r="H620" s="102">
        <v>15</v>
      </c>
      <c r="I620" s="103">
        <f t="shared" si="46"/>
        <v>34875</v>
      </c>
      <c r="J620" s="103">
        <f t="shared" si="47"/>
        <v>23249.999999999996</v>
      </c>
    </row>
    <row r="621" spans="1:10" s="99" customFormat="1">
      <c r="A621" s="111"/>
      <c r="B621" s="111"/>
      <c r="C621" s="103">
        <v>20000</v>
      </c>
      <c r="D621" s="104" t="s">
        <v>585</v>
      </c>
      <c r="E621" s="105">
        <v>750</v>
      </c>
      <c r="F621" s="102">
        <v>38</v>
      </c>
      <c r="G621" s="208">
        <f>E621/(C621*H621/30)</f>
        <v>7.4999999999999997E-2</v>
      </c>
      <c r="H621" s="102">
        <v>15</v>
      </c>
      <c r="I621" s="103">
        <f t="shared" si="46"/>
        <v>28500</v>
      </c>
      <c r="J621" s="103">
        <f t="shared" si="47"/>
        <v>18999.999999999996</v>
      </c>
    </row>
    <row r="622" spans="1:10" s="99" customFormat="1">
      <c r="A622" s="111"/>
      <c r="B622" s="111"/>
      <c r="C622" s="103">
        <v>10000</v>
      </c>
      <c r="D622" s="104" t="s">
        <v>3183</v>
      </c>
      <c r="E622" s="105">
        <v>1200</v>
      </c>
      <c r="F622" s="102">
        <v>10</v>
      </c>
      <c r="G622" s="208">
        <v>0.06</v>
      </c>
      <c r="H622" s="102" t="s">
        <v>664</v>
      </c>
      <c r="I622" s="103">
        <f t="shared" si="46"/>
        <v>1500</v>
      </c>
      <c r="J622" s="103">
        <f t="shared" si="47"/>
        <v>874.99999999999977</v>
      </c>
    </row>
    <row r="623" spans="1:10" s="99" customFormat="1">
      <c r="A623" s="111"/>
      <c r="B623" s="111"/>
      <c r="C623" s="103">
        <v>10000</v>
      </c>
      <c r="D623" s="112" t="s">
        <v>67</v>
      </c>
      <c r="E623" s="105">
        <v>1150</v>
      </c>
      <c r="F623" s="102">
        <v>10</v>
      </c>
      <c r="G623" s="208">
        <v>0.06</v>
      </c>
      <c r="H623" s="102" t="s">
        <v>664</v>
      </c>
      <c r="I623" s="103">
        <f t="shared" si="46"/>
        <v>1500</v>
      </c>
      <c r="J623" s="103">
        <f t="shared" si="47"/>
        <v>874.99999999999977</v>
      </c>
    </row>
    <row r="624" spans="1:10" s="99" customFormat="1">
      <c r="A624" s="111"/>
      <c r="B624" s="111"/>
      <c r="C624" s="103">
        <v>10000</v>
      </c>
      <c r="D624" s="112" t="s">
        <v>68</v>
      </c>
      <c r="E624" s="105">
        <v>1150</v>
      </c>
      <c r="F624" s="102">
        <v>10</v>
      </c>
      <c r="G624" s="208">
        <v>0.06</v>
      </c>
      <c r="H624" s="102" t="s">
        <v>664</v>
      </c>
      <c r="I624" s="103">
        <f t="shared" si="46"/>
        <v>1500</v>
      </c>
      <c r="J624" s="103">
        <f t="shared" si="47"/>
        <v>874.99999999999977</v>
      </c>
    </row>
    <row r="625" spans="1:10" s="99" customFormat="1">
      <c r="A625" s="111"/>
      <c r="B625" s="111"/>
      <c r="C625" s="103">
        <v>10000</v>
      </c>
      <c r="D625" s="104" t="s">
        <v>417</v>
      </c>
      <c r="E625" s="105">
        <v>1150</v>
      </c>
      <c r="F625" s="102">
        <v>10</v>
      </c>
      <c r="G625" s="208">
        <v>0.06</v>
      </c>
      <c r="H625" s="102" t="s">
        <v>664</v>
      </c>
      <c r="I625" s="103">
        <f t="shared" si="46"/>
        <v>1500</v>
      </c>
      <c r="J625" s="103">
        <f t="shared" si="47"/>
        <v>874.99999999999977</v>
      </c>
    </row>
    <row r="626" spans="1:10" s="99" customFormat="1">
      <c r="A626" s="111"/>
      <c r="B626" s="111"/>
      <c r="C626" s="103">
        <v>10000</v>
      </c>
      <c r="D626" s="112" t="s">
        <v>69</v>
      </c>
      <c r="E626" s="105">
        <v>1150</v>
      </c>
      <c r="F626" s="102">
        <v>10</v>
      </c>
      <c r="G626" s="208">
        <v>0.06</v>
      </c>
      <c r="H626" s="102" t="s">
        <v>664</v>
      </c>
      <c r="I626" s="103">
        <f t="shared" si="46"/>
        <v>1500</v>
      </c>
      <c r="J626" s="103">
        <f t="shared" si="47"/>
        <v>874.99999999999977</v>
      </c>
    </row>
    <row r="627" spans="1:10" s="99" customFormat="1">
      <c r="A627" s="111"/>
      <c r="B627" s="111"/>
      <c r="C627" s="103">
        <v>10000</v>
      </c>
      <c r="D627" s="112" t="s">
        <v>70</v>
      </c>
      <c r="E627" s="105">
        <v>1150</v>
      </c>
      <c r="F627" s="102">
        <v>10</v>
      </c>
      <c r="G627" s="208">
        <v>0.06</v>
      </c>
      <c r="H627" s="102" t="s">
        <v>664</v>
      </c>
      <c r="I627" s="103">
        <f t="shared" si="46"/>
        <v>1500</v>
      </c>
      <c r="J627" s="103">
        <f t="shared" si="47"/>
        <v>874.99999999999977</v>
      </c>
    </row>
    <row r="628" spans="1:10" s="99" customFormat="1">
      <c r="A628" s="111"/>
      <c r="B628" s="111"/>
      <c r="C628" s="103">
        <v>10000</v>
      </c>
      <c r="D628" s="104" t="s">
        <v>2598</v>
      </c>
      <c r="E628" s="105">
        <v>375</v>
      </c>
      <c r="F628" s="102">
        <v>14</v>
      </c>
      <c r="G628" s="208">
        <f>E628/(C628*H628/30)</f>
        <v>7.4999999999999997E-2</v>
      </c>
      <c r="H628" s="102">
        <v>15</v>
      </c>
      <c r="I628" s="103">
        <f t="shared" si="46"/>
        <v>5250</v>
      </c>
      <c r="J628" s="103">
        <f t="shared" si="47"/>
        <v>3499.9999999999995</v>
      </c>
    </row>
    <row r="629" spans="1:10" s="99" customFormat="1">
      <c r="A629" s="111"/>
      <c r="B629" s="111"/>
      <c r="C629" s="103">
        <v>10000</v>
      </c>
      <c r="D629" s="112" t="s">
        <v>71</v>
      </c>
      <c r="E629" s="105">
        <v>1150</v>
      </c>
      <c r="F629" s="102">
        <v>10</v>
      </c>
      <c r="G629" s="208">
        <v>0.06</v>
      </c>
      <c r="H629" s="102" t="s">
        <v>1917</v>
      </c>
      <c r="I629" s="103">
        <f t="shared" si="46"/>
        <v>1500</v>
      </c>
      <c r="J629" s="103">
        <f t="shared" si="47"/>
        <v>874.99999999999977</v>
      </c>
    </row>
    <row r="630" spans="1:10" s="99" customFormat="1">
      <c r="A630" s="111"/>
      <c r="B630" s="111"/>
      <c r="C630" s="103">
        <v>30000</v>
      </c>
      <c r="D630" s="112" t="s">
        <v>72</v>
      </c>
      <c r="E630" s="105">
        <v>1125</v>
      </c>
      <c r="F630" s="102">
        <v>6</v>
      </c>
      <c r="G630" s="208">
        <f>E630/(C630*H630/30)</f>
        <v>7.4999999999999997E-2</v>
      </c>
      <c r="H630" s="102">
        <v>15</v>
      </c>
      <c r="I630" s="103">
        <f t="shared" si="46"/>
        <v>6750</v>
      </c>
      <c r="J630" s="103">
        <f t="shared" si="47"/>
        <v>4499.9999999999991</v>
      </c>
    </row>
    <row r="631" spans="1:10" s="99" customFormat="1">
      <c r="A631" s="111"/>
      <c r="B631" s="111"/>
      <c r="C631" s="103">
        <v>10000</v>
      </c>
      <c r="D631" s="112" t="s">
        <v>73</v>
      </c>
      <c r="E631" s="105">
        <v>1150</v>
      </c>
      <c r="F631" s="102">
        <v>10</v>
      </c>
      <c r="G631" s="208">
        <v>0.06</v>
      </c>
      <c r="H631" s="102" t="s">
        <v>1917</v>
      </c>
      <c r="I631" s="103">
        <f t="shared" si="46"/>
        <v>1500</v>
      </c>
      <c r="J631" s="103">
        <f t="shared" si="47"/>
        <v>874.99999999999977</v>
      </c>
    </row>
    <row r="632" spans="1:10" s="99" customFormat="1">
      <c r="A632" s="111"/>
      <c r="B632" s="111"/>
      <c r="C632" s="103">
        <v>30000</v>
      </c>
      <c r="D632" s="112" t="s">
        <v>74</v>
      </c>
      <c r="E632" s="105">
        <v>1125</v>
      </c>
      <c r="F632" s="102">
        <v>3</v>
      </c>
      <c r="G632" s="208">
        <f>E632/(C632*H632/30)</f>
        <v>7.4999999999999997E-2</v>
      </c>
      <c r="H632" s="102">
        <v>15</v>
      </c>
      <c r="I632" s="103">
        <f t="shared" si="46"/>
        <v>3375</v>
      </c>
      <c r="J632" s="103">
        <f t="shared" si="47"/>
        <v>2249.9999999999995</v>
      </c>
    </row>
    <row r="633" spans="1:10" s="99" customFormat="1">
      <c r="A633" s="111"/>
      <c r="B633" s="111"/>
      <c r="C633" s="103">
        <v>30000</v>
      </c>
      <c r="D633" s="104" t="s">
        <v>663</v>
      </c>
      <c r="E633" s="105">
        <v>1125</v>
      </c>
      <c r="F633" s="102">
        <v>2</v>
      </c>
      <c r="G633" s="208">
        <f>E633/(C633*H633/30)</f>
        <v>7.4999999999999997E-2</v>
      </c>
      <c r="H633" s="102">
        <v>15</v>
      </c>
      <c r="I633" s="103">
        <f t="shared" si="46"/>
        <v>2250</v>
      </c>
      <c r="J633" s="103">
        <f t="shared" si="47"/>
        <v>1499.9999999999998</v>
      </c>
    </row>
    <row r="634" spans="1:10" s="99" customFormat="1">
      <c r="A634" s="111">
        <v>90</v>
      </c>
      <c r="B634" s="111" t="s">
        <v>854</v>
      </c>
      <c r="C634" s="103">
        <v>30000</v>
      </c>
      <c r="D634" s="104" t="s">
        <v>998</v>
      </c>
      <c r="E634" s="105">
        <v>1125</v>
      </c>
      <c r="F634" s="102">
        <v>6</v>
      </c>
      <c r="G634" s="208">
        <f>E634/(C634*H634/30)</f>
        <v>7.4999999999999997E-2</v>
      </c>
      <c r="H634" s="102">
        <v>15</v>
      </c>
      <c r="I634" s="103">
        <f t="shared" si="46"/>
        <v>6750</v>
      </c>
      <c r="J634" s="103">
        <f t="shared" si="47"/>
        <v>4499.9999999999991</v>
      </c>
    </row>
    <row r="635" spans="1:10" s="99" customFormat="1">
      <c r="A635" s="111"/>
      <c r="B635" s="111"/>
      <c r="C635" s="103">
        <v>20000</v>
      </c>
      <c r="D635" s="104" t="s">
        <v>998</v>
      </c>
      <c r="E635" s="105">
        <v>750</v>
      </c>
      <c r="F635" s="102">
        <v>2</v>
      </c>
      <c r="G635" s="208">
        <f>E635/(C635*H635/30)</f>
        <v>7.4999999999999997E-2</v>
      </c>
      <c r="H635" s="102">
        <v>15</v>
      </c>
      <c r="I635" s="103">
        <f t="shared" si="46"/>
        <v>1500</v>
      </c>
      <c r="J635" s="103">
        <f t="shared" si="47"/>
        <v>999.99999999999989</v>
      </c>
    </row>
    <row r="636" spans="1:10" s="99" customFormat="1">
      <c r="A636" s="111">
        <v>91</v>
      </c>
      <c r="B636" s="111" t="s">
        <v>855</v>
      </c>
      <c r="C636" s="103">
        <v>20000</v>
      </c>
      <c r="D636" s="104" t="s">
        <v>856</v>
      </c>
      <c r="E636" s="105">
        <v>750</v>
      </c>
      <c r="F636" s="102">
        <v>46</v>
      </c>
      <c r="G636" s="208">
        <f>E636/(C636*H636/30)</f>
        <v>7.4999999999999997E-2</v>
      </c>
      <c r="H636" s="102">
        <v>15</v>
      </c>
      <c r="I636" s="103">
        <f t="shared" si="46"/>
        <v>34500</v>
      </c>
      <c r="J636" s="103">
        <f t="shared" si="47"/>
        <v>22999.999999999996</v>
      </c>
    </row>
    <row r="637" spans="1:10" s="99" customFormat="1">
      <c r="A637" s="111"/>
      <c r="B637" s="111"/>
      <c r="C637" s="103">
        <v>10000</v>
      </c>
      <c r="D637" s="104" t="s">
        <v>684</v>
      </c>
      <c r="E637" s="105">
        <v>1150</v>
      </c>
      <c r="F637" s="102">
        <v>10</v>
      </c>
      <c r="G637" s="208">
        <v>0.06</v>
      </c>
      <c r="H637" s="102" t="s">
        <v>664</v>
      </c>
      <c r="I637" s="103">
        <f t="shared" si="46"/>
        <v>1500</v>
      </c>
      <c r="J637" s="103">
        <f t="shared" si="47"/>
        <v>874.99999999999977</v>
      </c>
    </row>
    <row r="638" spans="1:10" s="99" customFormat="1">
      <c r="A638" s="111"/>
      <c r="B638" s="111"/>
      <c r="C638" s="103">
        <v>10000</v>
      </c>
      <c r="D638" s="104" t="s">
        <v>267</v>
      </c>
      <c r="E638" s="105">
        <v>1150</v>
      </c>
      <c r="F638" s="102">
        <v>10</v>
      </c>
      <c r="G638" s="208">
        <v>0.06</v>
      </c>
      <c r="H638" s="102" t="s">
        <v>664</v>
      </c>
      <c r="I638" s="103">
        <f t="shared" si="46"/>
        <v>1500</v>
      </c>
      <c r="J638" s="103">
        <f t="shared" si="47"/>
        <v>874.99999999999977</v>
      </c>
    </row>
    <row r="639" spans="1:10" s="99" customFormat="1">
      <c r="A639" s="111"/>
      <c r="B639" s="111"/>
      <c r="C639" s="103">
        <v>20000</v>
      </c>
      <c r="D639" s="112" t="s">
        <v>75</v>
      </c>
      <c r="E639" s="105">
        <v>750</v>
      </c>
      <c r="F639" s="102">
        <v>17</v>
      </c>
      <c r="G639" s="208">
        <f>E639/(C639*H639/30)</f>
        <v>7.4999999999999997E-2</v>
      </c>
      <c r="H639" s="102">
        <v>15</v>
      </c>
      <c r="I639" s="103">
        <f t="shared" si="46"/>
        <v>12750</v>
      </c>
      <c r="J639" s="103">
        <f t="shared" si="47"/>
        <v>8499.9999999999982</v>
      </c>
    </row>
    <row r="640" spans="1:10" s="99" customFormat="1">
      <c r="A640" s="111"/>
      <c r="B640" s="111"/>
      <c r="C640" s="103">
        <v>10000</v>
      </c>
      <c r="D640" s="104" t="s">
        <v>1714</v>
      </c>
      <c r="E640" s="105">
        <v>1150</v>
      </c>
      <c r="F640" s="102">
        <v>10</v>
      </c>
      <c r="G640" s="208">
        <v>0.06</v>
      </c>
      <c r="H640" s="102" t="s">
        <v>664</v>
      </c>
      <c r="I640" s="103">
        <f t="shared" si="46"/>
        <v>1500</v>
      </c>
      <c r="J640" s="103">
        <f t="shared" si="47"/>
        <v>874.99999999999977</v>
      </c>
    </row>
    <row r="641" spans="1:10" s="99" customFormat="1">
      <c r="A641" s="111"/>
      <c r="B641" s="111"/>
      <c r="C641" s="103">
        <v>10000</v>
      </c>
      <c r="D641" s="112" t="s">
        <v>76</v>
      </c>
      <c r="E641" s="105">
        <v>1150</v>
      </c>
      <c r="F641" s="102">
        <v>10</v>
      </c>
      <c r="G641" s="208">
        <v>0.06</v>
      </c>
      <c r="H641" s="102" t="s">
        <v>664</v>
      </c>
      <c r="I641" s="103">
        <f t="shared" si="46"/>
        <v>1500</v>
      </c>
      <c r="J641" s="103">
        <f t="shared" si="47"/>
        <v>874.99999999999977</v>
      </c>
    </row>
    <row r="642" spans="1:10" s="99" customFormat="1">
      <c r="A642" s="111"/>
      <c r="B642" s="111"/>
      <c r="C642" s="103">
        <v>10000</v>
      </c>
      <c r="D642" s="112" t="s">
        <v>77</v>
      </c>
      <c r="E642" s="105">
        <v>1150</v>
      </c>
      <c r="F642" s="102">
        <v>10</v>
      </c>
      <c r="G642" s="208">
        <v>0.06</v>
      </c>
      <c r="H642" s="102" t="s">
        <v>664</v>
      </c>
      <c r="I642" s="103">
        <f t="shared" si="46"/>
        <v>1500</v>
      </c>
      <c r="J642" s="103">
        <f t="shared" si="47"/>
        <v>874.99999999999977</v>
      </c>
    </row>
    <row r="643" spans="1:10" s="99" customFormat="1">
      <c r="A643" s="111"/>
      <c r="B643" s="111"/>
      <c r="C643" s="103">
        <v>10000</v>
      </c>
      <c r="D643" s="112" t="s">
        <v>78</v>
      </c>
      <c r="E643" s="105">
        <v>1150</v>
      </c>
      <c r="F643" s="102">
        <v>10</v>
      </c>
      <c r="G643" s="208">
        <v>0.06</v>
      </c>
      <c r="H643" s="102" t="s">
        <v>664</v>
      </c>
      <c r="I643" s="103">
        <f t="shared" si="46"/>
        <v>1500</v>
      </c>
      <c r="J643" s="103">
        <f t="shared" si="47"/>
        <v>874.99999999999977</v>
      </c>
    </row>
    <row r="644" spans="1:10" s="99" customFormat="1">
      <c r="A644" s="111"/>
      <c r="B644" s="111"/>
      <c r="C644" s="103">
        <v>10000</v>
      </c>
      <c r="D644" s="112" t="s">
        <v>79</v>
      </c>
      <c r="E644" s="105">
        <v>1150</v>
      </c>
      <c r="F644" s="102">
        <v>10</v>
      </c>
      <c r="G644" s="208">
        <v>0.06</v>
      </c>
      <c r="H644" s="102" t="s">
        <v>664</v>
      </c>
      <c r="I644" s="103">
        <f t="shared" si="46"/>
        <v>1500</v>
      </c>
      <c r="J644" s="103">
        <f t="shared" si="47"/>
        <v>874.99999999999977</v>
      </c>
    </row>
    <row r="645" spans="1:10" s="99" customFormat="1">
      <c r="A645" s="111"/>
      <c r="B645" s="111"/>
      <c r="C645" s="103">
        <v>10000</v>
      </c>
      <c r="D645" s="112" t="s">
        <v>80</v>
      </c>
      <c r="E645" s="105">
        <v>1150</v>
      </c>
      <c r="F645" s="102">
        <v>10</v>
      </c>
      <c r="G645" s="208">
        <v>0.06</v>
      </c>
      <c r="H645" s="102" t="s">
        <v>664</v>
      </c>
      <c r="I645" s="103">
        <f t="shared" si="46"/>
        <v>1500</v>
      </c>
      <c r="J645" s="103">
        <f t="shared" si="47"/>
        <v>874.99999999999977</v>
      </c>
    </row>
    <row r="646" spans="1:10" s="99" customFormat="1">
      <c r="A646" s="111"/>
      <c r="B646" s="111"/>
      <c r="C646" s="103">
        <v>10000</v>
      </c>
      <c r="D646" s="112" t="s">
        <v>81</v>
      </c>
      <c r="E646" s="105">
        <v>1150</v>
      </c>
      <c r="F646" s="102">
        <v>10</v>
      </c>
      <c r="G646" s="208">
        <v>0.06</v>
      </c>
      <c r="H646" s="102" t="s">
        <v>664</v>
      </c>
      <c r="I646" s="103">
        <f t="shared" si="46"/>
        <v>1500</v>
      </c>
      <c r="J646" s="103">
        <f t="shared" si="47"/>
        <v>874.99999999999977</v>
      </c>
    </row>
    <row r="647" spans="1:10" s="99" customFormat="1">
      <c r="A647" s="111"/>
      <c r="B647" s="111"/>
      <c r="C647" s="103">
        <v>10000</v>
      </c>
      <c r="D647" s="112" t="s">
        <v>82</v>
      </c>
      <c r="E647" s="105">
        <v>1150</v>
      </c>
      <c r="F647" s="102">
        <v>10</v>
      </c>
      <c r="G647" s="208">
        <v>0.06</v>
      </c>
      <c r="H647" s="102" t="s">
        <v>1917</v>
      </c>
      <c r="I647" s="103">
        <f t="shared" si="46"/>
        <v>1500</v>
      </c>
      <c r="J647" s="103">
        <f t="shared" si="47"/>
        <v>874.99999999999977</v>
      </c>
    </row>
    <row r="648" spans="1:10" s="99" customFormat="1">
      <c r="A648" s="111"/>
      <c r="B648" s="111"/>
      <c r="C648" s="103">
        <v>10000</v>
      </c>
      <c r="D648" s="112" t="s">
        <v>83</v>
      </c>
      <c r="E648" s="105">
        <v>1150</v>
      </c>
      <c r="F648" s="102">
        <v>10</v>
      </c>
      <c r="G648" s="208">
        <v>0.06</v>
      </c>
      <c r="H648" s="102" t="s">
        <v>1917</v>
      </c>
      <c r="I648" s="103">
        <f t="shared" si="46"/>
        <v>1500</v>
      </c>
      <c r="J648" s="103">
        <f t="shared" si="47"/>
        <v>874.99999999999977</v>
      </c>
    </row>
    <row r="649" spans="1:10" s="99" customFormat="1">
      <c r="A649" s="111"/>
      <c r="B649" s="111"/>
      <c r="C649" s="103">
        <v>20000</v>
      </c>
      <c r="D649" s="104" t="s">
        <v>421</v>
      </c>
      <c r="E649" s="105">
        <v>750</v>
      </c>
      <c r="F649" s="102">
        <v>8</v>
      </c>
      <c r="G649" s="208">
        <f>E649/(C649*H649/30)</f>
        <v>7.4999999999999997E-2</v>
      </c>
      <c r="H649" s="102">
        <v>15</v>
      </c>
      <c r="I649" s="103">
        <f t="shared" si="46"/>
        <v>6000</v>
      </c>
      <c r="J649" s="103">
        <f t="shared" si="47"/>
        <v>3999.9999999999995</v>
      </c>
    </row>
    <row r="650" spans="1:10" s="99" customFormat="1">
      <c r="A650" s="111"/>
      <c r="B650" s="111"/>
      <c r="C650" s="103">
        <v>20000</v>
      </c>
      <c r="D650" s="104" t="s">
        <v>1523</v>
      </c>
      <c r="E650" s="105">
        <v>750</v>
      </c>
      <c r="F650" s="102">
        <v>5</v>
      </c>
      <c r="G650" s="208">
        <f>E650/(C650*H650/30)</f>
        <v>7.4999999999999997E-2</v>
      </c>
      <c r="H650" s="102">
        <v>15</v>
      </c>
      <c r="I650" s="103">
        <f t="shared" si="46"/>
        <v>3750</v>
      </c>
      <c r="J650" s="103">
        <f t="shared" si="47"/>
        <v>2499.9999999999995</v>
      </c>
    </row>
    <row r="651" spans="1:10" s="99" customFormat="1">
      <c r="A651" s="111"/>
      <c r="B651" s="111"/>
      <c r="C651" s="103">
        <v>10000</v>
      </c>
      <c r="D651" s="112" t="s">
        <v>84</v>
      </c>
      <c r="E651" s="105">
        <v>1150</v>
      </c>
      <c r="F651" s="102">
        <v>5</v>
      </c>
      <c r="G651" s="208">
        <v>0.06</v>
      </c>
      <c r="H651" s="102" t="s">
        <v>1917</v>
      </c>
      <c r="I651" s="103">
        <f t="shared" si="46"/>
        <v>750</v>
      </c>
      <c r="J651" s="103">
        <f t="shared" si="47"/>
        <v>437.49999999999989</v>
      </c>
    </row>
    <row r="652" spans="1:10" s="99" customFormat="1">
      <c r="A652" s="111">
        <v>93</v>
      </c>
      <c r="B652" s="111" t="s">
        <v>858</v>
      </c>
      <c r="C652" s="103">
        <v>100000</v>
      </c>
      <c r="D652" s="104" t="s">
        <v>3138</v>
      </c>
      <c r="E652" s="105">
        <v>3750</v>
      </c>
      <c r="F652" s="102">
        <v>3</v>
      </c>
      <c r="G652" s="208">
        <f>E652/(C652*H652/30)</f>
        <v>7.4999999999999997E-2</v>
      </c>
      <c r="H652" s="102">
        <v>15</v>
      </c>
      <c r="I652" s="103">
        <f t="shared" si="46"/>
        <v>11250</v>
      </c>
      <c r="J652" s="103">
        <f t="shared" si="47"/>
        <v>7500</v>
      </c>
    </row>
    <row r="653" spans="1:10" s="99" customFormat="1">
      <c r="A653" s="111">
        <v>94</v>
      </c>
      <c r="B653" s="111" t="s">
        <v>2614</v>
      </c>
      <c r="C653" s="103">
        <v>295000</v>
      </c>
      <c r="D653" s="104" t="s">
        <v>2598</v>
      </c>
      <c r="E653" s="105">
        <v>22125</v>
      </c>
      <c r="F653" s="102">
        <v>7</v>
      </c>
      <c r="G653" s="208">
        <f>E653/(C653*H653/30)</f>
        <v>7.4999999999999997E-2</v>
      </c>
      <c r="H653" s="102">
        <v>30</v>
      </c>
      <c r="I653" s="103">
        <f t="shared" si="46"/>
        <v>154875</v>
      </c>
      <c r="J653" s="103">
        <f t="shared" si="47"/>
        <v>103249.99999999999</v>
      </c>
    </row>
    <row r="654" spans="1:10" s="99" customFormat="1">
      <c r="A654" s="111">
        <v>95</v>
      </c>
      <c r="B654" s="111" t="s">
        <v>2615</v>
      </c>
      <c r="C654" s="103">
        <v>60000</v>
      </c>
      <c r="D654" s="104" t="s">
        <v>1526</v>
      </c>
      <c r="E654" s="105">
        <v>150</v>
      </c>
      <c r="F654" s="102">
        <v>1</v>
      </c>
      <c r="G654" s="208">
        <f>E654/(C654*H654/30)</f>
        <v>5.0000000000000001E-3</v>
      </c>
      <c r="H654" s="102">
        <v>15</v>
      </c>
      <c r="I654" s="103">
        <f t="shared" si="46"/>
        <v>150</v>
      </c>
      <c r="J654" s="103">
        <f t="shared" si="47"/>
        <v>-600</v>
      </c>
    </row>
    <row r="655" spans="1:10" s="99" customFormat="1">
      <c r="A655" s="111">
        <v>96</v>
      </c>
      <c r="B655" s="111" t="s">
        <v>2616</v>
      </c>
      <c r="C655" s="103">
        <v>20000</v>
      </c>
      <c r="D655" s="104" t="s">
        <v>3395</v>
      </c>
      <c r="E655" s="105">
        <v>750</v>
      </c>
      <c r="F655" s="102">
        <v>7</v>
      </c>
      <c r="G655" s="208">
        <f>E655/(C655*H655/30)</f>
        <v>7.4999999999999997E-2</v>
      </c>
      <c r="H655" s="102">
        <v>15</v>
      </c>
      <c r="I655" s="103">
        <f t="shared" si="46"/>
        <v>5250</v>
      </c>
      <c r="J655" s="103">
        <f t="shared" si="47"/>
        <v>3499.9999999999995</v>
      </c>
    </row>
    <row r="656" spans="1:10" s="99" customFormat="1">
      <c r="A656" s="111"/>
      <c r="B656" s="111"/>
      <c r="C656" s="103">
        <v>10000</v>
      </c>
      <c r="D656" s="104" t="s">
        <v>676</v>
      </c>
      <c r="E656" s="105">
        <v>1150</v>
      </c>
      <c r="F656" s="102">
        <v>2</v>
      </c>
      <c r="G656" s="208">
        <v>0.06</v>
      </c>
      <c r="H656" s="102" t="s">
        <v>664</v>
      </c>
      <c r="I656" s="103">
        <f t="shared" ref="I656:I707" si="49">IF(H656="分期",C656*G656*2.5*F656/10,C656*G656*H656*F656/30)</f>
        <v>300</v>
      </c>
      <c r="J656" s="103">
        <f t="shared" ref="J656:J707" si="50">IF(H656="分期",C656*(G656-0.025)*2.5*F656/10,C656*(G656-0.025)*H656*F656/30)</f>
        <v>174.99999999999997</v>
      </c>
    </row>
    <row r="657" spans="1:10" s="99" customFormat="1">
      <c r="A657" s="111"/>
      <c r="B657" s="111"/>
      <c r="C657" s="103">
        <v>10000</v>
      </c>
      <c r="D657" s="104" t="s">
        <v>3395</v>
      </c>
      <c r="E657" s="105">
        <v>1200</v>
      </c>
      <c r="F657" s="102">
        <v>10</v>
      </c>
      <c r="G657" s="208">
        <v>0.06</v>
      </c>
      <c r="H657" s="102" t="s">
        <v>664</v>
      </c>
      <c r="I657" s="103">
        <f t="shared" si="49"/>
        <v>1500</v>
      </c>
      <c r="J657" s="103">
        <f t="shared" si="50"/>
        <v>874.99999999999977</v>
      </c>
    </row>
    <row r="658" spans="1:10" s="99" customFormat="1">
      <c r="A658" s="111"/>
      <c r="B658" s="111"/>
      <c r="C658" s="103">
        <v>10000</v>
      </c>
      <c r="D658" s="104" t="s">
        <v>684</v>
      </c>
      <c r="E658" s="105">
        <v>1150</v>
      </c>
      <c r="F658" s="102">
        <v>10</v>
      </c>
      <c r="G658" s="208">
        <v>0.06</v>
      </c>
      <c r="H658" s="102" t="s">
        <v>664</v>
      </c>
      <c r="I658" s="103">
        <f t="shared" si="49"/>
        <v>1500</v>
      </c>
      <c r="J658" s="103">
        <f t="shared" si="50"/>
        <v>874.99999999999977</v>
      </c>
    </row>
    <row r="659" spans="1:10" s="99" customFormat="1">
      <c r="A659" s="111">
        <v>97</v>
      </c>
      <c r="B659" s="111" t="s">
        <v>2617</v>
      </c>
      <c r="C659" s="103">
        <v>30000</v>
      </c>
      <c r="D659" s="104" t="s">
        <v>3395</v>
      </c>
      <c r="E659" s="105">
        <v>1125</v>
      </c>
      <c r="F659" s="102">
        <v>45</v>
      </c>
      <c r="G659" s="208">
        <v>7.4999999999999997E-2</v>
      </c>
      <c r="H659" s="102">
        <v>15</v>
      </c>
      <c r="I659" s="103">
        <f t="shared" si="49"/>
        <v>50625</v>
      </c>
      <c r="J659" s="103">
        <f t="shared" si="50"/>
        <v>33749.999999999993</v>
      </c>
    </row>
    <row r="660" spans="1:10" s="99" customFormat="1">
      <c r="A660" s="111"/>
      <c r="B660" s="111"/>
      <c r="C660" s="103">
        <v>20000</v>
      </c>
      <c r="D660" s="104" t="s">
        <v>3395</v>
      </c>
      <c r="E660" s="105">
        <v>2400</v>
      </c>
      <c r="F660" s="102">
        <v>10</v>
      </c>
      <c r="G660" s="208">
        <v>0.06</v>
      </c>
      <c r="H660" s="102" t="s">
        <v>664</v>
      </c>
      <c r="I660" s="103">
        <f t="shared" si="49"/>
        <v>3000</v>
      </c>
      <c r="J660" s="103">
        <f t="shared" si="50"/>
        <v>1749.9999999999995</v>
      </c>
    </row>
    <row r="661" spans="1:10" s="99" customFormat="1">
      <c r="A661" s="111"/>
      <c r="B661" s="111"/>
      <c r="C661" s="103">
        <v>20000</v>
      </c>
      <c r="D661" s="104" t="s">
        <v>414</v>
      </c>
      <c r="E661" s="105">
        <v>2300</v>
      </c>
      <c r="F661" s="102">
        <v>10</v>
      </c>
      <c r="G661" s="208">
        <v>0.06</v>
      </c>
      <c r="H661" s="102" t="s">
        <v>664</v>
      </c>
      <c r="I661" s="103">
        <f t="shared" si="49"/>
        <v>3000</v>
      </c>
      <c r="J661" s="103">
        <f t="shared" si="50"/>
        <v>1749.9999999999995</v>
      </c>
    </row>
    <row r="662" spans="1:10" s="99" customFormat="1">
      <c r="A662" s="111"/>
      <c r="B662" s="111"/>
      <c r="C662" s="103">
        <v>20000</v>
      </c>
      <c r="D662" s="104" t="s">
        <v>682</v>
      </c>
      <c r="E662" s="105">
        <v>750</v>
      </c>
      <c r="F662" s="102">
        <v>41</v>
      </c>
      <c r="G662" s="208">
        <f>E662/(C662*H662/30)</f>
        <v>7.4999999999999997E-2</v>
      </c>
      <c r="H662" s="102">
        <v>15</v>
      </c>
      <c r="I662" s="103">
        <f t="shared" si="49"/>
        <v>30750</v>
      </c>
      <c r="J662" s="103">
        <f t="shared" si="50"/>
        <v>20499.999999999996</v>
      </c>
    </row>
    <row r="663" spans="1:10" s="99" customFormat="1">
      <c r="A663" s="111"/>
      <c r="B663" s="111"/>
      <c r="C663" s="103">
        <v>20000</v>
      </c>
      <c r="D663" s="104" t="s">
        <v>416</v>
      </c>
      <c r="E663" s="105">
        <v>2300</v>
      </c>
      <c r="F663" s="102">
        <v>10</v>
      </c>
      <c r="G663" s="208">
        <v>0.06</v>
      </c>
      <c r="H663" s="102" t="s">
        <v>664</v>
      </c>
      <c r="I663" s="103">
        <f t="shared" si="49"/>
        <v>3000</v>
      </c>
      <c r="J663" s="103">
        <f t="shared" si="50"/>
        <v>1749.9999999999995</v>
      </c>
    </row>
    <row r="664" spans="1:10" s="99" customFormat="1">
      <c r="A664" s="111"/>
      <c r="B664" s="111"/>
      <c r="C664" s="103">
        <v>20000</v>
      </c>
      <c r="D664" s="104" t="s">
        <v>246</v>
      </c>
      <c r="E664" s="105">
        <v>2300</v>
      </c>
      <c r="F664" s="102">
        <v>10</v>
      </c>
      <c r="G664" s="208">
        <v>0.06</v>
      </c>
      <c r="H664" s="102" t="s">
        <v>664</v>
      </c>
      <c r="I664" s="103">
        <f t="shared" si="49"/>
        <v>3000</v>
      </c>
      <c r="J664" s="103">
        <f t="shared" si="50"/>
        <v>1749.9999999999995</v>
      </c>
    </row>
    <row r="665" spans="1:10" s="99" customFormat="1">
      <c r="A665" s="111"/>
      <c r="B665" s="111"/>
      <c r="C665" s="103">
        <v>20000</v>
      </c>
      <c r="D665" s="104" t="s">
        <v>3175</v>
      </c>
      <c r="E665" s="105">
        <v>2300</v>
      </c>
      <c r="F665" s="102">
        <v>10</v>
      </c>
      <c r="G665" s="208">
        <v>0.06</v>
      </c>
      <c r="H665" s="102" t="s">
        <v>664</v>
      </c>
      <c r="I665" s="103">
        <f t="shared" si="49"/>
        <v>3000</v>
      </c>
      <c r="J665" s="103">
        <f t="shared" si="50"/>
        <v>1749.9999999999995</v>
      </c>
    </row>
    <row r="666" spans="1:10" s="99" customFormat="1">
      <c r="A666" s="111"/>
      <c r="B666" s="111"/>
      <c r="C666" s="103">
        <v>20000</v>
      </c>
      <c r="D666" s="104" t="s">
        <v>673</v>
      </c>
      <c r="E666" s="105">
        <v>2300</v>
      </c>
      <c r="F666" s="102">
        <v>10</v>
      </c>
      <c r="G666" s="208">
        <v>0.06</v>
      </c>
      <c r="H666" s="102" t="s">
        <v>664</v>
      </c>
      <c r="I666" s="103">
        <f t="shared" si="49"/>
        <v>3000</v>
      </c>
      <c r="J666" s="103">
        <f t="shared" si="50"/>
        <v>1749.9999999999995</v>
      </c>
    </row>
    <row r="667" spans="1:10" s="99" customFormat="1">
      <c r="A667" s="111"/>
      <c r="B667" s="111"/>
      <c r="C667" s="103">
        <v>20000</v>
      </c>
      <c r="D667" s="104" t="s">
        <v>1530</v>
      </c>
      <c r="E667" s="105">
        <v>2300</v>
      </c>
      <c r="F667" s="102">
        <v>10</v>
      </c>
      <c r="G667" s="208">
        <v>0.06</v>
      </c>
      <c r="H667" s="102" t="s">
        <v>664</v>
      </c>
      <c r="I667" s="103">
        <f t="shared" si="49"/>
        <v>3000</v>
      </c>
      <c r="J667" s="103">
        <f t="shared" si="50"/>
        <v>1749.9999999999995</v>
      </c>
    </row>
    <row r="668" spans="1:10" s="99" customFormat="1">
      <c r="A668" s="111"/>
      <c r="B668" s="111"/>
      <c r="C668" s="103">
        <v>20000</v>
      </c>
      <c r="D668" s="104" t="s">
        <v>983</v>
      </c>
      <c r="E668" s="105">
        <v>2300</v>
      </c>
      <c r="F668" s="102">
        <v>10</v>
      </c>
      <c r="G668" s="208">
        <v>0.06</v>
      </c>
      <c r="H668" s="102" t="s">
        <v>664</v>
      </c>
      <c r="I668" s="103">
        <f t="shared" si="49"/>
        <v>3000</v>
      </c>
      <c r="J668" s="103">
        <f t="shared" si="50"/>
        <v>1749.9999999999995</v>
      </c>
    </row>
    <row r="669" spans="1:10" s="99" customFormat="1">
      <c r="A669" s="111"/>
      <c r="B669" s="111"/>
      <c r="C669" s="103">
        <v>20000</v>
      </c>
      <c r="D669" s="104" t="s">
        <v>648</v>
      </c>
      <c r="E669" s="105">
        <v>2300</v>
      </c>
      <c r="F669" s="102">
        <v>7</v>
      </c>
      <c r="G669" s="208">
        <v>0.06</v>
      </c>
      <c r="H669" s="102" t="s">
        <v>664</v>
      </c>
      <c r="I669" s="103">
        <f t="shared" si="49"/>
        <v>2100</v>
      </c>
      <c r="J669" s="103">
        <f t="shared" si="50"/>
        <v>1224.9999999999998</v>
      </c>
    </row>
    <row r="670" spans="1:10" s="99" customFormat="1">
      <c r="A670" s="111"/>
      <c r="B670" s="111"/>
      <c r="C670" s="103">
        <v>20000</v>
      </c>
      <c r="D670" s="112" t="s">
        <v>85</v>
      </c>
      <c r="E670" s="105">
        <v>2300</v>
      </c>
      <c r="F670" s="102">
        <v>10</v>
      </c>
      <c r="G670" s="208">
        <v>0.06</v>
      </c>
      <c r="H670" s="102" t="s">
        <v>1917</v>
      </c>
      <c r="I670" s="103">
        <f t="shared" si="49"/>
        <v>3000</v>
      </c>
      <c r="J670" s="103">
        <f t="shared" si="50"/>
        <v>1749.9999999999995</v>
      </c>
    </row>
    <row r="671" spans="1:10" s="99" customFormat="1">
      <c r="A671" s="111"/>
      <c r="B671" s="111"/>
      <c r="C671" s="103">
        <v>20000</v>
      </c>
      <c r="D671" s="104" t="s">
        <v>3151</v>
      </c>
      <c r="E671" s="105">
        <v>2300</v>
      </c>
      <c r="F671" s="102">
        <v>10</v>
      </c>
      <c r="G671" s="208">
        <v>0.06</v>
      </c>
      <c r="H671" s="102" t="s">
        <v>664</v>
      </c>
      <c r="I671" s="103">
        <f t="shared" si="49"/>
        <v>3000</v>
      </c>
      <c r="J671" s="103">
        <f t="shared" si="50"/>
        <v>1749.9999999999995</v>
      </c>
    </row>
    <row r="672" spans="1:10" s="99" customFormat="1">
      <c r="A672" s="111"/>
      <c r="B672" s="111"/>
      <c r="C672" s="103">
        <v>20000</v>
      </c>
      <c r="D672" s="104" t="s">
        <v>3149</v>
      </c>
      <c r="E672" s="105">
        <v>2300</v>
      </c>
      <c r="F672" s="102">
        <v>10</v>
      </c>
      <c r="G672" s="208">
        <v>0.06</v>
      </c>
      <c r="H672" s="102" t="s">
        <v>664</v>
      </c>
      <c r="I672" s="103">
        <f t="shared" si="49"/>
        <v>3000</v>
      </c>
      <c r="J672" s="103">
        <f t="shared" si="50"/>
        <v>1749.9999999999995</v>
      </c>
    </row>
    <row r="673" spans="1:10" s="99" customFormat="1">
      <c r="A673" s="111"/>
      <c r="B673" s="111"/>
      <c r="C673" s="103">
        <v>20000</v>
      </c>
      <c r="D673" s="112" t="s">
        <v>86</v>
      </c>
      <c r="E673" s="105">
        <v>2300</v>
      </c>
      <c r="F673" s="102">
        <v>10</v>
      </c>
      <c r="G673" s="208">
        <v>0.06</v>
      </c>
      <c r="H673" s="102" t="s">
        <v>1917</v>
      </c>
      <c r="I673" s="103">
        <f t="shared" si="49"/>
        <v>3000</v>
      </c>
      <c r="J673" s="103">
        <f t="shared" si="50"/>
        <v>1749.9999999999995</v>
      </c>
    </row>
    <row r="674" spans="1:10" s="99" customFormat="1">
      <c r="A674" s="111"/>
      <c r="B674" s="111"/>
      <c r="C674" s="103">
        <v>20000</v>
      </c>
      <c r="D674" s="104" t="s">
        <v>1715</v>
      </c>
      <c r="E674" s="105">
        <v>2300</v>
      </c>
      <c r="F674" s="102">
        <v>6</v>
      </c>
      <c r="G674" s="208">
        <v>0.06</v>
      </c>
      <c r="H674" s="102" t="s">
        <v>664</v>
      </c>
      <c r="I674" s="103">
        <f t="shared" si="49"/>
        <v>1800</v>
      </c>
      <c r="J674" s="103">
        <f t="shared" si="50"/>
        <v>1049.9999999999998</v>
      </c>
    </row>
    <row r="675" spans="1:10" s="99" customFormat="1">
      <c r="A675" s="111">
        <v>98</v>
      </c>
      <c r="B675" s="111" t="s">
        <v>2618</v>
      </c>
      <c r="C675" s="103">
        <v>30000</v>
      </c>
      <c r="D675" s="104" t="s">
        <v>3402</v>
      </c>
      <c r="E675" s="105">
        <v>1125</v>
      </c>
      <c r="F675" s="102">
        <v>27</v>
      </c>
      <c r="G675" s="208">
        <f>E675/(C675*H675/30)</f>
        <v>7.4999999999999997E-2</v>
      </c>
      <c r="H675" s="102">
        <v>15</v>
      </c>
      <c r="I675" s="103">
        <f t="shared" si="49"/>
        <v>30375</v>
      </c>
      <c r="J675" s="103">
        <f t="shared" si="50"/>
        <v>20249.999999999996</v>
      </c>
    </row>
    <row r="676" spans="1:10" s="99" customFormat="1">
      <c r="A676" s="111"/>
      <c r="B676" s="111"/>
      <c r="C676" s="103">
        <v>20000</v>
      </c>
      <c r="D676" s="104" t="s">
        <v>1990</v>
      </c>
      <c r="E676" s="105">
        <v>750</v>
      </c>
      <c r="F676" s="102">
        <v>14</v>
      </c>
      <c r="G676" s="208">
        <f>E676/(C676*H676/30)</f>
        <v>7.4999999999999997E-2</v>
      </c>
      <c r="H676" s="102">
        <v>15</v>
      </c>
      <c r="I676" s="103">
        <f t="shared" si="49"/>
        <v>10500</v>
      </c>
      <c r="J676" s="103">
        <f t="shared" si="50"/>
        <v>6999.9999999999991</v>
      </c>
    </row>
    <row r="677" spans="1:10" s="99" customFormat="1">
      <c r="A677" s="111"/>
      <c r="B677" s="111"/>
      <c r="C677" s="103">
        <v>20000</v>
      </c>
      <c r="D677" s="104" t="s">
        <v>654</v>
      </c>
      <c r="E677" s="105">
        <v>2400</v>
      </c>
      <c r="F677" s="102">
        <v>10</v>
      </c>
      <c r="G677" s="208">
        <v>0.06</v>
      </c>
      <c r="H677" s="102" t="s">
        <v>664</v>
      </c>
      <c r="I677" s="103">
        <f t="shared" si="49"/>
        <v>3000</v>
      </c>
      <c r="J677" s="103">
        <f t="shared" si="50"/>
        <v>1749.9999999999995</v>
      </c>
    </row>
    <row r="678" spans="1:10" s="99" customFormat="1">
      <c r="A678" s="111"/>
      <c r="B678" s="111"/>
      <c r="C678" s="103">
        <v>20000</v>
      </c>
      <c r="D678" s="104" t="s">
        <v>2627</v>
      </c>
      <c r="E678" s="105">
        <v>750</v>
      </c>
      <c r="F678" s="102">
        <v>12</v>
      </c>
      <c r="G678" s="208">
        <f>E678/(C678*H678/30)</f>
        <v>7.4999999999999997E-2</v>
      </c>
      <c r="H678" s="102">
        <v>15</v>
      </c>
      <c r="I678" s="103">
        <f t="shared" si="49"/>
        <v>9000</v>
      </c>
      <c r="J678" s="103">
        <f t="shared" si="50"/>
        <v>5999.9999999999991</v>
      </c>
    </row>
    <row r="679" spans="1:10" s="99" customFormat="1">
      <c r="A679" s="111"/>
      <c r="B679" s="111"/>
      <c r="C679" s="103">
        <v>30000</v>
      </c>
      <c r="D679" s="104" t="s">
        <v>684</v>
      </c>
      <c r="E679" s="105">
        <v>1125</v>
      </c>
      <c r="F679" s="102">
        <v>24</v>
      </c>
      <c r="G679" s="208">
        <f>E679/(C679*H679/30)</f>
        <v>7.4999999999999997E-2</v>
      </c>
      <c r="H679" s="102">
        <v>15</v>
      </c>
      <c r="I679" s="103">
        <f t="shared" si="49"/>
        <v>27000</v>
      </c>
      <c r="J679" s="103">
        <f t="shared" si="50"/>
        <v>17999.999999999996</v>
      </c>
    </row>
    <row r="680" spans="1:10" s="99" customFormat="1">
      <c r="A680" s="111"/>
      <c r="B680" s="111"/>
      <c r="C680" s="103">
        <v>20000</v>
      </c>
      <c r="D680" s="104" t="s">
        <v>29</v>
      </c>
      <c r="E680" s="105">
        <v>750</v>
      </c>
      <c r="F680" s="102">
        <v>2</v>
      </c>
      <c r="G680" s="208">
        <v>7.4999999999999997E-2</v>
      </c>
      <c r="H680" s="102">
        <v>15</v>
      </c>
      <c r="I680" s="103">
        <f t="shared" si="49"/>
        <v>1500</v>
      </c>
      <c r="J680" s="103">
        <f t="shared" si="50"/>
        <v>999.99999999999989</v>
      </c>
    </row>
    <row r="681" spans="1:10" s="99" customFormat="1">
      <c r="A681" s="111"/>
      <c r="B681" s="111"/>
      <c r="C681" s="103">
        <v>30000</v>
      </c>
      <c r="D681" s="104" t="s">
        <v>654</v>
      </c>
      <c r="E681" s="105">
        <v>1125</v>
      </c>
      <c r="F681" s="102">
        <v>25</v>
      </c>
      <c r="G681" s="208">
        <f>E681/(C681*H681/30)</f>
        <v>7.4999999999999997E-2</v>
      </c>
      <c r="H681" s="102">
        <v>15</v>
      </c>
      <c r="I681" s="103">
        <f t="shared" si="49"/>
        <v>28125</v>
      </c>
      <c r="J681" s="103">
        <f t="shared" si="50"/>
        <v>18749.999999999996</v>
      </c>
    </row>
    <row r="682" spans="1:10" s="99" customFormat="1">
      <c r="A682" s="111"/>
      <c r="B682" s="111"/>
      <c r="C682" s="103">
        <v>20000</v>
      </c>
      <c r="D682" s="104" t="s">
        <v>649</v>
      </c>
      <c r="E682" s="105">
        <v>2300</v>
      </c>
      <c r="F682" s="102">
        <v>10</v>
      </c>
      <c r="G682" s="208">
        <v>0.06</v>
      </c>
      <c r="H682" s="102" t="s">
        <v>664</v>
      </c>
      <c r="I682" s="103">
        <f t="shared" si="49"/>
        <v>3000</v>
      </c>
      <c r="J682" s="103">
        <f t="shared" si="50"/>
        <v>1749.9999999999995</v>
      </c>
    </row>
    <row r="683" spans="1:10" s="99" customFormat="1">
      <c r="A683" s="111"/>
      <c r="B683" s="111"/>
      <c r="C683" s="103">
        <v>20000</v>
      </c>
      <c r="D683" s="112" t="s">
        <v>87</v>
      </c>
      <c r="E683" s="105">
        <v>2300</v>
      </c>
      <c r="F683" s="102">
        <v>10</v>
      </c>
      <c r="G683" s="208">
        <v>0.06</v>
      </c>
      <c r="H683" s="102" t="s">
        <v>664</v>
      </c>
      <c r="I683" s="103">
        <f t="shared" si="49"/>
        <v>3000</v>
      </c>
      <c r="J683" s="103">
        <f t="shared" si="50"/>
        <v>1749.9999999999995</v>
      </c>
    </row>
    <row r="684" spans="1:10" s="99" customFormat="1">
      <c r="A684" s="111"/>
      <c r="B684" s="111"/>
      <c r="C684" s="103">
        <v>10000</v>
      </c>
      <c r="D684" s="104" t="s">
        <v>3125</v>
      </c>
      <c r="E684" s="105">
        <v>375</v>
      </c>
      <c r="F684" s="102">
        <v>9</v>
      </c>
      <c r="G684" s="208">
        <f>E684/(C684*H684/30)</f>
        <v>7.4999999999999997E-2</v>
      </c>
      <c r="H684" s="102">
        <v>15</v>
      </c>
      <c r="I684" s="103">
        <f t="shared" si="49"/>
        <v>3375</v>
      </c>
      <c r="J684" s="103">
        <f t="shared" si="50"/>
        <v>2249.9999999999995</v>
      </c>
    </row>
    <row r="685" spans="1:10" s="99" customFormat="1">
      <c r="A685" s="111"/>
      <c r="B685" s="111"/>
      <c r="C685" s="103">
        <v>20000</v>
      </c>
      <c r="D685" s="104" t="s">
        <v>1978</v>
      </c>
      <c r="E685" s="105">
        <v>2300</v>
      </c>
      <c r="F685" s="102">
        <v>10</v>
      </c>
      <c r="G685" s="208">
        <v>0.06</v>
      </c>
      <c r="H685" s="102" t="s">
        <v>664</v>
      </c>
      <c r="I685" s="103">
        <f t="shared" si="49"/>
        <v>3000</v>
      </c>
      <c r="J685" s="103">
        <f t="shared" si="50"/>
        <v>1749.9999999999995</v>
      </c>
    </row>
    <row r="686" spans="1:10" s="99" customFormat="1">
      <c r="A686" s="111"/>
      <c r="B686" s="111"/>
      <c r="C686" s="103">
        <v>10000</v>
      </c>
      <c r="D686" s="104" t="s">
        <v>3125</v>
      </c>
      <c r="E686" s="105">
        <v>1150</v>
      </c>
      <c r="F686" s="102">
        <v>10</v>
      </c>
      <c r="G686" s="208">
        <v>0.06</v>
      </c>
      <c r="H686" s="102" t="s">
        <v>664</v>
      </c>
      <c r="I686" s="103">
        <f t="shared" si="49"/>
        <v>1500</v>
      </c>
      <c r="J686" s="103">
        <f t="shared" si="50"/>
        <v>874.99999999999977</v>
      </c>
    </row>
    <row r="687" spans="1:10" s="99" customFormat="1">
      <c r="A687" s="111"/>
      <c r="B687" s="111"/>
      <c r="C687" s="103">
        <v>20000</v>
      </c>
      <c r="D687" s="104" t="s">
        <v>1516</v>
      </c>
      <c r="E687" s="105">
        <v>2300</v>
      </c>
      <c r="F687" s="102">
        <v>10</v>
      </c>
      <c r="G687" s="208">
        <v>0.06</v>
      </c>
      <c r="H687" s="102" t="s">
        <v>664</v>
      </c>
      <c r="I687" s="103">
        <f t="shared" si="49"/>
        <v>3000</v>
      </c>
      <c r="J687" s="103">
        <f t="shared" si="50"/>
        <v>1749.9999999999995</v>
      </c>
    </row>
    <row r="688" spans="1:10" s="99" customFormat="1">
      <c r="A688" s="111"/>
      <c r="B688" s="111"/>
      <c r="C688" s="103">
        <v>10000</v>
      </c>
      <c r="D688" s="104" t="s">
        <v>1669</v>
      </c>
      <c r="E688" s="105">
        <v>1150</v>
      </c>
      <c r="F688" s="102">
        <v>10</v>
      </c>
      <c r="G688" s="208">
        <v>0.06</v>
      </c>
      <c r="H688" s="102" t="s">
        <v>664</v>
      </c>
      <c r="I688" s="103">
        <f t="shared" si="49"/>
        <v>1500</v>
      </c>
      <c r="J688" s="103">
        <f t="shared" si="50"/>
        <v>874.99999999999977</v>
      </c>
    </row>
    <row r="689" spans="1:10" s="99" customFormat="1">
      <c r="A689" s="111"/>
      <c r="B689" s="111"/>
      <c r="C689" s="103">
        <v>20000</v>
      </c>
      <c r="D689" s="104" t="s">
        <v>247</v>
      </c>
      <c r="E689" s="105">
        <v>2300</v>
      </c>
      <c r="F689" s="102">
        <v>10</v>
      </c>
      <c r="G689" s="208">
        <v>0.06</v>
      </c>
      <c r="H689" s="102" t="s">
        <v>664</v>
      </c>
      <c r="I689" s="103">
        <f t="shared" si="49"/>
        <v>3000</v>
      </c>
      <c r="J689" s="103">
        <f t="shared" si="50"/>
        <v>1749.9999999999995</v>
      </c>
    </row>
    <row r="690" spans="1:10" s="99" customFormat="1">
      <c r="A690" s="111"/>
      <c r="B690" s="111"/>
      <c r="C690" s="103">
        <v>20000</v>
      </c>
      <c r="D690" s="104" t="s">
        <v>583</v>
      </c>
      <c r="E690" s="105">
        <v>750</v>
      </c>
      <c r="F690" s="102">
        <v>4</v>
      </c>
      <c r="G690" s="208">
        <f>E690/(C690*H690/30)</f>
        <v>7.4999999999999997E-2</v>
      </c>
      <c r="H690" s="102">
        <v>15</v>
      </c>
      <c r="I690" s="103">
        <f t="shared" si="49"/>
        <v>3000</v>
      </c>
      <c r="J690" s="103">
        <f t="shared" si="50"/>
        <v>1999.9999999999998</v>
      </c>
    </row>
    <row r="691" spans="1:10" s="99" customFormat="1">
      <c r="A691" s="111"/>
      <c r="B691" s="111"/>
      <c r="C691" s="103">
        <v>10000</v>
      </c>
      <c r="D691" s="104" t="s">
        <v>999</v>
      </c>
      <c r="E691" s="105">
        <v>1150</v>
      </c>
      <c r="F691" s="102">
        <v>6</v>
      </c>
      <c r="G691" s="208">
        <v>0.06</v>
      </c>
      <c r="H691" s="102" t="s">
        <v>664</v>
      </c>
      <c r="I691" s="103">
        <f t="shared" si="49"/>
        <v>900</v>
      </c>
      <c r="J691" s="103">
        <f t="shared" si="50"/>
        <v>524.99999999999989</v>
      </c>
    </row>
    <row r="692" spans="1:10" s="99" customFormat="1">
      <c r="A692" s="111"/>
      <c r="B692" s="111"/>
      <c r="C692" s="103">
        <v>20000</v>
      </c>
      <c r="D692" s="104" t="s">
        <v>3183</v>
      </c>
      <c r="E692" s="105">
        <v>2300</v>
      </c>
      <c r="F692" s="102">
        <v>2</v>
      </c>
      <c r="G692" s="208">
        <v>0.06</v>
      </c>
      <c r="H692" s="102" t="s">
        <v>1917</v>
      </c>
      <c r="I692" s="103">
        <f t="shared" si="49"/>
        <v>600</v>
      </c>
      <c r="J692" s="103">
        <f t="shared" si="50"/>
        <v>349.99999999999994</v>
      </c>
    </row>
    <row r="693" spans="1:10" s="99" customFormat="1">
      <c r="A693" s="111"/>
      <c r="B693" s="111"/>
      <c r="C693" s="103">
        <v>10000</v>
      </c>
      <c r="D693" s="104" t="s">
        <v>1686</v>
      </c>
      <c r="E693" s="105">
        <v>1150</v>
      </c>
      <c r="F693" s="102">
        <v>10</v>
      </c>
      <c r="G693" s="208">
        <v>0.06</v>
      </c>
      <c r="H693" s="102" t="s">
        <v>664</v>
      </c>
      <c r="I693" s="103">
        <f t="shared" si="49"/>
        <v>1500</v>
      </c>
      <c r="J693" s="103">
        <f t="shared" si="50"/>
        <v>874.99999999999977</v>
      </c>
    </row>
    <row r="694" spans="1:10" s="99" customFormat="1">
      <c r="A694" s="111"/>
      <c r="B694" s="111"/>
      <c r="C694" s="103">
        <v>20000</v>
      </c>
      <c r="D694" s="104" t="s">
        <v>1686</v>
      </c>
      <c r="E694" s="105">
        <v>750</v>
      </c>
      <c r="F694" s="102">
        <v>13</v>
      </c>
      <c r="G694" s="208">
        <f>E694/(C694*H694/30)</f>
        <v>7.4999999999999997E-2</v>
      </c>
      <c r="H694" s="102">
        <v>15</v>
      </c>
      <c r="I694" s="103">
        <f t="shared" si="49"/>
        <v>9750</v>
      </c>
      <c r="J694" s="103">
        <f t="shared" si="50"/>
        <v>6499.9999999999991</v>
      </c>
    </row>
    <row r="695" spans="1:10" s="99" customFormat="1">
      <c r="A695" s="111"/>
      <c r="B695" s="111"/>
      <c r="C695" s="103">
        <v>30000</v>
      </c>
      <c r="D695" s="104" t="s">
        <v>268</v>
      </c>
      <c r="E695" s="105">
        <v>1125</v>
      </c>
      <c r="F695" s="102">
        <v>12</v>
      </c>
      <c r="G695" s="208">
        <f>E695/(C695*H695/30)</f>
        <v>7.4999999999999997E-2</v>
      </c>
      <c r="H695" s="102">
        <v>15</v>
      </c>
      <c r="I695" s="103">
        <f t="shared" si="49"/>
        <v>13500</v>
      </c>
      <c r="J695" s="103">
        <f t="shared" si="50"/>
        <v>8999.9999999999982</v>
      </c>
    </row>
    <row r="696" spans="1:10" s="99" customFormat="1">
      <c r="A696" s="111"/>
      <c r="B696" s="111"/>
      <c r="C696" s="103">
        <v>30000</v>
      </c>
      <c r="D696" s="104" t="s">
        <v>2341</v>
      </c>
      <c r="E696" s="105">
        <v>1125</v>
      </c>
      <c r="F696" s="102">
        <v>9</v>
      </c>
      <c r="G696" s="208">
        <f>E696/(C696*H696/30)</f>
        <v>7.4999999999999997E-2</v>
      </c>
      <c r="H696" s="102">
        <v>15</v>
      </c>
      <c r="I696" s="103">
        <f t="shared" si="49"/>
        <v>10125</v>
      </c>
      <c r="J696" s="103">
        <f t="shared" si="50"/>
        <v>6749.9999999999991</v>
      </c>
    </row>
    <row r="697" spans="1:10" s="99" customFormat="1">
      <c r="A697" s="111"/>
      <c r="B697" s="111"/>
      <c r="C697" s="103">
        <v>30000</v>
      </c>
      <c r="D697" s="104" t="s">
        <v>1687</v>
      </c>
      <c r="E697" s="105">
        <v>1125</v>
      </c>
      <c r="F697" s="102">
        <v>10</v>
      </c>
      <c r="G697" s="208">
        <f>E697/(C697*H697/30)</f>
        <v>7.4999999999999997E-2</v>
      </c>
      <c r="H697" s="102">
        <v>15</v>
      </c>
      <c r="I697" s="103">
        <f t="shared" si="49"/>
        <v>11250</v>
      </c>
      <c r="J697" s="103">
        <f t="shared" si="50"/>
        <v>7499.9999999999991</v>
      </c>
    </row>
    <row r="698" spans="1:10" s="99" customFormat="1">
      <c r="A698" s="111"/>
      <c r="B698" s="111"/>
      <c r="C698" s="103">
        <v>30000</v>
      </c>
      <c r="D698" s="104" t="s">
        <v>1688</v>
      </c>
      <c r="E698" s="105">
        <v>1125</v>
      </c>
      <c r="F698" s="102">
        <v>9</v>
      </c>
      <c r="G698" s="208">
        <f>E698/(C698*H698/30)</f>
        <v>7.4999999999999997E-2</v>
      </c>
      <c r="H698" s="102">
        <v>15</v>
      </c>
      <c r="I698" s="103">
        <f t="shared" si="49"/>
        <v>10125</v>
      </c>
      <c r="J698" s="103">
        <f t="shared" si="50"/>
        <v>6749.9999999999991</v>
      </c>
    </row>
    <row r="699" spans="1:10" s="99" customFormat="1">
      <c r="A699" s="111"/>
      <c r="B699" s="111"/>
      <c r="C699" s="103">
        <v>10000</v>
      </c>
      <c r="D699" s="104" t="s">
        <v>450</v>
      </c>
      <c r="E699" s="105">
        <v>1150</v>
      </c>
      <c r="F699" s="102">
        <v>10</v>
      </c>
      <c r="G699" s="208">
        <v>0.06</v>
      </c>
      <c r="H699" s="102" t="s">
        <v>1917</v>
      </c>
      <c r="I699" s="103">
        <f t="shared" si="49"/>
        <v>1500</v>
      </c>
      <c r="J699" s="103">
        <f t="shared" si="50"/>
        <v>874.99999999999977</v>
      </c>
    </row>
    <row r="700" spans="1:10" s="99" customFormat="1">
      <c r="A700" s="111"/>
      <c r="B700" s="111"/>
      <c r="C700" s="103">
        <v>10000</v>
      </c>
      <c r="D700" s="104" t="s">
        <v>974</v>
      </c>
      <c r="E700" s="105">
        <v>1150</v>
      </c>
      <c r="F700" s="102">
        <v>10</v>
      </c>
      <c r="G700" s="208">
        <v>0.06</v>
      </c>
      <c r="H700" s="102" t="s">
        <v>664</v>
      </c>
      <c r="I700" s="103">
        <f t="shared" si="49"/>
        <v>1500</v>
      </c>
      <c r="J700" s="103">
        <f t="shared" si="50"/>
        <v>874.99999999999977</v>
      </c>
    </row>
    <row r="701" spans="1:10" s="99" customFormat="1">
      <c r="A701" s="111"/>
      <c r="B701" s="111"/>
      <c r="C701" s="103">
        <v>30000</v>
      </c>
      <c r="D701" s="104" t="s">
        <v>416</v>
      </c>
      <c r="E701" s="105">
        <v>1125</v>
      </c>
      <c r="F701" s="102">
        <v>9</v>
      </c>
      <c r="G701" s="208">
        <f>E701/(C701*H701/30)</f>
        <v>7.4999999999999997E-2</v>
      </c>
      <c r="H701" s="102">
        <v>15</v>
      </c>
      <c r="I701" s="103">
        <f t="shared" si="49"/>
        <v>10125</v>
      </c>
      <c r="J701" s="103">
        <f t="shared" si="50"/>
        <v>6749.9999999999991</v>
      </c>
    </row>
    <row r="702" spans="1:10" s="99" customFormat="1">
      <c r="A702" s="111"/>
      <c r="B702" s="111"/>
      <c r="C702" s="103">
        <v>10000</v>
      </c>
      <c r="D702" s="112" t="s">
        <v>88</v>
      </c>
      <c r="E702" s="105">
        <v>375</v>
      </c>
      <c r="F702" s="102">
        <v>1</v>
      </c>
      <c r="G702" s="208">
        <f>E702/(C702*H702/30)</f>
        <v>7.4999999999999997E-2</v>
      </c>
      <c r="H702" s="102">
        <v>15</v>
      </c>
      <c r="I702" s="103">
        <f t="shared" si="49"/>
        <v>375</v>
      </c>
      <c r="J702" s="103">
        <f t="shared" si="50"/>
        <v>249.99999999999997</v>
      </c>
    </row>
    <row r="703" spans="1:10" s="99" customFormat="1">
      <c r="A703" s="111">
        <v>99</v>
      </c>
      <c r="B703" s="111" t="s">
        <v>1689</v>
      </c>
      <c r="C703" s="103">
        <v>126500</v>
      </c>
      <c r="D703" s="104" t="s">
        <v>1685</v>
      </c>
      <c r="E703" s="105">
        <v>4745</v>
      </c>
      <c r="F703" s="102">
        <v>2</v>
      </c>
      <c r="G703" s="208">
        <f>E703/(C703*H703/30)</f>
        <v>7.5019762845849797E-2</v>
      </c>
      <c r="H703" s="102">
        <v>15</v>
      </c>
      <c r="I703" s="103">
        <f t="shared" si="49"/>
        <v>9490</v>
      </c>
      <c r="J703" s="103">
        <f t="shared" si="50"/>
        <v>6327.4999999999991</v>
      </c>
    </row>
    <row r="704" spans="1:10" s="99" customFormat="1">
      <c r="A704" s="111"/>
      <c r="B704" s="111"/>
      <c r="C704" s="103">
        <v>126500</v>
      </c>
      <c r="D704" s="104" t="s">
        <v>1685</v>
      </c>
      <c r="E704" s="105">
        <v>2100</v>
      </c>
      <c r="F704" s="102">
        <v>1</v>
      </c>
      <c r="G704" s="208">
        <f>E704/(C704*H704/30)</f>
        <v>3.3201581027667987E-2</v>
      </c>
      <c r="H704" s="102">
        <v>15</v>
      </c>
      <c r="I704" s="103">
        <f t="shared" si="49"/>
        <v>2100</v>
      </c>
      <c r="J704" s="103">
        <f t="shared" si="50"/>
        <v>518.75000000000011</v>
      </c>
    </row>
    <row r="705" spans="1:10" s="99" customFormat="1">
      <c r="A705" s="111"/>
      <c r="B705" s="111"/>
      <c r="C705" s="103">
        <v>20000</v>
      </c>
      <c r="D705" s="104" t="s">
        <v>1685</v>
      </c>
      <c r="E705" s="105">
        <v>2400</v>
      </c>
      <c r="F705" s="102">
        <v>10</v>
      </c>
      <c r="G705" s="208">
        <v>0.06</v>
      </c>
      <c r="H705" s="102" t="s">
        <v>664</v>
      </c>
      <c r="I705" s="103">
        <f t="shared" si="49"/>
        <v>3000</v>
      </c>
      <c r="J705" s="103">
        <f t="shared" si="50"/>
        <v>1749.9999999999995</v>
      </c>
    </row>
    <row r="706" spans="1:10" s="99" customFormat="1">
      <c r="A706" s="111">
        <v>100</v>
      </c>
      <c r="B706" s="111" t="s">
        <v>1691</v>
      </c>
      <c r="C706" s="103">
        <v>25000</v>
      </c>
      <c r="D706" s="104" t="s">
        <v>1692</v>
      </c>
      <c r="E706" s="105">
        <v>940</v>
      </c>
      <c r="F706" s="102">
        <v>24</v>
      </c>
      <c r="G706" s="208">
        <f>E706/(C706*H706/30)</f>
        <v>7.5200000000000003E-2</v>
      </c>
      <c r="H706" s="102">
        <v>15</v>
      </c>
      <c r="I706" s="103">
        <f t="shared" si="49"/>
        <v>22560</v>
      </c>
      <c r="J706" s="103">
        <f t="shared" si="50"/>
        <v>15060</v>
      </c>
    </row>
    <row r="707" spans="1:10" s="99" customFormat="1">
      <c r="A707" s="111"/>
      <c r="B707" s="111"/>
      <c r="C707" s="103">
        <v>20000</v>
      </c>
      <c r="D707" s="104" t="s">
        <v>1695</v>
      </c>
      <c r="E707" s="105">
        <v>750</v>
      </c>
      <c r="F707" s="102">
        <v>23</v>
      </c>
      <c r="G707" s="208">
        <f>E707/(C707*H707/30)</f>
        <v>7.4999999999999997E-2</v>
      </c>
      <c r="H707" s="102">
        <v>15</v>
      </c>
      <c r="I707" s="103">
        <f t="shared" si="49"/>
        <v>17250</v>
      </c>
      <c r="J707" s="103">
        <f t="shared" si="50"/>
        <v>11499.999999999998</v>
      </c>
    </row>
    <row r="708" spans="1:10">
      <c r="A708" s="102">
        <v>101</v>
      </c>
      <c r="B708" s="102" t="s">
        <v>865</v>
      </c>
      <c r="C708" s="103">
        <v>10000</v>
      </c>
      <c r="D708" s="104" t="s">
        <v>1519</v>
      </c>
      <c r="E708" s="105">
        <v>375</v>
      </c>
      <c r="F708" s="102">
        <v>6</v>
      </c>
      <c r="G708" s="208">
        <f>E708/(C708*H708/30)</f>
        <v>7.4999999999999997E-2</v>
      </c>
      <c r="H708" s="102">
        <v>15</v>
      </c>
      <c r="I708" s="103">
        <f t="shared" ref="I708:I771" si="51">IF(H708="分期",C708*G708*2.5*F708/10,C708*G708*H708/30*F708)</f>
        <v>2250</v>
      </c>
      <c r="J708" s="103">
        <f t="shared" ref="J708:J771" si="52">IF(H708="分期",C708*(G708-0.025)*2.5*F708/10,C708*(G708-0.025)*H708/30*F708)</f>
        <v>1499.9999999999998</v>
      </c>
    </row>
    <row r="709" spans="1:10">
      <c r="A709" s="102"/>
      <c r="B709" s="102"/>
      <c r="C709" s="103">
        <v>10000</v>
      </c>
      <c r="D709" s="104" t="s">
        <v>1519</v>
      </c>
      <c r="E709" s="113">
        <v>1200</v>
      </c>
      <c r="F709" s="102">
        <v>10</v>
      </c>
      <c r="G709" s="208">
        <v>0.06</v>
      </c>
      <c r="H709" s="102" t="s">
        <v>664</v>
      </c>
      <c r="I709" s="103">
        <f t="shared" si="51"/>
        <v>1500</v>
      </c>
      <c r="J709" s="103">
        <f t="shared" si="52"/>
        <v>874.99999999999977</v>
      </c>
    </row>
    <row r="710" spans="1:10">
      <c r="A710" s="102"/>
      <c r="B710" s="102"/>
      <c r="C710" s="103">
        <v>10000</v>
      </c>
      <c r="D710" s="104" t="s">
        <v>1002</v>
      </c>
      <c r="E710" s="113">
        <v>1150</v>
      </c>
      <c r="F710" s="102">
        <v>6</v>
      </c>
      <c r="G710" s="208">
        <v>0.06</v>
      </c>
      <c r="H710" s="102" t="s">
        <v>664</v>
      </c>
      <c r="I710" s="103">
        <f t="shared" si="51"/>
        <v>900</v>
      </c>
      <c r="J710" s="103">
        <f t="shared" si="52"/>
        <v>524.99999999999989</v>
      </c>
    </row>
    <row r="711" spans="1:10">
      <c r="A711" s="102"/>
      <c r="B711" s="102"/>
      <c r="C711" s="103">
        <v>10000</v>
      </c>
      <c r="D711" s="104" t="s">
        <v>491</v>
      </c>
      <c r="E711" s="126">
        <v>375</v>
      </c>
      <c r="F711" s="102">
        <v>2</v>
      </c>
      <c r="G711" s="208">
        <f>E711/(C711*H711/30)</f>
        <v>7.4999999999999997E-2</v>
      </c>
      <c r="H711" s="102">
        <v>15</v>
      </c>
      <c r="I711" s="103">
        <f t="shared" si="51"/>
        <v>750</v>
      </c>
      <c r="J711" s="103">
        <f t="shared" si="52"/>
        <v>499.99999999999994</v>
      </c>
    </row>
    <row r="712" spans="1:10">
      <c r="A712" s="102">
        <v>103</v>
      </c>
      <c r="B712" s="102" t="s">
        <v>866</v>
      </c>
      <c r="C712" s="103">
        <v>10000</v>
      </c>
      <c r="D712" s="104" t="s">
        <v>3182</v>
      </c>
      <c r="E712" s="113">
        <v>1200</v>
      </c>
      <c r="F712" s="102">
        <v>10</v>
      </c>
      <c r="G712" s="208">
        <v>0.06</v>
      </c>
      <c r="H712" s="102" t="s">
        <v>664</v>
      </c>
      <c r="I712" s="103">
        <f t="shared" si="51"/>
        <v>1500</v>
      </c>
      <c r="J712" s="103">
        <f t="shared" si="52"/>
        <v>874.99999999999977</v>
      </c>
    </row>
    <row r="713" spans="1:10">
      <c r="A713" s="102"/>
      <c r="B713" s="102"/>
      <c r="C713" s="103">
        <v>20000</v>
      </c>
      <c r="D713" s="104" t="s">
        <v>3182</v>
      </c>
      <c r="E713" s="113">
        <v>750</v>
      </c>
      <c r="F713" s="102">
        <v>10</v>
      </c>
      <c r="G713" s="208">
        <f>E713/(C713*H713/30)</f>
        <v>7.4999999999999997E-2</v>
      </c>
      <c r="H713" s="102">
        <v>15</v>
      </c>
      <c r="I713" s="103">
        <f t="shared" si="51"/>
        <v>7500</v>
      </c>
      <c r="J713" s="103">
        <f t="shared" si="52"/>
        <v>4999.9999999999991</v>
      </c>
    </row>
    <row r="714" spans="1:10">
      <c r="A714" s="102"/>
      <c r="B714" s="102"/>
      <c r="C714" s="103">
        <v>10000</v>
      </c>
      <c r="D714" s="104" t="s">
        <v>1534</v>
      </c>
      <c r="E714" s="113">
        <v>1150</v>
      </c>
      <c r="F714" s="102">
        <v>10</v>
      </c>
      <c r="G714" s="208">
        <v>0.06</v>
      </c>
      <c r="H714" s="102" t="s">
        <v>664</v>
      </c>
      <c r="I714" s="103">
        <f t="shared" si="51"/>
        <v>1500</v>
      </c>
      <c r="J714" s="103">
        <f t="shared" si="52"/>
        <v>874.99999999999977</v>
      </c>
    </row>
    <row r="715" spans="1:10">
      <c r="A715" s="102"/>
      <c r="B715" s="102"/>
      <c r="C715" s="103">
        <v>30000</v>
      </c>
      <c r="D715" s="112" t="s">
        <v>89</v>
      </c>
      <c r="E715" s="113">
        <v>1125</v>
      </c>
      <c r="F715" s="102">
        <v>2</v>
      </c>
      <c r="G715" s="208">
        <f>E715/(C715*H715/30)</f>
        <v>7.4999999999999997E-2</v>
      </c>
      <c r="H715" s="102">
        <v>15</v>
      </c>
      <c r="I715" s="103">
        <f t="shared" si="51"/>
        <v>2250</v>
      </c>
      <c r="J715" s="103">
        <f t="shared" si="52"/>
        <v>1499.9999999999998</v>
      </c>
    </row>
    <row r="716" spans="1:10">
      <c r="A716" s="102"/>
      <c r="B716" s="102"/>
      <c r="C716" s="103">
        <v>17300</v>
      </c>
      <c r="D716" s="112" t="s">
        <v>90</v>
      </c>
      <c r="E716" s="113">
        <v>650</v>
      </c>
      <c r="F716" s="102">
        <v>1</v>
      </c>
      <c r="G716" s="208">
        <f>E716/(C716*H716/30)</f>
        <v>7.5144508670520235E-2</v>
      </c>
      <c r="H716" s="102">
        <v>15</v>
      </c>
      <c r="I716" s="103">
        <f t="shared" si="51"/>
        <v>650</v>
      </c>
      <c r="J716" s="103">
        <f t="shared" si="52"/>
        <v>433.75</v>
      </c>
    </row>
    <row r="717" spans="1:10">
      <c r="A717" s="102"/>
      <c r="B717" s="102"/>
      <c r="C717" s="103">
        <v>50000</v>
      </c>
      <c r="D717" s="104" t="s">
        <v>3407</v>
      </c>
      <c r="E717" s="113">
        <v>1875</v>
      </c>
      <c r="F717" s="102">
        <v>6</v>
      </c>
      <c r="G717" s="208">
        <f>E717/(C717*H717/30)</f>
        <v>7.4999999999999997E-2</v>
      </c>
      <c r="H717" s="102">
        <v>15</v>
      </c>
      <c r="I717" s="103">
        <f t="shared" si="51"/>
        <v>11250</v>
      </c>
      <c r="J717" s="103">
        <f t="shared" si="52"/>
        <v>7500</v>
      </c>
    </row>
    <row r="718" spans="1:10">
      <c r="A718" s="102"/>
      <c r="B718" s="102"/>
      <c r="C718" s="103">
        <v>40000</v>
      </c>
      <c r="D718" s="104" t="s">
        <v>3407</v>
      </c>
      <c r="E718" s="113">
        <v>1500</v>
      </c>
      <c r="F718" s="102">
        <v>2</v>
      </c>
      <c r="G718" s="208">
        <f>E718/(C718*H718/30)</f>
        <v>7.4999999999999997E-2</v>
      </c>
      <c r="H718" s="102">
        <v>15</v>
      </c>
      <c r="I718" s="103">
        <f t="shared" si="51"/>
        <v>3000</v>
      </c>
      <c r="J718" s="103">
        <f t="shared" si="52"/>
        <v>1999.9999999999998</v>
      </c>
    </row>
    <row r="719" spans="1:10">
      <c r="A719" s="102"/>
      <c r="B719" s="102"/>
      <c r="C719" s="103">
        <v>10000</v>
      </c>
      <c r="D719" s="104" t="s">
        <v>669</v>
      </c>
      <c r="E719" s="113">
        <v>1150</v>
      </c>
      <c r="F719" s="102">
        <v>10</v>
      </c>
      <c r="G719" s="208">
        <v>0.06</v>
      </c>
      <c r="H719" s="102" t="s">
        <v>664</v>
      </c>
      <c r="I719" s="103">
        <f t="shared" si="51"/>
        <v>1500</v>
      </c>
      <c r="J719" s="103">
        <f t="shared" si="52"/>
        <v>874.99999999999977</v>
      </c>
    </row>
    <row r="720" spans="1:10">
      <c r="A720" s="102"/>
      <c r="B720" s="102"/>
      <c r="C720" s="103">
        <v>10000</v>
      </c>
      <c r="D720" s="104" t="s">
        <v>422</v>
      </c>
      <c r="E720" s="113">
        <v>1150</v>
      </c>
      <c r="F720" s="102">
        <v>10</v>
      </c>
      <c r="G720" s="208">
        <v>0.06</v>
      </c>
      <c r="H720" s="102" t="s">
        <v>664</v>
      </c>
      <c r="I720" s="103">
        <f t="shared" si="51"/>
        <v>1500</v>
      </c>
      <c r="J720" s="103">
        <f t="shared" si="52"/>
        <v>874.99999999999977</v>
      </c>
    </row>
    <row r="721" spans="1:10">
      <c r="A721" s="102"/>
      <c r="B721" s="102"/>
      <c r="C721" s="103">
        <v>15000</v>
      </c>
      <c r="D721" s="112" t="s">
        <v>2251</v>
      </c>
      <c r="E721" s="113">
        <v>1725</v>
      </c>
      <c r="F721" s="102">
        <v>3</v>
      </c>
      <c r="G721" s="208">
        <v>0.06</v>
      </c>
      <c r="H721" s="102" t="s">
        <v>664</v>
      </c>
      <c r="I721" s="103">
        <f t="shared" si="51"/>
        <v>675</v>
      </c>
      <c r="J721" s="103">
        <f t="shared" si="52"/>
        <v>393.75</v>
      </c>
    </row>
    <row r="722" spans="1:10">
      <c r="A722" s="102"/>
      <c r="B722" s="102"/>
      <c r="C722" s="103">
        <v>10000</v>
      </c>
      <c r="D722" s="104" t="s">
        <v>1976</v>
      </c>
      <c r="E722" s="113">
        <v>190</v>
      </c>
      <c r="F722" s="102">
        <v>1</v>
      </c>
      <c r="G722" s="208">
        <f>E722/(C722*H722/30)</f>
        <v>3.7999999999999999E-2</v>
      </c>
      <c r="H722" s="102">
        <v>15</v>
      </c>
      <c r="I722" s="103">
        <f t="shared" si="51"/>
        <v>190</v>
      </c>
      <c r="J722" s="103">
        <f t="shared" si="52"/>
        <v>64.999999999999986</v>
      </c>
    </row>
    <row r="723" spans="1:10">
      <c r="A723" s="102"/>
      <c r="B723" s="102"/>
      <c r="C723" s="103">
        <v>5000</v>
      </c>
      <c r="D723" s="104" t="s">
        <v>1521</v>
      </c>
      <c r="E723" s="113">
        <v>600</v>
      </c>
      <c r="F723" s="102">
        <v>1</v>
      </c>
      <c r="G723" s="208">
        <v>0.06</v>
      </c>
      <c r="H723" s="102" t="s">
        <v>664</v>
      </c>
      <c r="I723" s="103">
        <f t="shared" si="51"/>
        <v>75</v>
      </c>
      <c r="J723" s="103">
        <f t="shared" si="52"/>
        <v>43.749999999999993</v>
      </c>
    </row>
    <row r="724" spans="1:10">
      <c r="A724" s="102"/>
      <c r="B724" s="102"/>
      <c r="C724" s="103">
        <v>5000</v>
      </c>
      <c r="D724" s="104" t="s">
        <v>1521</v>
      </c>
      <c r="E724" s="113">
        <v>575</v>
      </c>
      <c r="F724" s="102">
        <v>9</v>
      </c>
      <c r="G724" s="208">
        <v>0.06</v>
      </c>
      <c r="H724" s="102" t="s">
        <v>664</v>
      </c>
      <c r="I724" s="103">
        <f t="shared" si="51"/>
        <v>675</v>
      </c>
      <c r="J724" s="103">
        <f t="shared" si="52"/>
        <v>393.74999999999994</v>
      </c>
    </row>
    <row r="725" spans="1:10">
      <c r="A725" s="102"/>
      <c r="B725" s="102"/>
      <c r="C725" s="103">
        <v>10000</v>
      </c>
      <c r="D725" s="104" t="s">
        <v>673</v>
      </c>
      <c r="E725" s="113">
        <v>1150</v>
      </c>
      <c r="F725" s="102">
        <v>10</v>
      </c>
      <c r="G725" s="208">
        <v>0.06</v>
      </c>
      <c r="H725" s="102" t="s">
        <v>664</v>
      </c>
      <c r="I725" s="103">
        <f t="shared" si="51"/>
        <v>1500</v>
      </c>
      <c r="J725" s="103">
        <f t="shared" si="52"/>
        <v>874.99999999999977</v>
      </c>
    </row>
    <row r="726" spans="1:10">
      <c r="A726" s="102"/>
      <c r="B726" s="102"/>
      <c r="C726" s="103">
        <v>24000</v>
      </c>
      <c r="D726" s="104" t="s">
        <v>1974</v>
      </c>
      <c r="E726" s="113">
        <v>900</v>
      </c>
      <c r="F726" s="102">
        <v>1</v>
      </c>
      <c r="G726" s="208">
        <f>E726/(C726*H726/30)</f>
        <v>7.4999999999999997E-2</v>
      </c>
      <c r="H726" s="102">
        <v>15</v>
      </c>
      <c r="I726" s="103">
        <f t="shared" si="51"/>
        <v>900</v>
      </c>
      <c r="J726" s="103">
        <f t="shared" si="52"/>
        <v>600</v>
      </c>
    </row>
    <row r="727" spans="1:10">
      <c r="A727" s="102"/>
      <c r="B727" s="102"/>
      <c r="C727" s="103">
        <v>30000</v>
      </c>
      <c r="D727" s="104" t="s">
        <v>1977</v>
      </c>
      <c r="E727" s="113">
        <v>1125</v>
      </c>
      <c r="F727" s="102">
        <v>1</v>
      </c>
      <c r="G727" s="208">
        <f>E727/(C727*H727/30)</f>
        <v>7.4999999999999997E-2</v>
      </c>
      <c r="H727" s="102">
        <v>15</v>
      </c>
      <c r="I727" s="103">
        <f t="shared" si="51"/>
        <v>1125</v>
      </c>
      <c r="J727" s="103">
        <f t="shared" si="52"/>
        <v>749.99999999999989</v>
      </c>
    </row>
    <row r="728" spans="1:10">
      <c r="A728" s="102"/>
      <c r="B728" s="102"/>
      <c r="C728" s="103">
        <v>10000</v>
      </c>
      <c r="D728" s="104" t="s">
        <v>987</v>
      </c>
      <c r="E728" s="113">
        <v>375</v>
      </c>
      <c r="F728" s="102">
        <v>4</v>
      </c>
      <c r="G728" s="208">
        <f>E728/(C728*H728/30)</f>
        <v>7.4999999999999997E-2</v>
      </c>
      <c r="H728" s="102">
        <v>15</v>
      </c>
      <c r="I728" s="103">
        <f t="shared" si="51"/>
        <v>1500</v>
      </c>
      <c r="J728" s="103">
        <f t="shared" si="52"/>
        <v>999.99999999999989</v>
      </c>
    </row>
    <row r="729" spans="1:10">
      <c r="A729" s="102"/>
      <c r="B729" s="102"/>
      <c r="C729" s="103">
        <v>5000</v>
      </c>
      <c r="D729" s="112" t="s">
        <v>91</v>
      </c>
      <c r="E729" s="113">
        <v>575</v>
      </c>
      <c r="F729" s="102">
        <v>10</v>
      </c>
      <c r="G729" s="208">
        <v>0.06</v>
      </c>
      <c r="H729" s="102" t="s">
        <v>664</v>
      </c>
      <c r="I729" s="103">
        <f t="shared" si="51"/>
        <v>750</v>
      </c>
      <c r="J729" s="103">
        <f t="shared" si="52"/>
        <v>437.49999999999989</v>
      </c>
    </row>
    <row r="730" spans="1:10">
      <c r="A730" s="102"/>
      <c r="B730" s="102"/>
      <c r="C730" s="103">
        <v>10000</v>
      </c>
      <c r="D730" s="104" t="s">
        <v>1978</v>
      </c>
      <c r="E730" s="113">
        <v>1150</v>
      </c>
      <c r="F730" s="102">
        <v>10</v>
      </c>
      <c r="G730" s="208">
        <v>0.06</v>
      </c>
      <c r="H730" s="102" t="s">
        <v>664</v>
      </c>
      <c r="I730" s="103">
        <f t="shared" si="51"/>
        <v>1500</v>
      </c>
      <c r="J730" s="103">
        <f t="shared" si="52"/>
        <v>874.99999999999977</v>
      </c>
    </row>
    <row r="731" spans="1:10">
      <c r="A731" s="102"/>
      <c r="B731" s="102"/>
      <c r="C731" s="103">
        <v>10000</v>
      </c>
      <c r="D731" s="104" t="s">
        <v>1974</v>
      </c>
      <c r="E731" s="113">
        <v>375</v>
      </c>
      <c r="F731" s="102">
        <v>1</v>
      </c>
      <c r="G731" s="208">
        <f>E731/(C731*H731/30)</f>
        <v>7.4999999999999997E-2</v>
      </c>
      <c r="H731" s="102">
        <v>15</v>
      </c>
      <c r="I731" s="103">
        <f t="shared" si="51"/>
        <v>375</v>
      </c>
      <c r="J731" s="103">
        <f t="shared" si="52"/>
        <v>249.99999999999997</v>
      </c>
    </row>
    <row r="732" spans="1:10">
      <c r="A732" s="102"/>
      <c r="B732" s="102"/>
      <c r="C732" s="103">
        <v>13000</v>
      </c>
      <c r="D732" s="104" t="s">
        <v>1979</v>
      </c>
      <c r="E732" s="113">
        <v>490</v>
      </c>
      <c r="F732" s="102">
        <v>1</v>
      </c>
      <c r="G732" s="208">
        <f>E732/(C732*H732/30)</f>
        <v>7.5384615384615383E-2</v>
      </c>
      <c r="H732" s="102">
        <v>15</v>
      </c>
      <c r="I732" s="103">
        <f t="shared" si="51"/>
        <v>490</v>
      </c>
      <c r="J732" s="103">
        <f t="shared" si="52"/>
        <v>327.5</v>
      </c>
    </row>
    <row r="733" spans="1:10">
      <c r="A733" s="102">
        <v>104</v>
      </c>
      <c r="B733" s="102" t="s">
        <v>1980</v>
      </c>
      <c r="C733" s="103">
        <v>10000</v>
      </c>
      <c r="D733" s="104" t="s">
        <v>3182</v>
      </c>
      <c r="E733" s="113">
        <v>1200</v>
      </c>
      <c r="F733" s="102">
        <v>6</v>
      </c>
      <c r="G733" s="208">
        <v>0.06</v>
      </c>
      <c r="H733" s="102" t="s">
        <v>664</v>
      </c>
      <c r="I733" s="103">
        <f t="shared" si="51"/>
        <v>900</v>
      </c>
      <c r="J733" s="103">
        <f t="shared" si="52"/>
        <v>524.99999999999989</v>
      </c>
    </row>
    <row r="734" spans="1:10">
      <c r="A734" s="102"/>
      <c r="B734" s="102"/>
      <c r="C734" s="103">
        <v>20000</v>
      </c>
      <c r="D734" s="104" t="s">
        <v>3182</v>
      </c>
      <c r="E734" s="113">
        <v>750</v>
      </c>
      <c r="F734" s="102">
        <v>3</v>
      </c>
      <c r="G734" s="208">
        <f>E734/(C734*H734/30)</f>
        <v>7.4999999999999997E-2</v>
      </c>
      <c r="H734" s="102">
        <v>15</v>
      </c>
      <c r="I734" s="103">
        <f t="shared" si="51"/>
        <v>2250</v>
      </c>
      <c r="J734" s="103">
        <f t="shared" si="52"/>
        <v>1499.9999999999998</v>
      </c>
    </row>
    <row r="735" spans="1:10">
      <c r="A735" s="102"/>
      <c r="B735" s="102"/>
      <c r="C735" s="103">
        <v>20000</v>
      </c>
      <c r="D735" s="104" t="s">
        <v>1982</v>
      </c>
      <c r="E735" s="113">
        <v>2300</v>
      </c>
      <c r="F735" s="102">
        <v>10</v>
      </c>
      <c r="G735" s="208">
        <v>0.06</v>
      </c>
      <c r="H735" s="102" t="s">
        <v>1917</v>
      </c>
      <c r="I735" s="103">
        <f>IF(H735="分期",C735*G735*2.5*F735/10,C735*G735*H735/30*F735)</f>
        <v>3000</v>
      </c>
      <c r="J735" s="103">
        <f>IF(H735="分期",C735*(G735-0.025)*2.5*F735/10,C735*(G735-0.025)*H735/30*F735)</f>
        <v>1749.9999999999995</v>
      </c>
    </row>
    <row r="736" spans="1:10">
      <c r="A736" s="102"/>
      <c r="B736" s="102"/>
      <c r="C736" s="103">
        <v>20000</v>
      </c>
      <c r="D736" s="104" t="s">
        <v>1981</v>
      </c>
      <c r="E736" s="113">
        <v>2300</v>
      </c>
      <c r="F736" s="102">
        <v>2</v>
      </c>
      <c r="G736" s="208">
        <v>0.06</v>
      </c>
      <c r="H736" s="102" t="s">
        <v>1917</v>
      </c>
      <c r="I736" s="103">
        <f t="shared" si="51"/>
        <v>600</v>
      </c>
      <c r="J736" s="103">
        <f t="shared" si="52"/>
        <v>349.99999999999994</v>
      </c>
    </row>
    <row r="737" spans="1:10">
      <c r="A737" s="102">
        <v>106</v>
      </c>
      <c r="B737" s="102" t="s">
        <v>1983</v>
      </c>
      <c r="C737" s="103">
        <v>420000</v>
      </c>
      <c r="D737" s="104" t="s">
        <v>1984</v>
      </c>
      <c r="E737" s="113">
        <v>15750</v>
      </c>
      <c r="F737" s="102">
        <v>14</v>
      </c>
      <c r="G737" s="208">
        <f>E737/(C737*H737/30)</f>
        <v>7.4999999999999997E-2</v>
      </c>
      <c r="H737" s="102">
        <v>15</v>
      </c>
      <c r="I737" s="103">
        <f t="shared" si="51"/>
        <v>220500</v>
      </c>
      <c r="J737" s="103">
        <f t="shared" si="52"/>
        <v>147000</v>
      </c>
    </row>
    <row r="738" spans="1:10">
      <c r="A738" s="102"/>
      <c r="B738" s="102"/>
      <c r="C738" s="103">
        <v>300000</v>
      </c>
      <c r="D738" s="104" t="s">
        <v>1986</v>
      </c>
      <c r="E738" s="113">
        <v>11250</v>
      </c>
      <c r="F738" s="102">
        <v>3</v>
      </c>
      <c r="G738" s="208">
        <f>E738/(C738*H738/30)</f>
        <v>7.4999999999999997E-2</v>
      </c>
      <c r="H738" s="102">
        <v>15</v>
      </c>
      <c r="I738" s="103">
        <f t="shared" si="51"/>
        <v>33750</v>
      </c>
      <c r="J738" s="103">
        <f t="shared" si="52"/>
        <v>22499.999999999996</v>
      </c>
    </row>
    <row r="739" spans="1:10">
      <c r="A739" s="102"/>
      <c r="B739" s="102"/>
      <c r="C739" s="103">
        <v>300000</v>
      </c>
      <c r="D739" s="104" t="s">
        <v>1986</v>
      </c>
      <c r="E739" s="113">
        <v>3750</v>
      </c>
      <c r="F739" s="102">
        <v>1</v>
      </c>
      <c r="G739" s="208">
        <f>E739/(C739*H739/30)</f>
        <v>2.5000000000000001E-2</v>
      </c>
      <c r="H739" s="102">
        <v>15</v>
      </c>
      <c r="I739" s="103">
        <f t="shared" si="51"/>
        <v>3750</v>
      </c>
      <c r="J739" s="103">
        <f t="shared" si="52"/>
        <v>0</v>
      </c>
    </row>
    <row r="740" spans="1:10">
      <c r="A740" s="102"/>
      <c r="B740" s="102"/>
      <c r="C740" s="103">
        <v>50000</v>
      </c>
      <c r="D740" s="104" t="s">
        <v>1988</v>
      </c>
      <c r="E740" s="113">
        <v>1875</v>
      </c>
      <c r="F740" s="102">
        <v>2</v>
      </c>
      <c r="G740" s="208">
        <f>E740/(C740*H740/30)</f>
        <v>7.4999999999999997E-2</v>
      </c>
      <c r="H740" s="102">
        <v>15</v>
      </c>
      <c r="I740" s="103">
        <f t="shared" si="51"/>
        <v>3750</v>
      </c>
      <c r="J740" s="103">
        <f t="shared" si="52"/>
        <v>2500</v>
      </c>
    </row>
    <row r="741" spans="1:10">
      <c r="A741" s="102">
        <v>107</v>
      </c>
      <c r="B741" s="102" t="s">
        <v>1989</v>
      </c>
      <c r="C741" s="103">
        <v>20000</v>
      </c>
      <c r="D741" s="104" t="s">
        <v>1990</v>
      </c>
      <c r="E741" s="113">
        <v>750</v>
      </c>
      <c r="F741" s="102">
        <v>5</v>
      </c>
      <c r="G741" s="208">
        <f>E741/(C741*H741/30)</f>
        <v>7.4999999999999997E-2</v>
      </c>
      <c r="H741" s="102">
        <v>15</v>
      </c>
      <c r="I741" s="103">
        <f t="shared" si="51"/>
        <v>3750</v>
      </c>
      <c r="J741" s="103">
        <f t="shared" si="52"/>
        <v>2499.9999999999995</v>
      </c>
    </row>
    <row r="742" spans="1:10">
      <c r="A742" s="102"/>
      <c r="B742" s="102"/>
      <c r="C742" s="103">
        <v>10000</v>
      </c>
      <c r="D742" s="104" t="s">
        <v>1990</v>
      </c>
      <c r="E742" s="113">
        <v>1200</v>
      </c>
      <c r="F742" s="102">
        <v>10</v>
      </c>
      <c r="G742" s="208">
        <v>0.06</v>
      </c>
      <c r="H742" s="102" t="s">
        <v>664</v>
      </c>
      <c r="I742" s="103">
        <f t="shared" si="51"/>
        <v>1500</v>
      </c>
      <c r="J742" s="103">
        <f t="shared" si="52"/>
        <v>874.99999999999977</v>
      </c>
    </row>
    <row r="743" spans="1:10">
      <c r="A743" s="102"/>
      <c r="B743" s="102"/>
      <c r="C743" s="103">
        <v>20000</v>
      </c>
      <c r="D743" s="112" t="s">
        <v>92</v>
      </c>
      <c r="E743" s="113">
        <v>2300</v>
      </c>
      <c r="F743" s="102">
        <v>10</v>
      </c>
      <c r="G743" s="208">
        <v>0.06</v>
      </c>
      <c r="H743" s="102" t="s">
        <v>664</v>
      </c>
      <c r="I743" s="103">
        <f t="shared" si="51"/>
        <v>3000</v>
      </c>
      <c r="J743" s="103">
        <f t="shared" si="52"/>
        <v>1749.9999999999995</v>
      </c>
    </row>
    <row r="744" spans="1:10">
      <c r="A744" s="102">
        <v>108</v>
      </c>
      <c r="B744" s="102" t="s">
        <v>1992</v>
      </c>
      <c r="C744" s="103">
        <v>10000</v>
      </c>
      <c r="D744" s="104" t="s">
        <v>1698</v>
      </c>
      <c r="E744" s="113">
        <v>375</v>
      </c>
      <c r="F744" s="102">
        <v>14</v>
      </c>
      <c r="G744" s="208">
        <f>E744/(C744*H744/30)</f>
        <v>7.4999999999999997E-2</v>
      </c>
      <c r="H744" s="102">
        <v>15</v>
      </c>
      <c r="I744" s="103">
        <f t="shared" si="51"/>
        <v>5250</v>
      </c>
      <c r="J744" s="103">
        <f t="shared" si="52"/>
        <v>3499.9999999999995</v>
      </c>
    </row>
    <row r="745" spans="1:10">
      <c r="A745" s="102"/>
      <c r="B745" s="102"/>
      <c r="C745" s="103">
        <v>10000</v>
      </c>
      <c r="D745" s="104" t="s">
        <v>1698</v>
      </c>
      <c r="E745" s="113">
        <v>1200</v>
      </c>
      <c r="F745" s="102">
        <v>10</v>
      </c>
      <c r="G745" s="208">
        <v>0.06</v>
      </c>
      <c r="H745" s="102" t="s">
        <v>664</v>
      </c>
      <c r="I745" s="103">
        <f t="shared" si="51"/>
        <v>1500</v>
      </c>
      <c r="J745" s="103">
        <f t="shared" si="52"/>
        <v>874.99999999999977</v>
      </c>
    </row>
    <row r="746" spans="1:10">
      <c r="A746" s="102"/>
      <c r="B746" s="102"/>
      <c r="C746" s="103">
        <v>10000</v>
      </c>
      <c r="D746" s="104" t="s">
        <v>479</v>
      </c>
      <c r="E746" s="113">
        <v>1150</v>
      </c>
      <c r="F746" s="102">
        <v>10</v>
      </c>
      <c r="G746" s="208">
        <v>0.06</v>
      </c>
      <c r="H746" s="102" t="s">
        <v>664</v>
      </c>
      <c r="I746" s="103">
        <f t="shared" si="51"/>
        <v>1500</v>
      </c>
      <c r="J746" s="103">
        <f t="shared" si="52"/>
        <v>874.99999999999977</v>
      </c>
    </row>
    <row r="747" spans="1:10">
      <c r="A747" s="102"/>
      <c r="B747" s="102"/>
      <c r="C747" s="103">
        <v>20000</v>
      </c>
      <c r="D747" s="104" t="s">
        <v>441</v>
      </c>
      <c r="E747" s="113">
        <v>750</v>
      </c>
      <c r="F747" s="102">
        <v>15</v>
      </c>
      <c r="G747" s="208">
        <f>E747/(C747*H747/30)</f>
        <v>7.4999999999999997E-2</v>
      </c>
      <c r="H747" s="102">
        <v>15</v>
      </c>
      <c r="I747" s="103">
        <f t="shared" si="51"/>
        <v>11250</v>
      </c>
      <c r="J747" s="103">
        <f t="shared" si="52"/>
        <v>7499.9999999999991</v>
      </c>
    </row>
    <row r="748" spans="1:10">
      <c r="A748" s="102"/>
      <c r="B748" s="102"/>
      <c r="C748" s="103">
        <v>10000</v>
      </c>
      <c r="D748" s="104" t="s">
        <v>1006</v>
      </c>
      <c r="E748" s="113">
        <v>1150</v>
      </c>
      <c r="F748" s="102">
        <v>10</v>
      </c>
      <c r="G748" s="208">
        <v>0.06</v>
      </c>
      <c r="H748" s="102" t="s">
        <v>664</v>
      </c>
      <c r="I748" s="103">
        <f t="shared" si="51"/>
        <v>1500</v>
      </c>
      <c r="J748" s="103">
        <f t="shared" si="52"/>
        <v>874.99999999999977</v>
      </c>
    </row>
    <row r="749" spans="1:10">
      <c r="A749" s="102"/>
      <c r="B749" s="102"/>
      <c r="C749" s="103">
        <v>20000</v>
      </c>
      <c r="D749" s="112" t="s">
        <v>93</v>
      </c>
      <c r="E749" s="113">
        <v>750</v>
      </c>
      <c r="F749" s="102">
        <v>3</v>
      </c>
      <c r="G749" s="208">
        <f>E749/(C749*H749/30)</f>
        <v>7.4999999999999997E-2</v>
      </c>
      <c r="H749" s="102">
        <v>15</v>
      </c>
      <c r="I749" s="103">
        <f t="shared" si="51"/>
        <v>2250</v>
      </c>
      <c r="J749" s="103">
        <f t="shared" si="52"/>
        <v>1499.9999999999998</v>
      </c>
    </row>
    <row r="750" spans="1:10">
      <c r="A750" s="102"/>
      <c r="B750" s="102"/>
      <c r="C750" s="103">
        <v>50000</v>
      </c>
      <c r="D750" s="104" t="s">
        <v>450</v>
      </c>
      <c r="E750" s="113">
        <v>190</v>
      </c>
      <c r="F750" s="102">
        <v>7</v>
      </c>
      <c r="G750" s="208">
        <f>E750/(C750*H750/30)</f>
        <v>7.6E-3</v>
      </c>
      <c r="H750" s="102">
        <v>15</v>
      </c>
      <c r="I750" s="103">
        <f t="shared" si="51"/>
        <v>1330</v>
      </c>
      <c r="J750" s="103">
        <f t="shared" si="52"/>
        <v>-3045.0000000000005</v>
      </c>
    </row>
    <row r="751" spans="1:10">
      <c r="A751" s="102"/>
      <c r="B751" s="102"/>
      <c r="C751" s="103">
        <v>10000</v>
      </c>
      <c r="D751" s="104" t="s">
        <v>1521</v>
      </c>
      <c r="E751" s="113">
        <v>1150</v>
      </c>
      <c r="F751" s="102">
        <v>10</v>
      </c>
      <c r="G751" s="208">
        <v>0.06</v>
      </c>
      <c r="H751" s="102" t="s">
        <v>664</v>
      </c>
      <c r="I751" s="103">
        <f t="shared" si="51"/>
        <v>1500</v>
      </c>
      <c r="J751" s="103">
        <f t="shared" si="52"/>
        <v>874.99999999999977</v>
      </c>
    </row>
    <row r="752" spans="1:10">
      <c r="A752" s="102"/>
      <c r="B752" s="102"/>
      <c r="C752" s="103">
        <v>10000</v>
      </c>
      <c r="D752" s="104" t="s">
        <v>439</v>
      </c>
      <c r="E752" s="113">
        <v>1150</v>
      </c>
      <c r="F752" s="102">
        <v>10</v>
      </c>
      <c r="G752" s="208">
        <v>0.06</v>
      </c>
      <c r="H752" s="102" t="s">
        <v>1917</v>
      </c>
      <c r="I752" s="103">
        <f t="shared" si="51"/>
        <v>1500</v>
      </c>
      <c r="J752" s="103">
        <f t="shared" si="52"/>
        <v>874.99999999999977</v>
      </c>
    </row>
    <row r="753" spans="1:10">
      <c r="A753" s="102"/>
      <c r="B753" s="102"/>
      <c r="C753" s="103">
        <v>10000</v>
      </c>
      <c r="D753" s="104" t="s">
        <v>1974</v>
      </c>
      <c r="E753" s="113">
        <v>1150</v>
      </c>
      <c r="F753" s="102">
        <v>1</v>
      </c>
      <c r="G753" s="208">
        <v>0.06</v>
      </c>
      <c r="H753" s="102" t="s">
        <v>664</v>
      </c>
      <c r="I753" s="103">
        <f t="shared" si="51"/>
        <v>150</v>
      </c>
      <c r="J753" s="103">
        <f t="shared" si="52"/>
        <v>87.499999999999986</v>
      </c>
    </row>
    <row r="754" spans="1:10">
      <c r="A754" s="102">
        <v>109</v>
      </c>
      <c r="B754" s="102" t="s">
        <v>482</v>
      </c>
      <c r="C754" s="103">
        <v>40000</v>
      </c>
      <c r="D754" s="104" t="s">
        <v>1698</v>
      </c>
      <c r="E754" s="113">
        <v>1500</v>
      </c>
      <c r="F754" s="102">
        <v>40</v>
      </c>
      <c r="G754" s="208">
        <f>E754/(C754*H754/30)</f>
        <v>7.4999999999999997E-2</v>
      </c>
      <c r="H754" s="102">
        <v>15</v>
      </c>
      <c r="I754" s="103">
        <f t="shared" si="51"/>
        <v>60000</v>
      </c>
      <c r="J754" s="103">
        <f t="shared" si="52"/>
        <v>39999.999999999993</v>
      </c>
    </row>
    <row r="755" spans="1:10">
      <c r="A755" s="102"/>
      <c r="B755" s="102"/>
      <c r="C755" s="103">
        <v>30000</v>
      </c>
      <c r="D755" s="104" t="s">
        <v>3135</v>
      </c>
      <c r="E755" s="113">
        <v>1125</v>
      </c>
      <c r="F755" s="102">
        <v>18</v>
      </c>
      <c r="G755" s="208">
        <f>E755/(C755*H755/30)</f>
        <v>7.4999999999999997E-2</v>
      </c>
      <c r="H755" s="102">
        <v>15</v>
      </c>
      <c r="I755" s="103">
        <f t="shared" si="51"/>
        <v>20250</v>
      </c>
      <c r="J755" s="103">
        <f t="shared" si="52"/>
        <v>13499.999999999998</v>
      </c>
    </row>
    <row r="756" spans="1:10">
      <c r="A756" s="102"/>
      <c r="B756" s="102"/>
      <c r="C756" s="103">
        <v>80000</v>
      </c>
      <c r="D756" s="104" t="s">
        <v>3122</v>
      </c>
      <c r="E756" s="113">
        <v>3000</v>
      </c>
      <c r="F756" s="102">
        <v>2</v>
      </c>
      <c r="G756" s="208">
        <f>E756/(C756*H756/30)</f>
        <v>7.4999999999999997E-2</v>
      </c>
      <c r="H756" s="102">
        <v>15</v>
      </c>
      <c r="I756" s="103">
        <f t="shared" si="51"/>
        <v>6000</v>
      </c>
      <c r="J756" s="103">
        <f t="shared" si="52"/>
        <v>3999.9999999999995</v>
      </c>
    </row>
    <row r="757" spans="1:10">
      <c r="A757" s="102"/>
      <c r="B757" s="102"/>
      <c r="C757" s="103">
        <v>50000</v>
      </c>
      <c r="D757" s="104" t="s">
        <v>1536</v>
      </c>
      <c r="E757" s="113">
        <v>1875</v>
      </c>
      <c r="F757" s="102">
        <v>11</v>
      </c>
      <c r="G757" s="208">
        <f>E757/(C757*H757/30)</f>
        <v>7.4999999999999997E-2</v>
      </c>
      <c r="H757" s="102">
        <v>15</v>
      </c>
      <c r="I757" s="103">
        <f t="shared" si="51"/>
        <v>20625</v>
      </c>
      <c r="J757" s="103">
        <f t="shared" si="52"/>
        <v>13750</v>
      </c>
    </row>
    <row r="758" spans="1:10">
      <c r="A758" s="102">
        <v>110</v>
      </c>
      <c r="B758" s="102" t="s">
        <v>485</v>
      </c>
      <c r="C758" s="103">
        <v>20000</v>
      </c>
      <c r="D758" s="104" t="s">
        <v>1698</v>
      </c>
      <c r="E758" s="113">
        <v>2400</v>
      </c>
      <c r="F758" s="102">
        <v>10</v>
      </c>
      <c r="G758" s="208">
        <v>0.06</v>
      </c>
      <c r="H758" s="102" t="s">
        <v>664</v>
      </c>
      <c r="I758" s="103">
        <f t="shared" si="51"/>
        <v>3000</v>
      </c>
      <c r="J758" s="103">
        <f t="shared" si="52"/>
        <v>1749.9999999999995</v>
      </c>
    </row>
    <row r="759" spans="1:10">
      <c r="A759" s="102"/>
      <c r="B759" s="102"/>
      <c r="C759" s="103">
        <v>20000</v>
      </c>
      <c r="D759" s="104" t="s">
        <v>1985</v>
      </c>
      <c r="E759" s="113">
        <v>2300</v>
      </c>
      <c r="F759" s="102">
        <v>10</v>
      </c>
      <c r="G759" s="208">
        <v>0.06</v>
      </c>
      <c r="H759" s="102" t="s">
        <v>664</v>
      </c>
      <c r="I759" s="103">
        <f t="shared" si="51"/>
        <v>3000</v>
      </c>
      <c r="J759" s="103">
        <f t="shared" si="52"/>
        <v>1749.9999999999995</v>
      </c>
    </row>
    <row r="760" spans="1:10">
      <c r="A760" s="102"/>
      <c r="B760" s="102"/>
      <c r="C760" s="103">
        <v>20000</v>
      </c>
      <c r="D760" s="104" t="s">
        <v>2531</v>
      </c>
      <c r="E760" s="113">
        <v>2300</v>
      </c>
      <c r="F760" s="102">
        <v>10</v>
      </c>
      <c r="G760" s="208">
        <v>0.06</v>
      </c>
      <c r="H760" s="102" t="s">
        <v>664</v>
      </c>
      <c r="I760" s="103">
        <f t="shared" si="51"/>
        <v>3000</v>
      </c>
      <c r="J760" s="103">
        <f t="shared" si="52"/>
        <v>1749.9999999999995</v>
      </c>
    </row>
    <row r="761" spans="1:10">
      <c r="A761" s="102"/>
      <c r="B761" s="102"/>
      <c r="C761" s="103">
        <v>20000</v>
      </c>
      <c r="D761" s="104" t="s">
        <v>419</v>
      </c>
      <c r="E761" s="113">
        <v>750</v>
      </c>
      <c r="F761" s="102">
        <v>2</v>
      </c>
      <c r="G761" s="208">
        <f>E761/(C761*H761/30)</f>
        <v>7.4999999999999997E-2</v>
      </c>
      <c r="H761" s="102">
        <v>15</v>
      </c>
      <c r="I761" s="103">
        <f t="shared" si="51"/>
        <v>1500</v>
      </c>
      <c r="J761" s="103">
        <f t="shared" si="52"/>
        <v>999.99999999999989</v>
      </c>
    </row>
    <row r="762" spans="1:10">
      <c r="A762" s="102"/>
      <c r="B762" s="102"/>
      <c r="C762" s="103">
        <v>10000</v>
      </c>
      <c r="D762" s="104" t="s">
        <v>486</v>
      </c>
      <c r="E762" s="113">
        <v>375</v>
      </c>
      <c r="F762" s="102">
        <v>8</v>
      </c>
      <c r="G762" s="208">
        <f>E762/(C762*H762/30)</f>
        <v>7.4999999999999997E-2</v>
      </c>
      <c r="H762" s="102">
        <v>15</v>
      </c>
      <c r="I762" s="103">
        <f t="shared" si="51"/>
        <v>3000</v>
      </c>
      <c r="J762" s="103">
        <f t="shared" si="52"/>
        <v>1999.9999999999998</v>
      </c>
    </row>
    <row r="763" spans="1:10">
      <c r="A763" s="102"/>
      <c r="B763" s="102"/>
      <c r="C763" s="103">
        <v>10000</v>
      </c>
      <c r="D763" s="104" t="s">
        <v>419</v>
      </c>
      <c r="E763" s="113">
        <v>1150</v>
      </c>
      <c r="F763" s="102">
        <v>4</v>
      </c>
      <c r="G763" s="208">
        <v>0.06</v>
      </c>
      <c r="H763" s="102" t="s">
        <v>664</v>
      </c>
      <c r="I763" s="103">
        <f t="shared" si="51"/>
        <v>600</v>
      </c>
      <c r="J763" s="103">
        <f t="shared" si="52"/>
        <v>349.99999999999994</v>
      </c>
    </row>
    <row r="764" spans="1:10">
      <c r="A764" s="102"/>
      <c r="B764" s="102"/>
      <c r="C764" s="103">
        <v>20000</v>
      </c>
      <c r="D764" s="112" t="s">
        <v>488</v>
      </c>
      <c r="E764" s="113">
        <v>2300</v>
      </c>
      <c r="F764" s="102">
        <v>10</v>
      </c>
      <c r="G764" s="208">
        <v>0.06</v>
      </c>
      <c r="H764" s="102" t="s">
        <v>664</v>
      </c>
      <c r="I764" s="103">
        <f t="shared" si="51"/>
        <v>3000</v>
      </c>
      <c r="J764" s="103">
        <f t="shared" si="52"/>
        <v>1749.9999999999995</v>
      </c>
    </row>
    <row r="765" spans="1:10">
      <c r="A765" s="102"/>
      <c r="B765" s="102"/>
      <c r="C765" s="103">
        <v>20000</v>
      </c>
      <c r="D765" s="104" t="s">
        <v>980</v>
      </c>
      <c r="E765" s="113">
        <v>2300</v>
      </c>
      <c r="F765" s="102">
        <v>5</v>
      </c>
      <c r="G765" s="208">
        <v>0.06</v>
      </c>
      <c r="H765" s="102" t="s">
        <v>1917</v>
      </c>
      <c r="I765" s="103">
        <f t="shared" si="51"/>
        <v>1500</v>
      </c>
      <c r="J765" s="103">
        <f t="shared" si="52"/>
        <v>874.99999999999977</v>
      </c>
    </row>
    <row r="766" spans="1:10">
      <c r="A766" s="102"/>
      <c r="B766" s="102"/>
      <c r="C766" s="103">
        <v>20000</v>
      </c>
      <c r="D766" s="104" t="s">
        <v>3415</v>
      </c>
      <c r="E766" s="113">
        <v>2300</v>
      </c>
      <c r="F766" s="102">
        <v>10</v>
      </c>
      <c r="G766" s="208">
        <v>0.06</v>
      </c>
      <c r="H766" s="102" t="s">
        <v>664</v>
      </c>
      <c r="I766" s="103">
        <f t="shared" si="51"/>
        <v>3000</v>
      </c>
      <c r="J766" s="103">
        <f t="shared" si="52"/>
        <v>1749.9999999999995</v>
      </c>
    </row>
    <row r="767" spans="1:10">
      <c r="A767" s="102"/>
      <c r="B767" s="102"/>
      <c r="C767" s="103">
        <v>20000</v>
      </c>
      <c r="D767" s="104" t="s">
        <v>2323</v>
      </c>
      <c r="E767" s="113">
        <v>750</v>
      </c>
      <c r="F767" s="102">
        <v>7</v>
      </c>
      <c r="G767" s="208">
        <f>E767/(C767*H767/30)</f>
        <v>7.4999999999999997E-2</v>
      </c>
      <c r="H767" s="102">
        <v>15</v>
      </c>
      <c r="I767" s="103">
        <f t="shared" si="51"/>
        <v>5250</v>
      </c>
      <c r="J767" s="103">
        <f t="shared" si="52"/>
        <v>3499.9999999999995</v>
      </c>
    </row>
    <row r="768" spans="1:10">
      <c r="A768" s="102"/>
      <c r="B768" s="102"/>
      <c r="C768" s="103">
        <v>10000</v>
      </c>
      <c r="D768" s="112" t="s">
        <v>94</v>
      </c>
      <c r="E768" s="113">
        <v>375</v>
      </c>
      <c r="F768" s="102">
        <v>1</v>
      </c>
      <c r="G768" s="208">
        <f>E768/(C768*H768/30)</f>
        <v>7.4999999999999997E-2</v>
      </c>
      <c r="H768" s="102">
        <v>15</v>
      </c>
      <c r="I768" s="103">
        <f t="shared" si="51"/>
        <v>375</v>
      </c>
      <c r="J768" s="103">
        <f t="shared" si="52"/>
        <v>249.99999999999997</v>
      </c>
    </row>
    <row r="769" spans="1:10">
      <c r="A769" s="102"/>
      <c r="B769" s="102"/>
      <c r="C769" s="103">
        <v>10000</v>
      </c>
      <c r="D769" s="104" t="s">
        <v>2323</v>
      </c>
      <c r="E769" s="113">
        <v>1150</v>
      </c>
      <c r="F769" s="102">
        <v>10</v>
      </c>
      <c r="G769" s="208">
        <v>0.06</v>
      </c>
      <c r="H769" s="102" t="s">
        <v>664</v>
      </c>
      <c r="I769" s="103">
        <f t="shared" si="51"/>
        <v>1500</v>
      </c>
      <c r="J769" s="103">
        <f t="shared" si="52"/>
        <v>874.99999999999977</v>
      </c>
    </row>
    <row r="770" spans="1:10">
      <c r="A770" s="102"/>
      <c r="B770" s="102"/>
      <c r="C770" s="103">
        <v>10000</v>
      </c>
      <c r="D770" s="104" t="s">
        <v>419</v>
      </c>
      <c r="E770" s="113">
        <v>1150</v>
      </c>
      <c r="F770" s="102">
        <v>10</v>
      </c>
      <c r="G770" s="208">
        <v>0.06</v>
      </c>
      <c r="H770" s="102" t="s">
        <v>1917</v>
      </c>
      <c r="I770" s="103">
        <f t="shared" si="51"/>
        <v>1500</v>
      </c>
      <c r="J770" s="103">
        <f t="shared" si="52"/>
        <v>874.99999999999977</v>
      </c>
    </row>
    <row r="771" spans="1:10">
      <c r="A771" s="102"/>
      <c r="B771" s="102"/>
      <c r="C771" s="103">
        <v>10000</v>
      </c>
      <c r="D771" s="104" t="s">
        <v>487</v>
      </c>
      <c r="E771" s="113">
        <v>1150</v>
      </c>
      <c r="F771" s="102">
        <v>10</v>
      </c>
      <c r="G771" s="208">
        <v>0.06</v>
      </c>
      <c r="H771" s="102" t="s">
        <v>664</v>
      </c>
      <c r="I771" s="103">
        <f t="shared" si="51"/>
        <v>1500</v>
      </c>
      <c r="J771" s="103">
        <f t="shared" si="52"/>
        <v>874.99999999999977</v>
      </c>
    </row>
    <row r="772" spans="1:10">
      <c r="A772" s="102"/>
      <c r="B772" s="102"/>
      <c r="C772" s="103">
        <v>10000</v>
      </c>
      <c r="D772" s="104" t="s">
        <v>487</v>
      </c>
      <c r="E772" s="113">
        <v>375</v>
      </c>
      <c r="F772" s="102">
        <v>5</v>
      </c>
      <c r="G772" s="208">
        <f>E772/(C772*H772/30)</f>
        <v>7.4999999999999997E-2</v>
      </c>
      <c r="H772" s="102">
        <v>15</v>
      </c>
      <c r="I772" s="103">
        <f t="shared" ref="I772:I836" si="53">IF(H772="分期",C772*G772*2.5*F772/10,C772*G772*H772/30*F772)</f>
        <v>1875</v>
      </c>
      <c r="J772" s="103">
        <f t="shared" ref="J772:J836" si="54">IF(H772="分期",C772*(G772-0.025)*2.5*F772/10,C772*(G772-0.025)*H772/30*F772)</f>
        <v>1249.9999999999998</v>
      </c>
    </row>
    <row r="773" spans="1:10">
      <c r="A773" s="102"/>
      <c r="B773" s="102"/>
      <c r="C773" s="103">
        <v>10000</v>
      </c>
      <c r="D773" s="104" t="s">
        <v>2294</v>
      </c>
      <c r="E773" s="113">
        <v>125</v>
      </c>
      <c r="F773" s="102">
        <v>1</v>
      </c>
      <c r="G773" s="208">
        <f>E773/(C773*H773/30)</f>
        <v>2.5000000000000001E-2</v>
      </c>
      <c r="H773" s="102">
        <v>15</v>
      </c>
      <c r="I773" s="103">
        <f t="shared" si="53"/>
        <v>125</v>
      </c>
      <c r="J773" s="103">
        <f t="shared" si="54"/>
        <v>0</v>
      </c>
    </row>
    <row r="774" spans="1:10">
      <c r="A774" s="102"/>
      <c r="B774" s="102"/>
      <c r="C774" s="103">
        <v>20000</v>
      </c>
      <c r="D774" s="104" t="s">
        <v>423</v>
      </c>
      <c r="E774" s="113">
        <v>750</v>
      </c>
      <c r="F774" s="102">
        <v>4</v>
      </c>
      <c r="G774" s="208">
        <f>E774/(C774*H774/30)</f>
        <v>7.4999999999999997E-2</v>
      </c>
      <c r="H774" s="102">
        <v>15</v>
      </c>
      <c r="I774" s="103">
        <f t="shared" si="53"/>
        <v>3000</v>
      </c>
      <c r="J774" s="103">
        <f t="shared" si="54"/>
        <v>1999.9999999999998</v>
      </c>
    </row>
    <row r="775" spans="1:10">
      <c r="A775" s="102"/>
      <c r="B775" s="102"/>
      <c r="C775" s="103">
        <v>10000</v>
      </c>
      <c r="D775" s="104" t="s">
        <v>489</v>
      </c>
      <c r="E775" s="113">
        <v>375</v>
      </c>
      <c r="F775" s="102">
        <v>4</v>
      </c>
      <c r="G775" s="208">
        <f>E775/(C775*H775/30)</f>
        <v>7.4999999999999997E-2</v>
      </c>
      <c r="H775" s="102">
        <v>15</v>
      </c>
      <c r="I775" s="103">
        <f t="shared" si="53"/>
        <v>1500</v>
      </c>
      <c r="J775" s="103">
        <f t="shared" si="54"/>
        <v>999.99999999999989</v>
      </c>
    </row>
    <row r="776" spans="1:10">
      <c r="A776" s="102"/>
      <c r="B776" s="102"/>
      <c r="C776" s="103">
        <v>10000</v>
      </c>
      <c r="D776" s="104" t="s">
        <v>3101</v>
      </c>
      <c r="E776" s="113">
        <v>1150</v>
      </c>
      <c r="F776" s="102">
        <v>5</v>
      </c>
      <c r="G776" s="208">
        <v>0.06</v>
      </c>
      <c r="H776" s="102" t="s">
        <v>664</v>
      </c>
      <c r="I776" s="103">
        <f t="shared" si="53"/>
        <v>750</v>
      </c>
      <c r="J776" s="103">
        <f t="shared" si="54"/>
        <v>437.49999999999989</v>
      </c>
    </row>
    <row r="777" spans="1:10">
      <c r="A777" s="102"/>
      <c r="B777" s="102"/>
      <c r="C777" s="103">
        <v>10000</v>
      </c>
      <c r="D777" s="104" t="s">
        <v>1009</v>
      </c>
      <c r="E777" s="113">
        <v>1150</v>
      </c>
      <c r="F777" s="102">
        <v>3</v>
      </c>
      <c r="G777" s="208">
        <v>0.06</v>
      </c>
      <c r="H777" s="102" t="s">
        <v>664</v>
      </c>
      <c r="I777" s="103">
        <f t="shared" si="53"/>
        <v>450</v>
      </c>
      <c r="J777" s="103">
        <f t="shared" si="54"/>
        <v>262.49999999999994</v>
      </c>
    </row>
    <row r="778" spans="1:10">
      <c r="A778" s="102">
        <v>1111</v>
      </c>
      <c r="B778" s="102" t="s">
        <v>490</v>
      </c>
      <c r="C778" s="103">
        <v>15000</v>
      </c>
      <c r="D778" s="104" t="s">
        <v>1982</v>
      </c>
      <c r="E778" s="113">
        <v>1800</v>
      </c>
      <c r="F778" s="102">
        <v>10</v>
      </c>
      <c r="G778" s="208">
        <v>0.06</v>
      </c>
      <c r="H778" s="102" t="s">
        <v>1917</v>
      </c>
      <c r="I778" s="103">
        <f t="shared" si="53"/>
        <v>2250</v>
      </c>
      <c r="J778" s="103">
        <f t="shared" si="54"/>
        <v>1312.5</v>
      </c>
    </row>
    <row r="779" spans="1:10">
      <c r="A779" s="102"/>
      <c r="B779" s="102"/>
      <c r="C779" s="103">
        <v>15000</v>
      </c>
      <c r="D779" s="104" t="s">
        <v>1982</v>
      </c>
      <c r="E779" s="113">
        <v>565</v>
      </c>
      <c r="F779" s="102">
        <v>5</v>
      </c>
      <c r="G779" s="208">
        <f>E779/(C779*H779/30)</f>
        <v>7.5333333333333335E-2</v>
      </c>
      <c r="H779" s="102">
        <v>15</v>
      </c>
      <c r="I779" s="103">
        <f t="shared" si="53"/>
        <v>2825</v>
      </c>
      <c r="J779" s="103">
        <f t="shared" si="54"/>
        <v>1887.5</v>
      </c>
    </row>
    <row r="780" spans="1:10">
      <c r="A780" s="102"/>
      <c r="B780" s="102"/>
      <c r="C780" s="103">
        <v>15000</v>
      </c>
      <c r="D780" s="104" t="s">
        <v>491</v>
      </c>
      <c r="E780" s="113">
        <v>1750</v>
      </c>
      <c r="F780" s="102">
        <v>3</v>
      </c>
      <c r="G780" s="208">
        <v>0.06</v>
      </c>
      <c r="H780" s="102" t="s">
        <v>1917</v>
      </c>
      <c r="I780" s="103">
        <f t="shared" si="53"/>
        <v>675</v>
      </c>
      <c r="J780" s="103">
        <f t="shared" si="54"/>
        <v>393.75</v>
      </c>
    </row>
    <row r="781" spans="1:10">
      <c r="A781" s="102">
        <v>112</v>
      </c>
      <c r="B781" s="102" t="s">
        <v>492</v>
      </c>
      <c r="C781" s="103">
        <v>10000</v>
      </c>
      <c r="D781" s="104" t="s">
        <v>667</v>
      </c>
      <c r="E781" s="113">
        <v>375</v>
      </c>
      <c r="F781" s="102">
        <v>9</v>
      </c>
      <c r="G781" s="208">
        <f>E781/(C781*H781/30)</f>
        <v>7.4999999999999997E-2</v>
      </c>
      <c r="H781" s="102">
        <v>15</v>
      </c>
      <c r="I781" s="103">
        <f t="shared" si="53"/>
        <v>3375</v>
      </c>
      <c r="J781" s="103">
        <f t="shared" si="54"/>
        <v>2249.9999999999995</v>
      </c>
    </row>
    <row r="782" spans="1:10">
      <c r="A782" s="102"/>
      <c r="B782" s="102"/>
      <c r="C782" s="103">
        <v>10000</v>
      </c>
      <c r="D782" s="104" t="s">
        <v>667</v>
      </c>
      <c r="E782" s="113">
        <v>1200</v>
      </c>
      <c r="F782" s="102">
        <v>10</v>
      </c>
      <c r="G782" s="208">
        <v>0.06</v>
      </c>
      <c r="H782" s="102" t="s">
        <v>664</v>
      </c>
      <c r="I782" s="103">
        <f t="shared" si="53"/>
        <v>1500</v>
      </c>
      <c r="J782" s="103">
        <f t="shared" si="54"/>
        <v>874.99999999999977</v>
      </c>
    </row>
    <row r="783" spans="1:10">
      <c r="A783" s="102"/>
      <c r="B783" s="102"/>
      <c r="C783" s="103">
        <v>10000</v>
      </c>
      <c r="D783" s="104" t="s">
        <v>425</v>
      </c>
      <c r="E783" s="113">
        <v>1150</v>
      </c>
      <c r="F783" s="102">
        <v>6</v>
      </c>
      <c r="G783" s="208">
        <v>0.06</v>
      </c>
      <c r="H783" s="102" t="s">
        <v>664</v>
      </c>
      <c r="I783" s="103">
        <f t="shared" si="53"/>
        <v>900</v>
      </c>
      <c r="J783" s="103">
        <f t="shared" si="54"/>
        <v>524.99999999999989</v>
      </c>
    </row>
    <row r="784" spans="1:10">
      <c r="A784" s="102">
        <v>113</v>
      </c>
      <c r="B784" s="102" t="s">
        <v>494</v>
      </c>
      <c r="C784" s="103">
        <v>50000</v>
      </c>
      <c r="D784" s="104" t="s">
        <v>1520</v>
      </c>
      <c r="E784" s="113">
        <v>1875</v>
      </c>
      <c r="F784" s="102">
        <v>9</v>
      </c>
      <c r="G784" s="208">
        <f>E784/(C784*H784/30)</f>
        <v>7.4999999999999997E-2</v>
      </c>
      <c r="H784" s="102">
        <v>15</v>
      </c>
      <c r="I784" s="103">
        <f t="shared" si="53"/>
        <v>16875</v>
      </c>
      <c r="J784" s="103">
        <f t="shared" si="54"/>
        <v>11250</v>
      </c>
    </row>
    <row r="785" spans="1:10">
      <c r="A785" s="102"/>
      <c r="B785" s="102"/>
      <c r="C785" s="103">
        <v>10000</v>
      </c>
      <c r="D785" s="104" t="s">
        <v>1520</v>
      </c>
      <c r="E785" s="113">
        <v>1200</v>
      </c>
      <c r="F785" s="102">
        <v>10</v>
      </c>
      <c r="G785" s="208">
        <v>0.06</v>
      </c>
      <c r="H785" s="102" t="s">
        <v>1917</v>
      </c>
      <c r="I785" s="103">
        <f t="shared" si="53"/>
        <v>1500</v>
      </c>
      <c r="J785" s="103">
        <f t="shared" si="54"/>
        <v>874.99999999999977</v>
      </c>
    </row>
    <row r="786" spans="1:10">
      <c r="A786" s="102"/>
      <c r="B786" s="102"/>
      <c r="C786" s="103">
        <v>10000</v>
      </c>
      <c r="D786" s="104" t="s">
        <v>1003</v>
      </c>
      <c r="E786" s="113">
        <v>1150</v>
      </c>
      <c r="F786" s="102">
        <v>10</v>
      </c>
      <c r="G786" s="208">
        <v>0.06</v>
      </c>
      <c r="H786" s="102" t="s">
        <v>1917</v>
      </c>
      <c r="I786" s="103">
        <f t="shared" si="53"/>
        <v>1500</v>
      </c>
      <c r="J786" s="103">
        <f t="shared" si="54"/>
        <v>874.99999999999977</v>
      </c>
    </row>
    <row r="787" spans="1:10">
      <c r="A787" s="102"/>
      <c r="B787" s="102"/>
      <c r="C787" s="103">
        <v>10000</v>
      </c>
      <c r="D787" s="104" t="s">
        <v>495</v>
      </c>
      <c r="E787" s="113">
        <v>1150</v>
      </c>
      <c r="F787" s="102">
        <v>5</v>
      </c>
      <c r="G787" s="208">
        <v>0.06</v>
      </c>
      <c r="H787" s="102" t="s">
        <v>664</v>
      </c>
      <c r="I787" s="103">
        <f t="shared" si="53"/>
        <v>750</v>
      </c>
      <c r="J787" s="103">
        <f t="shared" si="54"/>
        <v>437.49999999999989</v>
      </c>
    </row>
    <row r="788" spans="1:10">
      <c r="A788" s="102">
        <v>114</v>
      </c>
      <c r="B788" s="102" t="s">
        <v>496</v>
      </c>
      <c r="C788" s="103">
        <v>300000</v>
      </c>
      <c r="D788" s="104" t="s">
        <v>1000</v>
      </c>
      <c r="E788" s="113">
        <v>22500</v>
      </c>
      <c r="F788" s="102">
        <v>8</v>
      </c>
      <c r="G788" s="208">
        <f t="shared" ref="G788:G809" si="55">E788/(C788*H788/30)</f>
        <v>7.4999999999999997E-2</v>
      </c>
      <c r="H788" s="102">
        <v>30</v>
      </c>
      <c r="I788" s="103">
        <f t="shared" si="53"/>
        <v>180000</v>
      </c>
      <c r="J788" s="103">
        <f t="shared" si="54"/>
        <v>119999.99999999999</v>
      </c>
    </row>
    <row r="789" spans="1:10">
      <c r="A789" s="102">
        <v>115</v>
      </c>
      <c r="B789" s="102" t="s">
        <v>497</v>
      </c>
      <c r="C789" s="103">
        <v>180000</v>
      </c>
      <c r="D789" s="112" t="s">
        <v>95</v>
      </c>
      <c r="E789" s="113">
        <v>6750</v>
      </c>
      <c r="F789" s="102">
        <v>8</v>
      </c>
      <c r="G789" s="208">
        <f t="shared" si="55"/>
        <v>7.4999999999999997E-2</v>
      </c>
      <c r="H789" s="102">
        <v>15</v>
      </c>
      <c r="I789" s="103">
        <f t="shared" si="53"/>
        <v>54000</v>
      </c>
      <c r="J789" s="103">
        <f t="shared" si="54"/>
        <v>36000</v>
      </c>
    </row>
    <row r="790" spans="1:10">
      <c r="A790" s="102"/>
      <c r="B790" s="102"/>
      <c r="C790" s="103">
        <v>175000</v>
      </c>
      <c r="D790" s="112" t="s">
        <v>95</v>
      </c>
      <c r="E790" s="113">
        <v>6560</v>
      </c>
      <c r="F790" s="102">
        <v>1</v>
      </c>
      <c r="G790" s="208">
        <f t="shared" si="55"/>
        <v>7.4971428571428578E-2</v>
      </c>
      <c r="H790" s="102">
        <v>15</v>
      </c>
      <c r="I790" s="103">
        <f t="shared" si="53"/>
        <v>6560.0000000000009</v>
      </c>
      <c r="J790" s="103">
        <f t="shared" si="54"/>
        <v>4372.5</v>
      </c>
    </row>
    <row r="791" spans="1:10">
      <c r="A791" s="102"/>
      <c r="B791" s="102"/>
      <c r="C791" s="103">
        <v>170000</v>
      </c>
      <c r="D791" s="112" t="s">
        <v>95</v>
      </c>
      <c r="E791" s="113">
        <v>6375</v>
      </c>
      <c r="F791" s="102">
        <v>3</v>
      </c>
      <c r="G791" s="208">
        <f t="shared" si="55"/>
        <v>7.4999999999999997E-2</v>
      </c>
      <c r="H791" s="102">
        <v>15</v>
      </c>
      <c r="I791" s="103">
        <f t="shared" si="53"/>
        <v>19125</v>
      </c>
      <c r="J791" s="103">
        <f t="shared" si="54"/>
        <v>12750</v>
      </c>
    </row>
    <row r="792" spans="1:10">
      <c r="A792" s="102"/>
      <c r="B792" s="102"/>
      <c r="C792" s="103">
        <v>100000</v>
      </c>
      <c r="D792" s="112" t="s">
        <v>95</v>
      </c>
      <c r="E792" s="113">
        <v>3750</v>
      </c>
      <c r="F792" s="102">
        <v>1</v>
      </c>
      <c r="G792" s="208">
        <f t="shared" si="55"/>
        <v>7.4999999999999997E-2</v>
      </c>
      <c r="H792" s="102">
        <v>15</v>
      </c>
      <c r="I792" s="103">
        <f t="shared" si="53"/>
        <v>3750</v>
      </c>
      <c r="J792" s="103">
        <f t="shared" si="54"/>
        <v>2500</v>
      </c>
    </row>
    <row r="793" spans="1:10">
      <c r="A793" s="102"/>
      <c r="B793" s="102"/>
      <c r="C793" s="103">
        <v>95000</v>
      </c>
      <c r="D793" s="112" t="s">
        <v>95</v>
      </c>
      <c r="E793" s="113">
        <v>3563</v>
      </c>
      <c r="F793" s="102">
        <v>3</v>
      </c>
      <c r="G793" s="208">
        <f t="shared" si="55"/>
        <v>7.5010526315789472E-2</v>
      </c>
      <c r="H793" s="102">
        <v>15</v>
      </c>
      <c r="I793" s="103">
        <f t="shared" si="53"/>
        <v>10689</v>
      </c>
      <c r="J793" s="103">
        <f t="shared" si="54"/>
        <v>7126.5</v>
      </c>
    </row>
    <row r="794" spans="1:10">
      <c r="A794" s="102"/>
      <c r="B794" s="102"/>
      <c r="C794" s="103">
        <v>90000</v>
      </c>
      <c r="D794" s="112" t="s">
        <v>95</v>
      </c>
      <c r="E794" s="113">
        <v>3375</v>
      </c>
      <c r="F794" s="102">
        <v>1</v>
      </c>
      <c r="G794" s="208">
        <f t="shared" si="55"/>
        <v>7.4999999999999997E-2</v>
      </c>
      <c r="H794" s="102">
        <v>15</v>
      </c>
      <c r="I794" s="103">
        <f t="shared" si="53"/>
        <v>3375</v>
      </c>
      <c r="J794" s="103">
        <f t="shared" si="54"/>
        <v>2250</v>
      </c>
    </row>
    <row r="795" spans="1:10">
      <c r="A795" s="102"/>
      <c r="B795" s="102"/>
      <c r="C795" s="103">
        <v>85000</v>
      </c>
      <c r="D795" s="112" t="s">
        <v>95</v>
      </c>
      <c r="E795" s="113">
        <v>3190</v>
      </c>
      <c r="F795" s="102">
        <v>2</v>
      </c>
      <c r="G795" s="208">
        <f t="shared" si="55"/>
        <v>7.5058823529411761E-2</v>
      </c>
      <c r="H795" s="102">
        <v>15</v>
      </c>
      <c r="I795" s="103">
        <f t="shared" si="53"/>
        <v>6380</v>
      </c>
      <c r="J795" s="103">
        <f t="shared" si="54"/>
        <v>4255</v>
      </c>
    </row>
    <row r="796" spans="1:10">
      <c r="A796" s="102"/>
      <c r="B796" s="102"/>
      <c r="C796" s="103">
        <v>75000</v>
      </c>
      <c r="D796" s="112" t="s">
        <v>96</v>
      </c>
      <c r="E796" s="113">
        <v>2815</v>
      </c>
      <c r="F796" s="102">
        <v>1</v>
      </c>
      <c r="G796" s="208">
        <f t="shared" si="55"/>
        <v>7.506666666666667E-2</v>
      </c>
      <c r="H796" s="102">
        <v>15</v>
      </c>
      <c r="I796" s="103">
        <f t="shared" si="53"/>
        <v>2815</v>
      </c>
      <c r="J796" s="103">
        <f t="shared" si="54"/>
        <v>1877.5</v>
      </c>
    </row>
    <row r="797" spans="1:10">
      <c r="A797" s="102"/>
      <c r="B797" s="102"/>
      <c r="C797" s="103">
        <v>70000</v>
      </c>
      <c r="D797" s="112" t="s">
        <v>96</v>
      </c>
      <c r="E797" s="113">
        <v>2625</v>
      </c>
      <c r="F797" s="102">
        <v>4</v>
      </c>
      <c r="G797" s="208">
        <f t="shared" si="55"/>
        <v>7.4999999999999997E-2</v>
      </c>
      <c r="H797" s="102">
        <v>15</v>
      </c>
      <c r="I797" s="103">
        <f t="shared" si="53"/>
        <v>10500</v>
      </c>
      <c r="J797" s="103">
        <f t="shared" si="54"/>
        <v>6999.9999999999991</v>
      </c>
    </row>
    <row r="798" spans="1:10">
      <c r="A798" s="102"/>
      <c r="B798" s="102"/>
      <c r="C798" s="103">
        <v>65000</v>
      </c>
      <c r="D798" s="112" t="s">
        <v>96</v>
      </c>
      <c r="E798" s="113">
        <v>2438</v>
      </c>
      <c r="F798" s="102">
        <v>1</v>
      </c>
      <c r="G798" s="208">
        <f t="shared" si="55"/>
        <v>7.5015384615384609E-2</v>
      </c>
      <c r="H798" s="102">
        <v>15</v>
      </c>
      <c r="I798" s="103">
        <f t="shared" si="53"/>
        <v>2438</v>
      </c>
      <c r="J798" s="103">
        <f t="shared" si="54"/>
        <v>1625.4999999999998</v>
      </c>
    </row>
    <row r="799" spans="1:10">
      <c r="A799" s="102"/>
      <c r="B799" s="102"/>
      <c r="C799" s="103">
        <v>60000</v>
      </c>
      <c r="D799" s="112" t="s">
        <v>96</v>
      </c>
      <c r="E799" s="113">
        <v>2250</v>
      </c>
      <c r="F799" s="102">
        <v>1</v>
      </c>
      <c r="G799" s="208">
        <f t="shared" si="55"/>
        <v>7.4999999999999997E-2</v>
      </c>
      <c r="H799" s="102">
        <v>15</v>
      </c>
      <c r="I799" s="103">
        <f t="shared" si="53"/>
        <v>2250</v>
      </c>
      <c r="J799" s="103">
        <f t="shared" si="54"/>
        <v>1499.9999999999998</v>
      </c>
    </row>
    <row r="800" spans="1:10">
      <c r="A800" s="102"/>
      <c r="B800" s="102"/>
      <c r="C800" s="103">
        <v>55000</v>
      </c>
      <c r="D800" s="112" t="s">
        <v>96</v>
      </c>
      <c r="E800" s="113">
        <v>2063</v>
      </c>
      <c r="F800" s="102">
        <v>2</v>
      </c>
      <c r="G800" s="208">
        <f t="shared" si="55"/>
        <v>7.5018181818181817E-2</v>
      </c>
      <c r="H800" s="102">
        <v>15</v>
      </c>
      <c r="I800" s="103">
        <f t="shared" si="53"/>
        <v>4126</v>
      </c>
      <c r="J800" s="103">
        <f t="shared" si="54"/>
        <v>2751</v>
      </c>
    </row>
    <row r="801" spans="1:10">
      <c r="A801" s="102"/>
      <c r="B801" s="102"/>
      <c r="C801" s="103">
        <v>50000</v>
      </c>
      <c r="D801" s="112" t="s">
        <v>96</v>
      </c>
      <c r="E801" s="113">
        <v>1875</v>
      </c>
      <c r="F801" s="102">
        <v>2</v>
      </c>
      <c r="G801" s="208">
        <f t="shared" si="55"/>
        <v>7.4999999999999997E-2</v>
      </c>
      <c r="H801" s="102">
        <v>15</v>
      </c>
      <c r="I801" s="103">
        <f t="shared" si="53"/>
        <v>3750</v>
      </c>
      <c r="J801" s="103">
        <f t="shared" si="54"/>
        <v>2500</v>
      </c>
    </row>
    <row r="802" spans="1:10">
      <c r="A802" s="102"/>
      <c r="B802" s="102"/>
      <c r="C802" s="103">
        <v>45000</v>
      </c>
      <c r="D802" s="112" t="s">
        <v>96</v>
      </c>
      <c r="E802" s="113">
        <v>1690</v>
      </c>
      <c r="F802" s="102">
        <v>3</v>
      </c>
      <c r="G802" s="208">
        <f t="shared" si="55"/>
        <v>7.5111111111111115E-2</v>
      </c>
      <c r="H802" s="102">
        <v>15</v>
      </c>
      <c r="I802" s="103">
        <f t="shared" si="53"/>
        <v>5070</v>
      </c>
      <c r="J802" s="103">
        <f t="shared" si="54"/>
        <v>3382.5</v>
      </c>
    </row>
    <row r="803" spans="1:10">
      <c r="A803" s="102"/>
      <c r="B803" s="102"/>
      <c r="C803" s="103">
        <v>40000</v>
      </c>
      <c r="D803" s="112" t="s">
        <v>96</v>
      </c>
      <c r="E803" s="113">
        <v>1500</v>
      </c>
      <c r="F803" s="102">
        <v>2</v>
      </c>
      <c r="G803" s="208">
        <f t="shared" si="55"/>
        <v>7.4999999999999997E-2</v>
      </c>
      <c r="H803" s="102">
        <v>15</v>
      </c>
      <c r="I803" s="103">
        <f t="shared" si="53"/>
        <v>3000</v>
      </c>
      <c r="J803" s="103">
        <f t="shared" si="54"/>
        <v>1999.9999999999998</v>
      </c>
    </row>
    <row r="804" spans="1:10">
      <c r="A804" s="102"/>
      <c r="B804" s="102"/>
      <c r="C804" s="103">
        <v>35000</v>
      </c>
      <c r="D804" s="112" t="s">
        <v>96</v>
      </c>
      <c r="E804" s="113">
        <v>1313</v>
      </c>
      <c r="F804" s="102">
        <v>1</v>
      </c>
      <c r="G804" s="208">
        <f t="shared" si="55"/>
        <v>7.5028571428571431E-2</v>
      </c>
      <c r="H804" s="102">
        <v>15</v>
      </c>
      <c r="I804" s="103">
        <f t="shared" si="53"/>
        <v>1313</v>
      </c>
      <c r="J804" s="103">
        <f t="shared" si="54"/>
        <v>875.5</v>
      </c>
    </row>
    <row r="805" spans="1:10">
      <c r="A805" s="102"/>
      <c r="B805" s="102"/>
      <c r="C805" s="103">
        <v>30000</v>
      </c>
      <c r="D805" s="112" t="s">
        <v>96</v>
      </c>
      <c r="E805" s="113">
        <v>1125</v>
      </c>
      <c r="F805" s="102">
        <v>1</v>
      </c>
      <c r="G805" s="208">
        <f t="shared" si="55"/>
        <v>7.4999999999999997E-2</v>
      </c>
      <c r="H805" s="102">
        <v>15</v>
      </c>
      <c r="I805" s="103">
        <f t="shared" si="53"/>
        <v>1125</v>
      </c>
      <c r="J805" s="103">
        <f t="shared" si="54"/>
        <v>749.99999999999989</v>
      </c>
    </row>
    <row r="806" spans="1:10">
      <c r="A806" s="102"/>
      <c r="B806" s="102"/>
      <c r="C806" s="103">
        <v>25000</v>
      </c>
      <c r="D806" s="112" t="s">
        <v>96</v>
      </c>
      <c r="E806" s="113">
        <v>938</v>
      </c>
      <c r="F806" s="102">
        <v>1</v>
      </c>
      <c r="G806" s="208">
        <f t="shared" si="55"/>
        <v>7.5039999999999996E-2</v>
      </c>
      <c r="H806" s="102">
        <v>15</v>
      </c>
      <c r="I806" s="103">
        <f t="shared" si="53"/>
        <v>938</v>
      </c>
      <c r="J806" s="103">
        <f t="shared" si="54"/>
        <v>625.49999999999989</v>
      </c>
    </row>
    <row r="807" spans="1:10">
      <c r="A807" s="102"/>
      <c r="B807" s="102"/>
      <c r="C807" s="103">
        <v>20000</v>
      </c>
      <c r="D807" s="112" t="s">
        <v>96</v>
      </c>
      <c r="E807" s="113">
        <v>750</v>
      </c>
      <c r="F807" s="102">
        <v>3</v>
      </c>
      <c r="G807" s="208">
        <f t="shared" si="55"/>
        <v>7.4999999999999997E-2</v>
      </c>
      <c r="H807" s="102">
        <v>15</v>
      </c>
      <c r="I807" s="103">
        <f t="shared" si="53"/>
        <v>2250</v>
      </c>
      <c r="J807" s="103">
        <f t="shared" si="54"/>
        <v>1499.9999999999998</v>
      </c>
    </row>
    <row r="808" spans="1:10">
      <c r="A808" s="102"/>
      <c r="B808" s="102"/>
      <c r="C808" s="103">
        <v>15000</v>
      </c>
      <c r="D808" s="112" t="s">
        <v>96</v>
      </c>
      <c r="E808" s="113">
        <v>563</v>
      </c>
      <c r="F808" s="102">
        <v>1</v>
      </c>
      <c r="G808" s="208">
        <f t="shared" si="55"/>
        <v>7.506666666666667E-2</v>
      </c>
      <c r="H808" s="102">
        <v>15</v>
      </c>
      <c r="I808" s="103">
        <f t="shared" si="53"/>
        <v>563</v>
      </c>
      <c r="J808" s="103">
        <f t="shared" si="54"/>
        <v>375.5</v>
      </c>
    </row>
    <row r="809" spans="1:10">
      <c r="A809" s="102"/>
      <c r="B809" s="102"/>
      <c r="C809" s="103">
        <v>10000</v>
      </c>
      <c r="D809" s="112" t="s">
        <v>96</v>
      </c>
      <c r="E809" s="113">
        <v>375</v>
      </c>
      <c r="F809" s="102">
        <v>1</v>
      </c>
      <c r="G809" s="208">
        <f t="shared" si="55"/>
        <v>7.4999999999999997E-2</v>
      </c>
      <c r="H809" s="102">
        <v>15</v>
      </c>
      <c r="I809" s="103">
        <f t="shared" si="53"/>
        <v>375</v>
      </c>
      <c r="J809" s="103">
        <f t="shared" si="54"/>
        <v>249.99999999999997</v>
      </c>
    </row>
    <row r="810" spans="1:10">
      <c r="A810" s="102"/>
      <c r="B810" s="102"/>
      <c r="C810" s="103">
        <v>20000</v>
      </c>
      <c r="D810" s="104" t="s">
        <v>228</v>
      </c>
      <c r="E810" s="113">
        <v>4300</v>
      </c>
      <c r="F810" s="102">
        <v>5</v>
      </c>
      <c r="G810" s="208">
        <v>0.06</v>
      </c>
      <c r="H810" s="102" t="s">
        <v>664</v>
      </c>
      <c r="I810" s="103">
        <f t="shared" si="53"/>
        <v>1500</v>
      </c>
      <c r="J810" s="103">
        <f t="shared" si="54"/>
        <v>874.99999999999977</v>
      </c>
    </row>
    <row r="811" spans="1:10">
      <c r="A811" s="102"/>
      <c r="B811" s="102"/>
      <c r="C811" s="103">
        <v>15000</v>
      </c>
      <c r="D811" s="104" t="s">
        <v>2334</v>
      </c>
      <c r="E811" s="113">
        <v>1125</v>
      </c>
      <c r="F811" s="102">
        <v>1</v>
      </c>
      <c r="G811" s="208">
        <f>E811/(C811*H811/30)</f>
        <v>7.4999999999999997E-2</v>
      </c>
      <c r="H811" s="102">
        <v>30</v>
      </c>
      <c r="I811" s="103">
        <f t="shared" si="53"/>
        <v>1125</v>
      </c>
      <c r="J811" s="103">
        <f t="shared" si="54"/>
        <v>749.99999999999989</v>
      </c>
    </row>
    <row r="812" spans="1:10">
      <c r="A812" s="102"/>
      <c r="B812" s="102"/>
      <c r="C812" s="103">
        <v>15000</v>
      </c>
      <c r="D812" s="104" t="s">
        <v>2334</v>
      </c>
      <c r="E812" s="113">
        <v>4030</v>
      </c>
      <c r="F812" s="102">
        <v>4</v>
      </c>
      <c r="G812" s="208">
        <v>7.4999999999999997E-2</v>
      </c>
      <c r="H812" s="102" t="s">
        <v>1917</v>
      </c>
      <c r="I812" s="103">
        <f>IF(H812="分期",C812*G812*2.5*F812/10,C812*G812*H812/30*F812)</f>
        <v>1125</v>
      </c>
      <c r="J812" s="103">
        <f>IF(H812="分期",C812*(G812-0.025)*2.5*F812/10,C812*(G812-0.025)*H812/30*F812)</f>
        <v>749.99999999999989</v>
      </c>
    </row>
    <row r="813" spans="1:10">
      <c r="A813" s="102"/>
      <c r="B813" s="102"/>
      <c r="C813" s="103">
        <v>40000</v>
      </c>
      <c r="D813" s="104" t="s">
        <v>230</v>
      </c>
      <c r="E813" s="113">
        <v>1500</v>
      </c>
      <c r="F813" s="102">
        <v>27</v>
      </c>
      <c r="G813" s="208">
        <f>E813/(C813*H813/30)</f>
        <v>7.4999999999999997E-2</v>
      </c>
      <c r="H813" s="102">
        <v>15</v>
      </c>
      <c r="I813" s="103">
        <f t="shared" si="53"/>
        <v>40500</v>
      </c>
      <c r="J813" s="103">
        <f t="shared" si="54"/>
        <v>26999.999999999996</v>
      </c>
    </row>
    <row r="814" spans="1:10">
      <c r="A814" s="102"/>
      <c r="B814" s="102"/>
      <c r="C814" s="103">
        <v>10000</v>
      </c>
      <c r="D814" s="112" t="s">
        <v>97</v>
      </c>
      <c r="E814" s="113">
        <v>2690</v>
      </c>
      <c r="F814" s="102">
        <v>4</v>
      </c>
      <c r="G814" s="208">
        <v>0.06</v>
      </c>
      <c r="H814" s="102" t="s">
        <v>1917</v>
      </c>
      <c r="I814" s="103">
        <f t="shared" si="53"/>
        <v>600</v>
      </c>
      <c r="J814" s="103">
        <f t="shared" si="54"/>
        <v>349.99999999999994</v>
      </c>
    </row>
    <row r="815" spans="1:10">
      <c r="A815" s="102"/>
      <c r="B815" s="102"/>
      <c r="C815" s="103">
        <v>10000</v>
      </c>
      <c r="D815" s="112" t="s">
        <v>98</v>
      </c>
      <c r="E815" s="113">
        <v>375</v>
      </c>
      <c r="F815" s="102">
        <v>2</v>
      </c>
      <c r="G815" s="208">
        <f>E815/(C815*H815/30)</f>
        <v>7.4999999999999997E-2</v>
      </c>
      <c r="H815" s="102">
        <v>15</v>
      </c>
      <c r="I815" s="103">
        <f t="shared" si="53"/>
        <v>750</v>
      </c>
      <c r="J815" s="103">
        <f t="shared" si="54"/>
        <v>499.99999999999994</v>
      </c>
    </row>
    <row r="816" spans="1:10">
      <c r="A816" s="102"/>
      <c r="B816" s="102"/>
      <c r="C816" s="103">
        <v>10000</v>
      </c>
      <c r="D816" s="112" t="s">
        <v>98</v>
      </c>
      <c r="E816" s="113">
        <v>2690</v>
      </c>
      <c r="F816" s="102">
        <v>4</v>
      </c>
      <c r="G816" s="208">
        <v>0.06</v>
      </c>
      <c r="H816" s="102" t="s">
        <v>664</v>
      </c>
      <c r="I816" s="103">
        <f t="shared" si="53"/>
        <v>600</v>
      </c>
      <c r="J816" s="103">
        <f t="shared" si="54"/>
        <v>349.99999999999994</v>
      </c>
    </row>
    <row r="817" spans="1:10">
      <c r="A817" s="102"/>
      <c r="B817" s="102"/>
      <c r="C817" s="103">
        <v>10000</v>
      </c>
      <c r="D817" s="112" t="s">
        <v>99</v>
      </c>
      <c r="E817" s="113">
        <v>2690</v>
      </c>
      <c r="F817" s="102">
        <v>4</v>
      </c>
      <c r="G817" s="208">
        <v>0.06</v>
      </c>
      <c r="H817" s="102" t="s">
        <v>1917</v>
      </c>
      <c r="I817" s="103">
        <f t="shared" si="53"/>
        <v>600</v>
      </c>
      <c r="J817" s="103">
        <f t="shared" si="54"/>
        <v>349.99999999999994</v>
      </c>
    </row>
    <row r="818" spans="1:10">
      <c r="A818" s="102"/>
      <c r="B818" s="102"/>
      <c r="C818" s="103">
        <v>20000</v>
      </c>
      <c r="D818" s="112" t="s">
        <v>100</v>
      </c>
      <c r="E818" s="113">
        <v>750</v>
      </c>
      <c r="F818" s="102">
        <v>10</v>
      </c>
      <c r="G818" s="208">
        <f>E818/(C818*H818/30)</f>
        <v>7.4999999999999997E-2</v>
      </c>
      <c r="H818" s="102">
        <v>15</v>
      </c>
      <c r="I818" s="103">
        <f t="shared" si="53"/>
        <v>7500</v>
      </c>
      <c r="J818" s="103">
        <f t="shared" si="54"/>
        <v>4999.9999999999991</v>
      </c>
    </row>
    <row r="819" spans="1:10">
      <c r="A819" s="102"/>
      <c r="B819" s="102"/>
      <c r="C819" s="103">
        <v>15000</v>
      </c>
      <c r="D819" s="104" t="s">
        <v>3173</v>
      </c>
      <c r="E819" s="113">
        <v>4030</v>
      </c>
      <c r="F819" s="102">
        <v>4</v>
      </c>
      <c r="G819" s="208">
        <v>0.06</v>
      </c>
      <c r="H819" s="102" t="s">
        <v>664</v>
      </c>
      <c r="I819" s="103">
        <f t="shared" si="53"/>
        <v>900</v>
      </c>
      <c r="J819" s="103">
        <f t="shared" si="54"/>
        <v>525</v>
      </c>
    </row>
    <row r="820" spans="1:10">
      <c r="A820" s="102"/>
      <c r="B820" s="102"/>
      <c r="C820" s="103">
        <v>30000</v>
      </c>
      <c r="D820" s="104" t="s">
        <v>1697</v>
      </c>
      <c r="E820" s="113">
        <v>1125</v>
      </c>
      <c r="F820" s="102">
        <v>7</v>
      </c>
      <c r="G820" s="208">
        <f>E820/(C820*H820/30)</f>
        <v>7.4999999999999997E-2</v>
      </c>
      <c r="H820" s="102">
        <v>15</v>
      </c>
      <c r="I820" s="103">
        <f t="shared" si="53"/>
        <v>7875</v>
      </c>
      <c r="J820" s="103">
        <f t="shared" si="54"/>
        <v>5249.9999999999991</v>
      </c>
    </row>
    <row r="821" spans="1:10">
      <c r="A821" s="102"/>
      <c r="B821" s="102"/>
      <c r="C821" s="103">
        <v>10000</v>
      </c>
      <c r="D821" s="104" t="s">
        <v>3138</v>
      </c>
      <c r="E821" s="113">
        <v>2690</v>
      </c>
      <c r="F821" s="102">
        <v>4</v>
      </c>
      <c r="G821" s="208">
        <v>0.06</v>
      </c>
      <c r="H821" s="102" t="s">
        <v>664</v>
      </c>
      <c r="I821" s="103">
        <f t="shared" si="53"/>
        <v>600</v>
      </c>
      <c r="J821" s="103">
        <f t="shared" si="54"/>
        <v>349.99999999999994</v>
      </c>
    </row>
    <row r="822" spans="1:10">
      <c r="A822" s="102"/>
      <c r="B822" s="102"/>
      <c r="C822" s="103">
        <v>10000</v>
      </c>
      <c r="D822" s="104" t="s">
        <v>1792</v>
      </c>
      <c r="E822" s="113">
        <v>375</v>
      </c>
      <c r="F822" s="102">
        <v>2</v>
      </c>
      <c r="G822" s="208">
        <f>E822/(C822*H822/30)</f>
        <v>7.4999999999999997E-2</v>
      </c>
      <c r="H822" s="102">
        <v>15</v>
      </c>
      <c r="I822" s="103">
        <f t="shared" si="53"/>
        <v>750</v>
      </c>
      <c r="J822" s="103">
        <f t="shared" si="54"/>
        <v>499.99999999999994</v>
      </c>
    </row>
    <row r="823" spans="1:10">
      <c r="A823" s="102"/>
      <c r="B823" s="102"/>
      <c r="C823" s="103">
        <v>15000</v>
      </c>
      <c r="D823" s="104" t="s">
        <v>1692</v>
      </c>
      <c r="E823" s="113">
        <v>4030</v>
      </c>
      <c r="F823" s="102">
        <v>4</v>
      </c>
      <c r="G823" s="208">
        <v>0.06</v>
      </c>
      <c r="H823" s="102" t="s">
        <v>664</v>
      </c>
      <c r="I823" s="103">
        <f t="shared" si="53"/>
        <v>900</v>
      </c>
      <c r="J823" s="103">
        <f t="shared" si="54"/>
        <v>525</v>
      </c>
    </row>
    <row r="824" spans="1:10">
      <c r="A824" s="102"/>
      <c r="B824" s="102"/>
      <c r="C824" s="103">
        <v>5000</v>
      </c>
      <c r="D824" s="104" t="s">
        <v>3407</v>
      </c>
      <c r="E824" s="113">
        <v>190</v>
      </c>
      <c r="F824" s="102">
        <v>3</v>
      </c>
      <c r="G824" s="208">
        <f>E824/(C824*H824/30)</f>
        <v>7.5999999999999998E-2</v>
      </c>
      <c r="H824" s="102">
        <v>15</v>
      </c>
      <c r="I824" s="103">
        <f t="shared" si="53"/>
        <v>570</v>
      </c>
      <c r="J824" s="103">
        <f t="shared" si="54"/>
        <v>382.49999999999994</v>
      </c>
    </row>
    <row r="825" spans="1:10">
      <c r="A825" s="102"/>
      <c r="B825" s="102"/>
      <c r="C825" s="103">
        <v>15000</v>
      </c>
      <c r="D825" s="112" t="s">
        <v>101</v>
      </c>
      <c r="E825" s="113">
        <v>4030</v>
      </c>
      <c r="F825" s="102">
        <v>4</v>
      </c>
      <c r="G825" s="208">
        <v>0.06</v>
      </c>
      <c r="H825" s="102" t="s">
        <v>664</v>
      </c>
      <c r="I825" s="103">
        <f t="shared" si="53"/>
        <v>900</v>
      </c>
      <c r="J825" s="103">
        <f t="shared" si="54"/>
        <v>525</v>
      </c>
    </row>
    <row r="826" spans="1:10">
      <c r="A826" s="102"/>
      <c r="B826" s="102"/>
      <c r="C826" s="103">
        <v>15000</v>
      </c>
      <c r="D826" s="112" t="s">
        <v>102</v>
      </c>
      <c r="E826" s="113">
        <v>4030</v>
      </c>
      <c r="F826" s="102">
        <v>4</v>
      </c>
      <c r="G826" s="208">
        <v>0.06</v>
      </c>
      <c r="H826" s="102" t="s">
        <v>664</v>
      </c>
      <c r="I826" s="103">
        <f t="shared" si="53"/>
        <v>900</v>
      </c>
      <c r="J826" s="103">
        <f t="shared" si="54"/>
        <v>525</v>
      </c>
    </row>
    <row r="827" spans="1:10">
      <c r="A827" s="102"/>
      <c r="B827" s="102"/>
      <c r="C827" s="103">
        <v>5000</v>
      </c>
      <c r="D827" s="112" t="s">
        <v>103</v>
      </c>
      <c r="E827" s="113">
        <v>190</v>
      </c>
      <c r="F827" s="102">
        <v>3</v>
      </c>
      <c r="G827" s="208">
        <f>E827/(C827*H827/30)</f>
        <v>7.5999999999999998E-2</v>
      </c>
      <c r="H827" s="102">
        <v>15</v>
      </c>
      <c r="I827" s="103">
        <f t="shared" si="53"/>
        <v>570</v>
      </c>
      <c r="J827" s="103">
        <f t="shared" si="54"/>
        <v>382.49999999999994</v>
      </c>
    </row>
    <row r="828" spans="1:10">
      <c r="A828" s="102"/>
      <c r="B828" s="102"/>
      <c r="C828" s="103">
        <v>50000</v>
      </c>
      <c r="D828" s="104" t="s">
        <v>3396</v>
      </c>
      <c r="E828" s="113">
        <v>1875</v>
      </c>
      <c r="F828" s="102">
        <v>10</v>
      </c>
      <c r="G828" s="208">
        <f>E828/(C828*H828/30)</f>
        <v>7.4999999999999997E-2</v>
      </c>
      <c r="H828" s="102">
        <v>15</v>
      </c>
      <c r="I828" s="103">
        <f t="shared" si="53"/>
        <v>18750</v>
      </c>
      <c r="J828" s="103">
        <f t="shared" si="54"/>
        <v>12500</v>
      </c>
    </row>
    <row r="829" spans="1:10">
      <c r="A829" s="102"/>
      <c r="B829" s="102"/>
      <c r="C829" s="103">
        <v>20000</v>
      </c>
      <c r="D829" s="112" t="s">
        <v>104</v>
      </c>
      <c r="E829" s="113">
        <v>5375</v>
      </c>
      <c r="F829" s="102">
        <v>4</v>
      </c>
      <c r="G829" s="208">
        <v>0.06</v>
      </c>
      <c r="H829" s="102" t="s">
        <v>664</v>
      </c>
      <c r="I829" s="103">
        <f t="shared" si="53"/>
        <v>1200</v>
      </c>
      <c r="J829" s="103">
        <f t="shared" si="54"/>
        <v>699.99999999999989</v>
      </c>
    </row>
    <row r="830" spans="1:10">
      <c r="A830" s="102"/>
      <c r="B830" s="102"/>
      <c r="C830" s="103">
        <v>50000</v>
      </c>
      <c r="D830" s="104" t="s">
        <v>3101</v>
      </c>
      <c r="E830" s="113">
        <v>1875</v>
      </c>
      <c r="F830" s="102">
        <v>3</v>
      </c>
      <c r="G830" s="208">
        <f>E830/(C830*H830/30)</f>
        <v>7.4999999999999997E-2</v>
      </c>
      <c r="H830" s="102">
        <v>15</v>
      </c>
      <c r="I830" s="103">
        <f t="shared" si="53"/>
        <v>5625</v>
      </c>
      <c r="J830" s="103">
        <f t="shared" si="54"/>
        <v>3750</v>
      </c>
    </row>
    <row r="831" spans="1:10">
      <c r="A831" s="102">
        <v>116</v>
      </c>
      <c r="B831" s="102" t="s">
        <v>234</v>
      </c>
      <c r="C831" s="103">
        <v>10000</v>
      </c>
      <c r="D831" s="104" t="s">
        <v>413</v>
      </c>
      <c r="E831" s="113">
        <v>1200</v>
      </c>
      <c r="F831" s="102">
        <v>10</v>
      </c>
      <c r="G831" s="208">
        <v>0.06</v>
      </c>
      <c r="H831" s="102" t="s">
        <v>664</v>
      </c>
      <c r="I831" s="103">
        <f t="shared" si="53"/>
        <v>1500</v>
      </c>
      <c r="J831" s="103">
        <f t="shared" si="54"/>
        <v>874.99999999999977</v>
      </c>
    </row>
    <row r="832" spans="1:10">
      <c r="A832" s="102"/>
      <c r="B832" s="102"/>
      <c r="C832" s="103">
        <v>70000</v>
      </c>
      <c r="D832" s="104" t="s">
        <v>413</v>
      </c>
      <c r="E832" s="113">
        <v>2625</v>
      </c>
      <c r="F832" s="102">
        <v>5</v>
      </c>
      <c r="G832" s="208">
        <f>E832/(C832*H832/30)</f>
        <v>7.4999999999999997E-2</v>
      </c>
      <c r="H832" s="102">
        <v>15</v>
      </c>
      <c r="I832" s="103">
        <f t="shared" si="53"/>
        <v>13125</v>
      </c>
      <c r="J832" s="103">
        <f t="shared" si="54"/>
        <v>8749.9999999999982</v>
      </c>
    </row>
    <row r="833" spans="1:10">
      <c r="A833" s="102"/>
      <c r="B833" s="102"/>
      <c r="C833" s="103">
        <v>60000</v>
      </c>
      <c r="D833" s="104" t="s">
        <v>413</v>
      </c>
      <c r="E833" s="113">
        <v>2250</v>
      </c>
      <c r="F833" s="102">
        <v>19</v>
      </c>
      <c r="G833" s="208">
        <f>E833/(C833*H833/30)</f>
        <v>7.4999999999999997E-2</v>
      </c>
      <c r="H833" s="102">
        <v>15</v>
      </c>
      <c r="I833" s="103">
        <f t="shared" si="53"/>
        <v>42750</v>
      </c>
      <c r="J833" s="103">
        <f t="shared" si="54"/>
        <v>28499.999999999996</v>
      </c>
    </row>
    <row r="834" spans="1:10">
      <c r="A834" s="102"/>
      <c r="B834" s="102"/>
      <c r="C834" s="103">
        <v>10000</v>
      </c>
      <c r="D834" s="112" t="s">
        <v>105</v>
      </c>
      <c r="E834" s="113">
        <v>1150</v>
      </c>
      <c r="F834" s="102">
        <v>10</v>
      </c>
      <c r="G834" s="208">
        <v>0.06</v>
      </c>
      <c r="H834" s="102" t="s">
        <v>664</v>
      </c>
      <c r="I834" s="103">
        <f t="shared" si="53"/>
        <v>1500</v>
      </c>
      <c r="J834" s="103">
        <f t="shared" si="54"/>
        <v>874.99999999999977</v>
      </c>
    </row>
    <row r="835" spans="1:10">
      <c r="A835" s="102">
        <v>117</v>
      </c>
      <c r="B835" s="102" t="s">
        <v>237</v>
      </c>
      <c r="C835" s="103">
        <v>10000</v>
      </c>
      <c r="D835" s="104" t="s">
        <v>3183</v>
      </c>
      <c r="E835" s="113">
        <v>1200</v>
      </c>
      <c r="F835" s="102">
        <v>10</v>
      </c>
      <c r="G835" s="208">
        <v>0.06</v>
      </c>
      <c r="H835" s="102" t="s">
        <v>664</v>
      </c>
      <c r="I835" s="103">
        <f t="shared" si="53"/>
        <v>1500</v>
      </c>
      <c r="J835" s="103">
        <f t="shared" si="54"/>
        <v>874.99999999999977</v>
      </c>
    </row>
    <row r="836" spans="1:10">
      <c r="A836" s="102"/>
      <c r="B836" s="102"/>
      <c r="C836" s="103">
        <v>20000</v>
      </c>
      <c r="D836" s="104" t="s">
        <v>3183</v>
      </c>
      <c r="E836" s="113">
        <v>750</v>
      </c>
      <c r="F836" s="102">
        <v>4</v>
      </c>
      <c r="G836" s="208">
        <f>E836/(C836*H836/30)</f>
        <v>7.4999999999999997E-2</v>
      </c>
      <c r="H836" s="102">
        <v>15</v>
      </c>
      <c r="I836" s="103">
        <f t="shared" si="53"/>
        <v>3000</v>
      </c>
      <c r="J836" s="103">
        <f t="shared" si="54"/>
        <v>1999.9999999999998</v>
      </c>
    </row>
    <row r="837" spans="1:10">
      <c r="A837" s="102"/>
      <c r="B837" s="102"/>
      <c r="C837" s="103">
        <v>10000</v>
      </c>
      <c r="D837" s="104" t="s">
        <v>238</v>
      </c>
      <c r="E837" s="113">
        <v>1150</v>
      </c>
      <c r="F837" s="102">
        <v>3</v>
      </c>
      <c r="G837" s="208">
        <v>0.06</v>
      </c>
      <c r="H837" s="102" t="s">
        <v>664</v>
      </c>
      <c r="I837" s="103">
        <f t="shared" ref="I837:I900" si="56">IF(H837="分期",C837*G837*2.5*F837/10,C837*G837*H837/30*F837)</f>
        <v>450</v>
      </c>
      <c r="J837" s="103">
        <f t="shared" ref="J837:J900" si="57">IF(H837="分期",C837*(G837-0.025)*2.5*F837/10,C837*(G837-0.025)*H837/30*F837)</f>
        <v>262.49999999999994</v>
      </c>
    </row>
    <row r="838" spans="1:10">
      <c r="A838" s="102"/>
      <c r="B838" s="102"/>
      <c r="C838" s="103">
        <v>10000</v>
      </c>
      <c r="D838" s="104" t="s">
        <v>3183</v>
      </c>
      <c r="E838" s="113">
        <v>1200</v>
      </c>
      <c r="F838" s="102">
        <v>10</v>
      </c>
      <c r="G838" s="208">
        <v>0.06</v>
      </c>
      <c r="H838" s="102" t="s">
        <v>664</v>
      </c>
      <c r="I838" s="103">
        <f t="shared" si="56"/>
        <v>1500</v>
      </c>
      <c r="J838" s="103">
        <f t="shared" si="57"/>
        <v>874.99999999999977</v>
      </c>
    </row>
    <row r="839" spans="1:10">
      <c r="A839" s="102"/>
      <c r="B839" s="102"/>
      <c r="C839" s="103">
        <v>10000</v>
      </c>
      <c r="D839" s="104" t="s">
        <v>3183</v>
      </c>
      <c r="E839" s="113">
        <v>375</v>
      </c>
      <c r="F839" s="102">
        <v>11</v>
      </c>
      <c r="G839" s="208">
        <f>E839/(C839*H839/30)</f>
        <v>7.4999999999999997E-2</v>
      </c>
      <c r="H839" s="102">
        <v>15</v>
      </c>
      <c r="I839" s="103">
        <f t="shared" si="56"/>
        <v>4125</v>
      </c>
      <c r="J839" s="103">
        <f t="shared" si="57"/>
        <v>2749.9999999999995</v>
      </c>
    </row>
    <row r="840" spans="1:10">
      <c r="A840" s="102"/>
      <c r="B840" s="102"/>
      <c r="C840" s="103">
        <v>10000</v>
      </c>
      <c r="D840" s="104" t="s">
        <v>239</v>
      </c>
      <c r="E840" s="113">
        <v>1150</v>
      </c>
      <c r="F840" s="102">
        <v>10</v>
      </c>
      <c r="G840" s="208">
        <v>0.06</v>
      </c>
      <c r="H840" s="102" t="s">
        <v>664</v>
      </c>
      <c r="I840" s="103">
        <f t="shared" si="56"/>
        <v>1500</v>
      </c>
      <c r="J840" s="103">
        <f t="shared" si="57"/>
        <v>874.99999999999977</v>
      </c>
    </row>
    <row r="841" spans="1:10">
      <c r="A841" s="102"/>
      <c r="B841" s="102"/>
      <c r="C841" s="103">
        <v>10000</v>
      </c>
      <c r="D841" s="104" t="s">
        <v>1693</v>
      </c>
      <c r="E841" s="113">
        <v>1150</v>
      </c>
      <c r="F841" s="102">
        <v>10</v>
      </c>
      <c r="G841" s="208">
        <v>0.06</v>
      </c>
      <c r="H841" s="102" t="s">
        <v>664</v>
      </c>
      <c r="I841" s="103">
        <f t="shared" si="56"/>
        <v>1500</v>
      </c>
      <c r="J841" s="103">
        <f t="shared" si="57"/>
        <v>874.99999999999977</v>
      </c>
    </row>
    <row r="842" spans="1:10">
      <c r="A842" s="102">
        <v>118</v>
      </c>
      <c r="B842" s="102" t="s">
        <v>240</v>
      </c>
      <c r="C842" s="103">
        <v>20000</v>
      </c>
      <c r="D842" s="104" t="s">
        <v>3183</v>
      </c>
      <c r="E842" s="113">
        <v>2400</v>
      </c>
      <c r="F842" s="102">
        <v>4</v>
      </c>
      <c r="G842" s="208">
        <v>0.06</v>
      </c>
      <c r="H842" s="102" t="s">
        <v>664</v>
      </c>
      <c r="I842" s="103">
        <f t="shared" si="56"/>
        <v>1200</v>
      </c>
      <c r="J842" s="103">
        <f t="shared" si="57"/>
        <v>699.99999999999989</v>
      </c>
    </row>
    <row r="843" spans="1:10">
      <c r="A843" s="102"/>
      <c r="B843" s="102"/>
      <c r="C843" s="103">
        <v>80000</v>
      </c>
      <c r="D843" s="104" t="s">
        <v>3183</v>
      </c>
      <c r="E843" s="113">
        <v>3000</v>
      </c>
      <c r="F843" s="102">
        <v>2</v>
      </c>
      <c r="G843" s="208">
        <f>E843/(C843*H843/30)</f>
        <v>7.4999999999999997E-2</v>
      </c>
      <c r="H843" s="102">
        <v>15</v>
      </c>
      <c r="I843" s="103">
        <f t="shared" si="56"/>
        <v>6000</v>
      </c>
      <c r="J843" s="103">
        <f t="shared" si="57"/>
        <v>3999.9999999999995</v>
      </c>
    </row>
    <row r="844" spans="1:10">
      <c r="A844" s="102">
        <v>120</v>
      </c>
      <c r="B844" s="102" t="s">
        <v>241</v>
      </c>
      <c r="C844" s="103">
        <v>10000</v>
      </c>
      <c r="D844" s="104" t="s">
        <v>3135</v>
      </c>
      <c r="E844" s="113">
        <v>375</v>
      </c>
      <c r="F844" s="102">
        <v>26</v>
      </c>
      <c r="G844" s="208">
        <f>E844/(C844*H844/30)</f>
        <v>7.4999999999999997E-2</v>
      </c>
      <c r="H844" s="102">
        <v>15</v>
      </c>
      <c r="I844" s="103">
        <f t="shared" si="56"/>
        <v>9750</v>
      </c>
      <c r="J844" s="103">
        <f t="shared" si="57"/>
        <v>6499.9999999999991</v>
      </c>
    </row>
    <row r="845" spans="1:10">
      <c r="A845" s="102"/>
      <c r="B845" s="102"/>
      <c r="C845" s="103">
        <v>10000</v>
      </c>
      <c r="D845" s="104" t="s">
        <v>3135</v>
      </c>
      <c r="E845" s="113">
        <v>1200</v>
      </c>
      <c r="F845" s="102">
        <v>10</v>
      </c>
      <c r="G845" s="208">
        <v>0.06</v>
      </c>
      <c r="H845" s="102" t="s">
        <v>664</v>
      </c>
      <c r="I845" s="103">
        <f t="shared" si="56"/>
        <v>1500</v>
      </c>
      <c r="J845" s="103">
        <f t="shared" si="57"/>
        <v>874.99999999999977</v>
      </c>
    </row>
    <row r="846" spans="1:10">
      <c r="A846" s="102"/>
      <c r="B846" s="102"/>
      <c r="C846" s="103">
        <v>10000</v>
      </c>
      <c r="D846" s="104" t="s">
        <v>245</v>
      </c>
      <c r="E846" s="113">
        <v>1150</v>
      </c>
      <c r="F846" s="102">
        <v>10</v>
      </c>
      <c r="G846" s="208">
        <v>0.06</v>
      </c>
      <c r="H846" s="102" t="s">
        <v>664</v>
      </c>
      <c r="I846" s="103">
        <f t="shared" si="56"/>
        <v>1500</v>
      </c>
      <c r="J846" s="103">
        <f t="shared" si="57"/>
        <v>874.99999999999977</v>
      </c>
    </row>
    <row r="847" spans="1:10">
      <c r="A847" s="102"/>
      <c r="B847" s="102"/>
      <c r="C847" s="103">
        <v>10000</v>
      </c>
      <c r="D847" s="104" t="s">
        <v>3122</v>
      </c>
      <c r="E847" s="113">
        <v>1150</v>
      </c>
      <c r="F847" s="102">
        <v>10</v>
      </c>
      <c r="G847" s="208">
        <v>0.06</v>
      </c>
      <c r="H847" s="102" t="s">
        <v>664</v>
      </c>
      <c r="I847" s="103">
        <f t="shared" si="56"/>
        <v>1500</v>
      </c>
      <c r="J847" s="103">
        <f t="shared" si="57"/>
        <v>874.99999999999977</v>
      </c>
    </row>
    <row r="848" spans="1:10">
      <c r="A848" s="102"/>
      <c r="B848" s="102"/>
      <c r="C848" s="103">
        <v>10000</v>
      </c>
      <c r="D848" s="104" t="s">
        <v>686</v>
      </c>
      <c r="E848" s="113">
        <v>1150</v>
      </c>
      <c r="F848" s="102">
        <v>10</v>
      </c>
      <c r="G848" s="208">
        <v>0.06</v>
      </c>
      <c r="H848" s="102" t="s">
        <v>664</v>
      </c>
      <c r="I848" s="103">
        <f t="shared" si="56"/>
        <v>1500</v>
      </c>
      <c r="J848" s="103">
        <f t="shared" si="57"/>
        <v>874.99999999999977</v>
      </c>
    </row>
    <row r="849" spans="1:10">
      <c r="A849" s="102"/>
      <c r="B849" s="102"/>
      <c r="C849" s="103">
        <v>10000</v>
      </c>
      <c r="D849" s="104" t="s">
        <v>247</v>
      </c>
      <c r="E849" s="113">
        <v>1150</v>
      </c>
      <c r="F849" s="102">
        <v>10</v>
      </c>
      <c r="G849" s="208">
        <v>0.06</v>
      </c>
      <c r="H849" s="102" t="s">
        <v>664</v>
      </c>
      <c r="I849" s="103">
        <f t="shared" si="56"/>
        <v>1500</v>
      </c>
      <c r="J849" s="103">
        <f t="shared" si="57"/>
        <v>874.99999999999977</v>
      </c>
    </row>
    <row r="850" spans="1:10">
      <c r="A850" s="102"/>
      <c r="B850" s="102"/>
      <c r="C850" s="103">
        <v>10000</v>
      </c>
      <c r="D850" s="104" t="s">
        <v>2532</v>
      </c>
      <c r="E850" s="113">
        <v>1150</v>
      </c>
      <c r="F850" s="102">
        <v>10</v>
      </c>
      <c r="G850" s="208">
        <v>0.06</v>
      </c>
      <c r="H850" s="102" t="s">
        <v>664</v>
      </c>
      <c r="I850" s="103">
        <f t="shared" si="56"/>
        <v>1500</v>
      </c>
      <c r="J850" s="103">
        <f t="shared" si="57"/>
        <v>874.99999999999977</v>
      </c>
    </row>
    <row r="851" spans="1:10">
      <c r="A851" s="102"/>
      <c r="B851" s="102"/>
      <c r="C851" s="103">
        <v>10000</v>
      </c>
      <c r="D851" s="104" t="s">
        <v>3145</v>
      </c>
      <c r="E851" s="113">
        <v>1150</v>
      </c>
      <c r="F851" s="102">
        <v>10</v>
      </c>
      <c r="G851" s="208">
        <v>0.06</v>
      </c>
      <c r="H851" s="102" t="s">
        <v>664</v>
      </c>
      <c r="I851" s="103">
        <f t="shared" si="56"/>
        <v>1500</v>
      </c>
      <c r="J851" s="103">
        <f t="shared" si="57"/>
        <v>874.99999999999977</v>
      </c>
    </row>
    <row r="852" spans="1:10">
      <c r="A852" s="102"/>
      <c r="B852" s="102"/>
      <c r="C852" s="103">
        <v>10000</v>
      </c>
      <c r="D852" s="104" t="s">
        <v>246</v>
      </c>
      <c r="E852" s="113">
        <v>1150</v>
      </c>
      <c r="F852" s="102">
        <v>10</v>
      </c>
      <c r="G852" s="208">
        <v>0.06</v>
      </c>
      <c r="H852" s="102" t="s">
        <v>664</v>
      </c>
      <c r="I852" s="103">
        <f t="shared" si="56"/>
        <v>1500</v>
      </c>
      <c r="J852" s="103">
        <f t="shared" si="57"/>
        <v>874.99999999999977</v>
      </c>
    </row>
    <row r="853" spans="1:10">
      <c r="A853" s="102"/>
      <c r="B853" s="102"/>
      <c r="C853" s="103">
        <v>10000</v>
      </c>
      <c r="D853" s="104" t="s">
        <v>998</v>
      </c>
      <c r="E853" s="113">
        <v>1150</v>
      </c>
      <c r="F853" s="102">
        <v>10</v>
      </c>
      <c r="G853" s="208">
        <v>0.06</v>
      </c>
      <c r="H853" s="102" t="s">
        <v>664</v>
      </c>
      <c r="I853" s="103">
        <f t="shared" si="56"/>
        <v>1500</v>
      </c>
      <c r="J853" s="103">
        <f t="shared" si="57"/>
        <v>874.99999999999977</v>
      </c>
    </row>
    <row r="854" spans="1:10">
      <c r="A854" s="102"/>
      <c r="B854" s="102"/>
      <c r="C854" s="103">
        <v>10000</v>
      </c>
      <c r="D854" s="104" t="s">
        <v>243</v>
      </c>
      <c r="E854" s="113">
        <v>375</v>
      </c>
      <c r="F854" s="102">
        <v>20</v>
      </c>
      <c r="G854" s="208">
        <f>E854/(C854*H854/30)</f>
        <v>7.4999999999999997E-2</v>
      </c>
      <c r="H854" s="102">
        <v>15</v>
      </c>
      <c r="I854" s="103">
        <f t="shared" si="56"/>
        <v>7500</v>
      </c>
      <c r="J854" s="103">
        <f t="shared" si="57"/>
        <v>4999.9999999999991</v>
      </c>
    </row>
    <row r="855" spans="1:10">
      <c r="A855" s="102"/>
      <c r="B855" s="102"/>
      <c r="C855" s="103">
        <v>10000</v>
      </c>
      <c r="D855" s="112" t="s">
        <v>106</v>
      </c>
      <c r="E855" s="113">
        <v>1150</v>
      </c>
      <c r="F855" s="102">
        <v>10</v>
      </c>
      <c r="G855" s="208">
        <v>0.06</v>
      </c>
      <c r="H855" s="102" t="s">
        <v>664</v>
      </c>
      <c r="I855" s="103">
        <f t="shared" si="56"/>
        <v>1500</v>
      </c>
      <c r="J855" s="103">
        <f t="shared" si="57"/>
        <v>874.99999999999977</v>
      </c>
    </row>
    <row r="856" spans="1:10">
      <c r="A856" s="102"/>
      <c r="B856" s="102"/>
      <c r="C856" s="103">
        <v>10000</v>
      </c>
      <c r="D856" s="112" t="s">
        <v>107</v>
      </c>
      <c r="E856" s="113">
        <v>1150</v>
      </c>
      <c r="F856" s="102">
        <v>10</v>
      </c>
      <c r="G856" s="208">
        <v>0.06</v>
      </c>
      <c r="H856" s="102" t="s">
        <v>664</v>
      </c>
      <c r="I856" s="103">
        <f t="shared" si="56"/>
        <v>1500</v>
      </c>
      <c r="J856" s="103">
        <f t="shared" si="57"/>
        <v>874.99999999999977</v>
      </c>
    </row>
    <row r="857" spans="1:10">
      <c r="A857" s="102"/>
      <c r="B857" s="102"/>
      <c r="C857" s="103">
        <v>10000</v>
      </c>
      <c r="D857" s="104" t="s">
        <v>248</v>
      </c>
      <c r="E857" s="113">
        <v>375</v>
      </c>
      <c r="F857" s="102">
        <v>13</v>
      </c>
      <c r="G857" s="208">
        <f>E857/(C857*H857/30)</f>
        <v>7.4999999999999997E-2</v>
      </c>
      <c r="H857" s="102">
        <v>15</v>
      </c>
      <c r="I857" s="103">
        <f t="shared" si="56"/>
        <v>4875</v>
      </c>
      <c r="J857" s="103">
        <f t="shared" si="57"/>
        <v>3249.9999999999995</v>
      </c>
    </row>
    <row r="858" spans="1:10">
      <c r="A858" s="102"/>
      <c r="B858" s="102"/>
      <c r="C858" s="103">
        <v>10000</v>
      </c>
      <c r="D858" s="112" t="s">
        <v>108</v>
      </c>
      <c r="E858" s="113">
        <v>1150</v>
      </c>
      <c r="F858" s="102">
        <v>10</v>
      </c>
      <c r="G858" s="208">
        <v>0.06</v>
      </c>
      <c r="H858" s="102" t="s">
        <v>664</v>
      </c>
      <c r="I858" s="103">
        <f t="shared" si="56"/>
        <v>1500</v>
      </c>
      <c r="J858" s="103">
        <f t="shared" si="57"/>
        <v>874.99999999999977</v>
      </c>
    </row>
    <row r="859" spans="1:10">
      <c r="A859" s="102"/>
      <c r="B859" s="102"/>
      <c r="C859" s="103">
        <v>10000</v>
      </c>
      <c r="D859" s="104" t="s">
        <v>1974</v>
      </c>
      <c r="E859" s="113">
        <v>1150</v>
      </c>
      <c r="F859" s="102">
        <v>10</v>
      </c>
      <c r="G859" s="208">
        <v>0.06</v>
      </c>
      <c r="H859" s="102" t="s">
        <v>664</v>
      </c>
      <c r="I859" s="103">
        <f t="shared" si="56"/>
        <v>1500</v>
      </c>
      <c r="J859" s="103">
        <f t="shared" si="57"/>
        <v>874.99999999999977</v>
      </c>
    </row>
    <row r="860" spans="1:10">
      <c r="A860" s="102"/>
      <c r="B860" s="102"/>
      <c r="C860" s="103">
        <v>10000</v>
      </c>
      <c r="D860" s="104" t="s">
        <v>1515</v>
      </c>
      <c r="E860" s="113">
        <v>375</v>
      </c>
      <c r="F860" s="102">
        <v>2</v>
      </c>
      <c r="G860" s="208">
        <f>E860/(C860*H860/30)</f>
        <v>7.4999999999999997E-2</v>
      </c>
      <c r="H860" s="102">
        <v>15</v>
      </c>
      <c r="I860" s="103">
        <f t="shared" si="56"/>
        <v>750</v>
      </c>
      <c r="J860" s="103">
        <f t="shared" si="57"/>
        <v>499.99999999999994</v>
      </c>
    </row>
    <row r="861" spans="1:10">
      <c r="A861" s="102"/>
      <c r="B861" s="102"/>
      <c r="C861" s="103">
        <v>20000</v>
      </c>
      <c r="D861" s="104" t="s">
        <v>3178</v>
      </c>
      <c r="E861" s="113">
        <v>750</v>
      </c>
      <c r="F861" s="102">
        <v>4</v>
      </c>
      <c r="G861" s="208">
        <f>E861/(C861*H861/30)</f>
        <v>7.4999999999999997E-2</v>
      </c>
      <c r="H861" s="102">
        <v>15</v>
      </c>
      <c r="I861" s="103">
        <f t="shared" si="56"/>
        <v>3000</v>
      </c>
      <c r="J861" s="103">
        <f t="shared" si="57"/>
        <v>1999.9999999999998</v>
      </c>
    </row>
    <row r="862" spans="1:10">
      <c r="A862" s="102"/>
      <c r="B862" s="102"/>
      <c r="C862" s="103">
        <v>10000</v>
      </c>
      <c r="D862" s="104" t="s">
        <v>3178</v>
      </c>
      <c r="E862" s="113">
        <v>1150</v>
      </c>
      <c r="F862" s="102">
        <v>8</v>
      </c>
      <c r="G862" s="208">
        <v>0.06</v>
      </c>
      <c r="H862" s="102" t="s">
        <v>664</v>
      </c>
      <c r="I862" s="103">
        <f t="shared" si="56"/>
        <v>1200</v>
      </c>
      <c r="J862" s="103">
        <f t="shared" si="57"/>
        <v>699.99999999999989</v>
      </c>
    </row>
    <row r="863" spans="1:10">
      <c r="A863" s="102">
        <v>121</v>
      </c>
      <c r="B863" s="102" t="s">
        <v>249</v>
      </c>
      <c r="C863" s="103">
        <v>10000</v>
      </c>
      <c r="D863" s="104" t="s">
        <v>3139</v>
      </c>
      <c r="E863" s="113">
        <v>1200</v>
      </c>
      <c r="F863" s="102">
        <v>10</v>
      </c>
      <c r="G863" s="208">
        <v>0.06</v>
      </c>
      <c r="H863" s="102" t="s">
        <v>664</v>
      </c>
      <c r="I863" s="103">
        <f t="shared" si="56"/>
        <v>1500</v>
      </c>
      <c r="J863" s="103">
        <f t="shared" si="57"/>
        <v>874.99999999999977</v>
      </c>
    </row>
    <row r="864" spans="1:10">
      <c r="A864" s="102"/>
      <c r="B864" s="102"/>
      <c r="C864" s="103">
        <v>60000</v>
      </c>
      <c r="D864" s="104" t="s">
        <v>654</v>
      </c>
      <c r="E864" s="113">
        <v>2250</v>
      </c>
      <c r="F864" s="102">
        <v>7</v>
      </c>
      <c r="G864" s="208">
        <f>E864/(C864*H864/30)</f>
        <v>7.4999999999999997E-2</v>
      </c>
      <c r="H864" s="102">
        <v>15</v>
      </c>
      <c r="I864" s="103">
        <f t="shared" si="56"/>
        <v>15750</v>
      </c>
      <c r="J864" s="103">
        <f t="shared" si="57"/>
        <v>10499.999999999998</v>
      </c>
    </row>
    <row r="865" spans="1:10">
      <c r="A865" s="102"/>
      <c r="B865" s="102"/>
      <c r="C865" s="103">
        <v>30000</v>
      </c>
      <c r="D865" s="104" t="s">
        <v>654</v>
      </c>
      <c r="E865" s="113">
        <v>3600</v>
      </c>
      <c r="F865" s="102">
        <v>10</v>
      </c>
      <c r="G865" s="208">
        <v>0.06</v>
      </c>
      <c r="H865" s="102" t="s">
        <v>664</v>
      </c>
      <c r="I865" s="103">
        <f t="shared" si="56"/>
        <v>4500</v>
      </c>
      <c r="J865" s="103">
        <f t="shared" si="57"/>
        <v>2625</v>
      </c>
    </row>
    <row r="866" spans="1:10">
      <c r="A866" s="102"/>
      <c r="B866" s="102"/>
      <c r="C866" s="103">
        <v>20000</v>
      </c>
      <c r="D866" s="104" t="s">
        <v>250</v>
      </c>
      <c r="E866" s="113">
        <v>750</v>
      </c>
      <c r="F866" s="102">
        <v>7</v>
      </c>
      <c r="G866" s="208">
        <f>E866/(C866*H866/30)</f>
        <v>7.4999999999999997E-2</v>
      </c>
      <c r="H866" s="102">
        <v>15</v>
      </c>
      <c r="I866" s="103">
        <f t="shared" si="56"/>
        <v>5250</v>
      </c>
      <c r="J866" s="103">
        <f t="shared" si="57"/>
        <v>3499.9999999999995</v>
      </c>
    </row>
    <row r="867" spans="1:10">
      <c r="A867" s="102"/>
      <c r="B867" s="102"/>
      <c r="C867" s="103">
        <v>10000</v>
      </c>
      <c r="D867" s="104" t="s">
        <v>239</v>
      </c>
      <c r="E867" s="113">
        <v>1150</v>
      </c>
      <c r="F867" s="102">
        <v>10</v>
      </c>
      <c r="G867" s="208">
        <v>0.06</v>
      </c>
      <c r="H867" s="102" t="s">
        <v>664</v>
      </c>
      <c r="I867" s="103">
        <f t="shared" si="56"/>
        <v>1500</v>
      </c>
      <c r="J867" s="103">
        <f t="shared" si="57"/>
        <v>874.99999999999977</v>
      </c>
    </row>
    <row r="868" spans="1:10">
      <c r="A868" s="102"/>
      <c r="B868" s="102"/>
      <c r="C868" s="103">
        <v>30000</v>
      </c>
      <c r="D868" s="112" t="s">
        <v>109</v>
      </c>
      <c r="E868" s="113">
        <v>3450</v>
      </c>
      <c r="F868" s="102">
        <v>8</v>
      </c>
      <c r="G868" s="208">
        <v>0.06</v>
      </c>
      <c r="H868" s="102" t="s">
        <v>664</v>
      </c>
      <c r="I868" s="103">
        <f t="shared" si="56"/>
        <v>3600</v>
      </c>
      <c r="J868" s="103">
        <f t="shared" si="57"/>
        <v>2100</v>
      </c>
    </row>
    <row r="869" spans="1:10">
      <c r="A869" s="102"/>
      <c r="B869" s="102"/>
      <c r="C869" s="103">
        <v>10000</v>
      </c>
      <c r="D869" s="104" t="s">
        <v>3158</v>
      </c>
      <c r="E869" s="113">
        <v>1150</v>
      </c>
      <c r="F869" s="102">
        <v>3</v>
      </c>
      <c r="G869" s="208">
        <v>0.06</v>
      </c>
      <c r="H869" s="102" t="s">
        <v>664</v>
      </c>
      <c r="I869" s="103">
        <f t="shared" si="56"/>
        <v>450</v>
      </c>
      <c r="J869" s="103">
        <f t="shared" si="57"/>
        <v>262.49999999999994</v>
      </c>
    </row>
    <row r="870" spans="1:10">
      <c r="A870" s="102">
        <v>122</v>
      </c>
      <c r="B870" s="102" t="s">
        <v>252</v>
      </c>
      <c r="C870" s="103">
        <v>10000</v>
      </c>
      <c r="D870" s="104" t="s">
        <v>654</v>
      </c>
      <c r="E870" s="113">
        <v>1200</v>
      </c>
      <c r="F870" s="102">
        <v>10</v>
      </c>
      <c r="G870" s="208">
        <v>0.06</v>
      </c>
      <c r="H870" s="102" t="s">
        <v>664</v>
      </c>
      <c r="I870" s="103">
        <f t="shared" si="56"/>
        <v>1500</v>
      </c>
      <c r="J870" s="103">
        <f t="shared" si="57"/>
        <v>874.99999999999977</v>
      </c>
    </row>
    <row r="871" spans="1:10">
      <c r="A871" s="102"/>
      <c r="B871" s="102"/>
      <c r="C871" s="103">
        <v>25000</v>
      </c>
      <c r="D871" s="104" t="s">
        <v>654</v>
      </c>
      <c r="E871" s="113">
        <v>940</v>
      </c>
      <c r="F871" s="102">
        <v>10</v>
      </c>
      <c r="G871" s="208">
        <f>E871/(C871*H871/30)</f>
        <v>7.5200000000000003E-2</v>
      </c>
      <c r="H871" s="102">
        <v>15</v>
      </c>
      <c r="I871" s="103">
        <f t="shared" si="56"/>
        <v>9400</v>
      </c>
      <c r="J871" s="103">
        <f t="shared" si="57"/>
        <v>6275</v>
      </c>
    </row>
    <row r="872" spans="1:10">
      <c r="A872" s="102"/>
      <c r="B872" s="102"/>
      <c r="C872" s="103">
        <v>30000</v>
      </c>
      <c r="D872" s="104" t="s">
        <v>2350</v>
      </c>
      <c r="E872" s="113">
        <v>1125</v>
      </c>
      <c r="F872" s="102">
        <v>30</v>
      </c>
      <c r="G872" s="208">
        <f>E872/(C872*H872/30)</f>
        <v>7.4999999999999997E-2</v>
      </c>
      <c r="H872" s="102">
        <v>15</v>
      </c>
      <c r="I872" s="103">
        <f t="shared" si="56"/>
        <v>33750</v>
      </c>
      <c r="J872" s="103">
        <f t="shared" si="57"/>
        <v>22499.999999999996</v>
      </c>
    </row>
    <row r="873" spans="1:10">
      <c r="A873" s="102"/>
      <c r="B873" s="102"/>
      <c r="C873" s="103">
        <v>10000</v>
      </c>
      <c r="D873" s="104" t="s">
        <v>253</v>
      </c>
      <c r="E873" s="113">
        <v>1150</v>
      </c>
      <c r="F873" s="102">
        <v>10</v>
      </c>
      <c r="G873" s="208">
        <v>0.06</v>
      </c>
      <c r="H873" s="102" t="s">
        <v>664</v>
      </c>
      <c r="I873" s="103">
        <f t="shared" si="56"/>
        <v>1500</v>
      </c>
      <c r="J873" s="103">
        <f t="shared" si="57"/>
        <v>874.99999999999977</v>
      </c>
    </row>
    <row r="874" spans="1:10">
      <c r="A874" s="102"/>
      <c r="B874" s="102"/>
      <c r="C874" s="103">
        <v>20000</v>
      </c>
      <c r="D874" s="104" t="s">
        <v>1522</v>
      </c>
      <c r="E874" s="113">
        <v>750</v>
      </c>
      <c r="F874" s="102">
        <v>39</v>
      </c>
      <c r="G874" s="208">
        <f>E874/(C874*H874/30)</f>
        <v>7.4999999999999997E-2</v>
      </c>
      <c r="H874" s="102">
        <v>15</v>
      </c>
      <c r="I874" s="103">
        <f t="shared" si="56"/>
        <v>29250</v>
      </c>
      <c r="J874" s="103">
        <f t="shared" si="57"/>
        <v>19499.999999999996</v>
      </c>
    </row>
    <row r="875" spans="1:10">
      <c r="A875" s="102"/>
      <c r="B875" s="102"/>
      <c r="C875" s="103">
        <v>10000</v>
      </c>
      <c r="D875" s="112" t="s">
        <v>110</v>
      </c>
      <c r="E875" s="113">
        <v>1150</v>
      </c>
      <c r="F875" s="102">
        <v>10</v>
      </c>
      <c r="G875" s="208">
        <v>0.06</v>
      </c>
      <c r="H875" s="102" t="s">
        <v>664</v>
      </c>
      <c r="I875" s="103">
        <f t="shared" si="56"/>
        <v>1500</v>
      </c>
      <c r="J875" s="103">
        <f t="shared" si="57"/>
        <v>874.99999999999977</v>
      </c>
    </row>
    <row r="876" spans="1:10">
      <c r="A876" s="102"/>
      <c r="B876" s="102"/>
      <c r="C876" s="103">
        <v>10000</v>
      </c>
      <c r="D876" s="104" t="s">
        <v>248</v>
      </c>
      <c r="E876" s="113">
        <v>1150</v>
      </c>
      <c r="F876" s="102">
        <v>10</v>
      </c>
      <c r="G876" s="208">
        <v>0.06</v>
      </c>
      <c r="H876" s="102" t="s">
        <v>664</v>
      </c>
      <c r="I876" s="103">
        <f t="shared" si="56"/>
        <v>1500</v>
      </c>
      <c r="J876" s="103">
        <f t="shared" si="57"/>
        <v>874.99999999999977</v>
      </c>
    </row>
    <row r="877" spans="1:10">
      <c r="A877" s="102"/>
      <c r="B877" s="102"/>
      <c r="C877" s="103">
        <v>10000</v>
      </c>
      <c r="D877" s="104" t="s">
        <v>446</v>
      </c>
      <c r="E877" s="113">
        <v>1150</v>
      </c>
      <c r="F877" s="102">
        <v>10</v>
      </c>
      <c r="G877" s="208">
        <v>0.06</v>
      </c>
      <c r="H877" s="102" t="s">
        <v>664</v>
      </c>
      <c r="I877" s="103">
        <f t="shared" si="56"/>
        <v>1500</v>
      </c>
      <c r="J877" s="103">
        <f t="shared" si="57"/>
        <v>874.99999999999977</v>
      </c>
    </row>
    <row r="878" spans="1:10">
      <c r="A878" s="102"/>
      <c r="B878" s="102"/>
      <c r="C878" s="103">
        <v>10000</v>
      </c>
      <c r="D878" s="112" t="s">
        <v>111</v>
      </c>
      <c r="E878" s="113">
        <v>1150</v>
      </c>
      <c r="F878" s="102">
        <v>10</v>
      </c>
      <c r="G878" s="208">
        <v>0.06</v>
      </c>
      <c r="H878" s="102" t="s">
        <v>1917</v>
      </c>
      <c r="I878" s="103">
        <f t="shared" si="56"/>
        <v>1500</v>
      </c>
      <c r="J878" s="103">
        <f t="shared" si="57"/>
        <v>874.99999999999977</v>
      </c>
    </row>
    <row r="879" spans="1:10">
      <c r="A879" s="102"/>
      <c r="B879" s="102"/>
      <c r="C879" s="103">
        <v>20000</v>
      </c>
      <c r="D879" s="112" t="s">
        <v>112</v>
      </c>
      <c r="E879" s="113">
        <v>2300</v>
      </c>
      <c r="F879" s="102">
        <v>10</v>
      </c>
      <c r="G879" s="208">
        <v>0.06</v>
      </c>
      <c r="H879" s="102" t="s">
        <v>1917</v>
      </c>
      <c r="I879" s="103">
        <f t="shared" si="56"/>
        <v>3000</v>
      </c>
      <c r="J879" s="103">
        <f t="shared" si="57"/>
        <v>1749.9999999999995</v>
      </c>
    </row>
    <row r="880" spans="1:10">
      <c r="A880" s="102"/>
      <c r="B880" s="102"/>
      <c r="C880" s="103">
        <v>20000</v>
      </c>
      <c r="D880" s="104" t="s">
        <v>1695</v>
      </c>
      <c r="E880" s="113">
        <v>2300</v>
      </c>
      <c r="F880" s="102">
        <v>10</v>
      </c>
      <c r="G880" s="208">
        <v>0.06</v>
      </c>
      <c r="H880" s="102" t="s">
        <v>664</v>
      </c>
      <c r="I880" s="103">
        <f t="shared" si="56"/>
        <v>3000</v>
      </c>
      <c r="J880" s="103">
        <f t="shared" si="57"/>
        <v>1749.9999999999995</v>
      </c>
    </row>
    <row r="881" spans="1:10">
      <c r="A881" s="102"/>
      <c r="B881" s="102"/>
      <c r="C881" s="103">
        <v>10000</v>
      </c>
      <c r="D881" s="112" t="s">
        <v>113</v>
      </c>
      <c r="E881" s="113">
        <v>375</v>
      </c>
      <c r="F881" s="102">
        <v>17</v>
      </c>
      <c r="G881" s="208">
        <f>E881/(C881*H881/30)</f>
        <v>7.4999999999999997E-2</v>
      </c>
      <c r="H881" s="102">
        <v>15</v>
      </c>
      <c r="I881" s="103">
        <f t="shared" si="56"/>
        <v>6375</v>
      </c>
      <c r="J881" s="103">
        <f t="shared" si="57"/>
        <v>4249.9999999999991</v>
      </c>
    </row>
    <row r="882" spans="1:10">
      <c r="A882" s="102"/>
      <c r="B882" s="102"/>
      <c r="C882" s="103">
        <v>10000</v>
      </c>
      <c r="D882" s="104" t="s">
        <v>987</v>
      </c>
      <c r="E882" s="113">
        <v>1150</v>
      </c>
      <c r="F882" s="102">
        <v>10</v>
      </c>
      <c r="G882" s="208">
        <v>0.06</v>
      </c>
      <c r="H882" s="102" t="s">
        <v>664</v>
      </c>
      <c r="I882" s="103">
        <f t="shared" si="56"/>
        <v>1500</v>
      </c>
      <c r="J882" s="103">
        <f t="shared" si="57"/>
        <v>874.99999999999977</v>
      </c>
    </row>
    <row r="883" spans="1:10">
      <c r="A883" s="102"/>
      <c r="B883" s="102"/>
      <c r="C883" s="103">
        <v>10000</v>
      </c>
      <c r="D883" s="112" t="s">
        <v>114</v>
      </c>
      <c r="E883" s="113">
        <v>375</v>
      </c>
      <c r="F883" s="102">
        <v>9</v>
      </c>
      <c r="G883" s="208">
        <f>E883/(C883*H883/30)</f>
        <v>7.4999999999999997E-2</v>
      </c>
      <c r="H883" s="102">
        <v>15</v>
      </c>
      <c r="I883" s="103">
        <f t="shared" si="56"/>
        <v>3375</v>
      </c>
      <c r="J883" s="103">
        <f t="shared" si="57"/>
        <v>2249.9999999999995</v>
      </c>
    </row>
    <row r="884" spans="1:10">
      <c r="A884" s="102"/>
      <c r="B884" s="102"/>
      <c r="C884" s="103">
        <v>10000</v>
      </c>
      <c r="D884" s="112" t="s">
        <v>115</v>
      </c>
      <c r="E884" s="113">
        <v>1150</v>
      </c>
      <c r="F884" s="102">
        <v>10</v>
      </c>
      <c r="G884" s="208">
        <v>0.06</v>
      </c>
      <c r="H884" s="102" t="s">
        <v>664</v>
      </c>
      <c r="I884" s="103">
        <f t="shared" si="56"/>
        <v>1500</v>
      </c>
      <c r="J884" s="103">
        <f t="shared" si="57"/>
        <v>874.99999999999977</v>
      </c>
    </row>
    <row r="885" spans="1:10">
      <c r="A885" s="102"/>
      <c r="B885" s="102"/>
      <c r="C885" s="103">
        <v>20000</v>
      </c>
      <c r="D885" s="112" t="s">
        <v>116</v>
      </c>
      <c r="E885" s="113">
        <v>750</v>
      </c>
      <c r="F885" s="102">
        <v>5</v>
      </c>
      <c r="G885" s="208">
        <f>E885/(C885*H885/30)</f>
        <v>7.4999999999999997E-2</v>
      </c>
      <c r="H885" s="102">
        <v>15</v>
      </c>
      <c r="I885" s="103">
        <f t="shared" si="56"/>
        <v>3750</v>
      </c>
      <c r="J885" s="103">
        <f t="shared" si="57"/>
        <v>2499.9999999999995</v>
      </c>
    </row>
    <row r="886" spans="1:10">
      <c r="A886" s="102">
        <v>123</v>
      </c>
      <c r="B886" s="102" t="s">
        <v>255</v>
      </c>
      <c r="C886" s="103">
        <v>50000</v>
      </c>
      <c r="D886" s="104" t="s">
        <v>654</v>
      </c>
      <c r="E886" s="113">
        <v>1875</v>
      </c>
      <c r="F886" s="102">
        <v>44</v>
      </c>
      <c r="G886" s="208">
        <f>E886/(C886*H886/30)</f>
        <v>7.4999999999999997E-2</v>
      </c>
      <c r="H886" s="102">
        <v>15</v>
      </c>
      <c r="I886" s="103">
        <f t="shared" si="56"/>
        <v>82500</v>
      </c>
      <c r="J886" s="103">
        <f t="shared" si="57"/>
        <v>55000</v>
      </c>
    </row>
    <row r="887" spans="1:10">
      <c r="A887" s="102"/>
      <c r="B887" s="102"/>
      <c r="C887" s="103">
        <v>50000</v>
      </c>
      <c r="D887" s="104" t="s">
        <v>654</v>
      </c>
      <c r="E887" s="113">
        <v>625</v>
      </c>
      <c r="F887" s="102">
        <v>2</v>
      </c>
      <c r="G887" s="208">
        <f>E887/(C887*H887/30)</f>
        <v>2.5000000000000001E-2</v>
      </c>
      <c r="H887" s="102">
        <v>15</v>
      </c>
      <c r="I887" s="103">
        <f t="shared" si="56"/>
        <v>1250</v>
      </c>
      <c r="J887" s="103">
        <f t="shared" si="57"/>
        <v>0</v>
      </c>
    </row>
    <row r="888" spans="1:10">
      <c r="A888" s="102">
        <v>124</v>
      </c>
      <c r="B888" s="102" t="s">
        <v>256</v>
      </c>
      <c r="C888" s="103">
        <v>50000</v>
      </c>
      <c r="D888" s="104" t="s">
        <v>654</v>
      </c>
      <c r="E888" s="113">
        <v>1875</v>
      </c>
      <c r="F888" s="102">
        <v>3</v>
      </c>
      <c r="G888" s="208">
        <f>E888/(C888*H888/30)</f>
        <v>7.4999999999999997E-2</v>
      </c>
      <c r="H888" s="102">
        <v>15</v>
      </c>
      <c r="I888" s="103">
        <f t="shared" si="56"/>
        <v>5625</v>
      </c>
      <c r="J888" s="103">
        <f t="shared" si="57"/>
        <v>3750</v>
      </c>
    </row>
    <row r="889" spans="1:10">
      <c r="A889" s="102"/>
      <c r="B889" s="102"/>
      <c r="C889" s="103">
        <v>30000</v>
      </c>
      <c r="D889" s="104" t="s">
        <v>245</v>
      </c>
      <c r="E889" s="113">
        <v>1125</v>
      </c>
      <c r="F889" s="102">
        <v>40</v>
      </c>
      <c r="G889" s="208">
        <f>E889/(C889*H889/30)</f>
        <v>7.4999999999999997E-2</v>
      </c>
      <c r="H889" s="102">
        <v>15</v>
      </c>
      <c r="I889" s="103">
        <f t="shared" si="56"/>
        <v>45000</v>
      </c>
      <c r="J889" s="103">
        <f t="shared" si="57"/>
        <v>29999.999999999996</v>
      </c>
    </row>
    <row r="890" spans="1:10">
      <c r="A890" s="102"/>
      <c r="B890" s="102"/>
      <c r="C890" s="103">
        <v>20000</v>
      </c>
      <c r="D890" s="112" t="s">
        <v>117</v>
      </c>
      <c r="E890" s="113">
        <v>2300</v>
      </c>
      <c r="F890" s="102">
        <v>10</v>
      </c>
      <c r="G890" s="208">
        <v>0.06</v>
      </c>
      <c r="H890" s="102" t="s">
        <v>664</v>
      </c>
      <c r="I890" s="103">
        <f t="shared" si="56"/>
        <v>3000</v>
      </c>
      <c r="J890" s="103">
        <f t="shared" si="57"/>
        <v>1749.9999999999995</v>
      </c>
    </row>
    <row r="891" spans="1:10">
      <c r="A891" s="102"/>
      <c r="B891" s="102"/>
      <c r="C891" s="103">
        <v>30000</v>
      </c>
      <c r="D891" s="104" t="s">
        <v>2361</v>
      </c>
      <c r="E891" s="113">
        <v>3450</v>
      </c>
      <c r="F891" s="102">
        <v>10</v>
      </c>
      <c r="G891" s="208">
        <v>0.06</v>
      </c>
      <c r="H891" s="102" t="s">
        <v>664</v>
      </c>
      <c r="I891" s="103">
        <f t="shared" si="56"/>
        <v>4500</v>
      </c>
      <c r="J891" s="103">
        <f t="shared" si="57"/>
        <v>2625</v>
      </c>
    </row>
    <row r="892" spans="1:10">
      <c r="A892" s="102"/>
      <c r="B892" s="102"/>
      <c r="C892" s="103">
        <v>20000</v>
      </c>
      <c r="D892" s="104" t="s">
        <v>258</v>
      </c>
      <c r="E892" s="113">
        <v>2300</v>
      </c>
      <c r="F892" s="102">
        <v>10</v>
      </c>
      <c r="G892" s="208">
        <v>0.06</v>
      </c>
      <c r="H892" s="102" t="s">
        <v>664</v>
      </c>
      <c r="I892" s="103">
        <f t="shared" si="56"/>
        <v>3000</v>
      </c>
      <c r="J892" s="103">
        <f t="shared" si="57"/>
        <v>1749.9999999999995</v>
      </c>
    </row>
    <row r="893" spans="1:10">
      <c r="A893" s="102"/>
      <c r="B893" s="102"/>
      <c r="C893" s="103">
        <v>20000</v>
      </c>
      <c r="D893" s="104" t="s">
        <v>259</v>
      </c>
      <c r="E893" s="113">
        <v>2300</v>
      </c>
      <c r="F893" s="102">
        <v>7</v>
      </c>
      <c r="G893" s="208">
        <v>0.06</v>
      </c>
      <c r="H893" s="102" t="s">
        <v>664</v>
      </c>
      <c r="I893" s="103">
        <f t="shared" si="56"/>
        <v>2100</v>
      </c>
      <c r="J893" s="103">
        <f t="shared" si="57"/>
        <v>1224.9999999999998</v>
      </c>
    </row>
    <row r="894" spans="1:10">
      <c r="A894" s="102">
        <v>125</v>
      </c>
      <c r="B894" s="102" t="s">
        <v>260</v>
      </c>
      <c r="C894" s="103">
        <v>30000</v>
      </c>
      <c r="D894" s="104" t="s">
        <v>654</v>
      </c>
      <c r="E894" s="113">
        <v>1125</v>
      </c>
      <c r="F894" s="102">
        <v>4</v>
      </c>
      <c r="G894" s="208">
        <f>E894/(C894*H894/30)</f>
        <v>7.4999999999999997E-2</v>
      </c>
      <c r="H894" s="102">
        <v>15</v>
      </c>
      <c r="I894" s="103">
        <f t="shared" si="56"/>
        <v>4500</v>
      </c>
      <c r="J894" s="103">
        <f t="shared" si="57"/>
        <v>2999.9999999999995</v>
      </c>
    </row>
    <row r="895" spans="1:10">
      <c r="A895" s="102"/>
      <c r="B895" s="102"/>
      <c r="C895" s="103">
        <v>20000</v>
      </c>
      <c r="D895" s="104" t="s">
        <v>654</v>
      </c>
      <c r="E895" s="113">
        <v>2400</v>
      </c>
      <c r="F895" s="102">
        <v>8</v>
      </c>
      <c r="G895" s="208">
        <v>0.06</v>
      </c>
      <c r="H895" s="102" t="s">
        <v>664</v>
      </c>
      <c r="I895" s="103">
        <f t="shared" si="56"/>
        <v>2400</v>
      </c>
      <c r="J895" s="103">
        <f t="shared" si="57"/>
        <v>1399.9999999999998</v>
      </c>
    </row>
    <row r="896" spans="1:10">
      <c r="A896" s="102"/>
      <c r="B896" s="102"/>
      <c r="C896" s="103">
        <v>20000</v>
      </c>
      <c r="D896" s="104" t="s">
        <v>441</v>
      </c>
      <c r="E896" s="113">
        <v>750</v>
      </c>
      <c r="F896" s="102">
        <v>1</v>
      </c>
      <c r="G896" s="208">
        <f>E896/(C896*H896/30)</f>
        <v>7.4999999999999997E-2</v>
      </c>
      <c r="H896" s="102">
        <v>15</v>
      </c>
      <c r="I896" s="103">
        <f t="shared" si="56"/>
        <v>750</v>
      </c>
      <c r="J896" s="103">
        <f t="shared" si="57"/>
        <v>499.99999999999994</v>
      </c>
    </row>
    <row r="897" spans="1:10">
      <c r="A897" s="102"/>
      <c r="B897" s="102"/>
      <c r="C897" s="103">
        <v>10000</v>
      </c>
      <c r="D897" s="104" t="s">
        <v>441</v>
      </c>
      <c r="E897" s="113">
        <v>1150</v>
      </c>
      <c r="F897" s="102">
        <v>2</v>
      </c>
      <c r="G897" s="208">
        <v>0.06</v>
      </c>
      <c r="H897" s="102" t="s">
        <v>664</v>
      </c>
      <c r="I897" s="103">
        <f t="shared" si="56"/>
        <v>300</v>
      </c>
      <c r="J897" s="103">
        <f t="shared" si="57"/>
        <v>174.99999999999997</v>
      </c>
    </row>
    <row r="898" spans="1:10">
      <c r="A898" s="102">
        <v>126</v>
      </c>
      <c r="B898" s="102" t="s">
        <v>261</v>
      </c>
      <c r="C898" s="103">
        <v>25000</v>
      </c>
      <c r="D898" s="104" t="s">
        <v>654</v>
      </c>
      <c r="E898" s="113">
        <v>3000</v>
      </c>
      <c r="F898" s="102">
        <v>10</v>
      </c>
      <c r="G898" s="208">
        <v>0.06</v>
      </c>
      <c r="H898" s="102" t="s">
        <v>664</v>
      </c>
      <c r="I898" s="103">
        <f t="shared" si="56"/>
        <v>3750</v>
      </c>
      <c r="J898" s="103">
        <f t="shared" si="57"/>
        <v>2187.4999999999995</v>
      </c>
    </row>
    <row r="899" spans="1:10">
      <c r="A899" s="102"/>
      <c r="B899" s="102"/>
      <c r="C899" s="103">
        <v>25000</v>
      </c>
      <c r="D899" s="104" t="s">
        <v>654</v>
      </c>
      <c r="E899" s="113">
        <v>940</v>
      </c>
      <c r="F899" s="102">
        <v>5</v>
      </c>
      <c r="G899" s="208">
        <f>E899/(C899*H899/30)</f>
        <v>7.5200000000000003E-2</v>
      </c>
      <c r="H899" s="102">
        <v>15</v>
      </c>
      <c r="I899" s="103">
        <f t="shared" si="56"/>
        <v>4700</v>
      </c>
      <c r="J899" s="103">
        <f t="shared" si="57"/>
        <v>3137.5</v>
      </c>
    </row>
    <row r="900" spans="1:10">
      <c r="A900" s="102"/>
      <c r="B900" s="102"/>
      <c r="C900" s="103">
        <v>50000</v>
      </c>
      <c r="D900" s="104" t="s">
        <v>262</v>
      </c>
      <c r="E900" s="113">
        <v>1875</v>
      </c>
      <c r="F900" s="102">
        <v>10</v>
      </c>
      <c r="G900" s="208">
        <v>7.4999999999999997E-2</v>
      </c>
      <c r="H900" s="102">
        <v>15</v>
      </c>
      <c r="I900" s="103">
        <f t="shared" si="56"/>
        <v>18750</v>
      </c>
      <c r="J900" s="103">
        <f t="shared" si="57"/>
        <v>12500</v>
      </c>
    </row>
    <row r="901" spans="1:10">
      <c r="A901" s="102"/>
      <c r="B901" s="102"/>
      <c r="C901" s="103">
        <v>25000</v>
      </c>
      <c r="D901" s="104" t="s">
        <v>422</v>
      </c>
      <c r="E901" s="113">
        <v>2875</v>
      </c>
      <c r="F901" s="102">
        <v>4</v>
      </c>
      <c r="G901" s="208">
        <v>0.06</v>
      </c>
      <c r="H901" s="102" t="s">
        <v>664</v>
      </c>
      <c r="I901" s="103">
        <f t="shared" ref="I901:I964" si="58">IF(H901="分期",C901*G901*2.5*F901/10,C901*G901*H901/30*F901)</f>
        <v>1500</v>
      </c>
      <c r="J901" s="103">
        <f t="shared" ref="J901:J964" si="59">IF(H901="分期",C901*(G901-0.025)*2.5*F901/10,C901*(G901-0.025)*H901/30*F901)</f>
        <v>874.99999999999977</v>
      </c>
    </row>
    <row r="902" spans="1:10">
      <c r="A902" s="102"/>
      <c r="B902" s="102"/>
      <c r="C902" s="103">
        <v>30000</v>
      </c>
      <c r="D902" s="104" t="s">
        <v>262</v>
      </c>
      <c r="E902" s="113">
        <v>3450</v>
      </c>
      <c r="F902" s="102">
        <v>10</v>
      </c>
      <c r="G902" s="208">
        <v>0.06</v>
      </c>
      <c r="H902" s="102" t="s">
        <v>664</v>
      </c>
      <c r="I902" s="103">
        <f t="shared" si="58"/>
        <v>4500</v>
      </c>
      <c r="J902" s="103">
        <f t="shared" si="59"/>
        <v>2625</v>
      </c>
    </row>
    <row r="903" spans="1:10">
      <c r="A903" s="102"/>
      <c r="B903" s="102"/>
      <c r="C903" s="103">
        <v>30000</v>
      </c>
      <c r="D903" s="114" t="s">
        <v>692</v>
      </c>
      <c r="E903" s="113">
        <v>3450</v>
      </c>
      <c r="F903" s="102">
        <v>10</v>
      </c>
      <c r="G903" s="208">
        <v>0.06</v>
      </c>
      <c r="H903" s="102" t="s">
        <v>664</v>
      </c>
      <c r="I903" s="103">
        <f t="shared" si="58"/>
        <v>4500</v>
      </c>
      <c r="J903" s="103">
        <f t="shared" si="59"/>
        <v>2625</v>
      </c>
    </row>
    <row r="904" spans="1:10">
      <c r="A904" s="102"/>
      <c r="B904" s="102"/>
      <c r="C904" s="103">
        <v>30000</v>
      </c>
      <c r="D904" s="104" t="s">
        <v>263</v>
      </c>
      <c r="E904" s="113">
        <v>3450</v>
      </c>
      <c r="F904" s="102">
        <v>10</v>
      </c>
      <c r="G904" s="208">
        <v>0.06</v>
      </c>
      <c r="H904" s="102" t="s">
        <v>664</v>
      </c>
      <c r="I904" s="103">
        <f t="shared" si="58"/>
        <v>4500</v>
      </c>
      <c r="J904" s="103">
        <f t="shared" si="59"/>
        <v>2625</v>
      </c>
    </row>
    <row r="905" spans="1:10">
      <c r="A905" s="102"/>
      <c r="B905" s="102"/>
      <c r="C905" s="103">
        <v>20000</v>
      </c>
      <c r="D905" s="104" t="s">
        <v>1792</v>
      </c>
      <c r="E905" s="113">
        <v>750</v>
      </c>
      <c r="F905" s="102">
        <v>11</v>
      </c>
      <c r="G905" s="208">
        <f>E905/(C905*H905/30)</f>
        <v>7.4999999999999997E-2</v>
      </c>
      <c r="H905" s="102">
        <v>15</v>
      </c>
      <c r="I905" s="103">
        <f t="shared" si="58"/>
        <v>8250</v>
      </c>
      <c r="J905" s="103">
        <f t="shared" si="59"/>
        <v>5499.9999999999991</v>
      </c>
    </row>
    <row r="906" spans="1:10">
      <c r="A906" s="102"/>
      <c r="B906" s="102"/>
      <c r="C906" s="103">
        <v>30000</v>
      </c>
      <c r="D906" s="104" t="s">
        <v>1516</v>
      </c>
      <c r="E906" s="113">
        <v>3450</v>
      </c>
      <c r="F906" s="102">
        <v>10</v>
      </c>
      <c r="G906" s="208">
        <v>0.06</v>
      </c>
      <c r="H906" s="102" t="s">
        <v>664</v>
      </c>
      <c r="I906" s="103">
        <f t="shared" si="58"/>
        <v>4500</v>
      </c>
      <c r="J906" s="103">
        <f t="shared" si="59"/>
        <v>2625</v>
      </c>
    </row>
    <row r="907" spans="1:10">
      <c r="A907" s="102"/>
      <c r="B907" s="102"/>
      <c r="C907" s="103">
        <v>30000</v>
      </c>
      <c r="D907" s="114" t="s">
        <v>693</v>
      </c>
      <c r="E907" s="113">
        <v>3450</v>
      </c>
      <c r="F907" s="102">
        <v>10</v>
      </c>
      <c r="G907" s="208">
        <v>0.06</v>
      </c>
      <c r="H907" s="102" t="s">
        <v>2184</v>
      </c>
      <c r="I907" s="103">
        <f t="shared" si="58"/>
        <v>4500</v>
      </c>
      <c r="J907" s="103">
        <f t="shared" si="59"/>
        <v>2625</v>
      </c>
    </row>
    <row r="908" spans="1:10">
      <c r="A908" s="102"/>
      <c r="B908" s="102"/>
      <c r="C908" s="103">
        <v>20000</v>
      </c>
      <c r="D908" s="104" t="s">
        <v>3398</v>
      </c>
      <c r="E908" s="113">
        <v>750</v>
      </c>
      <c r="F908" s="102">
        <v>8</v>
      </c>
      <c r="G908" s="208">
        <f>E908/(C908*H908/30)</f>
        <v>7.4999999999999997E-2</v>
      </c>
      <c r="H908" s="102">
        <v>15</v>
      </c>
      <c r="I908" s="103">
        <f t="shared" si="58"/>
        <v>6000</v>
      </c>
      <c r="J908" s="103">
        <f t="shared" si="59"/>
        <v>3999.9999999999995</v>
      </c>
    </row>
    <row r="909" spans="1:10">
      <c r="A909" s="102"/>
      <c r="B909" s="102"/>
      <c r="C909" s="103">
        <v>30000</v>
      </c>
      <c r="D909" s="104" t="s">
        <v>1982</v>
      </c>
      <c r="E909" s="113">
        <v>3450</v>
      </c>
      <c r="F909" s="102">
        <v>10</v>
      </c>
      <c r="G909" s="208">
        <v>0.06</v>
      </c>
      <c r="H909" s="102" t="s">
        <v>664</v>
      </c>
      <c r="I909" s="103">
        <f t="shared" si="58"/>
        <v>4500</v>
      </c>
      <c r="J909" s="103">
        <f t="shared" si="59"/>
        <v>2625</v>
      </c>
    </row>
    <row r="910" spans="1:10">
      <c r="A910" s="102"/>
      <c r="B910" s="102"/>
      <c r="C910" s="103">
        <v>30000</v>
      </c>
      <c r="D910" s="104" t="s">
        <v>1535</v>
      </c>
      <c r="E910" s="113">
        <v>3450</v>
      </c>
      <c r="F910" s="102">
        <v>10</v>
      </c>
      <c r="G910" s="208">
        <v>0.06</v>
      </c>
      <c r="H910" s="102" t="s">
        <v>664</v>
      </c>
      <c r="I910" s="103">
        <f t="shared" si="58"/>
        <v>4500</v>
      </c>
      <c r="J910" s="103">
        <f t="shared" si="59"/>
        <v>2625</v>
      </c>
    </row>
    <row r="911" spans="1:10">
      <c r="A911" s="102"/>
      <c r="B911" s="102"/>
      <c r="C911" s="103">
        <v>10000</v>
      </c>
      <c r="D911" s="104" t="s">
        <v>264</v>
      </c>
      <c r="E911" s="113">
        <v>375</v>
      </c>
      <c r="F911" s="102">
        <v>4</v>
      </c>
      <c r="G911" s="208">
        <f>E911/(C911*H911/30)</f>
        <v>7.4999999999999997E-2</v>
      </c>
      <c r="H911" s="102">
        <v>15</v>
      </c>
      <c r="I911" s="103">
        <f t="shared" si="58"/>
        <v>1500</v>
      </c>
      <c r="J911" s="103">
        <f t="shared" si="59"/>
        <v>999.99999999999989</v>
      </c>
    </row>
    <row r="912" spans="1:10">
      <c r="A912" s="102"/>
      <c r="B912" s="102"/>
      <c r="C912" s="103">
        <v>30000</v>
      </c>
      <c r="D912" s="104" t="s">
        <v>974</v>
      </c>
      <c r="E912" s="113">
        <v>3450</v>
      </c>
      <c r="F912" s="102">
        <v>2</v>
      </c>
      <c r="G912" s="208">
        <v>0.06</v>
      </c>
      <c r="H912" s="102" t="s">
        <v>664</v>
      </c>
      <c r="I912" s="103">
        <f t="shared" si="58"/>
        <v>900</v>
      </c>
      <c r="J912" s="103">
        <f t="shared" si="59"/>
        <v>525</v>
      </c>
    </row>
    <row r="913" spans="1:10">
      <c r="A913" s="102">
        <v>127</v>
      </c>
      <c r="B913" s="102" t="s">
        <v>265</v>
      </c>
      <c r="C913" s="103">
        <v>25000</v>
      </c>
      <c r="D913" s="104" t="s">
        <v>654</v>
      </c>
      <c r="E913" s="113">
        <v>3000</v>
      </c>
      <c r="F913" s="102">
        <v>10</v>
      </c>
      <c r="G913" s="208">
        <v>0.06</v>
      </c>
      <c r="H913" s="102" t="s">
        <v>664</v>
      </c>
      <c r="I913" s="103">
        <f t="shared" si="58"/>
        <v>3750</v>
      </c>
      <c r="J913" s="103">
        <f t="shared" si="59"/>
        <v>2187.4999999999995</v>
      </c>
    </row>
    <row r="914" spans="1:10">
      <c r="A914" s="102"/>
      <c r="B914" s="102"/>
      <c r="C914" s="103">
        <v>25000</v>
      </c>
      <c r="D914" s="104" t="s">
        <v>654</v>
      </c>
      <c r="E914" s="113">
        <v>940</v>
      </c>
      <c r="F914" s="102">
        <v>5</v>
      </c>
      <c r="G914" s="208">
        <f>E914/(C914*H914/30)</f>
        <v>7.5200000000000003E-2</v>
      </c>
      <c r="H914" s="102">
        <v>15</v>
      </c>
      <c r="I914" s="103">
        <f t="shared" si="58"/>
        <v>4700</v>
      </c>
      <c r="J914" s="103">
        <f t="shared" si="59"/>
        <v>3137.5</v>
      </c>
    </row>
    <row r="915" spans="1:10">
      <c r="A915" s="102"/>
      <c r="B915" s="102"/>
      <c r="C915" s="103">
        <v>25000</v>
      </c>
      <c r="D915" s="104" t="s">
        <v>268</v>
      </c>
      <c r="E915" s="113">
        <v>2900</v>
      </c>
      <c r="F915" s="102">
        <v>10</v>
      </c>
      <c r="G915" s="208">
        <v>0.06</v>
      </c>
      <c r="H915" s="102" t="s">
        <v>664</v>
      </c>
      <c r="I915" s="103">
        <f t="shared" si="58"/>
        <v>3750</v>
      </c>
      <c r="J915" s="103">
        <f t="shared" si="59"/>
        <v>2187.4999999999995</v>
      </c>
    </row>
    <row r="916" spans="1:10">
      <c r="A916" s="102"/>
      <c r="B916" s="102"/>
      <c r="C916" s="103">
        <v>25000</v>
      </c>
      <c r="D916" s="104" t="s">
        <v>1536</v>
      </c>
      <c r="E916" s="113">
        <v>2900</v>
      </c>
      <c r="F916" s="102">
        <v>1</v>
      </c>
      <c r="G916" s="208">
        <v>0.06</v>
      </c>
      <c r="H916" s="102" t="s">
        <v>664</v>
      </c>
      <c r="I916" s="103">
        <f t="shared" si="58"/>
        <v>375</v>
      </c>
      <c r="J916" s="103">
        <f t="shared" si="59"/>
        <v>218.74999999999994</v>
      </c>
    </row>
    <row r="917" spans="1:10">
      <c r="A917" s="102"/>
      <c r="B917" s="102"/>
      <c r="C917" s="103">
        <v>30000</v>
      </c>
      <c r="D917" s="104" t="s">
        <v>2327</v>
      </c>
      <c r="E917" s="113">
        <v>1125</v>
      </c>
      <c r="F917" s="102">
        <v>24</v>
      </c>
      <c r="G917" s="208">
        <f>E917/(C917*H917/30)</f>
        <v>7.4999999999999997E-2</v>
      </c>
      <c r="H917" s="102">
        <v>15</v>
      </c>
      <c r="I917" s="103">
        <f t="shared" si="58"/>
        <v>27000</v>
      </c>
      <c r="J917" s="103">
        <f t="shared" si="59"/>
        <v>17999.999999999996</v>
      </c>
    </row>
    <row r="918" spans="1:10">
      <c r="A918" s="102"/>
      <c r="B918" s="102"/>
      <c r="C918" s="103">
        <v>10000</v>
      </c>
      <c r="D918" s="114" t="s">
        <v>694</v>
      </c>
      <c r="E918" s="113">
        <v>375</v>
      </c>
      <c r="F918" s="102">
        <v>23</v>
      </c>
      <c r="G918" s="208">
        <f>E918/(C918*H918/30)</f>
        <v>7.4999999999999997E-2</v>
      </c>
      <c r="H918" s="102">
        <v>15</v>
      </c>
      <c r="I918" s="103">
        <f t="shared" si="58"/>
        <v>8625</v>
      </c>
      <c r="J918" s="103">
        <f t="shared" si="59"/>
        <v>5749.9999999999991</v>
      </c>
    </row>
    <row r="919" spans="1:10">
      <c r="A919" s="102"/>
      <c r="B919" s="102"/>
      <c r="C919" s="103">
        <v>10000</v>
      </c>
      <c r="D919" s="104" t="s">
        <v>1683</v>
      </c>
      <c r="E919" s="113">
        <v>1150</v>
      </c>
      <c r="F919" s="102">
        <v>10</v>
      </c>
      <c r="G919" s="208">
        <v>0.06</v>
      </c>
      <c r="H919" s="102" t="s">
        <v>664</v>
      </c>
      <c r="I919" s="103">
        <f t="shared" si="58"/>
        <v>1500</v>
      </c>
      <c r="J919" s="103">
        <f t="shared" si="59"/>
        <v>874.99999999999977</v>
      </c>
    </row>
    <row r="920" spans="1:10">
      <c r="A920" s="102"/>
      <c r="B920" s="102"/>
      <c r="C920" s="103">
        <v>20000</v>
      </c>
      <c r="D920" s="104" t="s">
        <v>1515</v>
      </c>
      <c r="E920" s="113">
        <v>750</v>
      </c>
      <c r="F920" s="102">
        <v>19</v>
      </c>
      <c r="G920" s="208">
        <f>E920/(C920*H920/30)</f>
        <v>7.4999999999999997E-2</v>
      </c>
      <c r="H920" s="102">
        <v>15</v>
      </c>
      <c r="I920" s="103">
        <f t="shared" si="58"/>
        <v>14250</v>
      </c>
      <c r="J920" s="103">
        <f t="shared" si="59"/>
        <v>9499.9999999999982</v>
      </c>
    </row>
    <row r="921" spans="1:10">
      <c r="A921" s="102"/>
      <c r="B921" s="102"/>
      <c r="C921" s="103">
        <v>10000</v>
      </c>
      <c r="D921" s="104" t="s">
        <v>3116</v>
      </c>
      <c r="E921" s="113">
        <v>1150</v>
      </c>
      <c r="F921" s="102">
        <v>10</v>
      </c>
      <c r="G921" s="208">
        <v>0.06</v>
      </c>
      <c r="H921" s="102" t="s">
        <v>664</v>
      </c>
      <c r="I921" s="103">
        <f t="shared" si="58"/>
        <v>1500</v>
      </c>
      <c r="J921" s="103">
        <f t="shared" si="59"/>
        <v>874.99999999999977</v>
      </c>
    </row>
    <row r="922" spans="1:10">
      <c r="A922" s="102"/>
      <c r="B922" s="102"/>
      <c r="C922" s="103">
        <v>20000</v>
      </c>
      <c r="D922" s="104" t="s">
        <v>3116</v>
      </c>
      <c r="E922" s="113">
        <v>750</v>
      </c>
      <c r="F922" s="102">
        <v>17</v>
      </c>
      <c r="G922" s="208">
        <f>E922/(C922*H922/30)</f>
        <v>7.4999999999999997E-2</v>
      </c>
      <c r="H922" s="102">
        <v>15</v>
      </c>
      <c r="I922" s="103">
        <f t="shared" si="58"/>
        <v>12750</v>
      </c>
      <c r="J922" s="103">
        <f t="shared" si="59"/>
        <v>8499.9999999999982</v>
      </c>
    </row>
    <row r="923" spans="1:10">
      <c r="A923" s="102"/>
      <c r="B923" s="102"/>
      <c r="C923" s="103">
        <v>10000</v>
      </c>
      <c r="D923" s="104" t="s">
        <v>467</v>
      </c>
      <c r="E923" s="113">
        <v>1150</v>
      </c>
      <c r="F923" s="102">
        <v>10</v>
      </c>
      <c r="G923" s="208">
        <v>0.06</v>
      </c>
      <c r="H923" s="102" t="s">
        <v>2184</v>
      </c>
      <c r="I923" s="103">
        <f t="shared" si="58"/>
        <v>1500</v>
      </c>
      <c r="J923" s="103">
        <f t="shared" si="59"/>
        <v>874.99999999999977</v>
      </c>
    </row>
    <row r="924" spans="1:10">
      <c r="A924" s="102"/>
      <c r="B924" s="102"/>
      <c r="C924" s="103">
        <v>10000</v>
      </c>
      <c r="D924" s="114" t="s">
        <v>695</v>
      </c>
      <c r="E924" s="113">
        <v>1150</v>
      </c>
      <c r="F924" s="102">
        <v>10</v>
      </c>
      <c r="G924" s="208">
        <v>0.06</v>
      </c>
      <c r="H924" s="102" t="s">
        <v>664</v>
      </c>
      <c r="I924" s="103">
        <f t="shared" si="58"/>
        <v>1500</v>
      </c>
      <c r="J924" s="103">
        <f t="shared" si="59"/>
        <v>874.99999999999977</v>
      </c>
    </row>
    <row r="925" spans="1:10">
      <c r="A925" s="102"/>
      <c r="B925" s="102"/>
      <c r="C925" s="103">
        <v>20000</v>
      </c>
      <c r="D925" s="104" t="s">
        <v>267</v>
      </c>
      <c r="E925" s="113">
        <v>2300</v>
      </c>
      <c r="F925" s="102">
        <v>10</v>
      </c>
      <c r="G925" s="208">
        <v>0.06</v>
      </c>
      <c r="H925" s="102" t="s">
        <v>664</v>
      </c>
      <c r="I925" s="103">
        <f t="shared" si="58"/>
        <v>3000</v>
      </c>
      <c r="J925" s="103">
        <f t="shared" si="59"/>
        <v>1749.9999999999995</v>
      </c>
    </row>
    <row r="926" spans="1:10">
      <c r="A926" s="102"/>
      <c r="B926" s="102"/>
      <c r="C926" s="103">
        <v>20000</v>
      </c>
      <c r="D926" s="104" t="s">
        <v>3411</v>
      </c>
      <c r="E926" s="113">
        <v>2300</v>
      </c>
      <c r="F926" s="102">
        <v>5</v>
      </c>
      <c r="G926" s="208">
        <v>0.06</v>
      </c>
      <c r="H926" s="102" t="s">
        <v>664</v>
      </c>
      <c r="I926" s="103">
        <f t="shared" si="58"/>
        <v>1500</v>
      </c>
      <c r="J926" s="103">
        <f t="shared" si="59"/>
        <v>874.99999999999977</v>
      </c>
    </row>
    <row r="927" spans="1:10">
      <c r="A927" s="102">
        <v>128</v>
      </c>
      <c r="B927" s="102" t="s">
        <v>270</v>
      </c>
      <c r="C927" s="103">
        <v>60000</v>
      </c>
      <c r="D927" s="104" t="s">
        <v>228</v>
      </c>
      <c r="E927" s="113">
        <v>2250</v>
      </c>
      <c r="F927" s="102">
        <v>2</v>
      </c>
      <c r="G927" s="208">
        <f>E927/(C927*H927/30)</f>
        <v>7.4999999999999997E-2</v>
      </c>
      <c r="H927" s="102">
        <v>15</v>
      </c>
      <c r="I927" s="103">
        <f t="shared" si="58"/>
        <v>4500</v>
      </c>
      <c r="J927" s="103">
        <f t="shared" si="59"/>
        <v>2999.9999999999995</v>
      </c>
    </row>
    <row r="928" spans="1:10">
      <c r="A928" s="102">
        <v>129</v>
      </c>
      <c r="B928" s="102" t="s">
        <v>271</v>
      </c>
      <c r="C928" s="103">
        <v>20000</v>
      </c>
      <c r="D928" s="104" t="s">
        <v>461</v>
      </c>
      <c r="E928" s="113">
        <v>2400</v>
      </c>
      <c r="F928" s="102">
        <v>10</v>
      </c>
      <c r="G928" s="208">
        <v>0.06</v>
      </c>
      <c r="H928" s="102" t="s">
        <v>664</v>
      </c>
      <c r="I928" s="103">
        <f t="shared" si="58"/>
        <v>3000</v>
      </c>
      <c r="J928" s="103">
        <f t="shared" si="59"/>
        <v>1749.9999999999995</v>
      </c>
    </row>
    <row r="929" spans="1:10">
      <c r="A929" s="102"/>
      <c r="B929" s="102"/>
      <c r="C929" s="103">
        <v>30000</v>
      </c>
      <c r="D929" s="104" t="s">
        <v>2332</v>
      </c>
      <c r="E929" s="113">
        <v>1125</v>
      </c>
      <c r="F929" s="102">
        <v>11</v>
      </c>
      <c r="G929" s="208">
        <f>E929/(C929*H929/30)</f>
        <v>7.4999999999999997E-2</v>
      </c>
      <c r="H929" s="102">
        <v>15</v>
      </c>
      <c r="I929" s="103">
        <f t="shared" si="58"/>
        <v>12375</v>
      </c>
      <c r="J929" s="103">
        <f t="shared" si="59"/>
        <v>8249.9999999999982</v>
      </c>
    </row>
    <row r="930" spans="1:10">
      <c r="A930" s="102"/>
      <c r="B930" s="102"/>
      <c r="C930" s="103">
        <v>20000</v>
      </c>
      <c r="D930" s="104" t="s">
        <v>1006</v>
      </c>
      <c r="E930" s="113">
        <v>750</v>
      </c>
      <c r="F930" s="102">
        <v>9</v>
      </c>
      <c r="G930" s="208">
        <f>E930/(C930*H930/30)</f>
        <v>7.4999999999999997E-2</v>
      </c>
      <c r="H930" s="102">
        <v>15</v>
      </c>
      <c r="I930" s="103">
        <f t="shared" si="58"/>
        <v>6750</v>
      </c>
      <c r="J930" s="103">
        <f t="shared" si="59"/>
        <v>4499.9999999999991</v>
      </c>
    </row>
    <row r="931" spans="1:10">
      <c r="A931" s="102"/>
      <c r="B931" s="102"/>
      <c r="C931" s="103">
        <v>20000</v>
      </c>
      <c r="D931" s="104" t="s">
        <v>486</v>
      </c>
      <c r="E931" s="113">
        <v>2300</v>
      </c>
      <c r="F931" s="102">
        <v>10</v>
      </c>
      <c r="G931" s="208">
        <v>0.06</v>
      </c>
      <c r="H931" s="102" t="s">
        <v>664</v>
      </c>
      <c r="I931" s="103">
        <f t="shared" si="58"/>
        <v>3000</v>
      </c>
      <c r="J931" s="103">
        <f t="shared" si="59"/>
        <v>1749.9999999999995</v>
      </c>
    </row>
    <row r="932" spans="1:10">
      <c r="A932" s="102"/>
      <c r="B932" s="102"/>
      <c r="C932" s="103">
        <v>20000</v>
      </c>
      <c r="D932" s="104" t="s">
        <v>987</v>
      </c>
      <c r="E932" s="113">
        <v>2300</v>
      </c>
      <c r="F932" s="102">
        <v>10</v>
      </c>
      <c r="G932" s="208">
        <v>0.06</v>
      </c>
      <c r="H932" s="102" t="s">
        <v>664</v>
      </c>
      <c r="I932" s="103">
        <f t="shared" si="58"/>
        <v>3000</v>
      </c>
      <c r="J932" s="103">
        <f t="shared" si="59"/>
        <v>1749.9999999999995</v>
      </c>
    </row>
    <row r="933" spans="1:10">
      <c r="A933" s="102"/>
      <c r="B933" s="102"/>
      <c r="C933" s="103">
        <v>60000</v>
      </c>
      <c r="D933" s="104" t="s">
        <v>272</v>
      </c>
      <c r="E933" s="113">
        <v>2250</v>
      </c>
      <c r="F933" s="102">
        <v>16</v>
      </c>
      <c r="G933" s="208">
        <f>E933/(C933*H933/30)</f>
        <v>7.4999999999999997E-2</v>
      </c>
      <c r="H933" s="102">
        <v>15</v>
      </c>
      <c r="I933" s="103">
        <f t="shared" si="58"/>
        <v>36000</v>
      </c>
      <c r="J933" s="103">
        <f t="shared" si="59"/>
        <v>23999.999999999996</v>
      </c>
    </row>
    <row r="934" spans="1:10">
      <c r="A934" s="102"/>
      <c r="B934" s="102"/>
      <c r="C934" s="103">
        <v>20000</v>
      </c>
      <c r="D934" s="104" t="s">
        <v>444</v>
      </c>
      <c r="E934" s="113">
        <v>750</v>
      </c>
      <c r="F934" s="102">
        <v>12</v>
      </c>
      <c r="G934" s="208">
        <f>E934/(C934*H934/30)</f>
        <v>7.4999999999999997E-2</v>
      </c>
      <c r="H934" s="102">
        <v>15</v>
      </c>
      <c r="I934" s="103">
        <f t="shared" si="58"/>
        <v>9000</v>
      </c>
      <c r="J934" s="103">
        <f t="shared" si="59"/>
        <v>5999.9999999999991</v>
      </c>
    </row>
    <row r="935" spans="1:10">
      <c r="A935" s="102"/>
      <c r="B935" s="102"/>
      <c r="C935" s="103">
        <v>20000</v>
      </c>
      <c r="D935" s="104" t="s">
        <v>1668</v>
      </c>
      <c r="E935" s="113">
        <v>750</v>
      </c>
      <c r="F935" s="102">
        <v>9</v>
      </c>
      <c r="G935" s="208">
        <f>E935/(C935*H935/30)</f>
        <v>7.4999999999999997E-2</v>
      </c>
      <c r="H935" s="102">
        <v>15</v>
      </c>
      <c r="I935" s="103">
        <f t="shared" si="58"/>
        <v>6750</v>
      </c>
      <c r="J935" s="103">
        <f t="shared" si="59"/>
        <v>4499.9999999999991</v>
      </c>
    </row>
    <row r="936" spans="1:10">
      <c r="A936" s="102">
        <v>131</v>
      </c>
      <c r="B936" s="102" t="s">
        <v>273</v>
      </c>
      <c r="C936" s="103">
        <v>20000</v>
      </c>
      <c r="D936" s="104" t="s">
        <v>274</v>
      </c>
      <c r="E936" s="113">
        <v>750</v>
      </c>
      <c r="F936" s="102">
        <v>5</v>
      </c>
      <c r="G936" s="208">
        <f>E936/(C936*H936/30)</f>
        <v>7.4999999999999997E-2</v>
      </c>
      <c r="H936" s="102">
        <v>15</v>
      </c>
      <c r="I936" s="103">
        <f t="shared" si="58"/>
        <v>3750</v>
      </c>
      <c r="J936" s="103">
        <f t="shared" si="59"/>
        <v>2499.9999999999995</v>
      </c>
    </row>
    <row r="937" spans="1:10">
      <c r="A937" s="102">
        <v>132</v>
      </c>
      <c r="B937" s="102" t="s">
        <v>275</v>
      </c>
      <c r="C937" s="103">
        <v>20000</v>
      </c>
      <c r="D937" s="104" t="s">
        <v>274</v>
      </c>
      <c r="E937" s="113">
        <v>750</v>
      </c>
      <c r="F937" s="102">
        <v>14</v>
      </c>
      <c r="G937" s="208">
        <f>E937/(C937*H937/30)</f>
        <v>7.4999999999999997E-2</v>
      </c>
      <c r="H937" s="102">
        <v>15</v>
      </c>
      <c r="I937" s="103">
        <f t="shared" si="58"/>
        <v>10500</v>
      </c>
      <c r="J937" s="103">
        <f t="shared" si="59"/>
        <v>6999.9999999999991</v>
      </c>
    </row>
    <row r="938" spans="1:10">
      <c r="A938" s="102"/>
      <c r="B938" s="102"/>
      <c r="C938" s="103">
        <v>10000</v>
      </c>
      <c r="D938" s="104" t="s">
        <v>2322</v>
      </c>
      <c r="E938" s="113">
        <v>1150</v>
      </c>
      <c r="F938" s="102">
        <v>8</v>
      </c>
      <c r="G938" s="208">
        <v>0.06</v>
      </c>
      <c r="H938" s="102" t="s">
        <v>664</v>
      </c>
      <c r="I938" s="103">
        <f t="shared" si="58"/>
        <v>1200</v>
      </c>
      <c r="J938" s="103">
        <f t="shared" si="59"/>
        <v>699.99999999999989</v>
      </c>
    </row>
    <row r="939" spans="1:10">
      <c r="A939" s="102"/>
      <c r="B939" s="102"/>
      <c r="C939" s="103">
        <v>30000</v>
      </c>
      <c r="D939" s="114" t="s">
        <v>696</v>
      </c>
      <c r="E939" s="113">
        <v>1125</v>
      </c>
      <c r="F939" s="102">
        <v>3</v>
      </c>
      <c r="G939" s="208">
        <f>E939/(C939*H939/30)</f>
        <v>7.4999999999999997E-2</v>
      </c>
      <c r="H939" s="102">
        <v>15</v>
      </c>
      <c r="I939" s="103">
        <f t="shared" si="58"/>
        <v>3375</v>
      </c>
      <c r="J939" s="103">
        <f t="shared" si="59"/>
        <v>2249.9999999999995</v>
      </c>
    </row>
    <row r="940" spans="1:10">
      <c r="A940" s="102"/>
      <c r="B940" s="102"/>
      <c r="C940" s="103">
        <v>20000</v>
      </c>
      <c r="D940" s="114" t="s">
        <v>697</v>
      </c>
      <c r="E940" s="113">
        <v>750</v>
      </c>
      <c r="F940" s="102">
        <v>3</v>
      </c>
      <c r="G940" s="208">
        <f>E940/(C940*H940/30)</f>
        <v>7.4999999999999997E-2</v>
      </c>
      <c r="H940" s="102">
        <v>15</v>
      </c>
      <c r="I940" s="103">
        <f t="shared" si="58"/>
        <v>2250</v>
      </c>
      <c r="J940" s="103">
        <f t="shared" si="59"/>
        <v>1499.9999999999998</v>
      </c>
    </row>
    <row r="941" spans="1:10">
      <c r="A941" s="102"/>
      <c r="B941" s="102"/>
      <c r="C941" s="103">
        <v>50000</v>
      </c>
      <c r="D941" s="114" t="s">
        <v>698</v>
      </c>
      <c r="E941" s="113">
        <v>1875</v>
      </c>
      <c r="F941" s="102">
        <v>4</v>
      </c>
      <c r="G941" s="208">
        <f>E941/(C941*H941/30)</f>
        <v>7.4999999999999997E-2</v>
      </c>
      <c r="H941" s="102">
        <v>15</v>
      </c>
      <c r="I941" s="103">
        <f t="shared" si="58"/>
        <v>7500</v>
      </c>
      <c r="J941" s="103">
        <f t="shared" si="59"/>
        <v>5000</v>
      </c>
    </row>
    <row r="942" spans="1:10">
      <c r="A942" s="102">
        <v>133</v>
      </c>
      <c r="B942" s="102" t="s">
        <v>575</v>
      </c>
      <c r="C942" s="103">
        <v>25000</v>
      </c>
      <c r="D942" s="104" t="s">
        <v>274</v>
      </c>
      <c r="E942" s="113">
        <v>940</v>
      </c>
      <c r="F942" s="102">
        <v>2</v>
      </c>
      <c r="G942" s="208">
        <f>E942/(C942*H942/30)</f>
        <v>7.5200000000000003E-2</v>
      </c>
      <c r="H942" s="102">
        <v>15</v>
      </c>
      <c r="I942" s="103">
        <f t="shared" si="58"/>
        <v>1880</v>
      </c>
      <c r="J942" s="103">
        <f t="shared" si="59"/>
        <v>1255</v>
      </c>
    </row>
    <row r="943" spans="1:10">
      <c r="A943" s="102">
        <v>134</v>
      </c>
      <c r="B943" s="102" t="s">
        <v>576</v>
      </c>
      <c r="C943" s="103">
        <v>20000</v>
      </c>
      <c r="D943" s="104" t="s">
        <v>1690</v>
      </c>
      <c r="E943" s="113">
        <v>750</v>
      </c>
      <c r="F943" s="102">
        <v>1</v>
      </c>
      <c r="G943" s="208">
        <f>E943/(C943*H943/30)</f>
        <v>7.4999999999999997E-2</v>
      </c>
      <c r="H943" s="102">
        <v>15</v>
      </c>
      <c r="I943" s="103">
        <f t="shared" si="58"/>
        <v>750</v>
      </c>
      <c r="J943" s="103">
        <f t="shared" si="59"/>
        <v>499.99999999999994</v>
      </c>
    </row>
    <row r="944" spans="1:10">
      <c r="A944" s="102"/>
      <c r="B944" s="102"/>
      <c r="C944" s="103">
        <v>10000</v>
      </c>
      <c r="D944" s="104" t="s">
        <v>1690</v>
      </c>
      <c r="E944" s="113">
        <v>1200</v>
      </c>
      <c r="F944" s="102">
        <v>2</v>
      </c>
      <c r="G944" s="208">
        <v>0.06</v>
      </c>
      <c r="H944" s="102" t="s">
        <v>2184</v>
      </c>
      <c r="I944" s="103">
        <f t="shared" si="58"/>
        <v>300</v>
      </c>
      <c r="J944" s="103">
        <f t="shared" si="59"/>
        <v>174.99999999999997</v>
      </c>
    </row>
    <row r="945" spans="1:10">
      <c r="A945" s="102"/>
      <c r="B945" s="102"/>
      <c r="C945" s="103">
        <v>10000</v>
      </c>
      <c r="D945" s="104" t="s">
        <v>578</v>
      </c>
      <c r="E945" s="113">
        <v>1150</v>
      </c>
      <c r="F945" s="102">
        <v>10</v>
      </c>
      <c r="G945" s="208">
        <v>0.06</v>
      </c>
      <c r="H945" s="102" t="s">
        <v>2184</v>
      </c>
      <c r="I945" s="103">
        <f t="shared" si="58"/>
        <v>1500</v>
      </c>
      <c r="J945" s="103">
        <f t="shared" si="59"/>
        <v>874.99999999999977</v>
      </c>
    </row>
    <row r="946" spans="1:10">
      <c r="A946" s="102"/>
      <c r="B946" s="102"/>
      <c r="C946" s="103">
        <v>10000</v>
      </c>
      <c r="D946" s="104" t="s">
        <v>577</v>
      </c>
      <c r="E946" s="113">
        <v>375</v>
      </c>
      <c r="F946" s="102">
        <v>2</v>
      </c>
      <c r="G946" s="208">
        <f>E946/(C946*H946/30)</f>
        <v>7.4999999999999997E-2</v>
      </c>
      <c r="H946" s="102">
        <v>15</v>
      </c>
      <c r="I946" s="103">
        <f t="shared" si="58"/>
        <v>750</v>
      </c>
      <c r="J946" s="103">
        <f t="shared" si="59"/>
        <v>499.99999999999994</v>
      </c>
    </row>
    <row r="947" spans="1:10">
      <c r="A947" s="102">
        <v>135</v>
      </c>
      <c r="B947" s="102" t="s">
        <v>579</v>
      </c>
      <c r="C947" s="103">
        <v>20000</v>
      </c>
      <c r="D947" s="104" t="s">
        <v>498</v>
      </c>
      <c r="E947" s="113">
        <v>750</v>
      </c>
      <c r="F947" s="102">
        <v>1</v>
      </c>
      <c r="G947" s="208">
        <f>E947/(C947*H947/30)</f>
        <v>7.4999999999999997E-2</v>
      </c>
      <c r="H947" s="102">
        <v>15</v>
      </c>
      <c r="I947" s="103">
        <f t="shared" si="58"/>
        <v>750</v>
      </c>
      <c r="J947" s="103">
        <f t="shared" si="59"/>
        <v>499.99999999999994</v>
      </c>
    </row>
    <row r="948" spans="1:10">
      <c r="A948" s="102"/>
      <c r="B948" s="102"/>
      <c r="C948" s="103">
        <v>10000</v>
      </c>
      <c r="D948" s="104" t="s">
        <v>498</v>
      </c>
      <c r="E948" s="113">
        <v>1200</v>
      </c>
      <c r="F948" s="102">
        <v>2</v>
      </c>
      <c r="G948" s="208">
        <v>0.06</v>
      </c>
      <c r="H948" s="102" t="s">
        <v>2184</v>
      </c>
      <c r="I948" s="103">
        <f t="shared" si="58"/>
        <v>300</v>
      </c>
      <c r="J948" s="103">
        <f t="shared" si="59"/>
        <v>174.99999999999997</v>
      </c>
    </row>
    <row r="949" spans="1:10">
      <c r="A949" s="102"/>
      <c r="B949" s="102"/>
      <c r="C949" s="103">
        <v>30000</v>
      </c>
      <c r="D949" s="104" t="s">
        <v>1530</v>
      </c>
      <c r="E949" s="113">
        <v>1125</v>
      </c>
      <c r="F949" s="102">
        <v>2</v>
      </c>
      <c r="G949" s="208">
        <f>E949/(C949*H949/30)</f>
        <v>7.4999999999999997E-2</v>
      </c>
      <c r="H949" s="102">
        <v>15</v>
      </c>
      <c r="I949" s="103">
        <f t="shared" si="58"/>
        <v>2250</v>
      </c>
      <c r="J949" s="103">
        <f t="shared" si="59"/>
        <v>1499.9999999999998</v>
      </c>
    </row>
    <row r="950" spans="1:10">
      <c r="A950" s="102"/>
      <c r="B950" s="102"/>
      <c r="C950" s="103">
        <v>20000</v>
      </c>
      <c r="D950" s="104" t="s">
        <v>1530</v>
      </c>
      <c r="E950" s="113">
        <v>750</v>
      </c>
      <c r="F950" s="102">
        <v>2</v>
      </c>
      <c r="G950" s="208">
        <f>E950/(C950*H950/30)</f>
        <v>7.4999999999999997E-2</v>
      </c>
      <c r="H950" s="102">
        <v>15</v>
      </c>
      <c r="I950" s="103">
        <f t="shared" si="58"/>
        <v>1500</v>
      </c>
      <c r="J950" s="103">
        <f t="shared" si="59"/>
        <v>999.99999999999989</v>
      </c>
    </row>
    <row r="951" spans="1:10">
      <c r="A951" s="102"/>
      <c r="B951" s="102"/>
      <c r="C951" s="103">
        <v>10000</v>
      </c>
      <c r="D951" s="104" t="s">
        <v>1530</v>
      </c>
      <c r="E951" s="113">
        <v>375</v>
      </c>
      <c r="F951" s="102">
        <v>2</v>
      </c>
      <c r="G951" s="208">
        <f>E951/(C951*H951/30)</f>
        <v>7.4999999999999997E-2</v>
      </c>
      <c r="H951" s="102">
        <v>15</v>
      </c>
      <c r="I951" s="103">
        <f t="shared" si="58"/>
        <v>750</v>
      </c>
      <c r="J951" s="103">
        <f t="shared" si="59"/>
        <v>499.99999999999994</v>
      </c>
    </row>
    <row r="952" spans="1:10">
      <c r="A952" s="102">
        <v>136</v>
      </c>
      <c r="B952" s="102" t="s">
        <v>580</v>
      </c>
      <c r="C952" s="103">
        <v>40000</v>
      </c>
      <c r="D952" s="104" t="s">
        <v>498</v>
      </c>
      <c r="E952" s="113">
        <v>1500</v>
      </c>
      <c r="F952" s="102">
        <v>26</v>
      </c>
      <c r="G952" s="208">
        <f>E952/(C952*H952/30)</f>
        <v>7.4999999999999997E-2</v>
      </c>
      <c r="H952" s="102">
        <v>15</v>
      </c>
      <c r="I952" s="103">
        <f t="shared" si="58"/>
        <v>39000</v>
      </c>
      <c r="J952" s="103">
        <f t="shared" si="59"/>
        <v>25999.999999999996</v>
      </c>
    </row>
    <row r="953" spans="1:10">
      <c r="A953" s="102"/>
      <c r="B953" s="102"/>
      <c r="C953" s="103">
        <v>10000</v>
      </c>
      <c r="D953" s="104" t="s">
        <v>1004</v>
      </c>
      <c r="E953" s="113">
        <v>1150</v>
      </c>
      <c r="F953" s="102">
        <v>10</v>
      </c>
      <c r="G953" s="208">
        <v>0.06</v>
      </c>
      <c r="H953" s="102" t="s">
        <v>664</v>
      </c>
      <c r="I953" s="103">
        <f t="shared" si="58"/>
        <v>1500</v>
      </c>
      <c r="J953" s="103">
        <f t="shared" si="59"/>
        <v>874.99999999999977</v>
      </c>
    </row>
    <row r="954" spans="1:10">
      <c r="A954" s="102"/>
      <c r="B954" s="102"/>
      <c r="C954" s="103">
        <v>10000</v>
      </c>
      <c r="D954" s="104" t="s">
        <v>581</v>
      </c>
      <c r="E954" s="113">
        <v>375</v>
      </c>
      <c r="F954" s="102">
        <v>17</v>
      </c>
      <c r="G954" s="208">
        <f>E954/(C954*H954/30)</f>
        <v>7.4999999999999997E-2</v>
      </c>
      <c r="H954" s="102">
        <v>15</v>
      </c>
      <c r="I954" s="103">
        <f t="shared" si="58"/>
        <v>6375</v>
      </c>
      <c r="J954" s="103">
        <f t="shared" si="59"/>
        <v>4249.9999999999991</v>
      </c>
    </row>
    <row r="955" spans="1:10">
      <c r="A955" s="102"/>
      <c r="B955" s="102"/>
      <c r="C955" s="103">
        <v>10000</v>
      </c>
      <c r="D955" s="104" t="s">
        <v>581</v>
      </c>
      <c r="E955" s="113">
        <v>1150</v>
      </c>
      <c r="F955" s="102">
        <v>10</v>
      </c>
      <c r="G955" s="208">
        <v>0.06</v>
      </c>
      <c r="H955" s="102" t="s">
        <v>664</v>
      </c>
      <c r="I955" s="103">
        <f t="shared" si="58"/>
        <v>1500</v>
      </c>
      <c r="J955" s="103">
        <f t="shared" si="59"/>
        <v>874.99999999999977</v>
      </c>
    </row>
    <row r="956" spans="1:10">
      <c r="A956" s="102"/>
      <c r="B956" s="102"/>
      <c r="C956" s="103">
        <v>10000</v>
      </c>
      <c r="D956" s="104" t="s">
        <v>1976</v>
      </c>
      <c r="E956" s="113">
        <v>375</v>
      </c>
      <c r="F956" s="102">
        <v>1</v>
      </c>
      <c r="G956" s="208">
        <f>E956/(C956*H956/30)</f>
        <v>7.4999999999999997E-2</v>
      </c>
      <c r="H956" s="102">
        <v>15</v>
      </c>
      <c r="I956" s="103">
        <f t="shared" si="58"/>
        <v>375</v>
      </c>
      <c r="J956" s="103">
        <f t="shared" si="59"/>
        <v>249.99999999999997</v>
      </c>
    </row>
    <row r="957" spans="1:10">
      <c r="A957" s="102"/>
      <c r="B957" s="102"/>
      <c r="C957" s="103">
        <v>10000</v>
      </c>
      <c r="D957" s="104" t="s">
        <v>583</v>
      </c>
      <c r="E957" s="113">
        <v>1150</v>
      </c>
      <c r="F957" s="102">
        <v>10</v>
      </c>
      <c r="G957" s="208">
        <v>0.06</v>
      </c>
      <c r="H957" s="102" t="s">
        <v>2184</v>
      </c>
      <c r="I957" s="103">
        <f t="shared" si="58"/>
        <v>1500</v>
      </c>
      <c r="J957" s="103">
        <f t="shared" si="59"/>
        <v>874.99999999999977</v>
      </c>
    </row>
    <row r="958" spans="1:10">
      <c r="A958" s="102"/>
      <c r="B958" s="102"/>
      <c r="C958" s="103">
        <v>10000</v>
      </c>
      <c r="D958" s="104" t="s">
        <v>257</v>
      </c>
      <c r="E958" s="113">
        <v>1150</v>
      </c>
      <c r="F958" s="102">
        <v>10</v>
      </c>
      <c r="G958" s="208">
        <v>0.06</v>
      </c>
      <c r="H958" s="102" t="s">
        <v>664</v>
      </c>
      <c r="I958" s="103">
        <f t="shared" si="58"/>
        <v>1500</v>
      </c>
      <c r="J958" s="103">
        <f t="shared" si="59"/>
        <v>874.99999999999977</v>
      </c>
    </row>
    <row r="959" spans="1:10">
      <c r="A959" s="102"/>
      <c r="B959" s="102"/>
      <c r="C959" s="103">
        <v>10000</v>
      </c>
      <c r="D959" s="104" t="s">
        <v>1525</v>
      </c>
      <c r="E959" s="113">
        <v>1150</v>
      </c>
      <c r="F959" s="102">
        <v>10</v>
      </c>
      <c r="G959" s="208">
        <v>0.06</v>
      </c>
      <c r="H959" s="102" t="s">
        <v>664</v>
      </c>
      <c r="I959" s="103">
        <f t="shared" si="58"/>
        <v>1500</v>
      </c>
      <c r="J959" s="103">
        <f t="shared" si="59"/>
        <v>874.99999999999977</v>
      </c>
    </row>
    <row r="960" spans="1:10">
      <c r="A960" s="102"/>
      <c r="B960" s="102"/>
      <c r="C960" s="103">
        <v>10000</v>
      </c>
      <c r="D960" s="104" t="s">
        <v>1984</v>
      </c>
      <c r="E960" s="113">
        <v>375</v>
      </c>
      <c r="F960" s="102">
        <v>4</v>
      </c>
      <c r="G960" s="208">
        <f>E960/(C960*H960/30)</f>
        <v>7.4999999999999997E-2</v>
      </c>
      <c r="H960" s="102">
        <v>15</v>
      </c>
      <c r="I960" s="103">
        <f t="shared" si="58"/>
        <v>1500</v>
      </c>
      <c r="J960" s="103">
        <f t="shared" si="59"/>
        <v>999.99999999999989</v>
      </c>
    </row>
    <row r="961" spans="1:10">
      <c r="A961" s="102"/>
      <c r="B961" s="102"/>
      <c r="C961" s="103">
        <v>10000</v>
      </c>
      <c r="D961" s="104" t="s">
        <v>1530</v>
      </c>
      <c r="E961" s="113">
        <v>1150</v>
      </c>
      <c r="F961" s="102">
        <v>10</v>
      </c>
      <c r="G961" s="208">
        <v>0.06</v>
      </c>
      <c r="H961" s="102" t="s">
        <v>664</v>
      </c>
      <c r="I961" s="103">
        <f t="shared" si="58"/>
        <v>1500</v>
      </c>
      <c r="J961" s="103">
        <f t="shared" si="59"/>
        <v>874.99999999999977</v>
      </c>
    </row>
    <row r="962" spans="1:10">
      <c r="A962" s="102"/>
      <c r="B962" s="102"/>
      <c r="C962" s="103">
        <v>30000</v>
      </c>
      <c r="D962" s="114" t="s">
        <v>698</v>
      </c>
      <c r="E962" s="113">
        <v>1125</v>
      </c>
      <c r="F962" s="102">
        <v>1</v>
      </c>
      <c r="G962" s="208">
        <f>E962/(C962*H962/30)</f>
        <v>7.4999999999999997E-2</v>
      </c>
      <c r="H962" s="102">
        <v>15</v>
      </c>
      <c r="I962" s="103">
        <f t="shared" si="58"/>
        <v>1125</v>
      </c>
      <c r="J962" s="103">
        <f t="shared" si="59"/>
        <v>749.99999999999989</v>
      </c>
    </row>
    <row r="963" spans="1:10">
      <c r="A963" s="102"/>
      <c r="B963" s="102"/>
      <c r="C963" s="103">
        <v>10000</v>
      </c>
      <c r="D963" s="114" t="s">
        <v>698</v>
      </c>
      <c r="E963" s="113">
        <v>375</v>
      </c>
      <c r="F963" s="102">
        <v>4</v>
      </c>
      <c r="G963" s="208">
        <f>E963/(C963*H963/30)</f>
        <v>7.4999999999999997E-2</v>
      </c>
      <c r="H963" s="102">
        <v>15</v>
      </c>
      <c r="I963" s="103">
        <f t="shared" si="58"/>
        <v>1500</v>
      </c>
      <c r="J963" s="103">
        <f t="shared" si="59"/>
        <v>999.99999999999989</v>
      </c>
    </row>
    <row r="964" spans="1:10">
      <c r="A964" s="102"/>
      <c r="B964" s="102"/>
      <c r="C964" s="103">
        <v>10000</v>
      </c>
      <c r="D964" s="104" t="s">
        <v>3161</v>
      </c>
      <c r="E964" s="113">
        <v>1150</v>
      </c>
      <c r="F964" s="102">
        <v>10</v>
      </c>
      <c r="G964" s="208">
        <v>0.06</v>
      </c>
      <c r="H964" s="102" t="s">
        <v>2184</v>
      </c>
      <c r="I964" s="103">
        <f t="shared" si="58"/>
        <v>1500</v>
      </c>
      <c r="J964" s="103">
        <f t="shared" si="59"/>
        <v>874.99999999999977</v>
      </c>
    </row>
    <row r="965" spans="1:10">
      <c r="A965" s="102"/>
      <c r="B965" s="102"/>
      <c r="C965" s="103">
        <v>20000</v>
      </c>
      <c r="D965" s="104" t="s">
        <v>3161</v>
      </c>
      <c r="E965" s="113">
        <v>750</v>
      </c>
      <c r="F965" s="102">
        <v>5</v>
      </c>
      <c r="G965" s="208">
        <f>E965/(C965*H965/30)</f>
        <v>7.4999999999999997E-2</v>
      </c>
      <c r="H965" s="102">
        <v>15</v>
      </c>
      <c r="I965" s="103">
        <f t="shared" ref="I965:I1028" si="60">IF(H965="分期",C965*G965*2.5*F965/10,C965*G965*H965/30*F965)</f>
        <v>3750</v>
      </c>
      <c r="J965" s="103">
        <f t="shared" ref="J965:J1028" si="61">IF(H965="分期",C965*(G965-0.025)*2.5*F965/10,C965*(G965-0.025)*H965/30*F965)</f>
        <v>2499.9999999999995</v>
      </c>
    </row>
    <row r="966" spans="1:10">
      <c r="A966" s="102"/>
      <c r="B966" s="102"/>
      <c r="C966" s="103">
        <v>20000</v>
      </c>
      <c r="D966" s="104" t="s">
        <v>3101</v>
      </c>
      <c r="E966" s="113">
        <v>2300</v>
      </c>
      <c r="F966" s="102">
        <v>6</v>
      </c>
      <c r="G966" s="208">
        <v>0.06</v>
      </c>
      <c r="H966" s="102" t="s">
        <v>664</v>
      </c>
      <c r="I966" s="103">
        <f t="shared" si="60"/>
        <v>1800</v>
      </c>
      <c r="J966" s="103">
        <f t="shared" si="61"/>
        <v>1049.9999999999998</v>
      </c>
    </row>
    <row r="967" spans="1:10">
      <c r="A967" s="102"/>
      <c r="B967" s="102"/>
      <c r="C967" s="103">
        <v>10000</v>
      </c>
      <c r="D967" s="114" t="s">
        <v>699</v>
      </c>
      <c r="E967" s="113">
        <v>1150</v>
      </c>
      <c r="F967" s="102">
        <v>3</v>
      </c>
      <c r="G967" s="208">
        <v>0.06</v>
      </c>
      <c r="H967" s="102" t="s">
        <v>2184</v>
      </c>
      <c r="I967" s="103">
        <f t="shared" si="60"/>
        <v>450</v>
      </c>
      <c r="J967" s="103">
        <f t="shared" si="61"/>
        <v>262.49999999999994</v>
      </c>
    </row>
    <row r="968" spans="1:10">
      <c r="A968" s="102">
        <v>137</v>
      </c>
      <c r="B968" s="102" t="s">
        <v>584</v>
      </c>
      <c r="C968" s="103">
        <v>140000</v>
      </c>
      <c r="D968" s="104" t="s">
        <v>585</v>
      </c>
      <c r="E968" s="113">
        <v>10500</v>
      </c>
      <c r="F968" s="102">
        <v>1</v>
      </c>
      <c r="G968" s="208">
        <f>E968/(C968*H968/30)</f>
        <v>7.4999999999999997E-2</v>
      </c>
      <c r="H968" s="102">
        <v>30</v>
      </c>
      <c r="I968" s="103">
        <f t="shared" si="60"/>
        <v>10500</v>
      </c>
      <c r="J968" s="103">
        <f t="shared" si="61"/>
        <v>6999.9999999999991</v>
      </c>
    </row>
    <row r="969" spans="1:10">
      <c r="A969" s="102"/>
      <c r="B969" s="102"/>
      <c r="C969" s="103">
        <v>140000</v>
      </c>
      <c r="D969" s="104" t="s">
        <v>585</v>
      </c>
      <c r="E969" s="113">
        <v>5250</v>
      </c>
      <c r="F969" s="102">
        <v>1</v>
      </c>
      <c r="G969" s="208">
        <f>E969/(C969*H969/30)</f>
        <v>7.4999999999999997E-2</v>
      </c>
      <c r="H969" s="102">
        <v>15</v>
      </c>
      <c r="I969" s="103">
        <f t="shared" si="60"/>
        <v>5250</v>
      </c>
      <c r="J969" s="103">
        <f t="shared" si="61"/>
        <v>3499.9999999999995</v>
      </c>
    </row>
    <row r="970" spans="1:10">
      <c r="A970" s="102"/>
      <c r="B970" s="102"/>
      <c r="C970" s="103">
        <v>80000</v>
      </c>
      <c r="D970" s="104" t="s">
        <v>239</v>
      </c>
      <c r="E970" s="113">
        <v>3000</v>
      </c>
      <c r="F970" s="102">
        <v>41</v>
      </c>
      <c r="G970" s="208">
        <f>E970/(C970*H970/30)</f>
        <v>7.4999999999999997E-2</v>
      </c>
      <c r="H970" s="102">
        <v>15</v>
      </c>
      <c r="I970" s="103">
        <f t="shared" si="60"/>
        <v>123000</v>
      </c>
      <c r="J970" s="103">
        <f t="shared" si="61"/>
        <v>81999.999999999985</v>
      </c>
    </row>
    <row r="971" spans="1:10">
      <c r="A971" s="102"/>
      <c r="B971" s="102"/>
      <c r="C971" s="103">
        <v>45000</v>
      </c>
      <c r="D971" s="114" t="s">
        <v>700</v>
      </c>
      <c r="E971" s="113">
        <v>1690</v>
      </c>
      <c r="F971" s="102">
        <v>25</v>
      </c>
      <c r="G971" s="208">
        <f>E971/(C971*H971/30)</f>
        <v>7.5111111111111115E-2</v>
      </c>
      <c r="H971" s="102">
        <v>15</v>
      </c>
      <c r="I971" s="103">
        <f t="shared" si="60"/>
        <v>42250</v>
      </c>
      <c r="J971" s="103">
        <f t="shared" si="61"/>
        <v>28187.5</v>
      </c>
    </row>
    <row r="972" spans="1:10">
      <c r="A972" s="102"/>
      <c r="B972" s="102"/>
      <c r="C972" s="103">
        <v>15000</v>
      </c>
      <c r="D972" s="104" t="s">
        <v>680</v>
      </c>
      <c r="E972" s="113">
        <v>565</v>
      </c>
      <c r="F972" s="102">
        <v>21</v>
      </c>
      <c r="G972" s="208">
        <f>E972/(C972*H972/30)</f>
        <v>7.5333333333333335E-2</v>
      </c>
      <c r="H972" s="102">
        <v>15</v>
      </c>
      <c r="I972" s="103">
        <f t="shared" si="60"/>
        <v>11865</v>
      </c>
      <c r="J972" s="103">
        <f t="shared" si="61"/>
        <v>7927.5</v>
      </c>
    </row>
    <row r="973" spans="1:10">
      <c r="A973" s="102">
        <v>138</v>
      </c>
      <c r="B973" s="102" t="s">
        <v>3573</v>
      </c>
      <c r="C973" s="103">
        <v>243685</v>
      </c>
      <c r="D973" s="114" t="s">
        <v>701</v>
      </c>
      <c r="E973" s="113">
        <v>36300</v>
      </c>
      <c r="F973" s="102">
        <v>1</v>
      </c>
      <c r="G973" s="208">
        <v>0.06</v>
      </c>
      <c r="H973" s="102" t="s">
        <v>2184</v>
      </c>
      <c r="I973" s="103">
        <f t="shared" si="60"/>
        <v>3655.2750000000001</v>
      </c>
      <c r="J973" s="103">
        <f t="shared" si="61"/>
        <v>2132.2437499999996</v>
      </c>
    </row>
    <row r="974" spans="1:10">
      <c r="A974" s="102"/>
      <c r="B974" s="102"/>
      <c r="C974" s="103">
        <v>243685</v>
      </c>
      <c r="D974" s="114" t="s">
        <v>701</v>
      </c>
      <c r="E974" s="113">
        <v>31200</v>
      </c>
      <c r="F974" s="102">
        <v>1</v>
      </c>
      <c r="G974" s="208">
        <v>0.06</v>
      </c>
      <c r="H974" s="102" t="s">
        <v>2184</v>
      </c>
      <c r="I974" s="103">
        <f t="shared" si="60"/>
        <v>3655.2750000000001</v>
      </c>
      <c r="J974" s="103">
        <f t="shared" si="61"/>
        <v>2132.2437499999996</v>
      </c>
    </row>
    <row r="975" spans="1:10">
      <c r="A975" s="102"/>
      <c r="B975" s="102"/>
      <c r="C975" s="103">
        <v>243685</v>
      </c>
      <c r="D975" s="114" t="s">
        <v>701</v>
      </c>
      <c r="E975" s="113">
        <v>34900</v>
      </c>
      <c r="F975" s="102">
        <v>1</v>
      </c>
      <c r="G975" s="208">
        <v>0.06</v>
      </c>
      <c r="H975" s="102" t="s">
        <v>2184</v>
      </c>
      <c r="I975" s="103">
        <f t="shared" si="60"/>
        <v>3655.2750000000001</v>
      </c>
      <c r="J975" s="103">
        <f t="shared" si="61"/>
        <v>2132.2437499999996</v>
      </c>
    </row>
    <row r="976" spans="1:10">
      <c r="A976" s="102"/>
      <c r="B976" s="102"/>
      <c r="C976" s="103">
        <v>243685</v>
      </c>
      <c r="D976" s="114" t="s">
        <v>701</v>
      </c>
      <c r="E976" s="113">
        <v>24100</v>
      </c>
      <c r="F976" s="102">
        <v>1</v>
      </c>
      <c r="G976" s="208">
        <v>0.06</v>
      </c>
      <c r="H976" s="102" t="s">
        <v>2184</v>
      </c>
      <c r="I976" s="103">
        <f t="shared" si="60"/>
        <v>3655.2750000000001</v>
      </c>
      <c r="J976" s="103">
        <f t="shared" si="61"/>
        <v>2132.2437499999996</v>
      </c>
    </row>
    <row r="977" spans="1:10">
      <c r="A977" s="102"/>
      <c r="B977" s="102"/>
      <c r="C977" s="103">
        <v>243685</v>
      </c>
      <c r="D977" s="114" t="s">
        <v>701</v>
      </c>
      <c r="E977" s="113">
        <v>32500</v>
      </c>
      <c r="F977" s="102">
        <v>1</v>
      </c>
      <c r="G977" s="208">
        <v>0.06</v>
      </c>
      <c r="H977" s="102" t="s">
        <v>2184</v>
      </c>
      <c r="I977" s="103">
        <f t="shared" si="60"/>
        <v>3655.2750000000001</v>
      </c>
      <c r="J977" s="103">
        <f t="shared" si="61"/>
        <v>2132.2437499999996</v>
      </c>
    </row>
    <row r="978" spans="1:10">
      <c r="A978" s="102"/>
      <c r="B978" s="102"/>
      <c r="C978" s="103">
        <v>243685</v>
      </c>
      <c r="D978" s="114" t="s">
        <v>701</v>
      </c>
      <c r="E978" s="113">
        <v>31100</v>
      </c>
      <c r="F978" s="102">
        <v>1</v>
      </c>
      <c r="G978" s="208">
        <v>0.06</v>
      </c>
      <c r="H978" s="102" t="s">
        <v>2184</v>
      </c>
      <c r="I978" s="103">
        <f t="shared" si="60"/>
        <v>3655.2750000000001</v>
      </c>
      <c r="J978" s="103">
        <f t="shared" si="61"/>
        <v>2132.2437499999996</v>
      </c>
    </row>
    <row r="979" spans="1:10">
      <c r="A979" s="102"/>
      <c r="B979" s="102"/>
      <c r="C979" s="103">
        <v>243685</v>
      </c>
      <c r="D979" s="114" t="s">
        <v>701</v>
      </c>
      <c r="E979" s="113">
        <v>37000</v>
      </c>
      <c r="F979" s="102">
        <v>1</v>
      </c>
      <c r="G979" s="208">
        <v>0.06</v>
      </c>
      <c r="H979" s="102" t="s">
        <v>2184</v>
      </c>
      <c r="I979" s="103">
        <f t="shared" si="60"/>
        <v>3655.2750000000001</v>
      </c>
      <c r="J979" s="103">
        <f t="shared" si="61"/>
        <v>2132.2437499999996</v>
      </c>
    </row>
    <row r="980" spans="1:10">
      <c r="A980" s="102"/>
      <c r="B980" s="102"/>
      <c r="C980" s="103">
        <v>243685</v>
      </c>
      <c r="D980" s="114" t="s">
        <v>701</v>
      </c>
      <c r="E980" s="113">
        <v>40100</v>
      </c>
      <c r="F980" s="102">
        <v>1</v>
      </c>
      <c r="G980" s="208">
        <v>0.06</v>
      </c>
      <c r="H980" s="102" t="s">
        <v>2184</v>
      </c>
      <c r="I980" s="103">
        <f t="shared" si="60"/>
        <v>3655.2750000000001</v>
      </c>
      <c r="J980" s="103">
        <f t="shared" si="61"/>
        <v>2132.2437499999996</v>
      </c>
    </row>
    <row r="981" spans="1:10">
      <c r="A981" s="102"/>
      <c r="B981" s="102"/>
      <c r="C981" s="103">
        <v>243685</v>
      </c>
      <c r="D981" s="114" t="s">
        <v>701</v>
      </c>
      <c r="E981" s="113">
        <v>32025</v>
      </c>
      <c r="F981" s="102">
        <v>1</v>
      </c>
      <c r="G981" s="208">
        <v>0.06</v>
      </c>
      <c r="H981" s="102" t="s">
        <v>2184</v>
      </c>
      <c r="I981" s="103">
        <f t="shared" si="60"/>
        <v>3655.2750000000001</v>
      </c>
      <c r="J981" s="103">
        <f t="shared" si="61"/>
        <v>2132.2437499999996</v>
      </c>
    </row>
    <row r="982" spans="1:10">
      <c r="A982" s="102"/>
      <c r="B982" s="102"/>
      <c r="C982" s="103">
        <v>243685</v>
      </c>
      <c r="D982" s="114" t="s">
        <v>701</v>
      </c>
      <c r="E982" s="113">
        <v>28850</v>
      </c>
      <c r="F982" s="102">
        <v>1</v>
      </c>
      <c r="G982" s="208">
        <v>0.06</v>
      </c>
      <c r="H982" s="102" t="s">
        <v>2184</v>
      </c>
      <c r="I982" s="103">
        <f t="shared" si="60"/>
        <v>3655.2750000000001</v>
      </c>
      <c r="J982" s="103">
        <f t="shared" si="61"/>
        <v>2132.2437499999996</v>
      </c>
    </row>
    <row r="983" spans="1:10">
      <c r="A983" s="102"/>
      <c r="B983" s="102"/>
      <c r="C983" s="103">
        <v>15000</v>
      </c>
      <c r="D983" s="104" t="s">
        <v>3153</v>
      </c>
      <c r="E983" s="113">
        <v>565</v>
      </c>
      <c r="F983" s="102">
        <v>7</v>
      </c>
      <c r="G983" s="208">
        <f>E983/(C983*H983/30)</f>
        <v>7.5333333333333335E-2</v>
      </c>
      <c r="H983" s="102">
        <v>15</v>
      </c>
      <c r="I983" s="103">
        <f t="shared" si="60"/>
        <v>3955</v>
      </c>
      <c r="J983" s="103">
        <f t="shared" si="61"/>
        <v>2642.5</v>
      </c>
    </row>
    <row r="984" spans="1:10">
      <c r="A984" s="102"/>
      <c r="B984" s="102"/>
      <c r="C984" s="103">
        <v>30722</v>
      </c>
      <c r="D984" s="114" t="s">
        <v>702</v>
      </c>
      <c r="E984" s="113">
        <v>1155</v>
      </c>
      <c r="F984" s="102">
        <v>8</v>
      </c>
      <c r="G984" s="208">
        <f>E984/(C984*H984/30)</f>
        <v>7.5190417290540976E-2</v>
      </c>
      <c r="H984" s="102">
        <v>15</v>
      </c>
      <c r="I984" s="103">
        <f t="shared" si="60"/>
        <v>9240</v>
      </c>
      <c r="J984" s="103">
        <f t="shared" si="61"/>
        <v>6167.7999999999993</v>
      </c>
    </row>
    <row r="985" spans="1:10">
      <c r="A985" s="102"/>
      <c r="B985" s="102"/>
      <c r="C985" s="103">
        <v>20000</v>
      </c>
      <c r="D985" s="104" t="s">
        <v>1698</v>
      </c>
      <c r="E985" s="113">
        <v>750</v>
      </c>
      <c r="F985" s="102">
        <v>4</v>
      </c>
      <c r="G985" s="208">
        <f>E985/(C985*H985/30)</f>
        <v>7.4999999999999997E-2</v>
      </c>
      <c r="H985" s="102">
        <v>15</v>
      </c>
      <c r="I985" s="103">
        <f t="shared" si="60"/>
        <v>3000</v>
      </c>
      <c r="J985" s="103">
        <f t="shared" si="61"/>
        <v>1999.9999999999998</v>
      </c>
    </row>
    <row r="986" spans="1:10">
      <c r="A986" s="102"/>
      <c r="B986" s="102"/>
      <c r="C986" s="103">
        <v>20000</v>
      </c>
      <c r="D986" s="104" t="s">
        <v>1002</v>
      </c>
      <c r="E986" s="113">
        <v>750</v>
      </c>
      <c r="F986" s="102">
        <v>2</v>
      </c>
      <c r="G986" s="208">
        <f>E986/(C986*H986/30)</f>
        <v>7.4999999999999997E-2</v>
      </c>
      <c r="H986" s="102">
        <v>15</v>
      </c>
      <c r="I986" s="103">
        <f t="shared" si="60"/>
        <v>1500</v>
      </c>
      <c r="J986" s="103">
        <f t="shared" si="61"/>
        <v>999.99999999999989</v>
      </c>
    </row>
    <row r="987" spans="1:10">
      <c r="A987" s="102"/>
      <c r="B987" s="102"/>
      <c r="C987" s="103">
        <v>20000</v>
      </c>
      <c r="D987" s="114" t="s">
        <v>703</v>
      </c>
      <c r="E987" s="113">
        <v>750</v>
      </c>
      <c r="F987" s="102">
        <v>1</v>
      </c>
      <c r="G987" s="208">
        <f>E987/(C987*H987/30)</f>
        <v>7.4999999999999997E-2</v>
      </c>
      <c r="H987" s="102">
        <v>15</v>
      </c>
      <c r="I987" s="103">
        <f t="shared" si="60"/>
        <v>750</v>
      </c>
      <c r="J987" s="103">
        <f t="shared" si="61"/>
        <v>499.99999999999994</v>
      </c>
    </row>
    <row r="988" spans="1:10">
      <c r="A988" s="102">
        <v>139</v>
      </c>
      <c r="B988" s="102" t="s">
        <v>3574</v>
      </c>
      <c r="C988" s="103">
        <v>10000</v>
      </c>
      <c r="D988" s="104" t="s">
        <v>467</v>
      </c>
      <c r="E988" s="113">
        <v>1150</v>
      </c>
      <c r="F988" s="102">
        <v>10</v>
      </c>
      <c r="G988" s="208">
        <v>0.06</v>
      </c>
      <c r="H988" s="102" t="s">
        <v>664</v>
      </c>
      <c r="I988" s="103">
        <f t="shared" si="60"/>
        <v>1500</v>
      </c>
      <c r="J988" s="103">
        <f t="shared" si="61"/>
        <v>874.99999999999977</v>
      </c>
    </row>
    <row r="989" spans="1:10">
      <c r="A989" s="102"/>
      <c r="B989" s="102"/>
      <c r="C989" s="103">
        <v>10000</v>
      </c>
      <c r="D989" s="104" t="s">
        <v>2336</v>
      </c>
      <c r="E989" s="113">
        <v>1150</v>
      </c>
      <c r="F989" s="102">
        <v>10</v>
      </c>
      <c r="G989" s="208">
        <v>0.06</v>
      </c>
      <c r="H989" s="102" t="s">
        <v>664</v>
      </c>
      <c r="I989" s="103">
        <f t="shared" si="60"/>
        <v>1500</v>
      </c>
      <c r="J989" s="103">
        <f t="shared" si="61"/>
        <v>874.99999999999977</v>
      </c>
    </row>
    <row r="990" spans="1:10">
      <c r="A990" s="102"/>
      <c r="B990" s="102"/>
      <c r="C990" s="103">
        <v>15000</v>
      </c>
      <c r="D990" s="104" t="s">
        <v>1006</v>
      </c>
      <c r="E990" s="113">
        <v>1750</v>
      </c>
      <c r="F990" s="102">
        <v>10</v>
      </c>
      <c r="G990" s="208">
        <v>0.06</v>
      </c>
      <c r="H990" s="102" t="s">
        <v>664</v>
      </c>
      <c r="I990" s="103">
        <f t="shared" si="60"/>
        <v>2250</v>
      </c>
      <c r="J990" s="103">
        <f t="shared" si="61"/>
        <v>1312.5</v>
      </c>
    </row>
    <row r="991" spans="1:10">
      <c r="A991" s="102"/>
      <c r="B991" s="102"/>
      <c r="C991" s="103">
        <v>10000</v>
      </c>
      <c r="D991" s="104" t="s">
        <v>1670</v>
      </c>
      <c r="E991" s="113">
        <v>1150</v>
      </c>
      <c r="F991" s="102">
        <v>10</v>
      </c>
      <c r="G991" s="208">
        <v>0.06</v>
      </c>
      <c r="H991" s="102" t="s">
        <v>664</v>
      </c>
      <c r="I991" s="103">
        <f t="shared" si="60"/>
        <v>1500</v>
      </c>
      <c r="J991" s="103">
        <f t="shared" si="61"/>
        <v>874.99999999999977</v>
      </c>
    </row>
    <row r="992" spans="1:10">
      <c r="A992" s="102"/>
      <c r="B992" s="102"/>
      <c r="C992" s="103">
        <v>10000</v>
      </c>
      <c r="D992" s="104" t="s">
        <v>449</v>
      </c>
      <c r="E992" s="113">
        <v>1150</v>
      </c>
      <c r="F992" s="102">
        <v>10</v>
      </c>
      <c r="G992" s="208">
        <v>0.06</v>
      </c>
      <c r="H992" s="102" t="s">
        <v>664</v>
      </c>
      <c r="I992" s="103">
        <f t="shared" si="60"/>
        <v>1500</v>
      </c>
      <c r="J992" s="103">
        <f t="shared" si="61"/>
        <v>874.99999999999977</v>
      </c>
    </row>
    <row r="993" spans="1:10">
      <c r="A993" s="102"/>
      <c r="B993" s="102"/>
      <c r="C993" s="103">
        <v>10000</v>
      </c>
      <c r="D993" s="104" t="s">
        <v>1517</v>
      </c>
      <c r="E993" s="113">
        <v>1150</v>
      </c>
      <c r="F993" s="102">
        <v>10</v>
      </c>
      <c r="G993" s="208">
        <v>0.06</v>
      </c>
      <c r="H993" s="102" t="s">
        <v>664</v>
      </c>
      <c r="I993" s="103">
        <f t="shared" si="60"/>
        <v>1500</v>
      </c>
      <c r="J993" s="103">
        <f t="shared" si="61"/>
        <v>874.99999999999977</v>
      </c>
    </row>
    <row r="994" spans="1:10">
      <c r="A994" s="102"/>
      <c r="B994" s="102"/>
      <c r="C994" s="103">
        <v>15000</v>
      </c>
      <c r="D994" s="114" t="s">
        <v>704</v>
      </c>
      <c r="E994" s="113">
        <v>1750</v>
      </c>
      <c r="F994" s="102">
        <v>10</v>
      </c>
      <c r="G994" s="208">
        <v>0.06</v>
      </c>
      <c r="H994" s="102" t="s">
        <v>664</v>
      </c>
      <c r="I994" s="103">
        <f t="shared" si="60"/>
        <v>2250</v>
      </c>
      <c r="J994" s="103">
        <f t="shared" si="61"/>
        <v>1312.5</v>
      </c>
    </row>
    <row r="995" spans="1:10">
      <c r="A995" s="102"/>
      <c r="B995" s="102"/>
      <c r="C995" s="103">
        <v>15000</v>
      </c>
      <c r="D995" s="104" t="s">
        <v>3706</v>
      </c>
      <c r="E995" s="113">
        <v>1750</v>
      </c>
      <c r="F995" s="102">
        <v>10</v>
      </c>
      <c r="G995" s="208">
        <v>0.06</v>
      </c>
      <c r="H995" s="102" t="s">
        <v>664</v>
      </c>
      <c r="I995" s="103">
        <f t="shared" si="60"/>
        <v>2250</v>
      </c>
      <c r="J995" s="103">
        <f t="shared" si="61"/>
        <v>1312.5</v>
      </c>
    </row>
    <row r="996" spans="1:10">
      <c r="A996" s="102"/>
      <c r="B996" s="102"/>
      <c r="C996" s="103">
        <v>15000</v>
      </c>
      <c r="D996" s="104" t="s">
        <v>2361</v>
      </c>
      <c r="E996" s="113">
        <v>1750</v>
      </c>
      <c r="F996" s="102">
        <v>10</v>
      </c>
      <c r="G996" s="208">
        <v>0.06</v>
      </c>
      <c r="H996" s="102" t="s">
        <v>664</v>
      </c>
      <c r="I996" s="103">
        <f t="shared" si="60"/>
        <v>2250</v>
      </c>
      <c r="J996" s="103">
        <f t="shared" si="61"/>
        <v>1312.5</v>
      </c>
    </row>
    <row r="997" spans="1:10">
      <c r="A997" s="102"/>
      <c r="B997" s="102"/>
      <c r="C997" s="103">
        <v>10000</v>
      </c>
      <c r="D997" s="104" t="s">
        <v>493</v>
      </c>
      <c r="E997" s="113">
        <v>1150</v>
      </c>
      <c r="F997" s="102">
        <v>10</v>
      </c>
      <c r="G997" s="208">
        <v>0.06</v>
      </c>
      <c r="H997" s="102" t="s">
        <v>664</v>
      </c>
      <c r="I997" s="103">
        <f t="shared" si="60"/>
        <v>1500</v>
      </c>
      <c r="J997" s="103">
        <f t="shared" si="61"/>
        <v>874.99999999999977</v>
      </c>
    </row>
    <row r="998" spans="1:10">
      <c r="A998" s="102"/>
      <c r="B998" s="102"/>
      <c r="C998" s="103">
        <v>15000</v>
      </c>
      <c r="D998" s="104" t="s">
        <v>2350</v>
      </c>
      <c r="E998" s="113">
        <v>1750</v>
      </c>
      <c r="F998" s="102">
        <v>10</v>
      </c>
      <c r="G998" s="208">
        <v>0.06</v>
      </c>
      <c r="H998" s="102" t="s">
        <v>664</v>
      </c>
      <c r="I998" s="103">
        <f t="shared" si="60"/>
        <v>2250</v>
      </c>
      <c r="J998" s="103">
        <f t="shared" si="61"/>
        <v>1312.5</v>
      </c>
    </row>
    <row r="999" spans="1:10">
      <c r="A999" s="102"/>
      <c r="B999" s="102"/>
      <c r="C999" s="103">
        <v>10000</v>
      </c>
      <c r="D999" s="104" t="s">
        <v>28</v>
      </c>
      <c r="E999" s="113">
        <v>375</v>
      </c>
      <c r="F999" s="102">
        <v>5</v>
      </c>
      <c r="G999" s="208">
        <f>E999/(C999*H999/30)</f>
        <v>7.4999999999999997E-2</v>
      </c>
      <c r="H999" s="102">
        <v>15</v>
      </c>
      <c r="I999" s="103">
        <f t="shared" si="60"/>
        <v>1875</v>
      </c>
      <c r="J999" s="103">
        <f t="shared" si="61"/>
        <v>1249.9999999999998</v>
      </c>
    </row>
    <row r="1000" spans="1:10">
      <c r="A1000" s="102"/>
      <c r="B1000" s="102"/>
      <c r="C1000" s="103">
        <v>10000</v>
      </c>
      <c r="D1000" s="104" t="s">
        <v>991</v>
      </c>
      <c r="E1000" s="113">
        <v>1150</v>
      </c>
      <c r="F1000" s="102">
        <v>10</v>
      </c>
      <c r="G1000" s="208">
        <v>0.06</v>
      </c>
      <c r="H1000" s="102" t="s">
        <v>664</v>
      </c>
      <c r="I1000" s="103">
        <f t="shared" si="60"/>
        <v>1500</v>
      </c>
      <c r="J1000" s="103">
        <f t="shared" si="61"/>
        <v>874.99999999999977</v>
      </c>
    </row>
    <row r="1001" spans="1:10">
      <c r="A1001" s="102"/>
      <c r="B1001" s="102"/>
      <c r="C1001" s="103">
        <v>15000</v>
      </c>
      <c r="D1001" s="104" t="s">
        <v>3178</v>
      </c>
      <c r="E1001" s="113">
        <v>1750</v>
      </c>
      <c r="F1001" s="102">
        <v>10</v>
      </c>
      <c r="G1001" s="208">
        <v>0.06</v>
      </c>
      <c r="H1001" s="102" t="s">
        <v>664</v>
      </c>
      <c r="I1001" s="103">
        <f t="shared" si="60"/>
        <v>2250</v>
      </c>
      <c r="J1001" s="103">
        <f t="shared" si="61"/>
        <v>1312.5</v>
      </c>
    </row>
    <row r="1002" spans="1:10">
      <c r="A1002" s="102"/>
      <c r="B1002" s="102"/>
      <c r="C1002" s="103">
        <v>10000</v>
      </c>
      <c r="D1002" s="104" t="s">
        <v>663</v>
      </c>
      <c r="E1002" s="113">
        <v>375</v>
      </c>
      <c r="F1002" s="102">
        <v>3</v>
      </c>
      <c r="G1002" s="208">
        <f>E1002/(C1002*H1002/30)</f>
        <v>7.4999999999999997E-2</v>
      </c>
      <c r="H1002" s="102">
        <v>15</v>
      </c>
      <c r="I1002" s="103">
        <f t="shared" si="60"/>
        <v>1125</v>
      </c>
      <c r="J1002" s="103">
        <f t="shared" si="61"/>
        <v>749.99999999999989</v>
      </c>
    </row>
    <row r="1003" spans="1:10">
      <c r="A1003" s="102"/>
      <c r="B1003" s="102"/>
      <c r="C1003" s="103">
        <v>10000</v>
      </c>
      <c r="D1003" s="104" t="s">
        <v>977</v>
      </c>
      <c r="E1003" s="113">
        <v>1150</v>
      </c>
      <c r="F1003" s="102">
        <v>10</v>
      </c>
      <c r="G1003" s="208">
        <v>0.06</v>
      </c>
      <c r="H1003" s="102" t="s">
        <v>2184</v>
      </c>
      <c r="I1003" s="103">
        <f t="shared" si="60"/>
        <v>1500</v>
      </c>
      <c r="J1003" s="103">
        <f t="shared" si="61"/>
        <v>874.99999999999977</v>
      </c>
    </row>
    <row r="1004" spans="1:10">
      <c r="A1004" s="102"/>
      <c r="B1004" s="102"/>
      <c r="C1004" s="103">
        <v>15000</v>
      </c>
      <c r="D1004" s="104" t="s">
        <v>1520</v>
      </c>
      <c r="E1004" s="113">
        <v>1750</v>
      </c>
      <c r="F1004" s="102">
        <v>10</v>
      </c>
      <c r="G1004" s="208">
        <v>0.06</v>
      </c>
      <c r="H1004" s="102" t="s">
        <v>664</v>
      </c>
      <c r="I1004" s="103">
        <f t="shared" si="60"/>
        <v>2250</v>
      </c>
      <c r="J1004" s="103">
        <f t="shared" si="61"/>
        <v>1312.5</v>
      </c>
    </row>
    <row r="1005" spans="1:10">
      <c r="A1005" s="102">
        <v>141</v>
      </c>
      <c r="B1005" s="102" t="s">
        <v>3575</v>
      </c>
      <c r="C1005" s="103">
        <v>20000</v>
      </c>
      <c r="D1005" s="104" t="s">
        <v>479</v>
      </c>
      <c r="E1005" s="127">
        <v>750</v>
      </c>
      <c r="F1005" s="102">
        <v>3</v>
      </c>
      <c r="G1005" s="208">
        <f>E1005/(C1005*H1005/30)</f>
        <v>7.4999999999999997E-2</v>
      </c>
      <c r="H1005" s="102">
        <v>15</v>
      </c>
      <c r="I1005" s="103">
        <f t="shared" si="60"/>
        <v>2250</v>
      </c>
      <c r="J1005" s="103">
        <f t="shared" si="61"/>
        <v>1499.9999999999998</v>
      </c>
    </row>
    <row r="1006" spans="1:10">
      <c r="A1006" s="102"/>
      <c r="B1006" s="102"/>
      <c r="C1006" s="103">
        <v>10000</v>
      </c>
      <c r="D1006" s="104" t="s">
        <v>441</v>
      </c>
      <c r="E1006" s="113">
        <v>375</v>
      </c>
      <c r="F1006" s="102">
        <v>2</v>
      </c>
      <c r="G1006" s="208">
        <f>E1006/(C1006*H1006/30)</f>
        <v>7.4999999999999997E-2</v>
      </c>
      <c r="H1006" s="102">
        <v>15</v>
      </c>
      <c r="I1006" s="103">
        <f t="shared" si="60"/>
        <v>750</v>
      </c>
      <c r="J1006" s="103">
        <f t="shared" si="61"/>
        <v>499.99999999999994</v>
      </c>
    </row>
    <row r="1007" spans="1:10">
      <c r="A1007" s="102">
        <v>142</v>
      </c>
      <c r="B1007" s="102" t="s">
        <v>3576</v>
      </c>
      <c r="C1007" s="103">
        <v>20000</v>
      </c>
      <c r="D1007" s="104" t="s">
        <v>3154</v>
      </c>
      <c r="E1007" s="113">
        <v>2300</v>
      </c>
      <c r="F1007" s="102">
        <v>10</v>
      </c>
      <c r="G1007" s="208">
        <v>0.06</v>
      </c>
      <c r="H1007" s="102" t="s">
        <v>664</v>
      </c>
      <c r="I1007" s="103">
        <f t="shared" si="60"/>
        <v>3000</v>
      </c>
      <c r="J1007" s="103">
        <f t="shared" si="61"/>
        <v>1749.9999999999995</v>
      </c>
    </row>
    <row r="1008" spans="1:10">
      <c r="A1008" s="102"/>
      <c r="B1008" s="102"/>
      <c r="C1008" s="103">
        <v>20000</v>
      </c>
      <c r="D1008" s="104" t="s">
        <v>974</v>
      </c>
      <c r="E1008" s="113">
        <v>2300</v>
      </c>
      <c r="F1008" s="102">
        <v>10</v>
      </c>
      <c r="G1008" s="208">
        <v>0.06</v>
      </c>
      <c r="H1008" s="102" t="s">
        <v>2184</v>
      </c>
      <c r="I1008" s="103">
        <f t="shared" si="60"/>
        <v>3000</v>
      </c>
      <c r="J1008" s="103">
        <f t="shared" si="61"/>
        <v>1749.9999999999995</v>
      </c>
    </row>
    <row r="1009" spans="1:10">
      <c r="A1009" s="102"/>
      <c r="B1009" s="102"/>
      <c r="C1009" s="103">
        <v>20000</v>
      </c>
      <c r="D1009" s="104" t="s">
        <v>1668</v>
      </c>
      <c r="E1009" s="113">
        <v>2300</v>
      </c>
      <c r="F1009" s="102">
        <v>10</v>
      </c>
      <c r="G1009" s="208">
        <v>0.06</v>
      </c>
      <c r="H1009" s="102" t="s">
        <v>664</v>
      </c>
      <c r="I1009" s="103">
        <f t="shared" si="60"/>
        <v>3000</v>
      </c>
      <c r="J1009" s="103">
        <f t="shared" si="61"/>
        <v>1749.9999999999995</v>
      </c>
    </row>
    <row r="1010" spans="1:10">
      <c r="A1010" s="102"/>
      <c r="B1010" s="102"/>
      <c r="C1010" s="103">
        <v>20000</v>
      </c>
      <c r="D1010" s="114" t="s">
        <v>705</v>
      </c>
      <c r="E1010" s="113">
        <v>2300</v>
      </c>
      <c r="F1010" s="102">
        <v>10</v>
      </c>
      <c r="G1010" s="208">
        <v>0.06</v>
      </c>
      <c r="H1010" s="102" t="s">
        <v>664</v>
      </c>
      <c r="I1010" s="103">
        <f t="shared" si="60"/>
        <v>3000</v>
      </c>
      <c r="J1010" s="103">
        <f t="shared" si="61"/>
        <v>1749.9999999999995</v>
      </c>
    </row>
    <row r="1011" spans="1:10">
      <c r="A1011" s="102"/>
      <c r="B1011" s="102"/>
      <c r="C1011" s="103">
        <v>20000</v>
      </c>
      <c r="D1011" s="104" t="s">
        <v>3133</v>
      </c>
      <c r="E1011" s="113">
        <v>2300</v>
      </c>
      <c r="F1011" s="102">
        <v>10</v>
      </c>
      <c r="G1011" s="208">
        <v>0.06</v>
      </c>
      <c r="H1011" s="102" t="s">
        <v>2184</v>
      </c>
      <c r="I1011" s="103">
        <f t="shared" si="60"/>
        <v>3000</v>
      </c>
      <c r="J1011" s="103">
        <f t="shared" si="61"/>
        <v>1749.9999999999995</v>
      </c>
    </row>
    <row r="1012" spans="1:10">
      <c r="A1012" s="102"/>
      <c r="B1012" s="102"/>
      <c r="C1012" s="103">
        <v>20000</v>
      </c>
      <c r="D1012" s="104" t="s">
        <v>3111</v>
      </c>
      <c r="E1012" s="113">
        <v>2300</v>
      </c>
      <c r="F1012" s="102">
        <v>10</v>
      </c>
      <c r="G1012" s="208">
        <v>0.06</v>
      </c>
      <c r="H1012" s="102" t="s">
        <v>664</v>
      </c>
      <c r="I1012" s="103">
        <f t="shared" si="60"/>
        <v>3000</v>
      </c>
      <c r="J1012" s="103">
        <f t="shared" si="61"/>
        <v>1749.9999999999995</v>
      </c>
    </row>
    <row r="1013" spans="1:10">
      <c r="A1013" s="102"/>
      <c r="B1013" s="102"/>
      <c r="C1013" s="103">
        <v>20000</v>
      </c>
      <c r="D1013" s="104" t="s">
        <v>491</v>
      </c>
      <c r="E1013" s="113">
        <v>2300</v>
      </c>
      <c r="F1013" s="102">
        <v>10</v>
      </c>
      <c r="G1013" s="208">
        <v>0.06</v>
      </c>
      <c r="H1013" s="102" t="s">
        <v>664</v>
      </c>
      <c r="I1013" s="103">
        <f t="shared" si="60"/>
        <v>3000</v>
      </c>
      <c r="J1013" s="103">
        <f t="shared" si="61"/>
        <v>1749.9999999999995</v>
      </c>
    </row>
    <row r="1014" spans="1:10">
      <c r="A1014" s="102"/>
      <c r="B1014" s="102"/>
      <c r="C1014" s="103">
        <v>10000</v>
      </c>
      <c r="D1014" s="104" t="s">
        <v>996</v>
      </c>
      <c r="E1014" s="113">
        <v>375</v>
      </c>
      <c r="F1014" s="102">
        <v>9</v>
      </c>
      <c r="G1014" s="208">
        <f>E1014/(C1014*H1014/30)</f>
        <v>7.4999999999999997E-2</v>
      </c>
      <c r="H1014" s="102">
        <v>15</v>
      </c>
      <c r="I1014" s="103">
        <f t="shared" si="60"/>
        <v>3375</v>
      </c>
      <c r="J1014" s="103">
        <f t="shared" si="61"/>
        <v>2249.9999999999995</v>
      </c>
    </row>
    <row r="1015" spans="1:10">
      <c r="A1015" s="102"/>
      <c r="B1015" s="102"/>
      <c r="C1015" s="103">
        <v>20000</v>
      </c>
      <c r="D1015" s="104" t="s">
        <v>996</v>
      </c>
      <c r="E1015" s="113">
        <v>2300</v>
      </c>
      <c r="F1015" s="102">
        <v>10</v>
      </c>
      <c r="G1015" s="208">
        <v>0.06</v>
      </c>
      <c r="H1015" s="102" t="s">
        <v>2184</v>
      </c>
      <c r="I1015" s="103">
        <f t="shared" si="60"/>
        <v>3000</v>
      </c>
      <c r="J1015" s="103">
        <f t="shared" si="61"/>
        <v>1749.9999999999995</v>
      </c>
    </row>
    <row r="1016" spans="1:10">
      <c r="A1016" s="102"/>
      <c r="B1016" s="102"/>
      <c r="C1016" s="103">
        <v>20000</v>
      </c>
      <c r="D1016" s="104" t="s">
        <v>988</v>
      </c>
      <c r="E1016" s="113">
        <v>2300</v>
      </c>
      <c r="F1016" s="102">
        <v>10</v>
      </c>
      <c r="G1016" s="208">
        <v>0.06</v>
      </c>
      <c r="H1016" s="102" t="s">
        <v>664</v>
      </c>
      <c r="I1016" s="103">
        <f t="shared" si="60"/>
        <v>3000</v>
      </c>
      <c r="J1016" s="103">
        <f t="shared" si="61"/>
        <v>1749.9999999999995</v>
      </c>
    </row>
    <row r="1017" spans="1:10">
      <c r="A1017" s="102"/>
      <c r="B1017" s="102"/>
      <c r="C1017" s="103">
        <v>20000</v>
      </c>
      <c r="D1017" s="104" t="s">
        <v>688</v>
      </c>
      <c r="E1017" s="113">
        <v>2300</v>
      </c>
      <c r="F1017" s="102">
        <v>10</v>
      </c>
      <c r="G1017" s="208">
        <v>0.06</v>
      </c>
      <c r="H1017" s="102" t="s">
        <v>664</v>
      </c>
      <c r="I1017" s="103">
        <f t="shared" si="60"/>
        <v>3000</v>
      </c>
      <c r="J1017" s="103">
        <f t="shared" si="61"/>
        <v>1749.9999999999995</v>
      </c>
    </row>
    <row r="1018" spans="1:10">
      <c r="A1018" s="102"/>
      <c r="B1018" s="102"/>
      <c r="C1018" s="103">
        <v>70000</v>
      </c>
      <c r="D1018" s="104" t="s">
        <v>3395</v>
      </c>
      <c r="E1018" s="113">
        <v>2625</v>
      </c>
      <c r="F1018" s="102">
        <v>8</v>
      </c>
      <c r="G1018" s="208">
        <f>E1018/(C1018*H1018/30)</f>
        <v>7.4999999999999997E-2</v>
      </c>
      <c r="H1018" s="102">
        <v>15</v>
      </c>
      <c r="I1018" s="103">
        <f t="shared" si="60"/>
        <v>21000</v>
      </c>
      <c r="J1018" s="103">
        <f t="shared" si="61"/>
        <v>13999.999999999998</v>
      </c>
    </row>
    <row r="1019" spans="1:10">
      <c r="A1019" s="102"/>
      <c r="B1019" s="102"/>
      <c r="C1019" s="103">
        <v>20000</v>
      </c>
      <c r="D1019" s="104" t="s">
        <v>1685</v>
      </c>
      <c r="E1019" s="113">
        <v>750</v>
      </c>
      <c r="F1019" s="102">
        <v>8</v>
      </c>
      <c r="G1019" s="208">
        <f>E1019/(C1019*H1019/30)</f>
        <v>7.4999999999999997E-2</v>
      </c>
      <c r="H1019" s="102">
        <v>15</v>
      </c>
      <c r="I1019" s="103">
        <f t="shared" si="60"/>
        <v>6000</v>
      </c>
      <c r="J1019" s="103">
        <f t="shared" si="61"/>
        <v>3999.9999999999995</v>
      </c>
    </row>
    <row r="1020" spans="1:10">
      <c r="A1020" s="102"/>
      <c r="B1020" s="102"/>
      <c r="C1020" s="103">
        <v>20000</v>
      </c>
      <c r="D1020" s="104" t="s">
        <v>1981</v>
      </c>
      <c r="E1020" s="113">
        <v>2300</v>
      </c>
      <c r="F1020" s="102">
        <v>10</v>
      </c>
      <c r="G1020" s="208">
        <v>0.06</v>
      </c>
      <c r="H1020" s="102" t="s">
        <v>664</v>
      </c>
      <c r="I1020" s="103">
        <f t="shared" si="60"/>
        <v>3000</v>
      </c>
      <c r="J1020" s="103">
        <f t="shared" si="61"/>
        <v>1749.9999999999995</v>
      </c>
    </row>
    <row r="1021" spans="1:10">
      <c r="A1021" s="102"/>
      <c r="B1021" s="102"/>
      <c r="C1021" s="103">
        <v>30000</v>
      </c>
      <c r="D1021" s="104" t="s">
        <v>966</v>
      </c>
      <c r="E1021" s="113">
        <v>3450</v>
      </c>
      <c r="F1021" s="102">
        <v>10</v>
      </c>
      <c r="G1021" s="208">
        <v>0.06</v>
      </c>
      <c r="H1021" s="102" t="s">
        <v>664</v>
      </c>
      <c r="I1021" s="103">
        <f t="shared" si="60"/>
        <v>4500</v>
      </c>
      <c r="J1021" s="103">
        <f t="shared" si="61"/>
        <v>2625</v>
      </c>
    </row>
    <row r="1022" spans="1:10">
      <c r="A1022" s="102"/>
      <c r="B1022" s="102"/>
      <c r="C1022" s="103">
        <v>50000</v>
      </c>
      <c r="D1022" s="104" t="s">
        <v>2620</v>
      </c>
      <c r="E1022" s="113">
        <v>1875</v>
      </c>
      <c r="F1022" s="102">
        <v>11</v>
      </c>
      <c r="G1022" s="208">
        <f>E1022/(C1022*H1022/30)</f>
        <v>7.4999999999999997E-2</v>
      </c>
      <c r="H1022" s="102">
        <v>15</v>
      </c>
      <c r="I1022" s="103">
        <f t="shared" si="60"/>
        <v>20625</v>
      </c>
      <c r="J1022" s="103">
        <f t="shared" si="61"/>
        <v>13750</v>
      </c>
    </row>
    <row r="1023" spans="1:10">
      <c r="A1023" s="102"/>
      <c r="B1023" s="102"/>
      <c r="C1023" s="103">
        <v>20000</v>
      </c>
      <c r="D1023" s="104" t="s">
        <v>581</v>
      </c>
      <c r="E1023" s="113">
        <v>750</v>
      </c>
      <c r="F1023" s="102">
        <v>9</v>
      </c>
      <c r="G1023" s="208">
        <f>E1023/(C1023*H1023/30)</f>
        <v>7.4999999999999997E-2</v>
      </c>
      <c r="H1023" s="102">
        <v>15</v>
      </c>
      <c r="I1023" s="103">
        <f t="shared" si="60"/>
        <v>6750</v>
      </c>
      <c r="J1023" s="103">
        <f t="shared" si="61"/>
        <v>4499.9999999999991</v>
      </c>
    </row>
    <row r="1024" spans="1:10">
      <c r="A1024" s="102"/>
      <c r="B1024" s="102"/>
      <c r="C1024" s="103">
        <v>20000</v>
      </c>
      <c r="D1024" s="104" t="s">
        <v>857</v>
      </c>
      <c r="E1024" s="113">
        <v>750</v>
      </c>
      <c r="F1024" s="102">
        <v>9</v>
      </c>
      <c r="G1024" s="208">
        <f>E1024/(C1024*H1024/30)</f>
        <v>7.4999999999999997E-2</v>
      </c>
      <c r="H1024" s="102">
        <v>15</v>
      </c>
      <c r="I1024" s="103">
        <f t="shared" si="60"/>
        <v>6750</v>
      </c>
      <c r="J1024" s="103">
        <f t="shared" si="61"/>
        <v>4499.9999999999991</v>
      </c>
    </row>
    <row r="1025" spans="1:10">
      <c r="A1025" s="102"/>
      <c r="B1025" s="102"/>
      <c r="C1025" s="103">
        <v>30000</v>
      </c>
      <c r="D1025" s="104" t="s">
        <v>3416</v>
      </c>
      <c r="E1025" s="113">
        <v>3450</v>
      </c>
      <c r="F1025" s="102">
        <v>10</v>
      </c>
      <c r="G1025" s="208">
        <v>0.06</v>
      </c>
      <c r="H1025" s="102" t="s">
        <v>664</v>
      </c>
      <c r="I1025" s="103">
        <f t="shared" si="60"/>
        <v>4500</v>
      </c>
      <c r="J1025" s="103">
        <f t="shared" si="61"/>
        <v>2625</v>
      </c>
    </row>
    <row r="1026" spans="1:10">
      <c r="A1026" s="102"/>
      <c r="B1026" s="102"/>
      <c r="C1026" s="103">
        <v>30000</v>
      </c>
      <c r="D1026" s="104" t="s">
        <v>3115</v>
      </c>
      <c r="E1026" s="113">
        <v>1125</v>
      </c>
      <c r="F1026" s="102">
        <v>6</v>
      </c>
      <c r="G1026" s="208">
        <f>E1026/(C1026*H1026/30)</f>
        <v>7.4999999999999997E-2</v>
      </c>
      <c r="H1026" s="102">
        <v>15</v>
      </c>
      <c r="I1026" s="103">
        <f t="shared" si="60"/>
        <v>6750</v>
      </c>
      <c r="J1026" s="103">
        <f t="shared" si="61"/>
        <v>4499.9999999999991</v>
      </c>
    </row>
    <row r="1027" spans="1:10">
      <c r="A1027" s="102"/>
      <c r="B1027" s="102"/>
      <c r="C1027" s="103">
        <v>10000</v>
      </c>
      <c r="D1027" s="104" t="s">
        <v>1988</v>
      </c>
      <c r="E1027" s="113">
        <v>375</v>
      </c>
      <c r="F1027" s="102">
        <v>5</v>
      </c>
      <c r="G1027" s="208">
        <f>E1027/(C1027*H1027/30)</f>
        <v>7.4999999999999997E-2</v>
      </c>
      <c r="H1027" s="102">
        <v>15</v>
      </c>
      <c r="I1027" s="103">
        <f t="shared" si="60"/>
        <v>1875</v>
      </c>
      <c r="J1027" s="103">
        <f t="shared" si="61"/>
        <v>1249.9999999999998</v>
      </c>
    </row>
    <row r="1028" spans="1:10">
      <c r="A1028" s="102"/>
      <c r="B1028" s="102"/>
      <c r="C1028" s="103">
        <v>20000</v>
      </c>
      <c r="D1028" s="104" t="s">
        <v>3110</v>
      </c>
      <c r="E1028" s="113">
        <v>750</v>
      </c>
      <c r="F1028" s="102">
        <v>5</v>
      </c>
      <c r="G1028" s="208">
        <f>E1028/(C1028*H1028/30)</f>
        <v>7.4999999999999997E-2</v>
      </c>
      <c r="H1028" s="102">
        <v>15</v>
      </c>
      <c r="I1028" s="103">
        <f t="shared" si="60"/>
        <v>3750</v>
      </c>
      <c r="J1028" s="103">
        <f t="shared" si="61"/>
        <v>2499.9999999999995</v>
      </c>
    </row>
    <row r="1029" spans="1:10">
      <c r="A1029" s="102"/>
      <c r="B1029" s="102"/>
      <c r="C1029" s="103">
        <v>15000</v>
      </c>
      <c r="D1029" s="104" t="s">
        <v>254</v>
      </c>
      <c r="E1029" s="113">
        <v>1750</v>
      </c>
      <c r="F1029" s="102">
        <v>10</v>
      </c>
      <c r="G1029" s="208">
        <v>0.06</v>
      </c>
      <c r="H1029" s="102" t="s">
        <v>664</v>
      </c>
      <c r="I1029" s="103">
        <f t="shared" ref="I1029:I1092" si="62">IF(H1029="分期",C1029*G1029*2.5*F1029/10,C1029*G1029*H1029/30*F1029)</f>
        <v>2250</v>
      </c>
      <c r="J1029" s="103">
        <f t="shared" ref="J1029:J1092" si="63">IF(H1029="分期",C1029*(G1029-0.025)*2.5*F1029/10,C1029*(G1029-0.025)*H1029/30*F1029)</f>
        <v>1312.5</v>
      </c>
    </row>
    <row r="1030" spans="1:10">
      <c r="A1030" s="102">
        <v>143</v>
      </c>
      <c r="B1030" s="102" t="s">
        <v>3577</v>
      </c>
      <c r="C1030" s="103">
        <v>10000</v>
      </c>
      <c r="D1030" s="104" t="s">
        <v>1535</v>
      </c>
      <c r="E1030" s="113">
        <v>1150</v>
      </c>
      <c r="F1030" s="102">
        <v>10</v>
      </c>
      <c r="G1030" s="208">
        <v>0.06</v>
      </c>
      <c r="H1030" s="102" t="s">
        <v>664</v>
      </c>
      <c r="I1030" s="103">
        <f t="shared" si="62"/>
        <v>1500</v>
      </c>
      <c r="J1030" s="103">
        <f t="shared" si="63"/>
        <v>874.99999999999977</v>
      </c>
    </row>
    <row r="1031" spans="1:10">
      <c r="A1031" s="102"/>
      <c r="B1031" s="102"/>
      <c r="C1031" s="103">
        <v>20000</v>
      </c>
      <c r="D1031" s="104" t="s">
        <v>1535</v>
      </c>
      <c r="E1031" s="113">
        <v>750</v>
      </c>
      <c r="F1031" s="102">
        <v>42</v>
      </c>
      <c r="G1031" s="208">
        <f>E1031/(C1031*H1031/30)</f>
        <v>7.4999999999999997E-2</v>
      </c>
      <c r="H1031" s="102">
        <v>15</v>
      </c>
      <c r="I1031" s="103">
        <f t="shared" si="62"/>
        <v>31500</v>
      </c>
      <c r="J1031" s="103">
        <f t="shared" si="63"/>
        <v>20999.999999999996</v>
      </c>
    </row>
    <row r="1032" spans="1:10">
      <c r="A1032" s="102"/>
      <c r="B1032" s="102"/>
      <c r="C1032" s="103">
        <v>10000</v>
      </c>
      <c r="D1032" s="104" t="s">
        <v>3158</v>
      </c>
      <c r="E1032" s="113">
        <v>1150</v>
      </c>
      <c r="F1032" s="102">
        <v>10</v>
      </c>
      <c r="G1032" s="208">
        <v>0.06</v>
      </c>
      <c r="H1032" s="102" t="s">
        <v>664</v>
      </c>
      <c r="I1032" s="103">
        <f t="shared" si="62"/>
        <v>1500</v>
      </c>
      <c r="J1032" s="103">
        <f t="shared" si="63"/>
        <v>874.99999999999977</v>
      </c>
    </row>
    <row r="1033" spans="1:10">
      <c r="A1033" s="102"/>
      <c r="B1033" s="102"/>
      <c r="C1033" s="103">
        <v>10000</v>
      </c>
      <c r="D1033" s="104" t="s">
        <v>985</v>
      </c>
      <c r="E1033" s="113">
        <v>1150</v>
      </c>
      <c r="F1033" s="102">
        <v>10</v>
      </c>
      <c r="G1033" s="208">
        <v>0.06</v>
      </c>
      <c r="H1033" s="102" t="s">
        <v>664</v>
      </c>
      <c r="I1033" s="103">
        <f t="shared" si="62"/>
        <v>1500</v>
      </c>
      <c r="J1033" s="103">
        <f t="shared" si="63"/>
        <v>874.99999999999977</v>
      </c>
    </row>
    <row r="1034" spans="1:10">
      <c r="A1034" s="102"/>
      <c r="B1034" s="102"/>
      <c r="C1034" s="103">
        <v>10000</v>
      </c>
      <c r="D1034" s="104" t="s">
        <v>3412</v>
      </c>
      <c r="E1034" s="113">
        <v>1150</v>
      </c>
      <c r="F1034" s="102">
        <v>10</v>
      </c>
      <c r="G1034" s="208">
        <v>0.06</v>
      </c>
      <c r="H1034" s="102" t="s">
        <v>664</v>
      </c>
      <c r="I1034" s="103">
        <f t="shared" si="62"/>
        <v>1500</v>
      </c>
      <c r="J1034" s="103">
        <f t="shared" si="63"/>
        <v>874.99999999999977</v>
      </c>
    </row>
    <row r="1035" spans="1:10">
      <c r="A1035" s="102"/>
      <c r="B1035" s="102"/>
      <c r="C1035" s="103">
        <v>10000</v>
      </c>
      <c r="D1035" s="104" t="s">
        <v>454</v>
      </c>
      <c r="E1035" s="113">
        <v>1150</v>
      </c>
      <c r="F1035" s="102">
        <v>10</v>
      </c>
      <c r="G1035" s="208">
        <v>0.06</v>
      </c>
      <c r="H1035" s="102" t="s">
        <v>664</v>
      </c>
      <c r="I1035" s="103">
        <f t="shared" si="62"/>
        <v>1500</v>
      </c>
      <c r="J1035" s="103">
        <f t="shared" si="63"/>
        <v>874.99999999999977</v>
      </c>
    </row>
    <row r="1036" spans="1:10">
      <c r="A1036" s="102"/>
      <c r="B1036" s="102"/>
      <c r="C1036" s="103">
        <v>10000</v>
      </c>
      <c r="D1036" s="104" t="s">
        <v>962</v>
      </c>
      <c r="E1036" s="113">
        <v>1150</v>
      </c>
      <c r="F1036" s="102">
        <v>10</v>
      </c>
      <c r="G1036" s="208">
        <v>0.06</v>
      </c>
      <c r="H1036" s="102" t="s">
        <v>664</v>
      </c>
      <c r="I1036" s="103">
        <f t="shared" si="62"/>
        <v>1500</v>
      </c>
      <c r="J1036" s="103">
        <f t="shared" si="63"/>
        <v>874.99999999999977</v>
      </c>
    </row>
    <row r="1037" spans="1:10">
      <c r="A1037" s="102"/>
      <c r="B1037" s="102"/>
      <c r="C1037" s="103">
        <v>10000</v>
      </c>
      <c r="D1037" s="104" t="s">
        <v>413</v>
      </c>
      <c r="E1037" s="113">
        <v>1150</v>
      </c>
      <c r="F1037" s="102">
        <v>10</v>
      </c>
      <c r="G1037" s="208">
        <v>0.06</v>
      </c>
      <c r="H1037" s="102" t="s">
        <v>664</v>
      </c>
      <c r="I1037" s="103">
        <f t="shared" si="62"/>
        <v>1500</v>
      </c>
      <c r="J1037" s="103">
        <f t="shared" si="63"/>
        <v>874.99999999999977</v>
      </c>
    </row>
    <row r="1038" spans="1:10">
      <c r="A1038" s="102"/>
      <c r="B1038" s="102"/>
      <c r="C1038" s="103">
        <v>10000</v>
      </c>
      <c r="D1038" s="104" t="s">
        <v>272</v>
      </c>
      <c r="E1038" s="113">
        <v>1150</v>
      </c>
      <c r="F1038" s="102">
        <v>10</v>
      </c>
      <c r="G1038" s="208">
        <v>0.06</v>
      </c>
      <c r="H1038" s="102" t="s">
        <v>664</v>
      </c>
      <c r="I1038" s="103">
        <f t="shared" si="62"/>
        <v>1500</v>
      </c>
      <c r="J1038" s="103">
        <f t="shared" si="63"/>
        <v>874.99999999999977</v>
      </c>
    </row>
    <row r="1039" spans="1:10">
      <c r="A1039" s="102"/>
      <c r="B1039" s="102"/>
      <c r="C1039" s="103">
        <v>20000</v>
      </c>
      <c r="D1039" s="104" t="s">
        <v>2327</v>
      </c>
      <c r="E1039" s="113">
        <v>750</v>
      </c>
      <c r="F1039" s="102">
        <v>10</v>
      </c>
      <c r="G1039" s="208">
        <f>E1039/(C1039*H1039/30)</f>
        <v>7.4999999999999997E-2</v>
      </c>
      <c r="H1039" s="102">
        <v>15</v>
      </c>
      <c r="I1039" s="103">
        <f t="shared" si="62"/>
        <v>7500</v>
      </c>
      <c r="J1039" s="103">
        <f t="shared" si="63"/>
        <v>4999.9999999999991</v>
      </c>
    </row>
    <row r="1040" spans="1:10">
      <c r="A1040" s="102"/>
      <c r="B1040" s="102"/>
      <c r="C1040" s="103">
        <v>10000</v>
      </c>
      <c r="D1040" s="104" t="s">
        <v>1386</v>
      </c>
      <c r="E1040" s="113">
        <v>1150</v>
      </c>
      <c r="F1040" s="102">
        <v>10</v>
      </c>
      <c r="G1040" s="208">
        <v>0.06</v>
      </c>
      <c r="H1040" s="102" t="s">
        <v>664</v>
      </c>
      <c r="I1040" s="103">
        <f t="shared" si="62"/>
        <v>1500</v>
      </c>
      <c r="J1040" s="103">
        <f t="shared" si="63"/>
        <v>874.99999999999977</v>
      </c>
    </row>
    <row r="1041" spans="1:10">
      <c r="A1041" s="102"/>
      <c r="B1041" s="102"/>
      <c r="C1041" s="103">
        <v>10000</v>
      </c>
      <c r="D1041" s="104" t="s">
        <v>3125</v>
      </c>
      <c r="E1041" s="113">
        <v>1150</v>
      </c>
      <c r="F1041" s="102">
        <v>10</v>
      </c>
      <c r="G1041" s="208">
        <v>0.06</v>
      </c>
      <c r="H1041" s="102" t="s">
        <v>664</v>
      </c>
      <c r="I1041" s="103">
        <f t="shared" si="62"/>
        <v>1500</v>
      </c>
      <c r="J1041" s="103">
        <f t="shared" si="63"/>
        <v>874.99999999999977</v>
      </c>
    </row>
    <row r="1042" spans="1:10">
      <c r="A1042" s="102">
        <v>144</v>
      </c>
      <c r="B1042" s="102" t="s">
        <v>3578</v>
      </c>
      <c r="C1042" s="103">
        <v>20000</v>
      </c>
      <c r="D1042" s="104" t="s">
        <v>1535</v>
      </c>
      <c r="E1042" s="113">
        <v>2300</v>
      </c>
      <c r="F1042" s="102">
        <v>10</v>
      </c>
      <c r="G1042" s="208">
        <v>0.06</v>
      </c>
      <c r="H1042" s="102" t="s">
        <v>664</v>
      </c>
      <c r="I1042" s="103">
        <f t="shared" si="62"/>
        <v>3000</v>
      </c>
      <c r="J1042" s="103">
        <f t="shared" si="63"/>
        <v>1749.9999999999995</v>
      </c>
    </row>
    <row r="1043" spans="1:10">
      <c r="A1043" s="102"/>
      <c r="B1043" s="102"/>
      <c r="C1043" s="103">
        <v>60000</v>
      </c>
      <c r="D1043" s="104" t="s">
        <v>1535</v>
      </c>
      <c r="E1043" s="113">
        <v>2250</v>
      </c>
      <c r="F1043" s="102">
        <v>6</v>
      </c>
      <c r="G1043" s="208">
        <f>E1043/(C1043*H1043/30)</f>
        <v>7.4999999999999997E-2</v>
      </c>
      <c r="H1043" s="102">
        <v>15</v>
      </c>
      <c r="I1043" s="103">
        <f t="shared" si="62"/>
        <v>13500</v>
      </c>
      <c r="J1043" s="103">
        <f t="shared" si="63"/>
        <v>8999.9999999999982</v>
      </c>
    </row>
    <row r="1044" spans="1:10">
      <c r="A1044" s="102"/>
      <c r="B1044" s="102"/>
      <c r="C1044" s="103">
        <v>40000</v>
      </c>
      <c r="D1044" s="104" t="s">
        <v>1535</v>
      </c>
      <c r="E1044" s="113">
        <v>1500</v>
      </c>
      <c r="F1044" s="102">
        <v>11</v>
      </c>
      <c r="G1044" s="208">
        <f>E1044/(C1044*H1044/30)</f>
        <v>7.4999999999999997E-2</v>
      </c>
      <c r="H1044" s="102">
        <v>15</v>
      </c>
      <c r="I1044" s="103">
        <f t="shared" si="62"/>
        <v>16500</v>
      </c>
      <c r="J1044" s="103">
        <f t="shared" si="63"/>
        <v>10999.999999999998</v>
      </c>
    </row>
    <row r="1045" spans="1:10">
      <c r="A1045" s="102"/>
      <c r="B1045" s="102"/>
      <c r="C1045" s="103">
        <v>20000</v>
      </c>
      <c r="D1045" s="104" t="s">
        <v>1535</v>
      </c>
      <c r="E1045" s="113">
        <v>750</v>
      </c>
      <c r="F1045" s="102">
        <v>1</v>
      </c>
      <c r="G1045" s="208">
        <f>E1045/(C1045*H1045/30)</f>
        <v>7.4999999999999997E-2</v>
      </c>
      <c r="H1045" s="102">
        <v>15</v>
      </c>
      <c r="I1045" s="103">
        <f t="shared" si="62"/>
        <v>750</v>
      </c>
      <c r="J1045" s="103">
        <f t="shared" si="63"/>
        <v>499.99999999999994</v>
      </c>
    </row>
    <row r="1046" spans="1:10">
      <c r="A1046" s="102"/>
      <c r="B1046" s="102"/>
      <c r="C1046" s="103">
        <v>5000</v>
      </c>
      <c r="D1046" s="104" t="s">
        <v>421</v>
      </c>
      <c r="E1046" s="113">
        <v>190</v>
      </c>
      <c r="F1046" s="102">
        <v>3</v>
      </c>
      <c r="G1046" s="208">
        <f>E1046/(C1046*H1046/30)</f>
        <v>7.5999999999999998E-2</v>
      </c>
      <c r="H1046" s="102">
        <v>15</v>
      </c>
      <c r="I1046" s="103">
        <f t="shared" si="62"/>
        <v>570</v>
      </c>
      <c r="J1046" s="103">
        <f t="shared" si="63"/>
        <v>382.49999999999994</v>
      </c>
    </row>
    <row r="1047" spans="1:10">
      <c r="A1047" s="102"/>
      <c r="B1047" s="102"/>
      <c r="C1047" s="103">
        <v>10000</v>
      </c>
      <c r="D1047" s="104" t="s">
        <v>417</v>
      </c>
      <c r="E1047" s="113">
        <v>375</v>
      </c>
      <c r="F1047" s="102">
        <v>14</v>
      </c>
      <c r="G1047" s="208">
        <f>E1047/(C1047*H1047/30)</f>
        <v>7.4999999999999997E-2</v>
      </c>
      <c r="H1047" s="102">
        <v>15</v>
      </c>
      <c r="I1047" s="103">
        <f t="shared" si="62"/>
        <v>5250</v>
      </c>
      <c r="J1047" s="103">
        <f t="shared" si="63"/>
        <v>3499.9999999999995</v>
      </c>
    </row>
    <row r="1048" spans="1:10">
      <c r="A1048" s="102"/>
      <c r="B1048" s="102"/>
      <c r="C1048" s="103">
        <v>20000</v>
      </c>
      <c r="D1048" s="104" t="s">
        <v>673</v>
      </c>
      <c r="E1048" s="113">
        <v>2300</v>
      </c>
      <c r="F1048" s="102">
        <v>10</v>
      </c>
      <c r="G1048" s="208">
        <v>0.06</v>
      </c>
      <c r="H1048" s="102" t="s">
        <v>664</v>
      </c>
      <c r="I1048" s="103">
        <f t="shared" si="62"/>
        <v>3000</v>
      </c>
      <c r="J1048" s="103">
        <f t="shared" si="63"/>
        <v>1749.9999999999995</v>
      </c>
    </row>
    <row r="1049" spans="1:10">
      <c r="A1049" s="102"/>
      <c r="B1049" s="102"/>
      <c r="C1049" s="103">
        <v>40000</v>
      </c>
      <c r="D1049" s="104" t="s">
        <v>493</v>
      </c>
      <c r="E1049" s="113">
        <v>1500</v>
      </c>
      <c r="F1049" s="102">
        <v>3</v>
      </c>
      <c r="G1049" s="208">
        <f>E1049/(C1049*H1049/30)</f>
        <v>7.4999999999999997E-2</v>
      </c>
      <c r="H1049" s="102">
        <v>15</v>
      </c>
      <c r="I1049" s="103">
        <f t="shared" si="62"/>
        <v>4500</v>
      </c>
      <c r="J1049" s="103">
        <f t="shared" si="63"/>
        <v>2999.9999999999995</v>
      </c>
    </row>
    <row r="1050" spans="1:10">
      <c r="A1050" s="102"/>
      <c r="B1050" s="102"/>
      <c r="C1050" s="103">
        <v>20000</v>
      </c>
      <c r="D1050" s="104" t="s">
        <v>493</v>
      </c>
      <c r="E1050" s="113">
        <v>750</v>
      </c>
      <c r="F1050" s="102">
        <v>4</v>
      </c>
      <c r="G1050" s="208">
        <f>E1050/(C1050*H1050/30)</f>
        <v>7.4999999999999997E-2</v>
      </c>
      <c r="H1050" s="102">
        <v>15</v>
      </c>
      <c r="I1050" s="103">
        <f t="shared" si="62"/>
        <v>3000</v>
      </c>
      <c r="J1050" s="103">
        <f t="shared" si="63"/>
        <v>1999.9999999999998</v>
      </c>
    </row>
    <row r="1051" spans="1:10">
      <c r="A1051" s="102"/>
      <c r="B1051" s="102"/>
      <c r="C1051" s="103">
        <v>20000</v>
      </c>
      <c r="D1051" s="104" t="s">
        <v>3173</v>
      </c>
      <c r="E1051" s="113">
        <v>2300</v>
      </c>
      <c r="F1051" s="102">
        <v>10</v>
      </c>
      <c r="G1051" s="208">
        <v>0.06</v>
      </c>
      <c r="H1051" s="102" t="s">
        <v>664</v>
      </c>
      <c r="I1051" s="103">
        <f t="shared" si="62"/>
        <v>3000</v>
      </c>
      <c r="J1051" s="103">
        <f t="shared" si="63"/>
        <v>1749.9999999999995</v>
      </c>
    </row>
    <row r="1052" spans="1:10">
      <c r="A1052" s="102"/>
      <c r="B1052" s="102"/>
      <c r="C1052" s="103">
        <v>5000</v>
      </c>
      <c r="D1052" s="104" t="s">
        <v>3125</v>
      </c>
      <c r="E1052" s="113">
        <v>190</v>
      </c>
      <c r="F1052" s="102">
        <v>1</v>
      </c>
      <c r="G1052" s="208">
        <f>E1052/(C1052*H1052/30)</f>
        <v>7.5999999999999998E-2</v>
      </c>
      <c r="H1052" s="102">
        <v>15</v>
      </c>
      <c r="I1052" s="103">
        <f t="shared" si="62"/>
        <v>190</v>
      </c>
      <c r="J1052" s="103">
        <f t="shared" si="63"/>
        <v>127.49999999999999</v>
      </c>
    </row>
    <row r="1053" spans="1:10">
      <c r="A1053" s="102"/>
      <c r="B1053" s="102"/>
      <c r="C1053" s="103">
        <v>20000</v>
      </c>
      <c r="D1053" s="104" t="s">
        <v>3168</v>
      </c>
      <c r="E1053" s="113">
        <v>2300</v>
      </c>
      <c r="F1053" s="102">
        <v>10</v>
      </c>
      <c r="G1053" s="208">
        <v>0.06</v>
      </c>
      <c r="H1053" s="102" t="s">
        <v>664</v>
      </c>
      <c r="I1053" s="103">
        <f t="shared" si="62"/>
        <v>3000</v>
      </c>
      <c r="J1053" s="103">
        <f t="shared" si="63"/>
        <v>1749.9999999999995</v>
      </c>
    </row>
    <row r="1054" spans="1:10">
      <c r="A1054" s="102"/>
      <c r="B1054" s="102"/>
      <c r="C1054" s="103">
        <v>20000</v>
      </c>
      <c r="D1054" s="104" t="s">
        <v>1669</v>
      </c>
      <c r="E1054" s="113">
        <v>2300</v>
      </c>
      <c r="F1054" s="102">
        <v>10</v>
      </c>
      <c r="G1054" s="208">
        <v>0.06</v>
      </c>
      <c r="H1054" s="102" t="s">
        <v>664</v>
      </c>
      <c r="I1054" s="103">
        <f t="shared" si="62"/>
        <v>3000</v>
      </c>
      <c r="J1054" s="103">
        <f t="shared" si="63"/>
        <v>1749.9999999999995</v>
      </c>
    </row>
    <row r="1055" spans="1:10">
      <c r="A1055" s="102"/>
      <c r="B1055" s="102"/>
      <c r="C1055" s="103">
        <v>20000</v>
      </c>
      <c r="D1055" s="104" t="s">
        <v>652</v>
      </c>
      <c r="E1055" s="113">
        <v>2300</v>
      </c>
      <c r="F1055" s="102">
        <v>10</v>
      </c>
      <c r="G1055" s="208">
        <v>0.06</v>
      </c>
      <c r="H1055" s="102" t="s">
        <v>664</v>
      </c>
      <c r="I1055" s="103">
        <f t="shared" si="62"/>
        <v>3000</v>
      </c>
      <c r="J1055" s="103">
        <f t="shared" si="63"/>
        <v>1749.9999999999995</v>
      </c>
    </row>
    <row r="1056" spans="1:10">
      <c r="A1056" s="102"/>
      <c r="B1056" s="102"/>
      <c r="C1056" s="103">
        <v>5000</v>
      </c>
      <c r="D1056" s="104" t="s">
        <v>578</v>
      </c>
      <c r="E1056" s="113">
        <v>190</v>
      </c>
      <c r="F1056" s="102">
        <v>11</v>
      </c>
      <c r="G1056" s="208">
        <f>E1056/(C1056*H1056/30)</f>
        <v>7.5999999999999998E-2</v>
      </c>
      <c r="H1056" s="102">
        <v>15</v>
      </c>
      <c r="I1056" s="103">
        <f t="shared" si="62"/>
        <v>2090</v>
      </c>
      <c r="J1056" s="103">
        <f t="shared" si="63"/>
        <v>1402.4999999999998</v>
      </c>
    </row>
    <row r="1057" spans="1:10">
      <c r="A1057" s="102"/>
      <c r="B1057" s="102"/>
      <c r="C1057" s="103">
        <v>5000</v>
      </c>
      <c r="D1057" s="104" t="s">
        <v>3175</v>
      </c>
      <c r="E1057" s="113">
        <v>190</v>
      </c>
      <c r="F1057" s="102">
        <v>9</v>
      </c>
      <c r="G1057" s="208">
        <f>E1057/(C1057*H1057/30)</f>
        <v>7.5999999999999998E-2</v>
      </c>
      <c r="H1057" s="102">
        <v>15</v>
      </c>
      <c r="I1057" s="103">
        <f t="shared" si="62"/>
        <v>1710</v>
      </c>
      <c r="J1057" s="103">
        <f t="shared" si="63"/>
        <v>1147.4999999999998</v>
      </c>
    </row>
    <row r="1058" spans="1:10">
      <c r="A1058" s="102"/>
      <c r="B1058" s="102"/>
      <c r="C1058" s="103">
        <v>10000</v>
      </c>
      <c r="D1058" s="104" t="s">
        <v>2590</v>
      </c>
      <c r="E1058" s="113">
        <v>375</v>
      </c>
      <c r="F1058" s="102">
        <v>8</v>
      </c>
      <c r="G1058" s="208">
        <f>E1058/(C1058*H1058/30)</f>
        <v>7.4999999999999997E-2</v>
      </c>
      <c r="H1058" s="102">
        <v>15</v>
      </c>
      <c r="I1058" s="103">
        <f t="shared" si="62"/>
        <v>3000</v>
      </c>
      <c r="J1058" s="103">
        <f t="shared" si="63"/>
        <v>1999.9999999999998</v>
      </c>
    </row>
    <row r="1059" spans="1:10">
      <c r="A1059" s="102"/>
      <c r="B1059" s="102"/>
      <c r="C1059" s="103">
        <v>10000</v>
      </c>
      <c r="D1059" s="104" t="s">
        <v>999</v>
      </c>
      <c r="E1059" s="113">
        <v>375</v>
      </c>
      <c r="F1059" s="102">
        <v>2</v>
      </c>
      <c r="G1059" s="208">
        <f>E1059/(C1059*H1059/30)</f>
        <v>7.4999999999999997E-2</v>
      </c>
      <c r="H1059" s="102">
        <v>15</v>
      </c>
      <c r="I1059" s="103">
        <f t="shared" si="62"/>
        <v>750</v>
      </c>
      <c r="J1059" s="103">
        <f t="shared" si="63"/>
        <v>499.99999999999994</v>
      </c>
    </row>
    <row r="1060" spans="1:10">
      <c r="A1060" s="102"/>
      <c r="B1060" s="102"/>
      <c r="C1060" s="103">
        <v>10000</v>
      </c>
      <c r="D1060" s="104" t="s">
        <v>970</v>
      </c>
      <c r="E1060" s="113">
        <v>1150</v>
      </c>
      <c r="F1060" s="102">
        <v>10</v>
      </c>
      <c r="G1060" s="208">
        <v>0.06</v>
      </c>
      <c r="H1060" s="102" t="s">
        <v>664</v>
      </c>
      <c r="I1060" s="103">
        <f t="shared" si="62"/>
        <v>1500</v>
      </c>
      <c r="J1060" s="103">
        <f t="shared" si="63"/>
        <v>874.99999999999977</v>
      </c>
    </row>
    <row r="1061" spans="1:10">
      <c r="A1061" s="102"/>
      <c r="B1061" s="102"/>
      <c r="C1061" s="103">
        <v>10000</v>
      </c>
      <c r="D1061" s="104" t="s">
        <v>1698</v>
      </c>
      <c r="E1061" s="113">
        <v>375</v>
      </c>
      <c r="F1061" s="102">
        <v>4</v>
      </c>
      <c r="G1061" s="208">
        <f>E1061/(C1061*H1061/30)</f>
        <v>7.4999999999999997E-2</v>
      </c>
      <c r="H1061" s="102">
        <v>15</v>
      </c>
      <c r="I1061" s="103">
        <f t="shared" si="62"/>
        <v>1500</v>
      </c>
      <c r="J1061" s="103">
        <f t="shared" si="63"/>
        <v>999.99999999999989</v>
      </c>
    </row>
    <row r="1062" spans="1:10">
      <c r="A1062" s="102"/>
      <c r="B1062" s="102"/>
      <c r="C1062" s="103">
        <v>10000</v>
      </c>
      <c r="D1062" s="104" t="s">
        <v>243</v>
      </c>
      <c r="E1062" s="113">
        <v>1150</v>
      </c>
      <c r="F1062" s="102">
        <v>10</v>
      </c>
      <c r="G1062" s="208">
        <v>0.06</v>
      </c>
      <c r="H1062" s="102" t="s">
        <v>664</v>
      </c>
      <c r="I1062" s="103">
        <f t="shared" si="62"/>
        <v>1500</v>
      </c>
      <c r="J1062" s="103">
        <f t="shared" si="63"/>
        <v>874.99999999999977</v>
      </c>
    </row>
    <row r="1063" spans="1:10">
      <c r="A1063" s="102"/>
      <c r="B1063" s="102"/>
      <c r="C1063" s="103">
        <v>10000</v>
      </c>
      <c r="D1063" s="114" t="s">
        <v>706</v>
      </c>
      <c r="E1063" s="113">
        <v>375</v>
      </c>
      <c r="F1063" s="102">
        <v>3</v>
      </c>
      <c r="G1063" s="208">
        <f>E1063/(C1063*H1063/30)</f>
        <v>7.4999999999999997E-2</v>
      </c>
      <c r="H1063" s="102">
        <v>15</v>
      </c>
      <c r="I1063" s="103">
        <f t="shared" si="62"/>
        <v>1125</v>
      </c>
      <c r="J1063" s="103">
        <f t="shared" si="63"/>
        <v>749.99999999999989</v>
      </c>
    </row>
    <row r="1064" spans="1:10">
      <c r="A1064" s="102"/>
      <c r="B1064" s="102"/>
      <c r="C1064" s="103">
        <v>5000</v>
      </c>
      <c r="D1064" s="104" t="s">
        <v>684</v>
      </c>
      <c r="E1064" s="113">
        <v>190</v>
      </c>
      <c r="F1064" s="102">
        <v>2</v>
      </c>
      <c r="G1064" s="208">
        <f>E1064/(C1064*H1064/30)</f>
        <v>7.5999999999999998E-2</v>
      </c>
      <c r="H1064" s="102">
        <v>15</v>
      </c>
      <c r="I1064" s="103">
        <f t="shared" si="62"/>
        <v>380</v>
      </c>
      <c r="J1064" s="103">
        <f t="shared" si="63"/>
        <v>254.99999999999997</v>
      </c>
    </row>
    <row r="1065" spans="1:10">
      <c r="A1065" s="102"/>
      <c r="B1065" s="102"/>
      <c r="C1065" s="103">
        <v>10000</v>
      </c>
      <c r="D1065" s="114" t="s">
        <v>707</v>
      </c>
      <c r="E1065" s="113">
        <v>375</v>
      </c>
      <c r="F1065" s="102">
        <v>1</v>
      </c>
      <c r="G1065" s="208">
        <v>7.4999999999999997E-2</v>
      </c>
      <c r="H1065" s="102">
        <v>15</v>
      </c>
      <c r="I1065" s="103">
        <f t="shared" si="62"/>
        <v>375</v>
      </c>
      <c r="J1065" s="103">
        <f t="shared" si="63"/>
        <v>249.99999999999997</v>
      </c>
    </row>
    <row r="1066" spans="1:10">
      <c r="A1066" s="102"/>
      <c r="B1066" s="102"/>
      <c r="C1066" s="103">
        <v>10000</v>
      </c>
      <c r="D1066" s="104" t="s">
        <v>1006</v>
      </c>
      <c r="E1066" s="113">
        <v>375</v>
      </c>
      <c r="F1066" s="102">
        <v>1</v>
      </c>
      <c r="G1066" s="208">
        <f>E1066/(C1066*H1066/30)</f>
        <v>7.4999999999999997E-2</v>
      </c>
      <c r="H1066" s="102">
        <v>15</v>
      </c>
      <c r="I1066" s="103">
        <f t="shared" si="62"/>
        <v>375</v>
      </c>
      <c r="J1066" s="103">
        <f t="shared" si="63"/>
        <v>249.99999999999997</v>
      </c>
    </row>
    <row r="1067" spans="1:10">
      <c r="A1067" s="102"/>
      <c r="B1067" s="102"/>
      <c r="C1067" s="103">
        <v>5000</v>
      </c>
      <c r="D1067" s="104" t="s">
        <v>1991</v>
      </c>
      <c r="E1067" s="113">
        <v>375</v>
      </c>
      <c r="F1067" s="102">
        <v>4</v>
      </c>
      <c r="G1067" s="208">
        <v>7.4999999999999997E-2</v>
      </c>
      <c r="H1067" s="102">
        <v>15</v>
      </c>
      <c r="I1067" s="103">
        <f t="shared" si="62"/>
        <v>750</v>
      </c>
      <c r="J1067" s="103">
        <f t="shared" si="63"/>
        <v>499.99999999999994</v>
      </c>
    </row>
    <row r="1068" spans="1:10">
      <c r="A1068" s="102"/>
      <c r="B1068" s="102"/>
      <c r="C1068" s="103">
        <v>10000</v>
      </c>
      <c r="D1068" s="104" t="s">
        <v>669</v>
      </c>
      <c r="E1068" s="113">
        <v>375</v>
      </c>
      <c r="F1068" s="102">
        <v>9</v>
      </c>
      <c r="G1068" s="208">
        <f t="shared" ref="G1068:G1076" si="64">E1068/(C1068*H1068/30)</f>
        <v>7.4999999999999997E-2</v>
      </c>
      <c r="H1068" s="102">
        <v>15</v>
      </c>
      <c r="I1068" s="103">
        <f t="shared" si="62"/>
        <v>3375</v>
      </c>
      <c r="J1068" s="103">
        <f t="shared" si="63"/>
        <v>2249.9999999999995</v>
      </c>
    </row>
    <row r="1069" spans="1:10">
      <c r="A1069" s="102"/>
      <c r="B1069" s="102"/>
      <c r="C1069" s="103">
        <v>5000</v>
      </c>
      <c r="D1069" s="104" t="s">
        <v>655</v>
      </c>
      <c r="E1069" s="113">
        <v>375</v>
      </c>
      <c r="F1069" s="102">
        <v>2</v>
      </c>
      <c r="G1069" s="208">
        <f t="shared" si="64"/>
        <v>7.4999999999999997E-2</v>
      </c>
      <c r="H1069" s="102">
        <v>30</v>
      </c>
      <c r="I1069" s="103">
        <f t="shared" si="62"/>
        <v>750</v>
      </c>
      <c r="J1069" s="103">
        <f t="shared" si="63"/>
        <v>499.99999999999994</v>
      </c>
    </row>
    <row r="1070" spans="1:10">
      <c r="A1070" s="102"/>
      <c r="B1070" s="102"/>
      <c r="C1070" s="103">
        <v>30000</v>
      </c>
      <c r="D1070" s="104" t="s">
        <v>963</v>
      </c>
      <c r="E1070" s="113">
        <v>1125</v>
      </c>
      <c r="F1070" s="102">
        <v>11</v>
      </c>
      <c r="G1070" s="208">
        <f t="shared" si="64"/>
        <v>7.4999999999999997E-2</v>
      </c>
      <c r="H1070" s="102">
        <v>15</v>
      </c>
      <c r="I1070" s="103">
        <f t="shared" si="62"/>
        <v>12375</v>
      </c>
      <c r="J1070" s="103">
        <f t="shared" si="63"/>
        <v>8249.9999999999982</v>
      </c>
    </row>
    <row r="1071" spans="1:10">
      <c r="A1071" s="102"/>
      <c r="B1071" s="102"/>
      <c r="C1071" s="103">
        <v>10000</v>
      </c>
      <c r="D1071" s="104" t="s">
        <v>656</v>
      </c>
      <c r="E1071" s="113">
        <v>375</v>
      </c>
      <c r="F1071" s="102">
        <v>3</v>
      </c>
      <c r="G1071" s="208">
        <f t="shared" si="64"/>
        <v>7.4999999999999997E-2</v>
      </c>
      <c r="H1071" s="102">
        <v>15</v>
      </c>
      <c r="I1071" s="103">
        <f t="shared" si="62"/>
        <v>1125</v>
      </c>
      <c r="J1071" s="103">
        <f t="shared" si="63"/>
        <v>749.99999999999989</v>
      </c>
    </row>
    <row r="1072" spans="1:10">
      <c r="A1072" s="102"/>
      <c r="B1072" s="102"/>
      <c r="C1072" s="103">
        <v>5000</v>
      </c>
      <c r="D1072" s="104" t="s">
        <v>3168</v>
      </c>
      <c r="E1072" s="113">
        <v>190</v>
      </c>
      <c r="F1072" s="102">
        <v>1</v>
      </c>
      <c r="G1072" s="208">
        <f t="shared" si="64"/>
        <v>7.5999999999999998E-2</v>
      </c>
      <c r="H1072" s="102">
        <v>15</v>
      </c>
      <c r="I1072" s="103">
        <f t="shared" si="62"/>
        <v>190</v>
      </c>
      <c r="J1072" s="103">
        <f t="shared" si="63"/>
        <v>127.49999999999999</v>
      </c>
    </row>
    <row r="1073" spans="1:10">
      <c r="A1073" s="102"/>
      <c r="B1073" s="102"/>
      <c r="C1073" s="103">
        <v>5000</v>
      </c>
      <c r="D1073" s="104" t="s">
        <v>3404</v>
      </c>
      <c r="E1073" s="113">
        <v>190</v>
      </c>
      <c r="F1073" s="102">
        <v>1</v>
      </c>
      <c r="G1073" s="208">
        <f t="shared" si="64"/>
        <v>7.5999999999999998E-2</v>
      </c>
      <c r="H1073" s="102">
        <v>15</v>
      </c>
      <c r="I1073" s="103">
        <f t="shared" si="62"/>
        <v>190</v>
      </c>
      <c r="J1073" s="103">
        <f t="shared" si="63"/>
        <v>127.49999999999999</v>
      </c>
    </row>
    <row r="1074" spans="1:10">
      <c r="A1074" s="102"/>
      <c r="B1074" s="102"/>
      <c r="C1074" s="103">
        <v>10000</v>
      </c>
      <c r="D1074" s="104" t="s">
        <v>3122</v>
      </c>
      <c r="E1074" s="113">
        <v>375</v>
      </c>
      <c r="F1074" s="102">
        <v>1</v>
      </c>
      <c r="G1074" s="208">
        <f t="shared" si="64"/>
        <v>7.4999999999999997E-2</v>
      </c>
      <c r="H1074" s="102">
        <v>15</v>
      </c>
      <c r="I1074" s="103">
        <f t="shared" si="62"/>
        <v>375</v>
      </c>
      <c r="J1074" s="103">
        <f t="shared" si="63"/>
        <v>249.99999999999997</v>
      </c>
    </row>
    <row r="1075" spans="1:10">
      <c r="A1075" s="102"/>
      <c r="B1075" s="102"/>
      <c r="C1075" s="103">
        <v>5000</v>
      </c>
      <c r="D1075" s="104" t="s">
        <v>574</v>
      </c>
      <c r="E1075" s="113">
        <v>190</v>
      </c>
      <c r="F1075" s="102">
        <v>3</v>
      </c>
      <c r="G1075" s="208">
        <f t="shared" si="64"/>
        <v>7.5999999999999998E-2</v>
      </c>
      <c r="H1075" s="102">
        <v>15</v>
      </c>
      <c r="I1075" s="103">
        <f t="shared" si="62"/>
        <v>570</v>
      </c>
      <c r="J1075" s="103">
        <f t="shared" si="63"/>
        <v>382.49999999999994</v>
      </c>
    </row>
    <row r="1076" spans="1:10">
      <c r="A1076" s="102"/>
      <c r="B1076" s="102"/>
      <c r="C1076" s="103">
        <v>10000</v>
      </c>
      <c r="D1076" s="114" t="s">
        <v>708</v>
      </c>
      <c r="E1076" s="113">
        <v>375</v>
      </c>
      <c r="F1076" s="102">
        <v>2</v>
      </c>
      <c r="G1076" s="208">
        <f t="shared" si="64"/>
        <v>7.4999999999999997E-2</v>
      </c>
      <c r="H1076" s="102">
        <v>15</v>
      </c>
      <c r="I1076" s="103">
        <f t="shared" si="62"/>
        <v>750</v>
      </c>
      <c r="J1076" s="103">
        <f t="shared" si="63"/>
        <v>499.99999999999994</v>
      </c>
    </row>
    <row r="1077" spans="1:10">
      <c r="A1077" s="102">
        <v>146</v>
      </c>
      <c r="B1077" s="102" t="s">
        <v>3579</v>
      </c>
      <c r="C1077" s="103">
        <v>10000</v>
      </c>
      <c r="D1077" s="104" t="s">
        <v>268</v>
      </c>
      <c r="E1077" s="113">
        <v>1150</v>
      </c>
      <c r="F1077" s="102">
        <v>9</v>
      </c>
      <c r="G1077" s="208">
        <v>0.06</v>
      </c>
      <c r="H1077" s="102" t="s">
        <v>664</v>
      </c>
      <c r="I1077" s="103">
        <f t="shared" si="62"/>
        <v>1350</v>
      </c>
      <c r="J1077" s="103">
        <f t="shared" si="63"/>
        <v>787.49999999999989</v>
      </c>
    </row>
    <row r="1078" spans="1:10">
      <c r="A1078" s="102"/>
      <c r="B1078" s="102"/>
      <c r="C1078" s="103">
        <v>20000</v>
      </c>
      <c r="D1078" s="104" t="s">
        <v>268</v>
      </c>
      <c r="E1078" s="113">
        <v>750</v>
      </c>
      <c r="F1078" s="102">
        <v>4</v>
      </c>
      <c r="G1078" s="208">
        <f>E1078/(C1078*H1078/30)</f>
        <v>7.4999999999999997E-2</v>
      </c>
      <c r="H1078" s="102">
        <v>15</v>
      </c>
      <c r="I1078" s="103">
        <f t="shared" si="62"/>
        <v>3000</v>
      </c>
      <c r="J1078" s="103">
        <f t="shared" si="63"/>
        <v>1999.9999999999998</v>
      </c>
    </row>
    <row r="1079" spans="1:10">
      <c r="A1079" s="102"/>
      <c r="B1079" s="102"/>
      <c r="C1079" s="103">
        <v>20000</v>
      </c>
      <c r="D1079" s="104" t="s">
        <v>435</v>
      </c>
      <c r="E1079" s="113">
        <v>750</v>
      </c>
      <c r="F1079" s="102">
        <v>3</v>
      </c>
      <c r="G1079" s="208">
        <f>E1079/(C1079*H1079/30)</f>
        <v>7.4999999999999997E-2</v>
      </c>
      <c r="H1079" s="102">
        <v>15</v>
      </c>
      <c r="I1079" s="103">
        <f t="shared" si="62"/>
        <v>2250</v>
      </c>
      <c r="J1079" s="103">
        <f t="shared" si="63"/>
        <v>1499.9999999999998</v>
      </c>
    </row>
    <row r="1080" spans="1:10">
      <c r="A1080" s="102"/>
      <c r="B1080" s="102"/>
      <c r="C1080" s="103">
        <v>10000</v>
      </c>
      <c r="D1080" s="104" t="s">
        <v>435</v>
      </c>
      <c r="E1080" s="113">
        <v>1150</v>
      </c>
      <c r="F1080" s="102">
        <v>8</v>
      </c>
      <c r="G1080" s="208">
        <v>0.06</v>
      </c>
      <c r="H1080" s="102" t="s">
        <v>664</v>
      </c>
      <c r="I1080" s="103">
        <f t="shared" si="62"/>
        <v>1200</v>
      </c>
      <c r="J1080" s="103">
        <f t="shared" si="63"/>
        <v>699.99999999999989</v>
      </c>
    </row>
    <row r="1081" spans="1:10">
      <c r="A1081" s="102"/>
      <c r="B1081" s="102"/>
      <c r="C1081" s="103">
        <v>20000</v>
      </c>
      <c r="D1081" s="104" t="s">
        <v>2327</v>
      </c>
      <c r="E1081" s="113">
        <v>750</v>
      </c>
      <c r="F1081" s="102">
        <v>10</v>
      </c>
      <c r="G1081" s="208">
        <f>E1081/(C1081*H1081/30)</f>
        <v>7.4999999999999997E-2</v>
      </c>
      <c r="H1081" s="102">
        <v>15</v>
      </c>
      <c r="I1081" s="103">
        <f t="shared" si="62"/>
        <v>7500</v>
      </c>
      <c r="J1081" s="103">
        <f t="shared" si="63"/>
        <v>4999.9999999999991</v>
      </c>
    </row>
    <row r="1082" spans="1:10">
      <c r="A1082" s="102">
        <v>147</v>
      </c>
      <c r="B1082" s="102" t="s">
        <v>3580</v>
      </c>
      <c r="C1082" s="103">
        <v>33000</v>
      </c>
      <c r="D1082" s="104" t="s">
        <v>3129</v>
      </c>
      <c r="E1082" s="113">
        <v>2475</v>
      </c>
      <c r="F1082" s="102">
        <v>4</v>
      </c>
      <c r="G1082" s="208">
        <f>E1082/(C1082*H1082/30)</f>
        <v>7.4999999999999997E-2</v>
      </c>
      <c r="H1082" s="102">
        <v>30</v>
      </c>
      <c r="I1082" s="103">
        <f t="shared" si="62"/>
        <v>9900</v>
      </c>
      <c r="J1082" s="103">
        <f t="shared" si="63"/>
        <v>6599.9999999999991</v>
      </c>
    </row>
    <row r="1083" spans="1:10">
      <c r="A1083" s="102"/>
      <c r="B1083" s="102"/>
      <c r="C1083" s="103">
        <v>23000</v>
      </c>
      <c r="D1083" s="104" t="s">
        <v>2327</v>
      </c>
      <c r="E1083" s="113">
        <v>1725</v>
      </c>
      <c r="F1083" s="102">
        <v>2</v>
      </c>
      <c r="G1083" s="208">
        <f>E1083/(C1083*H1083/30)</f>
        <v>7.4999999999999997E-2</v>
      </c>
      <c r="H1083" s="102">
        <v>30</v>
      </c>
      <c r="I1083" s="103">
        <f t="shared" si="62"/>
        <v>3450</v>
      </c>
      <c r="J1083" s="103">
        <f t="shared" si="63"/>
        <v>2300</v>
      </c>
    </row>
    <row r="1084" spans="1:10">
      <c r="A1084" s="102"/>
      <c r="B1084" s="102"/>
      <c r="C1084" s="103">
        <v>10000</v>
      </c>
      <c r="D1084" s="104" t="s">
        <v>1914</v>
      </c>
      <c r="E1084" s="113">
        <v>1150</v>
      </c>
      <c r="F1084" s="102">
        <v>10</v>
      </c>
      <c r="G1084" s="208">
        <v>0.06</v>
      </c>
      <c r="H1084" s="102" t="s">
        <v>664</v>
      </c>
      <c r="I1084" s="103">
        <f t="shared" si="62"/>
        <v>1500</v>
      </c>
      <c r="J1084" s="103">
        <f t="shared" si="63"/>
        <v>874.99999999999977</v>
      </c>
    </row>
    <row r="1085" spans="1:10">
      <c r="A1085" s="102"/>
      <c r="B1085" s="102"/>
      <c r="C1085" s="103">
        <v>10000</v>
      </c>
      <c r="D1085" s="114" t="s">
        <v>709</v>
      </c>
      <c r="E1085" s="113">
        <v>1150</v>
      </c>
      <c r="F1085" s="102">
        <v>7</v>
      </c>
      <c r="G1085" s="208">
        <v>0.06</v>
      </c>
      <c r="H1085" s="102" t="s">
        <v>664</v>
      </c>
      <c r="I1085" s="103">
        <f t="shared" si="62"/>
        <v>1050</v>
      </c>
      <c r="J1085" s="103">
        <f t="shared" si="63"/>
        <v>612.49999999999989</v>
      </c>
    </row>
    <row r="1086" spans="1:10">
      <c r="A1086" s="102"/>
      <c r="B1086" s="102"/>
      <c r="C1086" s="103">
        <v>50000</v>
      </c>
      <c r="D1086" s="104" t="s">
        <v>3705</v>
      </c>
      <c r="E1086" s="113">
        <v>1875</v>
      </c>
      <c r="F1086" s="102">
        <v>1</v>
      </c>
      <c r="G1086" s="208">
        <f>E1086/(C1086*H1086/30)</f>
        <v>7.4999999999999997E-2</v>
      </c>
      <c r="H1086" s="102">
        <v>15</v>
      </c>
      <c r="I1086" s="103">
        <f t="shared" si="62"/>
        <v>1875</v>
      </c>
      <c r="J1086" s="103">
        <f t="shared" si="63"/>
        <v>1250</v>
      </c>
    </row>
    <row r="1087" spans="1:10">
      <c r="A1087" s="102"/>
      <c r="B1087" s="102"/>
      <c r="C1087" s="103">
        <v>40000</v>
      </c>
      <c r="D1087" s="104" t="s">
        <v>3705</v>
      </c>
      <c r="E1087" s="113">
        <v>1500</v>
      </c>
      <c r="F1087" s="102">
        <v>6</v>
      </c>
      <c r="G1087" s="208">
        <f>E1087/(C1087*H1087/30)</f>
        <v>7.4999999999999997E-2</v>
      </c>
      <c r="H1087" s="102">
        <v>15</v>
      </c>
      <c r="I1087" s="103">
        <f t="shared" si="62"/>
        <v>9000</v>
      </c>
      <c r="J1087" s="103">
        <f t="shared" si="63"/>
        <v>5999.9999999999991</v>
      </c>
    </row>
    <row r="1088" spans="1:10">
      <c r="A1088" s="102"/>
      <c r="B1088" s="102"/>
      <c r="C1088" s="103">
        <v>30000</v>
      </c>
      <c r="D1088" s="104" t="s">
        <v>3705</v>
      </c>
      <c r="E1088" s="113">
        <v>1125</v>
      </c>
      <c r="F1088" s="102">
        <v>6</v>
      </c>
      <c r="G1088" s="208">
        <f>E1088/(C1088*H1088/30)</f>
        <v>7.4999999999999997E-2</v>
      </c>
      <c r="H1088" s="102">
        <v>15</v>
      </c>
      <c r="I1088" s="103">
        <f t="shared" si="62"/>
        <v>6750</v>
      </c>
      <c r="J1088" s="103">
        <f t="shared" si="63"/>
        <v>4499.9999999999991</v>
      </c>
    </row>
    <row r="1089" spans="1:10">
      <c r="A1089" s="102"/>
      <c r="B1089" s="102"/>
      <c r="C1089" s="103">
        <v>20000</v>
      </c>
      <c r="D1089" s="104" t="s">
        <v>3705</v>
      </c>
      <c r="E1089" s="113">
        <v>750</v>
      </c>
      <c r="F1089" s="102">
        <v>3</v>
      </c>
      <c r="G1089" s="208">
        <f>E1089/(C1089*H1089/30)</f>
        <v>7.4999999999999997E-2</v>
      </c>
      <c r="H1089" s="102">
        <v>15</v>
      </c>
      <c r="I1089" s="103">
        <f t="shared" si="62"/>
        <v>2250</v>
      </c>
      <c r="J1089" s="103">
        <f t="shared" si="63"/>
        <v>1499.9999999999998</v>
      </c>
    </row>
    <row r="1090" spans="1:10">
      <c r="A1090" s="102">
        <v>148</v>
      </c>
      <c r="B1090" s="102" t="s">
        <v>3581</v>
      </c>
      <c r="C1090" s="103">
        <v>20000</v>
      </c>
      <c r="D1090" s="104" t="s">
        <v>425</v>
      </c>
      <c r="E1090" s="113">
        <v>2300</v>
      </c>
      <c r="F1090" s="102">
        <v>5</v>
      </c>
      <c r="G1090" s="208">
        <v>0.06</v>
      </c>
      <c r="H1090" s="102" t="s">
        <v>664</v>
      </c>
      <c r="I1090" s="103">
        <f t="shared" si="62"/>
        <v>1500</v>
      </c>
      <c r="J1090" s="103">
        <f t="shared" si="63"/>
        <v>874.99999999999977</v>
      </c>
    </row>
    <row r="1091" spans="1:10">
      <c r="A1091" s="102"/>
      <c r="B1091" s="102"/>
      <c r="C1091" s="103">
        <v>20000</v>
      </c>
      <c r="D1091" s="104" t="s">
        <v>253</v>
      </c>
      <c r="E1091" s="113">
        <v>750</v>
      </c>
      <c r="F1091" s="102">
        <v>1</v>
      </c>
      <c r="G1091" s="208">
        <f t="shared" ref="G1091:G1096" si="65">E1091/(C1091*H1091/30)</f>
        <v>7.4999999999999997E-2</v>
      </c>
      <c r="H1091" s="102">
        <v>15</v>
      </c>
      <c r="I1091" s="103">
        <f t="shared" si="62"/>
        <v>750</v>
      </c>
      <c r="J1091" s="103">
        <f t="shared" si="63"/>
        <v>499.99999999999994</v>
      </c>
    </row>
    <row r="1092" spans="1:10">
      <c r="A1092" s="102"/>
      <c r="B1092" s="102"/>
      <c r="C1092" s="103">
        <v>10000</v>
      </c>
      <c r="D1092" s="104" t="s">
        <v>1006</v>
      </c>
      <c r="E1092" s="113">
        <v>375</v>
      </c>
      <c r="F1092" s="102">
        <v>1</v>
      </c>
      <c r="G1092" s="208">
        <f t="shared" si="65"/>
        <v>7.4999999999999997E-2</v>
      </c>
      <c r="H1092" s="102">
        <v>15</v>
      </c>
      <c r="I1092" s="103">
        <f t="shared" si="62"/>
        <v>375</v>
      </c>
      <c r="J1092" s="103">
        <f t="shared" si="63"/>
        <v>249.99999999999997</v>
      </c>
    </row>
    <row r="1093" spans="1:10">
      <c r="A1093" s="102"/>
      <c r="B1093" s="102"/>
      <c r="C1093" s="103">
        <v>30000</v>
      </c>
      <c r="D1093" s="104" t="s">
        <v>3153</v>
      </c>
      <c r="E1093" s="113">
        <v>1125</v>
      </c>
      <c r="F1093" s="102">
        <v>7</v>
      </c>
      <c r="G1093" s="208">
        <f t="shared" si="65"/>
        <v>7.4999999999999997E-2</v>
      </c>
      <c r="H1093" s="102">
        <v>15</v>
      </c>
      <c r="I1093" s="103">
        <f t="shared" ref="I1093:I1156" si="66">IF(H1093="分期",C1093*G1093*2.5*F1093/10,C1093*G1093*H1093/30*F1093)</f>
        <v>7875</v>
      </c>
      <c r="J1093" s="103">
        <f t="shared" ref="J1093:J1156" si="67">IF(H1093="分期",C1093*(G1093-0.025)*2.5*F1093/10,C1093*(G1093-0.025)*H1093/30*F1093)</f>
        <v>5249.9999999999991</v>
      </c>
    </row>
    <row r="1094" spans="1:10">
      <c r="A1094" s="102"/>
      <c r="B1094" s="102"/>
      <c r="C1094" s="103">
        <v>30000</v>
      </c>
      <c r="D1094" s="104" t="s">
        <v>3134</v>
      </c>
      <c r="E1094" s="113">
        <v>1125</v>
      </c>
      <c r="F1094" s="102">
        <v>9</v>
      </c>
      <c r="G1094" s="208">
        <f t="shared" si="65"/>
        <v>7.4999999999999997E-2</v>
      </c>
      <c r="H1094" s="102">
        <v>15</v>
      </c>
      <c r="I1094" s="103">
        <f t="shared" si="66"/>
        <v>10125</v>
      </c>
      <c r="J1094" s="103">
        <f t="shared" si="67"/>
        <v>6749.9999999999991</v>
      </c>
    </row>
    <row r="1095" spans="1:10">
      <c r="A1095" s="102"/>
      <c r="B1095" s="102"/>
      <c r="C1095" s="103">
        <v>30000</v>
      </c>
      <c r="D1095" s="104" t="s">
        <v>3701</v>
      </c>
      <c r="E1095" s="113">
        <v>1125</v>
      </c>
      <c r="F1095" s="102">
        <v>8</v>
      </c>
      <c r="G1095" s="208">
        <f t="shared" si="65"/>
        <v>7.4999999999999997E-2</v>
      </c>
      <c r="H1095" s="102">
        <v>15</v>
      </c>
      <c r="I1095" s="103">
        <f t="shared" si="66"/>
        <v>9000</v>
      </c>
      <c r="J1095" s="103">
        <f t="shared" si="67"/>
        <v>5999.9999999999991</v>
      </c>
    </row>
    <row r="1096" spans="1:10">
      <c r="A1096" s="102"/>
      <c r="B1096" s="102"/>
      <c r="C1096" s="103">
        <v>20000</v>
      </c>
      <c r="D1096" s="104" t="s">
        <v>3702</v>
      </c>
      <c r="E1096" s="113">
        <v>750</v>
      </c>
      <c r="F1096" s="102">
        <v>6</v>
      </c>
      <c r="G1096" s="208">
        <f t="shared" si="65"/>
        <v>7.4999999999999997E-2</v>
      </c>
      <c r="H1096" s="102">
        <v>15</v>
      </c>
      <c r="I1096" s="103">
        <f t="shared" si="66"/>
        <v>4500</v>
      </c>
      <c r="J1096" s="103">
        <f t="shared" si="67"/>
        <v>2999.9999999999995</v>
      </c>
    </row>
    <row r="1097" spans="1:10">
      <c r="A1097" s="102"/>
      <c r="B1097" s="102"/>
      <c r="C1097" s="103">
        <v>20000</v>
      </c>
      <c r="D1097" s="114" t="s">
        <v>710</v>
      </c>
      <c r="E1097" s="113">
        <v>2300</v>
      </c>
      <c r="F1097" s="102">
        <v>2</v>
      </c>
      <c r="G1097" s="208">
        <v>0.06</v>
      </c>
      <c r="H1097" s="102" t="s">
        <v>664</v>
      </c>
      <c r="I1097" s="103">
        <f t="shared" si="66"/>
        <v>600</v>
      </c>
      <c r="J1097" s="103">
        <f t="shared" si="67"/>
        <v>349.99999999999994</v>
      </c>
    </row>
    <row r="1098" spans="1:10">
      <c r="A1098" s="102"/>
      <c r="B1098" s="102"/>
      <c r="C1098" s="103">
        <v>20000</v>
      </c>
      <c r="D1098" s="104" t="s">
        <v>254</v>
      </c>
      <c r="E1098" s="113">
        <v>750</v>
      </c>
      <c r="F1098" s="102">
        <v>11</v>
      </c>
      <c r="G1098" s="208">
        <f>E1098/(C1098*H1098/30)</f>
        <v>7.4999999999999997E-2</v>
      </c>
      <c r="H1098" s="102">
        <v>15</v>
      </c>
      <c r="I1098" s="103">
        <f t="shared" si="66"/>
        <v>8250</v>
      </c>
      <c r="J1098" s="103">
        <f t="shared" si="67"/>
        <v>5499.9999999999991</v>
      </c>
    </row>
    <row r="1099" spans="1:10">
      <c r="A1099" s="102"/>
      <c r="B1099" s="102"/>
      <c r="C1099" s="103">
        <v>10000</v>
      </c>
      <c r="D1099" s="104" t="s">
        <v>254</v>
      </c>
      <c r="E1099" s="113">
        <v>375</v>
      </c>
      <c r="F1099" s="102">
        <v>11</v>
      </c>
      <c r="G1099" s="208">
        <f>E1099/(C1099*H1099/30)</f>
        <v>7.4999999999999997E-2</v>
      </c>
      <c r="H1099" s="102">
        <v>15</v>
      </c>
      <c r="I1099" s="103">
        <f t="shared" si="66"/>
        <v>4125</v>
      </c>
      <c r="J1099" s="103">
        <f t="shared" si="67"/>
        <v>2749.9999999999995</v>
      </c>
    </row>
    <row r="1100" spans="1:10">
      <c r="A1100" s="102"/>
      <c r="B1100" s="102"/>
      <c r="C1100" s="103">
        <v>30000</v>
      </c>
      <c r="D1100" s="104" t="s">
        <v>3185</v>
      </c>
      <c r="E1100" s="113">
        <v>1125</v>
      </c>
      <c r="F1100" s="102">
        <v>9</v>
      </c>
      <c r="G1100" s="208">
        <f>E1100/(C1100*H1100/30)</f>
        <v>7.4999999999999997E-2</v>
      </c>
      <c r="H1100" s="102">
        <v>15</v>
      </c>
      <c r="I1100" s="103">
        <f t="shared" si="66"/>
        <v>10125</v>
      </c>
      <c r="J1100" s="103">
        <f t="shared" si="67"/>
        <v>6749.9999999999991</v>
      </c>
    </row>
    <row r="1101" spans="1:10">
      <c r="A1101" s="102"/>
      <c r="B1101" s="102"/>
      <c r="C1101" s="103">
        <v>30000</v>
      </c>
      <c r="D1101" s="114" t="s">
        <v>711</v>
      </c>
      <c r="E1101" s="113">
        <v>1125</v>
      </c>
      <c r="F1101" s="102">
        <v>14</v>
      </c>
      <c r="G1101" s="208">
        <f>E1101/(C1101*H1101/30)</f>
        <v>7.4999999999999997E-2</v>
      </c>
      <c r="H1101" s="102">
        <v>15</v>
      </c>
      <c r="I1101" s="103">
        <f t="shared" si="66"/>
        <v>15750</v>
      </c>
      <c r="J1101" s="103">
        <f t="shared" si="67"/>
        <v>10499.999999999998</v>
      </c>
    </row>
    <row r="1102" spans="1:10">
      <c r="A1102" s="102"/>
      <c r="B1102" s="102"/>
      <c r="C1102" s="103">
        <v>30000</v>
      </c>
      <c r="D1102" s="104" t="s">
        <v>686</v>
      </c>
      <c r="E1102" s="113">
        <v>1125</v>
      </c>
      <c r="F1102" s="102">
        <v>12</v>
      </c>
      <c r="G1102" s="208">
        <v>7.4999999999999997E-2</v>
      </c>
      <c r="H1102" s="102">
        <v>15</v>
      </c>
      <c r="I1102" s="103">
        <f t="shared" si="66"/>
        <v>13500</v>
      </c>
      <c r="J1102" s="103">
        <f t="shared" si="67"/>
        <v>8999.9999999999982</v>
      </c>
    </row>
    <row r="1103" spans="1:10">
      <c r="A1103" s="102"/>
      <c r="B1103" s="102"/>
      <c r="C1103" s="103">
        <v>30000</v>
      </c>
      <c r="D1103" s="104" t="s">
        <v>259</v>
      </c>
      <c r="E1103" s="113">
        <v>1125</v>
      </c>
      <c r="F1103" s="102">
        <v>8</v>
      </c>
      <c r="G1103" s="208">
        <f>E1103/(C1103*H1103/30)</f>
        <v>7.4999999999999997E-2</v>
      </c>
      <c r="H1103" s="102">
        <v>15</v>
      </c>
      <c r="I1103" s="103">
        <f t="shared" si="66"/>
        <v>9000</v>
      </c>
      <c r="J1103" s="103">
        <f t="shared" si="67"/>
        <v>5999.9999999999991</v>
      </c>
    </row>
    <row r="1104" spans="1:10">
      <c r="A1104" s="102"/>
      <c r="B1104" s="102"/>
      <c r="C1104" s="103">
        <v>20000</v>
      </c>
      <c r="D1104" s="104" t="s">
        <v>3168</v>
      </c>
      <c r="E1104" s="113">
        <v>750</v>
      </c>
      <c r="F1104" s="102">
        <v>7</v>
      </c>
      <c r="G1104" s="208">
        <f>E1104/(C1104*H1104/30)</f>
        <v>7.4999999999999997E-2</v>
      </c>
      <c r="H1104" s="102">
        <v>15</v>
      </c>
      <c r="I1104" s="103">
        <f t="shared" si="66"/>
        <v>5250</v>
      </c>
      <c r="J1104" s="103">
        <f t="shared" si="67"/>
        <v>3499.9999999999995</v>
      </c>
    </row>
    <row r="1105" spans="1:10">
      <c r="A1105" s="102">
        <v>149</v>
      </c>
      <c r="B1105" s="102" t="s">
        <v>3582</v>
      </c>
      <c r="C1105" s="103">
        <v>10000</v>
      </c>
      <c r="D1105" s="114" t="s">
        <v>712</v>
      </c>
      <c r="E1105" s="113">
        <v>1150</v>
      </c>
      <c r="F1105" s="102">
        <v>10</v>
      </c>
      <c r="G1105" s="208">
        <v>0.06</v>
      </c>
      <c r="H1105" s="102" t="s">
        <v>664</v>
      </c>
      <c r="I1105" s="103">
        <f t="shared" si="66"/>
        <v>1500</v>
      </c>
      <c r="J1105" s="103">
        <f t="shared" si="67"/>
        <v>874.99999999999977</v>
      </c>
    </row>
    <row r="1106" spans="1:10">
      <c r="A1106" s="102"/>
      <c r="B1106" s="102"/>
      <c r="C1106" s="103">
        <v>30000</v>
      </c>
      <c r="D1106" s="104" t="s">
        <v>29</v>
      </c>
      <c r="E1106" s="113">
        <v>1125</v>
      </c>
      <c r="F1106" s="102">
        <v>21</v>
      </c>
      <c r="G1106" s="208">
        <f>E1106/(C1106*H1106/30)</f>
        <v>7.4999999999999997E-2</v>
      </c>
      <c r="H1106" s="102">
        <v>15</v>
      </c>
      <c r="I1106" s="103">
        <f t="shared" si="66"/>
        <v>23625</v>
      </c>
      <c r="J1106" s="103">
        <f t="shared" si="67"/>
        <v>15749.999999999998</v>
      </c>
    </row>
    <row r="1107" spans="1:10">
      <c r="A1107" s="102"/>
      <c r="B1107" s="102"/>
      <c r="C1107" s="103">
        <v>20000</v>
      </c>
      <c r="D1107" s="104" t="s">
        <v>1383</v>
      </c>
      <c r="E1107" s="113">
        <v>2300</v>
      </c>
      <c r="F1107" s="102">
        <v>10</v>
      </c>
      <c r="G1107" s="208">
        <v>0.06</v>
      </c>
      <c r="H1107" s="102" t="s">
        <v>664</v>
      </c>
      <c r="I1107" s="103">
        <f t="shared" si="66"/>
        <v>3000</v>
      </c>
      <c r="J1107" s="103">
        <f t="shared" si="67"/>
        <v>1749.9999999999995</v>
      </c>
    </row>
    <row r="1108" spans="1:10">
      <c r="A1108" s="102"/>
      <c r="B1108" s="102"/>
      <c r="C1108" s="103">
        <v>20000</v>
      </c>
      <c r="D1108" s="104" t="s">
        <v>1696</v>
      </c>
      <c r="E1108" s="113">
        <v>2300</v>
      </c>
      <c r="F1108" s="102">
        <v>10</v>
      </c>
      <c r="G1108" s="208">
        <v>0.06</v>
      </c>
      <c r="H1108" s="102" t="s">
        <v>664</v>
      </c>
      <c r="I1108" s="103">
        <f t="shared" si="66"/>
        <v>3000</v>
      </c>
      <c r="J1108" s="103">
        <f t="shared" si="67"/>
        <v>1749.9999999999995</v>
      </c>
    </row>
    <row r="1109" spans="1:10">
      <c r="A1109" s="102"/>
      <c r="B1109" s="102"/>
      <c r="C1109" s="103">
        <v>30000</v>
      </c>
      <c r="D1109" s="104" t="s">
        <v>3701</v>
      </c>
      <c r="E1109" s="113">
        <v>3450</v>
      </c>
      <c r="F1109" s="102">
        <v>10</v>
      </c>
      <c r="G1109" s="208">
        <v>0.06</v>
      </c>
      <c r="H1109" s="102" t="s">
        <v>664</v>
      </c>
      <c r="I1109" s="103">
        <f t="shared" si="66"/>
        <v>4500</v>
      </c>
      <c r="J1109" s="103">
        <f t="shared" si="67"/>
        <v>2625</v>
      </c>
    </row>
    <row r="1110" spans="1:10">
      <c r="A1110" s="102"/>
      <c r="B1110" s="102"/>
      <c r="C1110" s="103">
        <v>40000</v>
      </c>
      <c r="D1110" s="104" t="s">
        <v>434</v>
      </c>
      <c r="E1110" s="113">
        <v>1500</v>
      </c>
      <c r="F1110" s="102">
        <v>16</v>
      </c>
      <c r="G1110" s="208">
        <f>E1110/(C1110*H1110/30)</f>
        <v>7.4999999999999997E-2</v>
      </c>
      <c r="H1110" s="102">
        <v>15</v>
      </c>
      <c r="I1110" s="103">
        <f t="shared" si="66"/>
        <v>24000</v>
      </c>
      <c r="J1110" s="103">
        <f t="shared" si="67"/>
        <v>15999.999999999998</v>
      </c>
    </row>
    <row r="1111" spans="1:10">
      <c r="A1111" s="102"/>
      <c r="B1111" s="102"/>
      <c r="C1111" s="103">
        <v>100000</v>
      </c>
      <c r="D1111" s="114" t="s">
        <v>713</v>
      </c>
      <c r="E1111" s="113">
        <v>3750</v>
      </c>
      <c r="F1111" s="102">
        <v>16</v>
      </c>
      <c r="G1111" s="208">
        <f>E1111/(C1111*H1111/30)</f>
        <v>7.4999999999999997E-2</v>
      </c>
      <c r="H1111" s="102">
        <v>15</v>
      </c>
      <c r="I1111" s="103">
        <f t="shared" si="66"/>
        <v>60000</v>
      </c>
      <c r="J1111" s="103">
        <f t="shared" si="67"/>
        <v>40000</v>
      </c>
    </row>
    <row r="1112" spans="1:10">
      <c r="A1112" s="102"/>
      <c r="B1112" s="102"/>
      <c r="C1112" s="103">
        <v>30000</v>
      </c>
      <c r="D1112" s="104" t="s">
        <v>981</v>
      </c>
      <c r="E1112" s="113">
        <v>1125</v>
      </c>
      <c r="F1112" s="102">
        <v>10</v>
      </c>
      <c r="G1112" s="208">
        <v>7.4999999999999997E-2</v>
      </c>
      <c r="H1112" s="102">
        <v>15</v>
      </c>
      <c r="I1112" s="103">
        <f t="shared" si="66"/>
        <v>11250</v>
      </c>
      <c r="J1112" s="103">
        <f t="shared" si="67"/>
        <v>7499.9999999999991</v>
      </c>
    </row>
    <row r="1113" spans="1:10">
      <c r="A1113" s="102"/>
      <c r="B1113" s="102"/>
      <c r="C1113" s="103">
        <v>30000</v>
      </c>
      <c r="D1113" s="104" t="s">
        <v>1696</v>
      </c>
      <c r="E1113" s="113">
        <v>1125</v>
      </c>
      <c r="F1113" s="102">
        <v>12</v>
      </c>
      <c r="G1113" s="208">
        <f>E1113/(C1113*H1113/30)</f>
        <v>7.4999999999999997E-2</v>
      </c>
      <c r="H1113" s="102">
        <v>15</v>
      </c>
      <c r="I1113" s="103">
        <f t="shared" si="66"/>
        <v>13500</v>
      </c>
      <c r="J1113" s="103">
        <f t="shared" si="67"/>
        <v>8999.9999999999982</v>
      </c>
    </row>
    <row r="1114" spans="1:10">
      <c r="A1114" s="102"/>
      <c r="B1114" s="102"/>
      <c r="C1114" s="103">
        <v>20000</v>
      </c>
      <c r="D1114" s="104" t="s">
        <v>1685</v>
      </c>
      <c r="E1114" s="113">
        <v>750</v>
      </c>
      <c r="F1114" s="102">
        <v>20</v>
      </c>
      <c r="G1114" s="208">
        <f>E1114/(C1114*H1114/30)</f>
        <v>7.4999999999999997E-2</v>
      </c>
      <c r="H1114" s="102">
        <v>15</v>
      </c>
      <c r="I1114" s="103">
        <f t="shared" si="66"/>
        <v>15000</v>
      </c>
      <c r="J1114" s="103">
        <f t="shared" si="67"/>
        <v>9999.9999999999982</v>
      </c>
    </row>
    <row r="1115" spans="1:10">
      <c r="A1115" s="102"/>
      <c r="B1115" s="102"/>
      <c r="C1115" s="103">
        <v>30000</v>
      </c>
      <c r="D1115" s="104" t="s">
        <v>243</v>
      </c>
      <c r="E1115" s="113">
        <v>1125</v>
      </c>
      <c r="F1115" s="102">
        <v>18</v>
      </c>
      <c r="G1115" s="208">
        <f>E1115/(C1115*H1115/30)</f>
        <v>7.4999999999999997E-2</v>
      </c>
      <c r="H1115" s="102">
        <v>15</v>
      </c>
      <c r="I1115" s="103">
        <f t="shared" si="66"/>
        <v>20250</v>
      </c>
      <c r="J1115" s="103">
        <f t="shared" si="67"/>
        <v>13499.999999999998</v>
      </c>
    </row>
    <row r="1116" spans="1:10">
      <c r="A1116" s="102"/>
      <c r="B1116" s="102"/>
      <c r="C1116" s="103">
        <v>50000</v>
      </c>
      <c r="D1116" s="104" t="s">
        <v>480</v>
      </c>
      <c r="E1116" s="113">
        <v>3750</v>
      </c>
      <c r="F1116" s="102">
        <v>5</v>
      </c>
      <c r="G1116" s="208">
        <f>E1116/(C1116*H1116/30)</f>
        <v>7.4999999999999997E-2</v>
      </c>
      <c r="H1116" s="102">
        <v>30</v>
      </c>
      <c r="I1116" s="103">
        <f t="shared" si="66"/>
        <v>18750</v>
      </c>
      <c r="J1116" s="103">
        <f t="shared" si="67"/>
        <v>12500</v>
      </c>
    </row>
    <row r="1117" spans="1:10">
      <c r="A1117" s="102"/>
      <c r="B1117" s="102"/>
      <c r="C1117" s="103">
        <v>30000</v>
      </c>
      <c r="D1117" s="104" t="s">
        <v>2350</v>
      </c>
      <c r="E1117" s="113">
        <v>3450</v>
      </c>
      <c r="F1117" s="102">
        <v>10</v>
      </c>
      <c r="G1117" s="208">
        <v>0.06</v>
      </c>
      <c r="H1117" s="102" t="s">
        <v>664</v>
      </c>
      <c r="I1117" s="103">
        <f t="shared" si="66"/>
        <v>4500</v>
      </c>
      <c r="J1117" s="103">
        <f t="shared" si="67"/>
        <v>2625</v>
      </c>
    </row>
    <row r="1118" spans="1:10">
      <c r="A1118" s="102">
        <v>150</v>
      </c>
      <c r="B1118" s="102" t="s">
        <v>3583</v>
      </c>
      <c r="C1118" s="103">
        <v>30000</v>
      </c>
      <c r="D1118" s="104" t="s">
        <v>264</v>
      </c>
      <c r="E1118" s="113">
        <v>1125</v>
      </c>
      <c r="F1118" s="102">
        <v>20</v>
      </c>
      <c r="G1118" s="208">
        <f>E1118/(C1118*H1118/30)</f>
        <v>7.4999999999999997E-2</v>
      </c>
      <c r="H1118" s="102">
        <v>15</v>
      </c>
      <c r="I1118" s="103">
        <f t="shared" si="66"/>
        <v>22500</v>
      </c>
      <c r="J1118" s="103">
        <f t="shared" si="67"/>
        <v>14999.999999999998</v>
      </c>
    </row>
    <row r="1119" spans="1:10">
      <c r="A1119" s="102"/>
      <c r="B1119" s="102"/>
      <c r="C1119" s="103">
        <v>30000</v>
      </c>
      <c r="D1119" s="104" t="s">
        <v>980</v>
      </c>
      <c r="E1119" s="113">
        <v>1125</v>
      </c>
      <c r="F1119" s="102">
        <v>12</v>
      </c>
      <c r="G1119" s="208">
        <f>E1119/(C1119*H1119/30)</f>
        <v>7.4999999999999997E-2</v>
      </c>
      <c r="H1119" s="102">
        <v>15</v>
      </c>
      <c r="I1119" s="103">
        <f t="shared" si="66"/>
        <v>13500</v>
      </c>
      <c r="J1119" s="103">
        <f t="shared" si="67"/>
        <v>8999.9999999999982</v>
      </c>
    </row>
    <row r="1120" spans="1:10">
      <c r="A1120" s="102"/>
      <c r="B1120" s="102"/>
      <c r="C1120" s="103">
        <v>30000</v>
      </c>
      <c r="D1120" s="114" t="s">
        <v>483</v>
      </c>
      <c r="E1120" s="113">
        <v>1125</v>
      </c>
      <c r="F1120" s="102">
        <v>10</v>
      </c>
      <c r="G1120" s="208">
        <f>E1120/(C1120*H1120/30)</f>
        <v>7.4999999999999997E-2</v>
      </c>
      <c r="H1120" s="102">
        <v>15</v>
      </c>
      <c r="I1120" s="103">
        <f t="shared" si="66"/>
        <v>11250</v>
      </c>
      <c r="J1120" s="103">
        <f t="shared" si="67"/>
        <v>7499.9999999999991</v>
      </c>
    </row>
    <row r="1121" spans="1:10">
      <c r="A1121" s="102"/>
      <c r="B1121" s="102"/>
      <c r="C1121" s="103">
        <v>30000</v>
      </c>
      <c r="D1121" s="104" t="s">
        <v>3115</v>
      </c>
      <c r="E1121" s="113">
        <v>1125</v>
      </c>
      <c r="F1121" s="102">
        <v>10</v>
      </c>
      <c r="G1121" s="208">
        <f>E1121/(C1121*H1121/30)</f>
        <v>7.4999999999999997E-2</v>
      </c>
      <c r="H1121" s="102">
        <v>15</v>
      </c>
      <c r="I1121" s="103">
        <f t="shared" si="66"/>
        <v>11250</v>
      </c>
      <c r="J1121" s="103">
        <f t="shared" si="67"/>
        <v>7499.9999999999991</v>
      </c>
    </row>
    <row r="1122" spans="1:10">
      <c r="A1122" s="102">
        <v>151</v>
      </c>
      <c r="B1122" s="102" t="s">
        <v>3584</v>
      </c>
      <c r="C1122" s="103">
        <v>15000</v>
      </c>
      <c r="D1122" s="104" t="s">
        <v>1003</v>
      </c>
      <c r="E1122" s="105">
        <v>1725</v>
      </c>
      <c r="F1122" s="102">
        <v>10</v>
      </c>
      <c r="G1122" s="208">
        <v>0.06</v>
      </c>
      <c r="H1122" s="102" t="s">
        <v>664</v>
      </c>
      <c r="I1122" s="103">
        <f t="shared" si="66"/>
        <v>2250</v>
      </c>
      <c r="J1122" s="103">
        <f t="shared" si="67"/>
        <v>1312.5</v>
      </c>
    </row>
    <row r="1123" spans="1:10">
      <c r="A1123" s="102"/>
      <c r="B1123" s="102"/>
      <c r="C1123" s="103">
        <v>15000</v>
      </c>
      <c r="D1123" s="104" t="s">
        <v>3158</v>
      </c>
      <c r="E1123" s="103">
        <v>1725</v>
      </c>
      <c r="F1123" s="102">
        <v>4</v>
      </c>
      <c r="G1123" s="208">
        <v>0.06</v>
      </c>
      <c r="H1123" s="102" t="s">
        <v>664</v>
      </c>
      <c r="I1123" s="103">
        <f t="shared" si="66"/>
        <v>900</v>
      </c>
      <c r="J1123" s="103">
        <f t="shared" si="67"/>
        <v>525</v>
      </c>
    </row>
    <row r="1124" spans="1:10">
      <c r="A1124" s="102">
        <v>152</v>
      </c>
      <c r="B1124" s="102" t="s">
        <v>3585</v>
      </c>
      <c r="C1124" s="103">
        <v>10000</v>
      </c>
      <c r="D1124" s="104" t="s">
        <v>1003</v>
      </c>
      <c r="E1124" s="103">
        <v>1150</v>
      </c>
      <c r="F1124" s="102">
        <v>6</v>
      </c>
      <c r="G1124" s="208">
        <v>0.06</v>
      </c>
      <c r="H1124" s="102" t="s">
        <v>664</v>
      </c>
      <c r="I1124" s="103">
        <f t="shared" si="66"/>
        <v>900</v>
      </c>
      <c r="J1124" s="103">
        <f t="shared" si="67"/>
        <v>524.99999999999989</v>
      </c>
    </row>
    <row r="1125" spans="1:10">
      <c r="A1125" s="102"/>
      <c r="B1125" s="102"/>
      <c r="C1125" s="103">
        <v>20000</v>
      </c>
      <c r="D1125" s="104" t="s">
        <v>1003</v>
      </c>
      <c r="E1125" s="103">
        <v>750</v>
      </c>
      <c r="F1125" s="102">
        <v>3</v>
      </c>
      <c r="G1125" s="208">
        <f>E1125/(C1125*H1125/30)</f>
        <v>7.4999999999999997E-2</v>
      </c>
      <c r="H1125" s="102">
        <v>15</v>
      </c>
      <c r="I1125" s="103">
        <f t="shared" si="66"/>
        <v>2250</v>
      </c>
      <c r="J1125" s="103">
        <f t="shared" si="67"/>
        <v>1499.9999999999998</v>
      </c>
    </row>
    <row r="1126" spans="1:10">
      <c r="A1126" s="102"/>
      <c r="B1126" s="102"/>
      <c r="C1126" s="103">
        <v>20000</v>
      </c>
      <c r="D1126" s="104" t="s">
        <v>495</v>
      </c>
      <c r="E1126" s="103">
        <v>750</v>
      </c>
      <c r="F1126" s="102">
        <v>1</v>
      </c>
      <c r="G1126" s="208">
        <f>E1126/(C1126*H1126/30)</f>
        <v>7.4999999999999997E-2</v>
      </c>
      <c r="H1126" s="102">
        <v>15</v>
      </c>
      <c r="I1126" s="103">
        <f t="shared" si="66"/>
        <v>750</v>
      </c>
      <c r="J1126" s="103">
        <f t="shared" si="67"/>
        <v>499.99999999999994</v>
      </c>
    </row>
    <row r="1127" spans="1:10">
      <c r="A1127" s="102"/>
      <c r="B1127" s="102"/>
      <c r="C1127" s="103">
        <v>10000</v>
      </c>
      <c r="D1127" s="114" t="s">
        <v>714</v>
      </c>
      <c r="E1127" s="103">
        <v>1150</v>
      </c>
      <c r="F1127" s="102">
        <v>2</v>
      </c>
      <c r="G1127" s="208">
        <v>0.06</v>
      </c>
      <c r="H1127" s="102" t="s">
        <v>2184</v>
      </c>
      <c r="I1127" s="103">
        <f t="shared" si="66"/>
        <v>300</v>
      </c>
      <c r="J1127" s="103">
        <f t="shared" si="67"/>
        <v>174.99999999999997</v>
      </c>
    </row>
    <row r="1128" spans="1:10">
      <c r="A1128" s="102"/>
      <c r="B1128" s="102"/>
      <c r="C1128" s="103">
        <v>20000</v>
      </c>
      <c r="D1128" s="104" t="s">
        <v>3175</v>
      </c>
      <c r="E1128" s="103">
        <v>750</v>
      </c>
      <c r="F1128" s="102">
        <v>1</v>
      </c>
      <c r="G1128" s="208">
        <f>E1128/(C1128*H1128/30)</f>
        <v>7.4999999999999997E-2</v>
      </c>
      <c r="H1128" s="102">
        <v>15</v>
      </c>
      <c r="I1128" s="103">
        <f t="shared" si="66"/>
        <v>750</v>
      </c>
      <c r="J1128" s="103">
        <f t="shared" si="67"/>
        <v>499.99999999999994</v>
      </c>
    </row>
    <row r="1129" spans="1:10">
      <c r="A1129" s="102"/>
      <c r="B1129" s="102"/>
      <c r="C1129" s="103">
        <v>10000</v>
      </c>
      <c r="D1129" s="104" t="s">
        <v>3175</v>
      </c>
      <c r="E1129" s="103">
        <v>1150</v>
      </c>
      <c r="F1129" s="102">
        <v>1</v>
      </c>
      <c r="G1129" s="208">
        <v>0.06</v>
      </c>
      <c r="H1129" s="102" t="s">
        <v>2184</v>
      </c>
      <c r="I1129" s="103">
        <f t="shared" si="66"/>
        <v>150</v>
      </c>
      <c r="J1129" s="103">
        <f t="shared" si="67"/>
        <v>87.499999999999986</v>
      </c>
    </row>
    <row r="1130" spans="1:10">
      <c r="A1130" s="102"/>
      <c r="B1130" s="102"/>
      <c r="C1130" s="103">
        <v>20000</v>
      </c>
      <c r="D1130" s="104" t="s">
        <v>433</v>
      </c>
      <c r="E1130" s="103">
        <v>750</v>
      </c>
      <c r="F1130" s="102">
        <v>8</v>
      </c>
      <c r="G1130" s="208">
        <f>E1130/(C1130*H1130/30)</f>
        <v>7.4999999999999997E-2</v>
      </c>
      <c r="H1130" s="102">
        <v>15</v>
      </c>
      <c r="I1130" s="103">
        <f t="shared" si="66"/>
        <v>6000</v>
      </c>
      <c r="J1130" s="103">
        <f t="shared" si="67"/>
        <v>3999.9999999999995</v>
      </c>
    </row>
    <row r="1131" spans="1:10">
      <c r="A1131" s="102"/>
      <c r="B1131" s="102"/>
      <c r="C1131" s="103">
        <v>10000</v>
      </c>
      <c r="D1131" s="104" t="s">
        <v>433</v>
      </c>
      <c r="E1131" s="103">
        <v>1150</v>
      </c>
      <c r="F1131" s="102">
        <v>10</v>
      </c>
      <c r="G1131" s="208">
        <v>0.06</v>
      </c>
      <c r="H1131" s="102" t="s">
        <v>2184</v>
      </c>
      <c r="I1131" s="103">
        <f t="shared" si="66"/>
        <v>1500</v>
      </c>
      <c r="J1131" s="103">
        <f t="shared" si="67"/>
        <v>874.99999999999977</v>
      </c>
    </row>
    <row r="1132" spans="1:10">
      <c r="A1132" s="102"/>
      <c r="B1132" s="102"/>
      <c r="C1132" s="103">
        <v>10000</v>
      </c>
      <c r="D1132" s="104" t="s">
        <v>657</v>
      </c>
      <c r="E1132" s="103">
        <v>1150</v>
      </c>
      <c r="F1132" s="102">
        <v>8</v>
      </c>
      <c r="G1132" s="208">
        <v>0.06</v>
      </c>
      <c r="H1132" s="102" t="s">
        <v>2184</v>
      </c>
      <c r="I1132" s="103">
        <f t="shared" si="66"/>
        <v>1200</v>
      </c>
      <c r="J1132" s="103">
        <f t="shared" si="67"/>
        <v>699.99999999999989</v>
      </c>
    </row>
    <row r="1133" spans="1:10">
      <c r="A1133" s="102"/>
      <c r="B1133" s="102"/>
      <c r="C1133" s="103">
        <v>20000</v>
      </c>
      <c r="D1133" s="114" t="s">
        <v>715</v>
      </c>
      <c r="E1133" s="103">
        <v>2300</v>
      </c>
      <c r="F1133" s="102">
        <v>2</v>
      </c>
      <c r="G1133" s="208">
        <v>0.06</v>
      </c>
      <c r="H1133" s="102" t="s">
        <v>2184</v>
      </c>
      <c r="I1133" s="103">
        <f t="shared" si="66"/>
        <v>600</v>
      </c>
      <c r="J1133" s="103">
        <f t="shared" si="67"/>
        <v>349.99999999999994</v>
      </c>
    </row>
    <row r="1134" spans="1:10">
      <c r="A1134" s="102">
        <v>154</v>
      </c>
      <c r="B1134" s="102" t="s">
        <v>3586</v>
      </c>
      <c r="C1134" s="103">
        <v>100000</v>
      </c>
      <c r="D1134" s="114" t="s">
        <v>716</v>
      </c>
      <c r="E1134" s="103">
        <v>3750</v>
      </c>
      <c r="F1134" s="102">
        <v>19</v>
      </c>
      <c r="G1134" s="208">
        <f>E1134/(C1134*H1134/30)</f>
        <v>7.4999999999999997E-2</v>
      </c>
      <c r="H1134" s="102">
        <v>15</v>
      </c>
      <c r="I1134" s="103">
        <f t="shared" si="66"/>
        <v>71250</v>
      </c>
      <c r="J1134" s="103">
        <f t="shared" si="67"/>
        <v>47500</v>
      </c>
    </row>
    <row r="1135" spans="1:10">
      <c r="A1135" s="102"/>
      <c r="B1135" s="102"/>
      <c r="C1135" s="103">
        <v>10000</v>
      </c>
      <c r="D1135" s="104" t="s">
        <v>3161</v>
      </c>
      <c r="E1135" s="103">
        <v>1150</v>
      </c>
      <c r="F1135" s="102">
        <v>8</v>
      </c>
      <c r="G1135" s="208">
        <v>0.06</v>
      </c>
      <c r="H1135" s="102" t="s">
        <v>664</v>
      </c>
      <c r="I1135" s="103">
        <f t="shared" si="66"/>
        <v>1200</v>
      </c>
      <c r="J1135" s="103">
        <f t="shared" si="67"/>
        <v>699.99999999999989</v>
      </c>
    </row>
    <row r="1136" spans="1:10">
      <c r="A1136" s="102"/>
      <c r="B1136" s="102"/>
      <c r="C1136" s="103">
        <v>30000</v>
      </c>
      <c r="D1136" s="104" t="s">
        <v>652</v>
      </c>
      <c r="E1136" s="103">
        <v>1125</v>
      </c>
      <c r="F1136" s="102">
        <v>2</v>
      </c>
      <c r="G1136" s="208">
        <f>E1136/(C1136*H1136/30)</f>
        <v>7.4999999999999997E-2</v>
      </c>
      <c r="H1136" s="102">
        <v>15</v>
      </c>
      <c r="I1136" s="103">
        <f t="shared" si="66"/>
        <v>2250</v>
      </c>
      <c r="J1136" s="103">
        <f t="shared" si="67"/>
        <v>1499.9999999999998</v>
      </c>
    </row>
    <row r="1137" spans="1:10">
      <c r="A1137" s="102"/>
      <c r="B1137" s="102"/>
      <c r="C1137" s="103">
        <v>10000</v>
      </c>
      <c r="D1137" s="104" t="s">
        <v>231</v>
      </c>
      <c r="E1137" s="103">
        <v>1150</v>
      </c>
      <c r="F1137" s="102">
        <v>10</v>
      </c>
      <c r="G1137" s="208">
        <v>0.06</v>
      </c>
      <c r="H1137" s="102" t="s">
        <v>664</v>
      </c>
      <c r="I1137" s="103">
        <f t="shared" si="66"/>
        <v>1500</v>
      </c>
      <c r="J1137" s="103">
        <f t="shared" si="67"/>
        <v>874.99999999999977</v>
      </c>
    </row>
    <row r="1138" spans="1:10">
      <c r="A1138" s="102"/>
      <c r="B1138" s="102"/>
      <c r="C1138" s="103">
        <v>30000</v>
      </c>
      <c r="D1138" s="114" t="s">
        <v>717</v>
      </c>
      <c r="E1138" s="103">
        <v>1125</v>
      </c>
      <c r="F1138" s="102">
        <v>16</v>
      </c>
      <c r="G1138" s="208">
        <f>E1138/(C1138*H1138/30)</f>
        <v>7.4999999999999997E-2</v>
      </c>
      <c r="H1138" s="102">
        <v>15</v>
      </c>
      <c r="I1138" s="103">
        <f t="shared" si="66"/>
        <v>18000</v>
      </c>
      <c r="J1138" s="103">
        <f t="shared" si="67"/>
        <v>11999.999999999998</v>
      </c>
    </row>
    <row r="1139" spans="1:10">
      <c r="A1139" s="102"/>
      <c r="B1139" s="102"/>
      <c r="C1139" s="103">
        <v>10000</v>
      </c>
      <c r="D1139" s="104" t="s">
        <v>247</v>
      </c>
      <c r="E1139" s="103">
        <v>375</v>
      </c>
      <c r="F1139" s="102">
        <v>13</v>
      </c>
      <c r="G1139" s="208">
        <f>E1139/(C1139*H1139/30)</f>
        <v>7.4999999999999997E-2</v>
      </c>
      <c r="H1139" s="102">
        <v>15</v>
      </c>
      <c r="I1139" s="103">
        <f t="shared" si="66"/>
        <v>4875</v>
      </c>
      <c r="J1139" s="103">
        <f t="shared" si="67"/>
        <v>3249.9999999999995</v>
      </c>
    </row>
    <row r="1140" spans="1:10">
      <c r="A1140" s="102"/>
      <c r="B1140" s="102"/>
      <c r="C1140" s="103">
        <v>15000</v>
      </c>
      <c r="D1140" s="104" t="s">
        <v>982</v>
      </c>
      <c r="E1140" s="103">
        <v>565</v>
      </c>
      <c r="F1140" s="102">
        <v>13</v>
      </c>
      <c r="G1140" s="208">
        <f>E1140/(C1140*H1140/30)</f>
        <v>7.5333333333333335E-2</v>
      </c>
      <c r="H1140" s="102">
        <v>15</v>
      </c>
      <c r="I1140" s="103">
        <f t="shared" si="66"/>
        <v>7345</v>
      </c>
      <c r="J1140" s="103">
        <f t="shared" si="67"/>
        <v>4907.5</v>
      </c>
    </row>
    <row r="1141" spans="1:10">
      <c r="A1141" s="102"/>
      <c r="B1141" s="102"/>
      <c r="C1141" s="103">
        <v>10000</v>
      </c>
      <c r="D1141" s="104" t="s">
        <v>3121</v>
      </c>
      <c r="E1141" s="103">
        <v>1150</v>
      </c>
      <c r="F1141" s="102">
        <v>10</v>
      </c>
      <c r="G1141" s="208">
        <v>0.06</v>
      </c>
      <c r="H1141" s="102" t="s">
        <v>664</v>
      </c>
      <c r="I1141" s="103">
        <f t="shared" si="66"/>
        <v>1500</v>
      </c>
      <c r="J1141" s="103">
        <f t="shared" si="67"/>
        <v>874.99999999999977</v>
      </c>
    </row>
    <row r="1142" spans="1:10">
      <c r="A1142" s="102"/>
      <c r="B1142" s="102"/>
      <c r="C1142" s="103">
        <v>100000</v>
      </c>
      <c r="D1142" s="114" t="s">
        <v>718</v>
      </c>
      <c r="E1142" s="103">
        <v>3750</v>
      </c>
      <c r="F1142" s="102">
        <v>2</v>
      </c>
      <c r="G1142" s="208">
        <f>E1142/(C1142*H1142/30)</f>
        <v>7.4999999999999997E-2</v>
      </c>
      <c r="H1142" s="102">
        <v>15</v>
      </c>
      <c r="I1142" s="103">
        <f t="shared" si="66"/>
        <v>7500</v>
      </c>
      <c r="J1142" s="103">
        <f t="shared" si="67"/>
        <v>5000</v>
      </c>
    </row>
    <row r="1143" spans="1:10">
      <c r="A1143" s="102">
        <v>154</v>
      </c>
      <c r="B1143" s="102" t="s">
        <v>2619</v>
      </c>
      <c r="C1143" s="103">
        <v>10000</v>
      </c>
      <c r="D1143" s="104" t="s">
        <v>253</v>
      </c>
      <c r="E1143" s="103">
        <v>1150</v>
      </c>
      <c r="F1143" s="102">
        <v>10</v>
      </c>
      <c r="G1143" s="208">
        <v>0.06</v>
      </c>
      <c r="H1143" s="102" t="s">
        <v>664</v>
      </c>
      <c r="I1143" s="103">
        <f t="shared" si="66"/>
        <v>1500</v>
      </c>
      <c r="J1143" s="103">
        <f t="shared" si="67"/>
        <v>874.99999999999977</v>
      </c>
    </row>
    <row r="1144" spans="1:10">
      <c r="A1144" s="102"/>
      <c r="B1144" s="102"/>
      <c r="C1144" s="103">
        <v>10000</v>
      </c>
      <c r="D1144" s="104" t="s">
        <v>1383</v>
      </c>
      <c r="E1144" s="103">
        <v>1150</v>
      </c>
      <c r="F1144" s="102">
        <v>10</v>
      </c>
      <c r="G1144" s="208">
        <v>0.06</v>
      </c>
      <c r="H1144" s="102" t="s">
        <v>664</v>
      </c>
      <c r="I1144" s="103">
        <f t="shared" si="66"/>
        <v>1500</v>
      </c>
      <c r="J1144" s="103">
        <f t="shared" si="67"/>
        <v>874.99999999999977</v>
      </c>
    </row>
    <row r="1145" spans="1:10">
      <c r="A1145" s="102"/>
      <c r="B1145" s="102"/>
      <c r="C1145" s="103">
        <v>10000</v>
      </c>
      <c r="D1145" s="104" t="s">
        <v>2620</v>
      </c>
      <c r="E1145" s="103">
        <v>1150</v>
      </c>
      <c r="F1145" s="102">
        <v>1</v>
      </c>
      <c r="G1145" s="208">
        <v>0.06</v>
      </c>
      <c r="H1145" s="102" t="s">
        <v>664</v>
      </c>
      <c r="I1145" s="103">
        <f t="shared" si="66"/>
        <v>150</v>
      </c>
      <c r="J1145" s="103">
        <f t="shared" si="67"/>
        <v>87.499999999999986</v>
      </c>
    </row>
    <row r="1146" spans="1:10">
      <c r="A1146" s="102"/>
      <c r="B1146" s="102"/>
      <c r="C1146" s="103">
        <v>10000</v>
      </c>
      <c r="D1146" s="104" t="s">
        <v>454</v>
      </c>
      <c r="E1146" s="103">
        <v>375</v>
      </c>
      <c r="F1146" s="102">
        <v>1</v>
      </c>
      <c r="G1146" s="208">
        <f>E1146/(C1146*H1146/30)</f>
        <v>7.4999999999999997E-2</v>
      </c>
      <c r="H1146" s="102">
        <v>15</v>
      </c>
      <c r="I1146" s="103">
        <f t="shared" si="66"/>
        <v>375</v>
      </c>
      <c r="J1146" s="103">
        <f t="shared" si="67"/>
        <v>249.99999999999997</v>
      </c>
    </row>
    <row r="1147" spans="1:10">
      <c r="A1147" s="102">
        <v>155</v>
      </c>
      <c r="B1147" s="102" t="s">
        <v>2621</v>
      </c>
      <c r="C1147" s="103">
        <v>10000</v>
      </c>
      <c r="D1147" s="104" t="s">
        <v>251</v>
      </c>
      <c r="E1147" s="103">
        <v>375</v>
      </c>
      <c r="F1147" s="102">
        <v>21</v>
      </c>
      <c r="G1147" s="208">
        <f>E1147/(C1147*H1147/30)</f>
        <v>7.4999999999999997E-2</v>
      </c>
      <c r="H1147" s="102">
        <v>15</v>
      </c>
      <c r="I1147" s="103">
        <f t="shared" si="66"/>
        <v>7875</v>
      </c>
      <c r="J1147" s="103">
        <f t="shared" si="67"/>
        <v>5249.9999999999991</v>
      </c>
    </row>
    <row r="1148" spans="1:10">
      <c r="A1148" s="102"/>
      <c r="B1148" s="102"/>
      <c r="C1148" s="103">
        <v>10000</v>
      </c>
      <c r="D1148" s="104" t="s">
        <v>415</v>
      </c>
      <c r="E1148" s="103">
        <v>1150</v>
      </c>
      <c r="F1148" s="102">
        <v>10</v>
      </c>
      <c r="G1148" s="208">
        <v>0.06</v>
      </c>
      <c r="H1148" s="102" t="s">
        <v>664</v>
      </c>
      <c r="I1148" s="103">
        <f t="shared" si="66"/>
        <v>1500</v>
      </c>
      <c r="J1148" s="103">
        <f t="shared" si="67"/>
        <v>874.99999999999977</v>
      </c>
    </row>
    <row r="1149" spans="1:10">
      <c r="A1149" s="102"/>
      <c r="B1149" s="102"/>
      <c r="C1149" s="103">
        <v>10000</v>
      </c>
      <c r="D1149" s="104" t="s">
        <v>486</v>
      </c>
      <c r="E1149" s="103">
        <v>375</v>
      </c>
      <c r="F1149" s="102">
        <v>20</v>
      </c>
      <c r="G1149" s="208">
        <f>E1149/(C1149*H1149/30)</f>
        <v>7.4999999999999997E-2</v>
      </c>
      <c r="H1149" s="102">
        <v>15</v>
      </c>
      <c r="I1149" s="103">
        <f t="shared" si="66"/>
        <v>7500</v>
      </c>
      <c r="J1149" s="103">
        <f t="shared" si="67"/>
        <v>4999.9999999999991</v>
      </c>
    </row>
    <row r="1150" spans="1:10">
      <c r="A1150" s="102"/>
      <c r="B1150" s="102"/>
      <c r="C1150" s="103">
        <v>10000</v>
      </c>
      <c r="D1150" s="114" t="s">
        <v>719</v>
      </c>
      <c r="E1150" s="103">
        <v>1150</v>
      </c>
      <c r="F1150" s="102">
        <v>10</v>
      </c>
      <c r="G1150" s="208">
        <v>0.06</v>
      </c>
      <c r="H1150" s="102" t="s">
        <v>664</v>
      </c>
      <c r="I1150" s="103">
        <f t="shared" si="66"/>
        <v>1500</v>
      </c>
      <c r="J1150" s="103">
        <f t="shared" si="67"/>
        <v>874.99999999999977</v>
      </c>
    </row>
    <row r="1151" spans="1:10">
      <c r="A1151" s="102"/>
      <c r="B1151" s="102"/>
      <c r="C1151" s="103">
        <v>10000</v>
      </c>
      <c r="D1151" s="114" t="s">
        <v>720</v>
      </c>
      <c r="E1151" s="103">
        <v>1150</v>
      </c>
      <c r="F1151" s="102">
        <v>10</v>
      </c>
      <c r="G1151" s="208">
        <v>0.06</v>
      </c>
      <c r="H1151" s="102" t="s">
        <v>664</v>
      </c>
      <c r="I1151" s="103">
        <f t="shared" si="66"/>
        <v>1500</v>
      </c>
      <c r="J1151" s="103">
        <f t="shared" si="67"/>
        <v>874.99999999999977</v>
      </c>
    </row>
    <row r="1152" spans="1:10">
      <c r="A1152" s="102"/>
      <c r="B1152" s="102"/>
      <c r="C1152" s="103">
        <v>10000</v>
      </c>
      <c r="D1152" s="114" t="s">
        <v>721</v>
      </c>
      <c r="E1152" s="103">
        <v>1150</v>
      </c>
      <c r="F1152" s="102">
        <v>3</v>
      </c>
      <c r="G1152" s="208">
        <v>0.06</v>
      </c>
      <c r="H1152" s="102" t="s">
        <v>664</v>
      </c>
      <c r="I1152" s="103">
        <f t="shared" si="66"/>
        <v>450</v>
      </c>
      <c r="J1152" s="103">
        <f t="shared" si="67"/>
        <v>262.49999999999994</v>
      </c>
    </row>
    <row r="1153" spans="1:10">
      <c r="A1153" s="102"/>
      <c r="B1153" s="102"/>
      <c r="C1153" s="103">
        <v>10000</v>
      </c>
      <c r="D1153" s="104" t="s">
        <v>2622</v>
      </c>
      <c r="E1153" s="103">
        <v>1150</v>
      </c>
      <c r="F1153" s="102">
        <v>10</v>
      </c>
      <c r="G1153" s="208">
        <v>0.06</v>
      </c>
      <c r="H1153" s="102" t="s">
        <v>664</v>
      </c>
      <c r="I1153" s="103">
        <f t="shared" si="66"/>
        <v>1500</v>
      </c>
      <c r="J1153" s="103">
        <f t="shared" si="67"/>
        <v>874.99999999999977</v>
      </c>
    </row>
    <row r="1154" spans="1:10">
      <c r="A1154" s="102"/>
      <c r="B1154" s="102"/>
      <c r="C1154" s="103">
        <v>10000</v>
      </c>
      <c r="D1154" s="104" t="s">
        <v>2623</v>
      </c>
      <c r="E1154" s="103">
        <v>1150</v>
      </c>
      <c r="F1154" s="102">
        <v>10</v>
      </c>
      <c r="G1154" s="208">
        <v>0.06</v>
      </c>
      <c r="H1154" s="102" t="s">
        <v>664</v>
      </c>
      <c r="I1154" s="103">
        <f t="shared" si="66"/>
        <v>1500</v>
      </c>
      <c r="J1154" s="103">
        <f t="shared" si="67"/>
        <v>874.99999999999977</v>
      </c>
    </row>
    <row r="1155" spans="1:10">
      <c r="A1155" s="102"/>
      <c r="B1155" s="102"/>
      <c r="C1155" s="103">
        <v>10000</v>
      </c>
      <c r="D1155" s="114" t="s">
        <v>722</v>
      </c>
      <c r="E1155" s="103">
        <v>1150</v>
      </c>
      <c r="F1155" s="102">
        <v>10</v>
      </c>
      <c r="G1155" s="208">
        <v>0.06</v>
      </c>
      <c r="H1155" s="102" t="s">
        <v>664</v>
      </c>
      <c r="I1155" s="103">
        <f t="shared" si="66"/>
        <v>1500</v>
      </c>
      <c r="J1155" s="103">
        <f t="shared" si="67"/>
        <v>874.99999999999977</v>
      </c>
    </row>
    <row r="1156" spans="1:10">
      <c r="A1156" s="102"/>
      <c r="B1156" s="102"/>
      <c r="C1156" s="103">
        <v>10000</v>
      </c>
      <c r="D1156" s="104" t="s">
        <v>972</v>
      </c>
      <c r="E1156" s="103">
        <v>1150</v>
      </c>
      <c r="F1156" s="102">
        <v>10</v>
      </c>
      <c r="G1156" s="208">
        <v>0.06</v>
      </c>
      <c r="H1156" s="102" t="s">
        <v>664</v>
      </c>
      <c r="I1156" s="103">
        <f t="shared" si="66"/>
        <v>1500</v>
      </c>
      <c r="J1156" s="103">
        <f t="shared" si="67"/>
        <v>874.99999999999977</v>
      </c>
    </row>
    <row r="1157" spans="1:10">
      <c r="A1157" s="102"/>
      <c r="B1157" s="102"/>
      <c r="C1157" s="103">
        <v>5000</v>
      </c>
      <c r="D1157" s="104" t="s">
        <v>3153</v>
      </c>
      <c r="E1157" s="103">
        <v>190</v>
      </c>
      <c r="F1157" s="102">
        <v>5</v>
      </c>
      <c r="G1157" s="208">
        <f>E1157/(C1157*H1157/30)</f>
        <v>7.5999999999999998E-2</v>
      </c>
      <c r="H1157" s="102">
        <v>15</v>
      </c>
      <c r="I1157" s="103">
        <f t="shared" ref="I1157:I1220" si="68">IF(H1157="分期",C1157*G1157*2.5*F1157/10,C1157*G1157*H1157/30*F1157)</f>
        <v>950</v>
      </c>
      <c r="J1157" s="103">
        <f t="shared" ref="J1157:J1220" si="69">IF(H1157="分期",C1157*(G1157-0.025)*2.5*F1157/10,C1157*(G1157-0.025)*H1157/30*F1157)</f>
        <v>637.49999999999989</v>
      </c>
    </row>
    <row r="1158" spans="1:10">
      <c r="A1158" s="102"/>
      <c r="B1158" s="102"/>
      <c r="C1158" s="103">
        <v>10000</v>
      </c>
      <c r="D1158" s="104" t="s">
        <v>1001</v>
      </c>
      <c r="E1158" s="103">
        <v>375</v>
      </c>
      <c r="F1158" s="102">
        <v>1</v>
      </c>
      <c r="G1158" s="208">
        <f>E1158/(C1158*H1158/30)</f>
        <v>7.4999999999999997E-2</v>
      </c>
      <c r="H1158" s="102">
        <v>15</v>
      </c>
      <c r="I1158" s="103">
        <f t="shared" si="68"/>
        <v>375</v>
      </c>
      <c r="J1158" s="103">
        <f t="shared" si="69"/>
        <v>249.99999999999997</v>
      </c>
    </row>
    <row r="1159" spans="1:10">
      <c r="A1159" s="102">
        <v>156</v>
      </c>
      <c r="B1159" s="102" t="s">
        <v>2624</v>
      </c>
      <c r="C1159" s="103">
        <v>20000</v>
      </c>
      <c r="D1159" s="104" t="s">
        <v>1006</v>
      </c>
      <c r="E1159" s="103">
        <v>750</v>
      </c>
      <c r="F1159" s="102">
        <v>27</v>
      </c>
      <c r="G1159" s="208">
        <f>E1159/(C1159*H1159/30)</f>
        <v>7.4999999999999997E-2</v>
      </c>
      <c r="H1159" s="102">
        <v>15</v>
      </c>
      <c r="I1159" s="103">
        <f t="shared" si="68"/>
        <v>20250</v>
      </c>
      <c r="J1159" s="103">
        <f t="shared" si="69"/>
        <v>13499.999999999998</v>
      </c>
    </row>
    <row r="1160" spans="1:10">
      <c r="A1160" s="102"/>
      <c r="B1160" s="102"/>
      <c r="C1160" s="103">
        <v>10000</v>
      </c>
      <c r="D1160" s="104" t="s">
        <v>1006</v>
      </c>
      <c r="E1160" s="103">
        <v>1150</v>
      </c>
      <c r="F1160" s="102">
        <v>10</v>
      </c>
      <c r="G1160" s="208">
        <v>0.06</v>
      </c>
      <c r="H1160" s="102" t="s">
        <v>664</v>
      </c>
      <c r="I1160" s="103">
        <f t="shared" si="68"/>
        <v>1500</v>
      </c>
      <c r="J1160" s="103">
        <f t="shared" si="69"/>
        <v>874.99999999999977</v>
      </c>
    </row>
    <row r="1161" spans="1:10">
      <c r="A1161" s="102"/>
      <c r="B1161" s="102"/>
      <c r="C1161" s="103">
        <v>10000</v>
      </c>
      <c r="D1161" s="104" t="s">
        <v>1705</v>
      </c>
      <c r="E1161" s="103">
        <v>1150</v>
      </c>
      <c r="F1161" s="102">
        <v>10</v>
      </c>
      <c r="G1161" s="208">
        <v>0.06</v>
      </c>
      <c r="H1161" s="102" t="s">
        <v>664</v>
      </c>
      <c r="I1161" s="103">
        <f t="shared" si="68"/>
        <v>1500</v>
      </c>
      <c r="J1161" s="103">
        <f t="shared" si="69"/>
        <v>874.99999999999977</v>
      </c>
    </row>
    <row r="1162" spans="1:10">
      <c r="A1162" s="102"/>
      <c r="B1162" s="102"/>
      <c r="C1162" s="103">
        <v>10000</v>
      </c>
      <c r="D1162" s="104" t="s">
        <v>1714</v>
      </c>
      <c r="E1162" s="103">
        <v>1150</v>
      </c>
      <c r="F1162" s="102">
        <v>10</v>
      </c>
      <c r="G1162" s="208">
        <v>0.06</v>
      </c>
      <c r="H1162" s="102" t="s">
        <v>664</v>
      </c>
      <c r="I1162" s="103">
        <f t="shared" si="68"/>
        <v>1500</v>
      </c>
      <c r="J1162" s="103">
        <f t="shared" si="69"/>
        <v>874.99999999999977</v>
      </c>
    </row>
    <row r="1163" spans="1:10">
      <c r="A1163" s="102"/>
      <c r="B1163" s="102"/>
      <c r="C1163" s="103">
        <v>10000</v>
      </c>
      <c r="D1163" s="104" t="s">
        <v>582</v>
      </c>
      <c r="E1163" s="103">
        <v>1150</v>
      </c>
      <c r="F1163" s="102">
        <v>10</v>
      </c>
      <c r="G1163" s="208">
        <v>0.06</v>
      </c>
      <c r="H1163" s="102" t="s">
        <v>664</v>
      </c>
      <c r="I1163" s="103">
        <f t="shared" si="68"/>
        <v>1500</v>
      </c>
      <c r="J1163" s="103">
        <f t="shared" si="69"/>
        <v>874.99999999999977</v>
      </c>
    </row>
    <row r="1164" spans="1:10">
      <c r="A1164" s="102"/>
      <c r="B1164" s="102"/>
      <c r="C1164" s="103">
        <v>10000</v>
      </c>
      <c r="D1164" s="104" t="s">
        <v>449</v>
      </c>
      <c r="E1164" s="103">
        <v>1150</v>
      </c>
      <c r="F1164" s="102">
        <v>10</v>
      </c>
      <c r="G1164" s="208">
        <v>0.06</v>
      </c>
      <c r="H1164" s="102" t="s">
        <v>664</v>
      </c>
      <c r="I1164" s="103">
        <f t="shared" si="68"/>
        <v>1500</v>
      </c>
      <c r="J1164" s="103">
        <f t="shared" si="69"/>
        <v>874.99999999999977</v>
      </c>
    </row>
    <row r="1165" spans="1:10">
      <c r="A1165" s="102"/>
      <c r="B1165" s="102"/>
      <c r="C1165" s="103">
        <v>10000</v>
      </c>
      <c r="D1165" s="104" t="s">
        <v>243</v>
      </c>
      <c r="E1165" s="103">
        <v>1150</v>
      </c>
      <c r="F1165" s="102">
        <v>10</v>
      </c>
      <c r="G1165" s="208">
        <v>0.06</v>
      </c>
      <c r="H1165" s="102" t="s">
        <v>664</v>
      </c>
      <c r="I1165" s="103">
        <f t="shared" si="68"/>
        <v>1500</v>
      </c>
      <c r="J1165" s="103">
        <f t="shared" si="69"/>
        <v>874.99999999999977</v>
      </c>
    </row>
    <row r="1166" spans="1:10">
      <c r="A1166" s="102"/>
      <c r="B1166" s="102"/>
      <c r="C1166" s="103">
        <v>10000</v>
      </c>
      <c r="D1166" s="104" t="s">
        <v>245</v>
      </c>
      <c r="E1166" s="103">
        <v>1150</v>
      </c>
      <c r="F1166" s="102">
        <v>10</v>
      </c>
      <c r="G1166" s="208">
        <v>0.06</v>
      </c>
      <c r="H1166" s="102" t="s">
        <v>664</v>
      </c>
      <c r="I1166" s="103">
        <f t="shared" si="68"/>
        <v>1500</v>
      </c>
      <c r="J1166" s="103">
        <f t="shared" si="69"/>
        <v>874.99999999999977</v>
      </c>
    </row>
    <row r="1167" spans="1:10">
      <c r="A1167" s="102"/>
      <c r="B1167" s="102"/>
      <c r="C1167" s="103">
        <v>10000</v>
      </c>
      <c r="D1167" s="104" t="s">
        <v>974</v>
      </c>
      <c r="E1167" s="103">
        <v>1150</v>
      </c>
      <c r="F1167" s="102">
        <v>5</v>
      </c>
      <c r="G1167" s="208">
        <v>0.06</v>
      </c>
      <c r="H1167" s="102" t="s">
        <v>664</v>
      </c>
      <c r="I1167" s="103">
        <f t="shared" si="68"/>
        <v>750</v>
      </c>
      <c r="J1167" s="103">
        <f t="shared" si="69"/>
        <v>437.49999999999989</v>
      </c>
    </row>
    <row r="1168" spans="1:10">
      <c r="A1168" s="102"/>
      <c r="B1168" s="102"/>
      <c r="C1168" s="103">
        <v>20000</v>
      </c>
      <c r="D1168" s="104" t="s">
        <v>3701</v>
      </c>
      <c r="E1168" s="103">
        <v>750</v>
      </c>
      <c r="F1168" s="102">
        <v>12</v>
      </c>
      <c r="G1168" s="208">
        <f>E1168/(C1168*H1168/30)</f>
        <v>7.4999999999999997E-2</v>
      </c>
      <c r="H1168" s="102">
        <v>15</v>
      </c>
      <c r="I1168" s="103">
        <f t="shared" si="68"/>
        <v>9000</v>
      </c>
      <c r="J1168" s="103">
        <f t="shared" si="69"/>
        <v>5999.9999999999991</v>
      </c>
    </row>
    <row r="1169" spans="1:10">
      <c r="A1169" s="102"/>
      <c r="B1169" s="102"/>
      <c r="C1169" s="103">
        <v>10000</v>
      </c>
      <c r="D1169" s="104" t="s">
        <v>656</v>
      </c>
      <c r="E1169" s="103">
        <v>1150</v>
      </c>
      <c r="F1169" s="102">
        <v>10</v>
      </c>
      <c r="G1169" s="208">
        <v>0.06</v>
      </c>
      <c r="H1169" s="102" t="s">
        <v>664</v>
      </c>
      <c r="I1169" s="103">
        <f t="shared" si="68"/>
        <v>1500</v>
      </c>
      <c r="J1169" s="103">
        <f t="shared" si="69"/>
        <v>874.99999999999977</v>
      </c>
    </row>
    <row r="1170" spans="1:10">
      <c r="A1170" s="102"/>
      <c r="B1170" s="102"/>
      <c r="C1170" s="103">
        <v>20000</v>
      </c>
      <c r="D1170" s="104" t="s">
        <v>462</v>
      </c>
      <c r="E1170" s="103">
        <v>750</v>
      </c>
      <c r="F1170" s="102">
        <v>8</v>
      </c>
      <c r="G1170" s="208">
        <f>E1170/(C1170*H1170/30)</f>
        <v>7.4999999999999997E-2</v>
      </c>
      <c r="H1170" s="102">
        <v>15</v>
      </c>
      <c r="I1170" s="103">
        <f t="shared" si="68"/>
        <v>6000</v>
      </c>
      <c r="J1170" s="103">
        <f t="shared" si="69"/>
        <v>3999.9999999999995</v>
      </c>
    </row>
    <row r="1171" spans="1:10">
      <c r="A1171" s="102"/>
      <c r="B1171" s="102"/>
      <c r="C1171" s="103">
        <v>20000</v>
      </c>
      <c r="D1171" s="104" t="s">
        <v>231</v>
      </c>
      <c r="E1171" s="103">
        <v>750</v>
      </c>
      <c r="F1171" s="102">
        <v>2</v>
      </c>
      <c r="G1171" s="208">
        <f>E1171/(C1171*H1171/30)</f>
        <v>7.4999999999999997E-2</v>
      </c>
      <c r="H1171" s="102">
        <v>15</v>
      </c>
      <c r="I1171" s="103">
        <f t="shared" si="68"/>
        <v>1500</v>
      </c>
      <c r="J1171" s="103">
        <f t="shared" si="69"/>
        <v>999.99999999999989</v>
      </c>
    </row>
    <row r="1172" spans="1:10">
      <c r="A1172" s="102">
        <v>157</v>
      </c>
      <c r="B1172" s="102" t="s">
        <v>2625</v>
      </c>
      <c r="C1172" s="103">
        <v>15000</v>
      </c>
      <c r="D1172" s="104" t="s">
        <v>678</v>
      </c>
      <c r="E1172" s="103">
        <v>1750</v>
      </c>
      <c r="F1172" s="102">
        <v>10</v>
      </c>
      <c r="G1172" s="208">
        <v>0.06</v>
      </c>
      <c r="H1172" s="102" t="s">
        <v>664</v>
      </c>
      <c r="I1172" s="103">
        <f t="shared" si="68"/>
        <v>2250</v>
      </c>
      <c r="J1172" s="103">
        <f t="shared" si="69"/>
        <v>1312.5</v>
      </c>
    </row>
    <row r="1173" spans="1:10">
      <c r="A1173" s="102"/>
      <c r="B1173" s="102"/>
      <c r="C1173" s="103">
        <v>15000</v>
      </c>
      <c r="D1173" s="104" t="s">
        <v>3167</v>
      </c>
      <c r="E1173" s="103">
        <v>1750</v>
      </c>
      <c r="F1173" s="102">
        <v>10</v>
      </c>
      <c r="G1173" s="208">
        <v>0.06</v>
      </c>
      <c r="H1173" s="102" t="s">
        <v>664</v>
      </c>
      <c r="I1173" s="103">
        <f t="shared" si="68"/>
        <v>2250</v>
      </c>
      <c r="J1173" s="103">
        <f t="shared" si="69"/>
        <v>1312.5</v>
      </c>
    </row>
    <row r="1174" spans="1:10">
      <c r="A1174" s="102"/>
      <c r="B1174" s="102"/>
      <c r="C1174" s="103">
        <v>15000</v>
      </c>
      <c r="D1174" s="104" t="s">
        <v>493</v>
      </c>
      <c r="E1174" s="103">
        <v>1750</v>
      </c>
      <c r="F1174" s="102">
        <v>10</v>
      </c>
      <c r="G1174" s="208">
        <v>0.06</v>
      </c>
      <c r="H1174" s="102" t="s">
        <v>664</v>
      </c>
      <c r="I1174" s="103">
        <f t="shared" si="68"/>
        <v>2250</v>
      </c>
      <c r="J1174" s="103">
        <f t="shared" si="69"/>
        <v>1312.5</v>
      </c>
    </row>
    <row r="1175" spans="1:10">
      <c r="A1175" s="102"/>
      <c r="B1175" s="102"/>
      <c r="C1175" s="103">
        <v>15000</v>
      </c>
      <c r="D1175" s="104" t="s">
        <v>651</v>
      </c>
      <c r="E1175" s="103">
        <v>1750</v>
      </c>
      <c r="F1175" s="102">
        <v>10</v>
      </c>
      <c r="G1175" s="208">
        <v>0.06</v>
      </c>
      <c r="H1175" s="102" t="s">
        <v>664</v>
      </c>
      <c r="I1175" s="103">
        <f t="shared" si="68"/>
        <v>2250</v>
      </c>
      <c r="J1175" s="103">
        <f t="shared" si="69"/>
        <v>1312.5</v>
      </c>
    </row>
    <row r="1176" spans="1:10">
      <c r="A1176" s="102">
        <v>158</v>
      </c>
      <c r="B1176" s="102" t="s">
        <v>2626</v>
      </c>
      <c r="C1176" s="103">
        <v>20000</v>
      </c>
      <c r="D1176" s="104" t="s">
        <v>235</v>
      </c>
      <c r="E1176" s="103">
        <v>750</v>
      </c>
      <c r="F1176" s="102">
        <v>27</v>
      </c>
      <c r="G1176" s="208">
        <f>E1176/(C1176*H1176/30)</f>
        <v>7.4999999999999997E-2</v>
      </c>
      <c r="H1176" s="102">
        <v>15</v>
      </c>
      <c r="I1176" s="103">
        <f t="shared" si="68"/>
        <v>20250</v>
      </c>
      <c r="J1176" s="103">
        <f t="shared" si="69"/>
        <v>13499.999999999998</v>
      </c>
    </row>
    <row r="1177" spans="1:10">
      <c r="A1177" s="102"/>
      <c r="B1177" s="102"/>
      <c r="C1177" s="103">
        <v>10000</v>
      </c>
      <c r="D1177" s="104" t="s">
        <v>235</v>
      </c>
      <c r="E1177" s="103">
        <v>1150</v>
      </c>
      <c r="F1177" s="102">
        <v>10</v>
      </c>
      <c r="G1177" s="208">
        <v>0.06</v>
      </c>
      <c r="H1177" s="102" t="s">
        <v>664</v>
      </c>
      <c r="I1177" s="103">
        <f t="shared" si="68"/>
        <v>1500</v>
      </c>
      <c r="J1177" s="103">
        <f t="shared" si="69"/>
        <v>874.99999999999977</v>
      </c>
    </row>
    <row r="1178" spans="1:10">
      <c r="A1178" s="102"/>
      <c r="B1178" s="102"/>
      <c r="C1178" s="103">
        <v>10000</v>
      </c>
      <c r="D1178" s="104" t="s">
        <v>421</v>
      </c>
      <c r="E1178" s="103">
        <v>1150</v>
      </c>
      <c r="F1178" s="102">
        <v>10</v>
      </c>
      <c r="G1178" s="208">
        <v>0.06</v>
      </c>
      <c r="H1178" s="102" t="s">
        <v>664</v>
      </c>
      <c r="I1178" s="103">
        <f t="shared" si="68"/>
        <v>1500</v>
      </c>
      <c r="J1178" s="103">
        <f t="shared" si="69"/>
        <v>874.99999999999977</v>
      </c>
    </row>
    <row r="1179" spans="1:10">
      <c r="A1179" s="102"/>
      <c r="B1179" s="102"/>
      <c r="C1179" s="103">
        <v>10000</v>
      </c>
      <c r="D1179" s="104" t="s">
        <v>421</v>
      </c>
      <c r="E1179" s="103">
        <v>375</v>
      </c>
      <c r="F1179" s="102">
        <v>16</v>
      </c>
      <c r="G1179" s="208">
        <f>E1179/(C1179*H1179/30)</f>
        <v>7.4999999999999997E-2</v>
      </c>
      <c r="H1179" s="102">
        <v>15</v>
      </c>
      <c r="I1179" s="103">
        <f t="shared" si="68"/>
        <v>6000</v>
      </c>
      <c r="J1179" s="103">
        <f t="shared" si="69"/>
        <v>3999.9999999999995</v>
      </c>
    </row>
    <row r="1180" spans="1:10">
      <c r="A1180" s="102"/>
      <c r="B1180" s="102"/>
      <c r="C1180" s="103">
        <v>10000</v>
      </c>
      <c r="D1180" s="104" t="s">
        <v>1969</v>
      </c>
      <c r="E1180" s="103">
        <v>375</v>
      </c>
      <c r="F1180" s="102">
        <v>34</v>
      </c>
      <c r="G1180" s="208">
        <v>7.4999999999999997E-2</v>
      </c>
      <c r="H1180" s="102">
        <v>15</v>
      </c>
      <c r="I1180" s="103">
        <f t="shared" si="68"/>
        <v>12750</v>
      </c>
      <c r="J1180" s="103">
        <f t="shared" si="69"/>
        <v>8499.9999999999982</v>
      </c>
    </row>
    <row r="1181" spans="1:10">
      <c r="A1181" s="102"/>
      <c r="B1181" s="102"/>
      <c r="C1181" s="103">
        <v>10000</v>
      </c>
      <c r="D1181" s="104" t="s">
        <v>248</v>
      </c>
      <c r="E1181" s="103">
        <v>1150</v>
      </c>
      <c r="F1181" s="102">
        <v>10</v>
      </c>
      <c r="G1181" s="208">
        <v>0.06</v>
      </c>
      <c r="H1181" s="102" t="s">
        <v>664</v>
      </c>
      <c r="I1181" s="103">
        <f t="shared" si="68"/>
        <v>1500</v>
      </c>
      <c r="J1181" s="103">
        <f t="shared" si="69"/>
        <v>874.99999999999977</v>
      </c>
    </row>
    <row r="1182" spans="1:10">
      <c r="A1182" s="102"/>
      <c r="B1182" s="102"/>
      <c r="C1182" s="103">
        <v>10000</v>
      </c>
      <c r="D1182" s="104" t="s">
        <v>452</v>
      </c>
      <c r="E1182" s="103">
        <v>1150</v>
      </c>
      <c r="F1182" s="102">
        <v>10</v>
      </c>
      <c r="G1182" s="208">
        <v>0.06</v>
      </c>
      <c r="H1182" s="102" t="s">
        <v>664</v>
      </c>
      <c r="I1182" s="103">
        <f t="shared" si="68"/>
        <v>1500</v>
      </c>
      <c r="J1182" s="103">
        <f t="shared" si="69"/>
        <v>874.99999999999977</v>
      </c>
    </row>
    <row r="1183" spans="1:10">
      <c r="A1183" s="102"/>
      <c r="B1183" s="102"/>
      <c r="C1183" s="103">
        <v>10000</v>
      </c>
      <c r="D1183" s="104" t="s">
        <v>1977</v>
      </c>
      <c r="E1183" s="103">
        <v>1150</v>
      </c>
      <c r="F1183" s="102">
        <v>10</v>
      </c>
      <c r="G1183" s="208">
        <v>0.06</v>
      </c>
      <c r="H1183" s="102" t="s">
        <v>664</v>
      </c>
      <c r="I1183" s="103">
        <f t="shared" si="68"/>
        <v>1500</v>
      </c>
      <c r="J1183" s="103">
        <f t="shared" si="69"/>
        <v>874.99999999999977</v>
      </c>
    </row>
    <row r="1184" spans="1:10">
      <c r="A1184" s="102"/>
      <c r="B1184" s="102"/>
      <c r="C1184" s="103">
        <v>10000</v>
      </c>
      <c r="D1184" s="104" t="s">
        <v>500</v>
      </c>
      <c r="E1184" s="103">
        <v>1150</v>
      </c>
      <c r="F1184" s="102">
        <v>10</v>
      </c>
      <c r="G1184" s="208">
        <v>0.06</v>
      </c>
      <c r="H1184" s="102" t="s">
        <v>664</v>
      </c>
      <c r="I1184" s="103">
        <f t="shared" si="68"/>
        <v>1500</v>
      </c>
      <c r="J1184" s="103">
        <f t="shared" si="69"/>
        <v>874.99999999999977</v>
      </c>
    </row>
    <row r="1185" spans="1:10">
      <c r="A1185" s="102"/>
      <c r="B1185" s="102"/>
      <c r="C1185" s="103">
        <v>15000</v>
      </c>
      <c r="D1185" s="104" t="s">
        <v>982</v>
      </c>
      <c r="E1185" s="103">
        <v>1750</v>
      </c>
      <c r="F1185" s="102">
        <v>10</v>
      </c>
      <c r="G1185" s="208">
        <v>0.06</v>
      </c>
      <c r="H1185" s="102" t="s">
        <v>664</v>
      </c>
      <c r="I1185" s="103">
        <f t="shared" si="68"/>
        <v>2250</v>
      </c>
      <c r="J1185" s="103">
        <f t="shared" si="69"/>
        <v>1312.5</v>
      </c>
    </row>
    <row r="1186" spans="1:10">
      <c r="A1186" s="102"/>
      <c r="B1186" s="102"/>
      <c r="C1186" s="103">
        <v>15000</v>
      </c>
      <c r="D1186" s="104" t="s">
        <v>3154</v>
      </c>
      <c r="E1186" s="103">
        <v>1750</v>
      </c>
      <c r="F1186" s="102">
        <v>7</v>
      </c>
      <c r="G1186" s="208">
        <v>0.06</v>
      </c>
      <c r="H1186" s="102" t="s">
        <v>664</v>
      </c>
      <c r="I1186" s="103">
        <f t="shared" si="68"/>
        <v>1575</v>
      </c>
      <c r="J1186" s="103">
        <f t="shared" si="69"/>
        <v>918.75</v>
      </c>
    </row>
    <row r="1187" spans="1:10">
      <c r="A1187" s="102">
        <v>159</v>
      </c>
      <c r="B1187" s="102" t="s">
        <v>2628</v>
      </c>
      <c r="C1187" s="103">
        <v>30000</v>
      </c>
      <c r="D1187" s="104" t="s">
        <v>486</v>
      </c>
      <c r="E1187" s="103">
        <v>3450</v>
      </c>
      <c r="F1187" s="102">
        <v>10</v>
      </c>
      <c r="G1187" s="208">
        <v>0.06</v>
      </c>
      <c r="H1187" s="102" t="s">
        <v>664</v>
      </c>
      <c r="I1187" s="103">
        <f t="shared" si="68"/>
        <v>4500</v>
      </c>
      <c r="J1187" s="103">
        <f t="shared" si="69"/>
        <v>2625</v>
      </c>
    </row>
    <row r="1188" spans="1:10">
      <c r="A1188" s="102"/>
      <c r="B1188" s="102"/>
      <c r="C1188" s="103">
        <v>60000</v>
      </c>
      <c r="D1188" s="104" t="s">
        <v>486</v>
      </c>
      <c r="E1188" s="103">
        <v>2250</v>
      </c>
      <c r="F1188" s="102">
        <v>16</v>
      </c>
      <c r="G1188" s="208">
        <f>E1188/(C1188*H1188/30)</f>
        <v>7.4999999999999997E-2</v>
      </c>
      <c r="H1188" s="102">
        <v>15</v>
      </c>
      <c r="I1188" s="103">
        <f t="shared" si="68"/>
        <v>36000</v>
      </c>
      <c r="J1188" s="103">
        <f t="shared" si="69"/>
        <v>23999.999999999996</v>
      </c>
    </row>
    <row r="1189" spans="1:10">
      <c r="A1189" s="102"/>
      <c r="B1189" s="102"/>
      <c r="C1189" s="103">
        <v>50000</v>
      </c>
      <c r="D1189" s="104" t="s">
        <v>486</v>
      </c>
      <c r="E1189" s="103">
        <v>1875</v>
      </c>
      <c r="F1189" s="102">
        <v>4</v>
      </c>
      <c r="G1189" s="208">
        <f>E1189/(C1189*H1189/30)</f>
        <v>7.4999999999999997E-2</v>
      </c>
      <c r="H1189" s="102">
        <v>15</v>
      </c>
      <c r="I1189" s="103">
        <f t="shared" si="68"/>
        <v>7500</v>
      </c>
      <c r="J1189" s="103">
        <f t="shared" si="69"/>
        <v>5000</v>
      </c>
    </row>
    <row r="1190" spans="1:10">
      <c r="A1190" s="102"/>
      <c r="B1190" s="102"/>
      <c r="C1190" s="103">
        <v>40000</v>
      </c>
      <c r="D1190" s="104" t="s">
        <v>486</v>
      </c>
      <c r="E1190" s="103">
        <v>1500</v>
      </c>
      <c r="F1190" s="102">
        <v>3</v>
      </c>
      <c r="G1190" s="208">
        <f>E1190/(C1190*H1190/30)</f>
        <v>7.4999999999999997E-2</v>
      </c>
      <c r="H1190" s="102">
        <v>15</v>
      </c>
      <c r="I1190" s="103">
        <f t="shared" si="68"/>
        <v>4500</v>
      </c>
      <c r="J1190" s="103">
        <f t="shared" si="69"/>
        <v>2999.9999999999995</v>
      </c>
    </row>
    <row r="1191" spans="1:10">
      <c r="A1191" s="102"/>
      <c r="B1191" s="102"/>
      <c r="C1191" s="103">
        <v>20000</v>
      </c>
      <c r="D1191" s="114" t="s">
        <v>723</v>
      </c>
      <c r="E1191" s="103">
        <v>750</v>
      </c>
      <c r="F1191" s="102">
        <v>2</v>
      </c>
      <c r="G1191" s="208">
        <f>E1191/(C1191*H1191/30)</f>
        <v>7.4999999999999997E-2</v>
      </c>
      <c r="H1191" s="102">
        <v>15</v>
      </c>
      <c r="I1191" s="103">
        <f t="shared" si="68"/>
        <v>1500</v>
      </c>
      <c r="J1191" s="103">
        <f t="shared" si="69"/>
        <v>999.99999999999989</v>
      </c>
    </row>
    <row r="1192" spans="1:10">
      <c r="A1192" s="102"/>
      <c r="B1192" s="102"/>
      <c r="C1192" s="103">
        <v>30000</v>
      </c>
      <c r="D1192" s="104" t="s">
        <v>1709</v>
      </c>
      <c r="E1192" s="103">
        <v>3450</v>
      </c>
      <c r="F1192" s="102">
        <v>10</v>
      </c>
      <c r="G1192" s="208">
        <v>0.06</v>
      </c>
      <c r="H1192" s="102" t="s">
        <v>664</v>
      </c>
      <c r="I1192" s="103">
        <f t="shared" si="68"/>
        <v>4500</v>
      </c>
      <c r="J1192" s="103">
        <f t="shared" si="69"/>
        <v>2625</v>
      </c>
    </row>
    <row r="1193" spans="1:10">
      <c r="A1193" s="102"/>
      <c r="B1193" s="102"/>
      <c r="C1193" s="103">
        <v>30000</v>
      </c>
      <c r="D1193" s="104" t="s">
        <v>258</v>
      </c>
      <c r="E1193" s="103">
        <v>3450</v>
      </c>
      <c r="F1193" s="102">
        <v>10</v>
      </c>
      <c r="G1193" s="208">
        <v>0.06</v>
      </c>
      <c r="H1193" s="102" t="s">
        <v>664</v>
      </c>
      <c r="I1193" s="103">
        <f t="shared" si="68"/>
        <v>4500</v>
      </c>
      <c r="J1193" s="103">
        <f t="shared" si="69"/>
        <v>2625</v>
      </c>
    </row>
    <row r="1194" spans="1:10">
      <c r="A1194" s="102"/>
      <c r="B1194" s="102"/>
      <c r="C1194" s="103">
        <v>30000</v>
      </c>
      <c r="D1194" s="104" t="s">
        <v>259</v>
      </c>
      <c r="E1194" s="103">
        <v>3450</v>
      </c>
      <c r="F1194" s="102">
        <v>10</v>
      </c>
      <c r="G1194" s="208">
        <v>0.06</v>
      </c>
      <c r="H1194" s="102" t="s">
        <v>664</v>
      </c>
      <c r="I1194" s="103">
        <f t="shared" si="68"/>
        <v>4500</v>
      </c>
      <c r="J1194" s="103">
        <f t="shared" si="69"/>
        <v>2625</v>
      </c>
    </row>
    <row r="1195" spans="1:10">
      <c r="A1195" s="102"/>
      <c r="B1195" s="102"/>
      <c r="C1195" s="103">
        <v>110000</v>
      </c>
      <c r="D1195" s="104" t="s">
        <v>1710</v>
      </c>
      <c r="E1195" s="103">
        <v>4125</v>
      </c>
      <c r="F1195" s="102">
        <v>8</v>
      </c>
      <c r="G1195" s="208">
        <f t="shared" ref="G1195:G1204" si="70">E1195/(C1195*H1195/30)</f>
        <v>7.4999999999999997E-2</v>
      </c>
      <c r="H1195" s="102">
        <v>15</v>
      </c>
      <c r="I1195" s="103">
        <f t="shared" si="68"/>
        <v>33000</v>
      </c>
      <c r="J1195" s="103">
        <f t="shared" si="69"/>
        <v>21999.999999999996</v>
      </c>
    </row>
    <row r="1196" spans="1:10">
      <c r="A1196" s="102"/>
      <c r="B1196" s="102"/>
      <c r="C1196" s="103">
        <v>100000</v>
      </c>
      <c r="D1196" s="104" t="s">
        <v>1710</v>
      </c>
      <c r="E1196" s="103">
        <v>3750</v>
      </c>
      <c r="F1196" s="102">
        <v>8</v>
      </c>
      <c r="G1196" s="208">
        <f t="shared" si="70"/>
        <v>7.4999999999999997E-2</v>
      </c>
      <c r="H1196" s="102">
        <v>15</v>
      </c>
      <c r="I1196" s="103">
        <f t="shared" si="68"/>
        <v>30000</v>
      </c>
      <c r="J1196" s="103">
        <f t="shared" si="69"/>
        <v>20000</v>
      </c>
    </row>
    <row r="1197" spans="1:10">
      <c r="A1197" s="102"/>
      <c r="B1197" s="102"/>
      <c r="C1197" s="103">
        <v>50000</v>
      </c>
      <c r="D1197" s="104" t="s">
        <v>1000</v>
      </c>
      <c r="E1197" s="103">
        <v>1875</v>
      </c>
      <c r="F1197" s="102">
        <v>5</v>
      </c>
      <c r="G1197" s="208">
        <f t="shared" si="70"/>
        <v>7.4999999999999997E-2</v>
      </c>
      <c r="H1197" s="102">
        <v>15</v>
      </c>
      <c r="I1197" s="103">
        <f t="shared" si="68"/>
        <v>9375</v>
      </c>
      <c r="J1197" s="103">
        <f t="shared" si="69"/>
        <v>6250</v>
      </c>
    </row>
    <row r="1198" spans="1:10">
      <c r="A1198" s="102"/>
      <c r="B1198" s="102"/>
      <c r="C1198" s="103">
        <v>55000</v>
      </c>
      <c r="D1198" s="104" t="s">
        <v>3129</v>
      </c>
      <c r="E1198" s="103">
        <v>2065</v>
      </c>
      <c r="F1198" s="102">
        <v>2</v>
      </c>
      <c r="G1198" s="208">
        <f t="shared" si="70"/>
        <v>7.5090909090909097E-2</v>
      </c>
      <c r="H1198" s="102">
        <v>15</v>
      </c>
      <c r="I1198" s="103">
        <f t="shared" si="68"/>
        <v>4130</v>
      </c>
      <c r="J1198" s="103">
        <f t="shared" si="69"/>
        <v>2755.0000000000005</v>
      </c>
    </row>
    <row r="1199" spans="1:10">
      <c r="A1199" s="102"/>
      <c r="B1199" s="102"/>
      <c r="C1199" s="103">
        <v>50000</v>
      </c>
      <c r="D1199" s="104" t="s">
        <v>2263</v>
      </c>
      <c r="E1199" s="103">
        <v>1875</v>
      </c>
      <c r="F1199" s="102">
        <v>2</v>
      </c>
      <c r="G1199" s="208">
        <f t="shared" si="70"/>
        <v>7.4999999999999997E-2</v>
      </c>
      <c r="H1199" s="102">
        <v>15</v>
      </c>
      <c r="I1199" s="103">
        <f t="shared" si="68"/>
        <v>3750</v>
      </c>
      <c r="J1199" s="103">
        <f t="shared" si="69"/>
        <v>2500</v>
      </c>
    </row>
    <row r="1200" spans="1:10">
      <c r="A1200" s="102"/>
      <c r="B1200" s="102"/>
      <c r="C1200" s="103">
        <v>50000</v>
      </c>
      <c r="D1200" s="104" t="s">
        <v>688</v>
      </c>
      <c r="E1200" s="103">
        <v>1875</v>
      </c>
      <c r="F1200" s="102">
        <v>2</v>
      </c>
      <c r="G1200" s="208">
        <f t="shared" si="70"/>
        <v>7.4999999999999997E-2</v>
      </c>
      <c r="H1200" s="102">
        <v>15</v>
      </c>
      <c r="I1200" s="103">
        <f t="shared" si="68"/>
        <v>3750</v>
      </c>
      <c r="J1200" s="103">
        <f t="shared" si="69"/>
        <v>2500</v>
      </c>
    </row>
    <row r="1201" spans="1:10">
      <c r="A1201" s="102">
        <v>160</v>
      </c>
      <c r="B1201" s="102" t="s">
        <v>2629</v>
      </c>
      <c r="C1201" s="103">
        <v>40000</v>
      </c>
      <c r="D1201" s="104" t="s">
        <v>486</v>
      </c>
      <c r="E1201" s="103">
        <v>1500</v>
      </c>
      <c r="F1201" s="102">
        <v>3</v>
      </c>
      <c r="G1201" s="208">
        <f t="shared" si="70"/>
        <v>7.4999999999999997E-2</v>
      </c>
      <c r="H1201" s="102">
        <v>15</v>
      </c>
      <c r="I1201" s="103">
        <f t="shared" si="68"/>
        <v>4500</v>
      </c>
      <c r="J1201" s="103">
        <f t="shared" si="69"/>
        <v>2999.9999999999995</v>
      </c>
    </row>
    <row r="1202" spans="1:10">
      <c r="A1202" s="102"/>
      <c r="B1202" s="102"/>
      <c r="C1202" s="103">
        <v>60000</v>
      </c>
      <c r="D1202" s="104" t="s">
        <v>669</v>
      </c>
      <c r="E1202" s="103">
        <v>2250</v>
      </c>
      <c r="F1202" s="102">
        <v>2</v>
      </c>
      <c r="G1202" s="208">
        <f t="shared" si="70"/>
        <v>7.4999999999999997E-2</v>
      </c>
      <c r="H1202" s="102">
        <v>15</v>
      </c>
      <c r="I1202" s="103">
        <f t="shared" si="68"/>
        <v>4500</v>
      </c>
      <c r="J1202" s="103">
        <f t="shared" si="69"/>
        <v>2999.9999999999995</v>
      </c>
    </row>
    <row r="1203" spans="1:10">
      <c r="A1203" s="102">
        <v>161</v>
      </c>
      <c r="B1203" s="102" t="s">
        <v>2630</v>
      </c>
      <c r="C1203" s="103">
        <v>30000</v>
      </c>
      <c r="D1203" s="104" t="s">
        <v>688</v>
      </c>
      <c r="E1203" s="103">
        <v>1125</v>
      </c>
      <c r="F1203" s="102">
        <v>18</v>
      </c>
      <c r="G1203" s="208">
        <f t="shared" si="70"/>
        <v>7.4999999999999997E-2</v>
      </c>
      <c r="H1203" s="102">
        <v>15</v>
      </c>
      <c r="I1203" s="103">
        <f t="shared" si="68"/>
        <v>20250</v>
      </c>
      <c r="J1203" s="103">
        <f t="shared" si="69"/>
        <v>13499.999999999998</v>
      </c>
    </row>
    <row r="1204" spans="1:10">
      <c r="A1204" s="102"/>
      <c r="B1204" s="102"/>
      <c r="C1204" s="103">
        <v>25000</v>
      </c>
      <c r="D1204" s="104" t="s">
        <v>688</v>
      </c>
      <c r="E1204" s="103">
        <v>940</v>
      </c>
      <c r="F1204" s="102">
        <v>21</v>
      </c>
      <c r="G1204" s="208">
        <f t="shared" si="70"/>
        <v>7.5200000000000003E-2</v>
      </c>
      <c r="H1204" s="102">
        <v>15</v>
      </c>
      <c r="I1204" s="103">
        <f t="shared" si="68"/>
        <v>19740</v>
      </c>
      <c r="J1204" s="103">
        <f t="shared" si="69"/>
        <v>13177.5</v>
      </c>
    </row>
    <row r="1205" spans="1:10">
      <c r="A1205" s="102"/>
      <c r="B1205" s="102"/>
      <c r="C1205" s="103">
        <v>10000</v>
      </c>
      <c r="D1205" s="104" t="s">
        <v>3709</v>
      </c>
      <c r="E1205" s="103">
        <v>1150</v>
      </c>
      <c r="F1205" s="102">
        <v>10</v>
      </c>
      <c r="G1205" s="208">
        <v>0.06</v>
      </c>
      <c r="H1205" s="102" t="s">
        <v>664</v>
      </c>
      <c r="I1205" s="103">
        <f t="shared" si="68"/>
        <v>1500</v>
      </c>
      <c r="J1205" s="103">
        <f t="shared" si="69"/>
        <v>874.99999999999977</v>
      </c>
    </row>
    <row r="1206" spans="1:10">
      <c r="A1206" s="102"/>
      <c r="B1206" s="102"/>
      <c r="C1206" s="103">
        <v>10000</v>
      </c>
      <c r="D1206" s="104" t="s">
        <v>1685</v>
      </c>
      <c r="E1206" s="103">
        <v>1150</v>
      </c>
      <c r="F1206" s="102">
        <v>10</v>
      </c>
      <c r="G1206" s="208">
        <v>0.06</v>
      </c>
      <c r="H1206" s="102" t="s">
        <v>664</v>
      </c>
      <c r="I1206" s="103">
        <f t="shared" si="68"/>
        <v>1500</v>
      </c>
      <c r="J1206" s="103">
        <f t="shared" si="69"/>
        <v>874.99999999999977</v>
      </c>
    </row>
    <row r="1207" spans="1:10">
      <c r="A1207" s="102"/>
      <c r="B1207" s="102"/>
      <c r="C1207" s="103">
        <v>5000</v>
      </c>
      <c r="D1207" s="104" t="s">
        <v>263</v>
      </c>
      <c r="E1207" s="103">
        <v>190</v>
      </c>
      <c r="F1207" s="102">
        <v>1</v>
      </c>
      <c r="G1207" s="208">
        <f>E1207/(C1207*H1207/30)</f>
        <v>7.5999999999999998E-2</v>
      </c>
      <c r="H1207" s="102">
        <v>15</v>
      </c>
      <c r="I1207" s="103">
        <f t="shared" si="68"/>
        <v>190</v>
      </c>
      <c r="J1207" s="103">
        <f t="shared" si="69"/>
        <v>127.49999999999999</v>
      </c>
    </row>
    <row r="1208" spans="1:10">
      <c r="A1208" s="102"/>
      <c r="B1208" s="102"/>
      <c r="C1208" s="103">
        <v>5000</v>
      </c>
      <c r="D1208" s="104" t="s">
        <v>228</v>
      </c>
      <c r="E1208" s="103">
        <v>190</v>
      </c>
      <c r="F1208" s="102">
        <v>20</v>
      </c>
      <c r="G1208" s="208">
        <f>E1208/(C1208*H1208/30)</f>
        <v>7.5999999999999998E-2</v>
      </c>
      <c r="H1208" s="102">
        <v>15</v>
      </c>
      <c r="I1208" s="103">
        <f t="shared" si="68"/>
        <v>3800</v>
      </c>
      <c r="J1208" s="103">
        <f t="shared" si="69"/>
        <v>2549.9999999999995</v>
      </c>
    </row>
    <row r="1209" spans="1:10">
      <c r="A1209" s="102">
        <v>164</v>
      </c>
      <c r="B1209" s="102" t="s">
        <v>2631</v>
      </c>
      <c r="C1209" s="103">
        <v>50000</v>
      </c>
      <c r="D1209" s="104" t="s">
        <v>456</v>
      </c>
      <c r="E1209" s="103">
        <v>1875</v>
      </c>
      <c r="F1209" s="102">
        <v>3</v>
      </c>
      <c r="G1209" s="208">
        <f>E1209/(C1209*H1209/30)</f>
        <v>7.4999999999999997E-2</v>
      </c>
      <c r="H1209" s="102">
        <v>15</v>
      </c>
      <c r="I1209" s="103">
        <f t="shared" si="68"/>
        <v>5625</v>
      </c>
      <c r="J1209" s="103">
        <f t="shared" si="69"/>
        <v>3750</v>
      </c>
    </row>
    <row r="1210" spans="1:10">
      <c r="A1210" s="102"/>
      <c r="B1210" s="102"/>
      <c r="C1210" s="103">
        <v>20000</v>
      </c>
      <c r="D1210" s="104" t="s">
        <v>262</v>
      </c>
      <c r="E1210" s="103">
        <v>2300</v>
      </c>
      <c r="F1210" s="102">
        <v>2</v>
      </c>
      <c r="G1210" s="208">
        <v>0.06</v>
      </c>
      <c r="H1210" s="102" t="s">
        <v>2184</v>
      </c>
      <c r="I1210" s="103">
        <f t="shared" si="68"/>
        <v>600</v>
      </c>
      <c r="J1210" s="103">
        <f t="shared" si="69"/>
        <v>349.99999999999994</v>
      </c>
    </row>
    <row r="1211" spans="1:10">
      <c r="A1211" s="102"/>
      <c r="B1211" s="102"/>
      <c r="C1211" s="103">
        <v>50000</v>
      </c>
      <c r="D1211" s="104" t="s">
        <v>262</v>
      </c>
      <c r="E1211" s="103">
        <v>1750</v>
      </c>
      <c r="F1211" s="102">
        <v>3</v>
      </c>
      <c r="G1211" s="208">
        <f>E1211/(C1211*H1211/30)</f>
        <v>7.0000000000000007E-2</v>
      </c>
      <c r="H1211" s="102">
        <v>15</v>
      </c>
      <c r="I1211" s="103">
        <f t="shared" si="68"/>
        <v>5250.0000000000009</v>
      </c>
      <c r="J1211" s="103">
        <f t="shared" si="69"/>
        <v>3375.0000000000009</v>
      </c>
    </row>
    <row r="1212" spans="1:10">
      <c r="A1212" s="102"/>
      <c r="B1212" s="102"/>
      <c r="C1212" s="103">
        <v>70000</v>
      </c>
      <c r="D1212" s="114" t="s">
        <v>724</v>
      </c>
      <c r="E1212" s="103">
        <v>2625</v>
      </c>
      <c r="F1212" s="102">
        <v>13</v>
      </c>
      <c r="G1212" s="208">
        <f>E1212/(C1212*H1212/30)</f>
        <v>7.4999999999999997E-2</v>
      </c>
      <c r="H1212" s="102">
        <v>15</v>
      </c>
      <c r="I1212" s="103">
        <f t="shared" si="68"/>
        <v>34125</v>
      </c>
      <c r="J1212" s="103">
        <f t="shared" si="69"/>
        <v>22749.999999999996</v>
      </c>
    </row>
    <row r="1213" spans="1:10">
      <c r="A1213" s="102"/>
      <c r="B1213" s="102"/>
      <c r="C1213" s="103">
        <v>30000</v>
      </c>
      <c r="D1213" s="104" t="s">
        <v>262</v>
      </c>
      <c r="E1213" s="103">
        <v>1125</v>
      </c>
      <c r="F1213" s="102">
        <v>1</v>
      </c>
      <c r="G1213" s="208">
        <f>E1213/(C1213*H1213/30)</f>
        <v>7.4999999999999997E-2</v>
      </c>
      <c r="H1213" s="102">
        <v>15</v>
      </c>
      <c r="I1213" s="103">
        <f t="shared" si="68"/>
        <v>1125</v>
      </c>
      <c r="J1213" s="103">
        <f t="shared" si="69"/>
        <v>749.99999999999989</v>
      </c>
    </row>
    <row r="1214" spans="1:10">
      <c r="A1214" s="102"/>
      <c r="B1214" s="102"/>
      <c r="C1214" s="103">
        <v>20000</v>
      </c>
      <c r="D1214" s="104" t="s">
        <v>439</v>
      </c>
      <c r="E1214" s="103">
        <v>2300</v>
      </c>
      <c r="F1214" s="102">
        <v>7</v>
      </c>
      <c r="G1214" s="208">
        <v>0.06</v>
      </c>
      <c r="H1214" s="102" t="s">
        <v>2184</v>
      </c>
      <c r="I1214" s="103">
        <f t="shared" si="68"/>
        <v>2100</v>
      </c>
      <c r="J1214" s="103">
        <f t="shared" si="69"/>
        <v>1224.9999999999998</v>
      </c>
    </row>
    <row r="1215" spans="1:10">
      <c r="A1215" s="102"/>
      <c r="B1215" s="102"/>
      <c r="C1215" s="103">
        <v>70000</v>
      </c>
      <c r="D1215" s="104" t="s">
        <v>651</v>
      </c>
      <c r="E1215" s="103">
        <v>1750</v>
      </c>
      <c r="F1215" s="102">
        <v>1</v>
      </c>
      <c r="G1215" s="208">
        <v>0.06</v>
      </c>
      <c r="H1215" s="102" t="s">
        <v>664</v>
      </c>
      <c r="I1215" s="103">
        <f t="shared" si="68"/>
        <v>1050</v>
      </c>
      <c r="J1215" s="103">
        <f t="shared" si="69"/>
        <v>612.49999999999989</v>
      </c>
    </row>
    <row r="1216" spans="1:10">
      <c r="A1216" s="102"/>
      <c r="B1216" s="102"/>
      <c r="C1216" s="103">
        <v>20000</v>
      </c>
      <c r="D1216" s="114" t="s">
        <v>725</v>
      </c>
      <c r="E1216" s="103">
        <v>2300</v>
      </c>
      <c r="F1216" s="102">
        <v>10</v>
      </c>
      <c r="G1216" s="208">
        <v>0.06</v>
      </c>
      <c r="H1216" s="102" t="s">
        <v>2184</v>
      </c>
      <c r="I1216" s="103">
        <f t="shared" si="68"/>
        <v>3000</v>
      </c>
      <c r="J1216" s="103">
        <f t="shared" si="69"/>
        <v>1749.9999999999995</v>
      </c>
    </row>
    <row r="1217" spans="1:10">
      <c r="A1217" s="102"/>
      <c r="B1217" s="102"/>
      <c r="C1217" s="103">
        <v>30000</v>
      </c>
      <c r="D1217" s="114" t="s">
        <v>726</v>
      </c>
      <c r="E1217" s="103">
        <v>1050</v>
      </c>
      <c r="F1217" s="102">
        <v>3</v>
      </c>
      <c r="G1217" s="208">
        <f>E1217/(C1217*H1217/30)</f>
        <v>7.0000000000000007E-2</v>
      </c>
      <c r="H1217" s="102">
        <v>15</v>
      </c>
      <c r="I1217" s="103">
        <f t="shared" si="68"/>
        <v>3150</v>
      </c>
      <c r="J1217" s="103">
        <f t="shared" si="69"/>
        <v>2025.0000000000005</v>
      </c>
    </row>
    <row r="1218" spans="1:10">
      <c r="A1218" s="102"/>
      <c r="B1218" s="102"/>
      <c r="C1218" s="103">
        <v>10000</v>
      </c>
      <c r="D1218" s="104" t="s">
        <v>500</v>
      </c>
      <c r="E1218" s="103">
        <v>375</v>
      </c>
      <c r="F1218" s="102">
        <v>1</v>
      </c>
      <c r="G1218" s="208">
        <f>E1218/(C1218*H1218/30)</f>
        <v>7.4999999999999997E-2</v>
      </c>
      <c r="H1218" s="102">
        <v>15</v>
      </c>
      <c r="I1218" s="103">
        <f t="shared" si="68"/>
        <v>375</v>
      </c>
      <c r="J1218" s="103">
        <f t="shared" si="69"/>
        <v>249.99999999999997</v>
      </c>
    </row>
    <row r="1219" spans="1:10">
      <c r="A1219" s="102"/>
      <c r="B1219" s="102"/>
      <c r="C1219" s="103">
        <v>30000</v>
      </c>
      <c r="D1219" s="114" t="s">
        <v>727</v>
      </c>
      <c r="E1219" s="103">
        <v>3450</v>
      </c>
      <c r="F1219" s="102">
        <v>10</v>
      </c>
      <c r="G1219" s="208">
        <v>0.06</v>
      </c>
      <c r="H1219" s="102" t="s">
        <v>664</v>
      </c>
      <c r="I1219" s="103">
        <f t="shared" si="68"/>
        <v>4500</v>
      </c>
      <c r="J1219" s="103">
        <f t="shared" si="69"/>
        <v>2625</v>
      </c>
    </row>
    <row r="1220" spans="1:10">
      <c r="A1220" s="102"/>
      <c r="B1220" s="102"/>
      <c r="C1220" s="103">
        <v>10000</v>
      </c>
      <c r="D1220" s="104" t="s">
        <v>680</v>
      </c>
      <c r="E1220" s="103">
        <v>375</v>
      </c>
      <c r="F1220" s="102">
        <v>7</v>
      </c>
      <c r="G1220" s="208">
        <f>E1220/(C1220*H1220/30)</f>
        <v>7.4999999999999997E-2</v>
      </c>
      <c r="H1220" s="102">
        <v>15</v>
      </c>
      <c r="I1220" s="103">
        <f t="shared" si="68"/>
        <v>2625</v>
      </c>
      <c r="J1220" s="103">
        <f t="shared" si="69"/>
        <v>1749.9999999999998</v>
      </c>
    </row>
    <row r="1221" spans="1:10">
      <c r="A1221" s="102"/>
      <c r="B1221" s="102"/>
      <c r="C1221" s="103">
        <v>20000</v>
      </c>
      <c r="D1221" s="104" t="s">
        <v>1986</v>
      </c>
      <c r="E1221" s="103">
        <v>750</v>
      </c>
      <c r="F1221" s="102">
        <v>1</v>
      </c>
      <c r="G1221" s="208">
        <f>E1221/(C1221*H1221/30)</f>
        <v>7.4999999999999997E-2</v>
      </c>
      <c r="H1221" s="102">
        <v>15</v>
      </c>
      <c r="I1221" s="103">
        <f t="shared" ref="I1221:I1284" si="71">IF(H1221="分期",C1221*G1221*2.5*F1221/10,C1221*G1221*H1221/30*F1221)</f>
        <v>750</v>
      </c>
      <c r="J1221" s="103">
        <f t="shared" ref="J1221:J1284" si="72">IF(H1221="分期",C1221*(G1221-0.025)*2.5*F1221/10,C1221*(G1221-0.025)*H1221/30*F1221)</f>
        <v>499.99999999999994</v>
      </c>
    </row>
    <row r="1222" spans="1:10">
      <c r="A1222" s="102"/>
      <c r="B1222" s="102"/>
      <c r="C1222" s="103">
        <v>30000</v>
      </c>
      <c r="D1222" s="104" t="s">
        <v>1988</v>
      </c>
      <c r="E1222" s="103">
        <v>1050</v>
      </c>
      <c r="F1222" s="102">
        <v>6</v>
      </c>
      <c r="G1222" s="208">
        <f>E1222/(C1222*H1222/30)</f>
        <v>7.0000000000000007E-2</v>
      </c>
      <c r="H1222" s="102">
        <v>15</v>
      </c>
      <c r="I1222" s="103">
        <f t="shared" si="71"/>
        <v>6300</v>
      </c>
      <c r="J1222" s="103">
        <f t="shared" si="72"/>
        <v>4050.0000000000009</v>
      </c>
    </row>
    <row r="1223" spans="1:10">
      <c r="A1223" s="102"/>
      <c r="B1223" s="102"/>
      <c r="C1223" s="103">
        <v>20000</v>
      </c>
      <c r="D1223" s="104" t="s">
        <v>3110</v>
      </c>
      <c r="E1223" s="103">
        <v>750</v>
      </c>
      <c r="F1223" s="102">
        <v>5</v>
      </c>
      <c r="G1223" s="208">
        <f>E1223/(C1223*H1223/30)</f>
        <v>7.4999999999999997E-2</v>
      </c>
      <c r="H1223" s="102">
        <v>15</v>
      </c>
      <c r="I1223" s="103">
        <f t="shared" si="71"/>
        <v>3750</v>
      </c>
      <c r="J1223" s="103">
        <f t="shared" si="72"/>
        <v>2499.9999999999995</v>
      </c>
    </row>
    <row r="1224" spans="1:10">
      <c r="A1224" s="102"/>
      <c r="B1224" s="102"/>
      <c r="C1224" s="103">
        <v>20000</v>
      </c>
      <c r="D1224" s="104" t="s">
        <v>3113</v>
      </c>
      <c r="E1224" s="103">
        <v>2300</v>
      </c>
      <c r="F1224" s="102">
        <v>10</v>
      </c>
      <c r="G1224" s="208">
        <v>0.06</v>
      </c>
      <c r="H1224" s="102" t="s">
        <v>664</v>
      </c>
      <c r="I1224" s="103">
        <f t="shared" si="71"/>
        <v>3000</v>
      </c>
      <c r="J1224" s="103">
        <f t="shared" si="72"/>
        <v>1749.9999999999995</v>
      </c>
    </row>
    <row r="1225" spans="1:10">
      <c r="A1225" s="102"/>
      <c r="B1225" s="102"/>
      <c r="C1225" s="103">
        <v>30000</v>
      </c>
      <c r="D1225" s="114" t="s">
        <v>728</v>
      </c>
      <c r="E1225" s="103">
        <v>3450</v>
      </c>
      <c r="F1225" s="102">
        <v>10</v>
      </c>
      <c r="G1225" s="208">
        <v>0.06</v>
      </c>
      <c r="H1225" s="102" t="s">
        <v>664</v>
      </c>
      <c r="I1225" s="103">
        <f t="shared" si="71"/>
        <v>4500</v>
      </c>
      <c r="J1225" s="103">
        <f t="shared" si="72"/>
        <v>2625</v>
      </c>
    </row>
    <row r="1226" spans="1:10">
      <c r="A1226" s="102"/>
      <c r="B1226" s="102"/>
      <c r="C1226" s="103">
        <v>20000</v>
      </c>
      <c r="D1226" s="104" t="s">
        <v>3111</v>
      </c>
      <c r="E1226" s="103">
        <v>700</v>
      </c>
      <c r="F1226" s="102">
        <v>4</v>
      </c>
      <c r="G1226" s="208">
        <f>E1226/(C1226*H1226/30)</f>
        <v>7.0000000000000007E-2</v>
      </c>
      <c r="H1226" s="102">
        <v>15</v>
      </c>
      <c r="I1226" s="103">
        <f t="shared" si="71"/>
        <v>2800.0000000000005</v>
      </c>
      <c r="J1226" s="103">
        <f t="shared" si="72"/>
        <v>1800.0000000000002</v>
      </c>
    </row>
    <row r="1227" spans="1:10">
      <c r="A1227" s="102"/>
      <c r="B1227" s="102"/>
      <c r="C1227" s="103">
        <v>30000</v>
      </c>
      <c r="D1227" s="104" t="s">
        <v>3119</v>
      </c>
      <c r="E1227" s="103">
        <v>3450</v>
      </c>
      <c r="F1227" s="102">
        <v>10</v>
      </c>
      <c r="G1227" s="208">
        <v>0.06</v>
      </c>
      <c r="H1227" s="102" t="s">
        <v>664</v>
      </c>
      <c r="I1227" s="103">
        <f t="shared" si="71"/>
        <v>4500</v>
      </c>
      <c r="J1227" s="103">
        <f t="shared" si="72"/>
        <v>2625</v>
      </c>
    </row>
    <row r="1228" spans="1:10">
      <c r="A1228" s="102"/>
      <c r="B1228" s="102"/>
      <c r="C1228" s="103">
        <v>10000</v>
      </c>
      <c r="D1228" s="104" t="s">
        <v>654</v>
      </c>
      <c r="E1228" s="103">
        <v>375</v>
      </c>
      <c r="F1228" s="102">
        <v>8</v>
      </c>
      <c r="G1228" s="208">
        <f>E1228/(C1228*H1228/30)</f>
        <v>7.4999999999999997E-2</v>
      </c>
      <c r="H1228" s="102">
        <v>15</v>
      </c>
      <c r="I1228" s="103">
        <f t="shared" si="71"/>
        <v>3000</v>
      </c>
      <c r="J1228" s="103">
        <f t="shared" si="72"/>
        <v>1999.9999999999998</v>
      </c>
    </row>
    <row r="1229" spans="1:10">
      <c r="A1229" s="102"/>
      <c r="B1229" s="102"/>
      <c r="C1229" s="103">
        <v>10000</v>
      </c>
      <c r="D1229" s="104" t="s">
        <v>650</v>
      </c>
      <c r="E1229" s="103">
        <v>375</v>
      </c>
      <c r="F1229" s="102">
        <v>7</v>
      </c>
      <c r="G1229" s="208">
        <f>E1229/(C1229*H1229/30)</f>
        <v>7.4999999999999997E-2</v>
      </c>
      <c r="H1229" s="102">
        <v>15</v>
      </c>
      <c r="I1229" s="103">
        <f t="shared" si="71"/>
        <v>2625</v>
      </c>
      <c r="J1229" s="103">
        <f t="shared" si="72"/>
        <v>1749.9999999999998</v>
      </c>
    </row>
    <row r="1230" spans="1:10">
      <c r="A1230" s="102"/>
      <c r="B1230" s="102"/>
      <c r="C1230" s="103">
        <v>20000</v>
      </c>
      <c r="D1230" s="104" t="s">
        <v>984</v>
      </c>
      <c r="E1230" s="103">
        <v>2300</v>
      </c>
      <c r="F1230" s="102">
        <v>10</v>
      </c>
      <c r="G1230" s="208">
        <v>0.06</v>
      </c>
      <c r="H1230" s="102" t="s">
        <v>664</v>
      </c>
      <c r="I1230" s="103">
        <f t="shared" si="71"/>
        <v>3000</v>
      </c>
      <c r="J1230" s="103">
        <f t="shared" si="72"/>
        <v>1749.9999999999995</v>
      </c>
    </row>
    <row r="1231" spans="1:10">
      <c r="A1231" s="102"/>
      <c r="B1231" s="102"/>
      <c r="C1231" s="103">
        <v>20000</v>
      </c>
      <c r="D1231" s="104" t="s">
        <v>1386</v>
      </c>
      <c r="E1231" s="103">
        <v>2300</v>
      </c>
      <c r="F1231" s="102">
        <v>2</v>
      </c>
      <c r="G1231" s="208">
        <v>0.06</v>
      </c>
      <c r="H1231" s="102" t="s">
        <v>664</v>
      </c>
      <c r="I1231" s="103">
        <f t="shared" si="71"/>
        <v>600</v>
      </c>
      <c r="J1231" s="103">
        <f t="shared" si="72"/>
        <v>349.99999999999994</v>
      </c>
    </row>
    <row r="1232" spans="1:10">
      <c r="A1232" s="102"/>
      <c r="B1232" s="102"/>
      <c r="C1232" s="103">
        <v>30000</v>
      </c>
      <c r="D1232" s="104" t="s">
        <v>480</v>
      </c>
      <c r="E1232" s="103">
        <v>1125</v>
      </c>
      <c r="F1232" s="102">
        <v>4</v>
      </c>
      <c r="G1232" s="208">
        <f>E1232/(C1232*H1232/30)</f>
        <v>7.4999999999999997E-2</v>
      </c>
      <c r="H1232" s="102">
        <v>15</v>
      </c>
      <c r="I1232" s="103">
        <f t="shared" si="71"/>
        <v>4500</v>
      </c>
      <c r="J1232" s="103">
        <f t="shared" si="72"/>
        <v>2999.9999999999995</v>
      </c>
    </row>
    <row r="1233" spans="1:10">
      <c r="A1233" s="102"/>
      <c r="B1233" s="102"/>
      <c r="C1233" s="103">
        <v>20000</v>
      </c>
      <c r="D1233" s="104" t="s">
        <v>3152</v>
      </c>
      <c r="E1233" s="103">
        <v>750</v>
      </c>
      <c r="F1233" s="102">
        <v>3</v>
      </c>
      <c r="G1233" s="208">
        <f>E1233/(C1233*H1233/30)</f>
        <v>7.4999999999999997E-2</v>
      </c>
      <c r="H1233" s="102">
        <v>15</v>
      </c>
      <c r="I1233" s="103">
        <f t="shared" si="71"/>
        <v>2250</v>
      </c>
      <c r="J1233" s="103">
        <f t="shared" si="72"/>
        <v>1499.9999999999998</v>
      </c>
    </row>
    <row r="1234" spans="1:10">
      <c r="A1234" s="102">
        <v>165</v>
      </c>
      <c r="B1234" s="102" t="s">
        <v>2632</v>
      </c>
      <c r="C1234" s="103">
        <v>120000</v>
      </c>
      <c r="D1234" s="104" t="s">
        <v>456</v>
      </c>
      <c r="E1234" s="103">
        <v>4500</v>
      </c>
      <c r="F1234" s="102">
        <v>4</v>
      </c>
      <c r="G1234" s="208">
        <f>E1234/(C1234*H1234/30)</f>
        <v>7.4999999999999997E-2</v>
      </c>
      <c r="H1234" s="102">
        <v>15</v>
      </c>
      <c r="I1234" s="103">
        <f t="shared" si="71"/>
        <v>18000</v>
      </c>
      <c r="J1234" s="103">
        <f t="shared" si="72"/>
        <v>11999.999999999998</v>
      </c>
    </row>
    <row r="1235" spans="1:10">
      <c r="A1235" s="102"/>
      <c r="B1235" s="102"/>
      <c r="C1235" s="103">
        <v>20000</v>
      </c>
      <c r="D1235" s="104" t="s">
        <v>236</v>
      </c>
      <c r="E1235" s="103">
        <v>2300</v>
      </c>
      <c r="F1235" s="102">
        <v>5</v>
      </c>
      <c r="G1235" s="208">
        <v>0.06</v>
      </c>
      <c r="H1235" s="102" t="s">
        <v>664</v>
      </c>
      <c r="I1235" s="103">
        <f t="shared" si="71"/>
        <v>1500</v>
      </c>
      <c r="J1235" s="103">
        <f t="shared" si="72"/>
        <v>874.99999999999977</v>
      </c>
    </row>
    <row r="1236" spans="1:10">
      <c r="A1236" s="102"/>
      <c r="B1236" s="102"/>
      <c r="C1236" s="103">
        <v>10000</v>
      </c>
      <c r="D1236" s="104" t="s">
        <v>1991</v>
      </c>
      <c r="E1236" s="103">
        <v>1150</v>
      </c>
      <c r="F1236" s="102">
        <v>2</v>
      </c>
      <c r="G1236" s="208">
        <v>0.06</v>
      </c>
      <c r="H1236" s="102" t="s">
        <v>664</v>
      </c>
      <c r="I1236" s="103">
        <f t="shared" si="71"/>
        <v>300</v>
      </c>
      <c r="J1236" s="103">
        <f t="shared" si="72"/>
        <v>174.99999999999997</v>
      </c>
    </row>
    <row r="1237" spans="1:10">
      <c r="A1237" s="102"/>
      <c r="B1237" s="102"/>
      <c r="C1237" s="103">
        <v>5000</v>
      </c>
      <c r="D1237" s="104" t="s">
        <v>1383</v>
      </c>
      <c r="E1237" s="103">
        <v>190</v>
      </c>
      <c r="F1237" s="102">
        <v>1</v>
      </c>
      <c r="G1237" s="208">
        <f>E1237/(C1237*H1237/30)</f>
        <v>7.5999999999999998E-2</v>
      </c>
      <c r="H1237" s="102">
        <v>15</v>
      </c>
      <c r="I1237" s="103">
        <f t="shared" si="71"/>
        <v>190</v>
      </c>
      <c r="J1237" s="103">
        <f t="shared" si="72"/>
        <v>127.49999999999999</v>
      </c>
    </row>
    <row r="1238" spans="1:10">
      <c r="A1238" s="102"/>
      <c r="B1238" s="102"/>
      <c r="C1238" s="103">
        <v>5000</v>
      </c>
      <c r="D1238" s="104" t="s">
        <v>655</v>
      </c>
      <c r="E1238" s="103">
        <v>190</v>
      </c>
      <c r="F1238" s="102">
        <v>1</v>
      </c>
      <c r="G1238" s="208">
        <f>E1238/(C1238*H1238/30)</f>
        <v>7.5999999999999998E-2</v>
      </c>
      <c r="H1238" s="102">
        <v>15</v>
      </c>
      <c r="I1238" s="103">
        <f t="shared" si="71"/>
        <v>190</v>
      </c>
      <c r="J1238" s="103">
        <f t="shared" si="72"/>
        <v>127.49999999999999</v>
      </c>
    </row>
    <row r="1239" spans="1:10">
      <c r="A1239" s="102"/>
      <c r="B1239" s="102"/>
      <c r="C1239" s="103">
        <v>30000</v>
      </c>
      <c r="D1239" s="114" t="s">
        <v>729</v>
      </c>
      <c r="E1239" s="103">
        <v>3450</v>
      </c>
      <c r="F1239" s="102">
        <v>10</v>
      </c>
      <c r="G1239" s="208">
        <v>0.06</v>
      </c>
      <c r="H1239" s="102" t="s">
        <v>664</v>
      </c>
      <c r="I1239" s="103">
        <f t="shared" si="71"/>
        <v>4500</v>
      </c>
      <c r="J1239" s="103">
        <f t="shared" si="72"/>
        <v>2625</v>
      </c>
    </row>
    <row r="1240" spans="1:10">
      <c r="A1240" s="102"/>
      <c r="B1240" s="102"/>
      <c r="C1240" s="103">
        <v>10000</v>
      </c>
      <c r="D1240" s="104" t="s">
        <v>2622</v>
      </c>
      <c r="E1240" s="103">
        <v>375</v>
      </c>
      <c r="F1240" s="102">
        <v>4</v>
      </c>
      <c r="G1240" s="208">
        <f>E1240/(C1240*H1240/30)</f>
        <v>7.4999999999999997E-2</v>
      </c>
      <c r="H1240" s="102">
        <v>15</v>
      </c>
      <c r="I1240" s="103">
        <f t="shared" si="71"/>
        <v>1500</v>
      </c>
      <c r="J1240" s="103">
        <f t="shared" si="72"/>
        <v>999.99999999999989</v>
      </c>
    </row>
    <row r="1241" spans="1:10">
      <c r="A1241" s="102"/>
      <c r="B1241" s="102"/>
      <c r="C1241" s="103">
        <v>10000</v>
      </c>
      <c r="D1241" s="114" t="s">
        <v>730</v>
      </c>
      <c r="E1241" s="103">
        <v>1150</v>
      </c>
      <c r="F1241" s="102">
        <v>8</v>
      </c>
      <c r="G1241" s="208">
        <v>0.06</v>
      </c>
      <c r="H1241" s="102" t="s">
        <v>664</v>
      </c>
      <c r="I1241" s="103">
        <f t="shared" si="71"/>
        <v>1200</v>
      </c>
      <c r="J1241" s="103">
        <f t="shared" si="72"/>
        <v>699.99999999999989</v>
      </c>
    </row>
    <row r="1242" spans="1:10">
      <c r="A1242" s="102"/>
      <c r="B1242" s="102"/>
      <c r="C1242" s="103">
        <v>50000</v>
      </c>
      <c r="D1242" s="104" t="s">
        <v>3122</v>
      </c>
      <c r="E1242" s="103">
        <v>1875</v>
      </c>
      <c r="F1242" s="102">
        <v>1</v>
      </c>
      <c r="G1242" s="208">
        <f>E1242/(C1242*H1242/30)</f>
        <v>7.4999999999999997E-2</v>
      </c>
      <c r="H1242" s="102">
        <v>15</v>
      </c>
      <c r="I1242" s="103">
        <f t="shared" si="71"/>
        <v>1875</v>
      </c>
      <c r="J1242" s="103">
        <f t="shared" si="72"/>
        <v>1250</v>
      </c>
    </row>
    <row r="1243" spans="1:10">
      <c r="A1243" s="102">
        <v>166</v>
      </c>
      <c r="B1243" s="102" t="s">
        <v>2633</v>
      </c>
      <c r="C1243" s="103">
        <v>20000</v>
      </c>
      <c r="D1243" s="104" t="s">
        <v>456</v>
      </c>
      <c r="E1243" s="103">
        <v>750</v>
      </c>
      <c r="F1243" s="102">
        <v>28</v>
      </c>
      <c r="G1243" s="208">
        <f>E1243/(C1243*H1243/30)</f>
        <v>7.4999999999999997E-2</v>
      </c>
      <c r="H1243" s="102">
        <v>15</v>
      </c>
      <c r="I1243" s="103">
        <f t="shared" si="71"/>
        <v>21000</v>
      </c>
      <c r="J1243" s="103">
        <f t="shared" si="72"/>
        <v>13999.999999999998</v>
      </c>
    </row>
    <row r="1244" spans="1:10">
      <c r="A1244" s="102"/>
      <c r="B1244" s="102"/>
      <c r="C1244" s="103">
        <v>10000</v>
      </c>
      <c r="D1244" s="114" t="s">
        <v>731</v>
      </c>
      <c r="E1244" s="103">
        <v>375</v>
      </c>
      <c r="F1244" s="102">
        <v>1</v>
      </c>
      <c r="G1244" s="208">
        <f>E1244/(C1244*H1244/30)</f>
        <v>7.4999999999999997E-2</v>
      </c>
      <c r="H1244" s="102">
        <v>15</v>
      </c>
      <c r="I1244" s="103">
        <f t="shared" si="71"/>
        <v>375</v>
      </c>
      <c r="J1244" s="103">
        <f t="shared" si="72"/>
        <v>249.99999999999997</v>
      </c>
    </row>
    <row r="1245" spans="1:10">
      <c r="A1245" s="102"/>
      <c r="B1245" s="102"/>
      <c r="C1245" s="103">
        <v>10000</v>
      </c>
      <c r="D1245" s="104" t="s">
        <v>456</v>
      </c>
      <c r="E1245" s="103">
        <v>1150</v>
      </c>
      <c r="F1245" s="102">
        <v>10</v>
      </c>
      <c r="G1245" s="208">
        <v>0.06</v>
      </c>
      <c r="H1245" s="102" t="s">
        <v>664</v>
      </c>
      <c r="I1245" s="103">
        <f t="shared" si="71"/>
        <v>1500</v>
      </c>
      <c r="J1245" s="103">
        <f t="shared" si="72"/>
        <v>874.99999999999977</v>
      </c>
    </row>
    <row r="1246" spans="1:10">
      <c r="A1246" s="102"/>
      <c r="B1246" s="102"/>
      <c r="C1246" s="103">
        <v>10000</v>
      </c>
      <c r="D1246" s="104" t="s">
        <v>439</v>
      </c>
      <c r="E1246" s="103">
        <v>1150</v>
      </c>
      <c r="F1246" s="102">
        <v>10</v>
      </c>
      <c r="G1246" s="208">
        <v>0.06</v>
      </c>
      <c r="H1246" s="102" t="s">
        <v>664</v>
      </c>
      <c r="I1246" s="103">
        <f t="shared" si="71"/>
        <v>1500</v>
      </c>
      <c r="J1246" s="103">
        <f t="shared" si="72"/>
        <v>874.99999999999977</v>
      </c>
    </row>
    <row r="1247" spans="1:10">
      <c r="A1247" s="102"/>
      <c r="B1247" s="102"/>
      <c r="C1247" s="103">
        <v>14000</v>
      </c>
      <c r="D1247" s="104" t="s">
        <v>1986</v>
      </c>
      <c r="E1247" s="103">
        <v>525</v>
      </c>
      <c r="F1247" s="102">
        <v>3</v>
      </c>
      <c r="G1247" s="208">
        <f t="shared" ref="G1247:G1257" si="73">E1247/(C1247*H1247/30)</f>
        <v>7.4999999999999997E-2</v>
      </c>
      <c r="H1247" s="102">
        <v>15</v>
      </c>
      <c r="I1247" s="103">
        <f t="shared" si="71"/>
        <v>1575</v>
      </c>
      <c r="J1247" s="103">
        <f t="shared" si="72"/>
        <v>1049.9999999999998</v>
      </c>
    </row>
    <row r="1248" spans="1:10">
      <c r="A1248" s="102"/>
      <c r="B1248" s="102"/>
      <c r="C1248" s="103">
        <v>5000</v>
      </c>
      <c r="D1248" s="104" t="s">
        <v>1986</v>
      </c>
      <c r="E1248" s="103">
        <v>190</v>
      </c>
      <c r="F1248" s="102">
        <v>2</v>
      </c>
      <c r="G1248" s="208">
        <f t="shared" si="73"/>
        <v>7.5999999999999998E-2</v>
      </c>
      <c r="H1248" s="102">
        <v>15</v>
      </c>
      <c r="I1248" s="103">
        <f t="shared" si="71"/>
        <v>380</v>
      </c>
      <c r="J1248" s="103">
        <f t="shared" si="72"/>
        <v>254.99999999999997</v>
      </c>
    </row>
    <row r="1249" spans="1:10">
      <c r="A1249" s="102"/>
      <c r="B1249" s="102"/>
      <c r="C1249" s="103">
        <v>20000</v>
      </c>
      <c r="D1249" s="104" t="s">
        <v>439</v>
      </c>
      <c r="E1249" s="103">
        <v>750</v>
      </c>
      <c r="F1249" s="102">
        <v>35</v>
      </c>
      <c r="G1249" s="208">
        <f t="shared" si="73"/>
        <v>7.4999999999999997E-2</v>
      </c>
      <c r="H1249" s="102">
        <v>15</v>
      </c>
      <c r="I1249" s="103">
        <f t="shared" si="71"/>
        <v>26250</v>
      </c>
      <c r="J1249" s="103">
        <f t="shared" si="72"/>
        <v>17499.999999999996</v>
      </c>
    </row>
    <row r="1250" spans="1:10">
      <c r="A1250" s="102"/>
      <c r="B1250" s="102"/>
      <c r="C1250" s="103">
        <v>100000</v>
      </c>
      <c r="D1250" s="104" t="s">
        <v>230</v>
      </c>
      <c r="E1250" s="103">
        <v>3750</v>
      </c>
      <c r="F1250" s="102">
        <v>16</v>
      </c>
      <c r="G1250" s="208">
        <f t="shared" si="73"/>
        <v>7.4999999999999997E-2</v>
      </c>
      <c r="H1250" s="102">
        <v>15</v>
      </c>
      <c r="I1250" s="103">
        <f t="shared" si="71"/>
        <v>60000</v>
      </c>
      <c r="J1250" s="103">
        <f t="shared" si="72"/>
        <v>40000</v>
      </c>
    </row>
    <row r="1251" spans="1:10">
      <c r="A1251" s="102"/>
      <c r="B1251" s="102"/>
      <c r="C1251" s="103">
        <v>28500</v>
      </c>
      <c r="D1251" s="104" t="s">
        <v>1672</v>
      </c>
      <c r="E1251" s="103">
        <v>1070</v>
      </c>
      <c r="F1251" s="102">
        <v>1</v>
      </c>
      <c r="G1251" s="208">
        <f t="shared" si="73"/>
        <v>7.508771929824562E-2</v>
      </c>
      <c r="H1251" s="102">
        <v>15</v>
      </c>
      <c r="I1251" s="103">
        <f t="shared" si="71"/>
        <v>1070</v>
      </c>
      <c r="J1251" s="103">
        <f t="shared" si="72"/>
        <v>713.75000000000011</v>
      </c>
    </row>
    <row r="1252" spans="1:10">
      <c r="A1252" s="102"/>
      <c r="B1252" s="102"/>
      <c r="C1252" s="103">
        <v>20000</v>
      </c>
      <c r="D1252" s="104" t="s">
        <v>1672</v>
      </c>
      <c r="E1252" s="103">
        <v>750</v>
      </c>
      <c r="F1252" s="102">
        <v>9</v>
      </c>
      <c r="G1252" s="208">
        <f t="shared" si="73"/>
        <v>7.4999999999999997E-2</v>
      </c>
      <c r="H1252" s="102">
        <v>15</v>
      </c>
      <c r="I1252" s="103">
        <f t="shared" si="71"/>
        <v>6750</v>
      </c>
      <c r="J1252" s="103">
        <f t="shared" si="72"/>
        <v>4499.9999999999991</v>
      </c>
    </row>
    <row r="1253" spans="1:10">
      <c r="A1253" s="102"/>
      <c r="B1253" s="102"/>
      <c r="C1253" s="103">
        <v>28500</v>
      </c>
      <c r="D1253" s="104" t="s">
        <v>434</v>
      </c>
      <c r="E1253" s="103">
        <v>1070</v>
      </c>
      <c r="F1253" s="102">
        <v>3</v>
      </c>
      <c r="G1253" s="208">
        <f t="shared" si="73"/>
        <v>7.508771929824562E-2</v>
      </c>
      <c r="H1253" s="102">
        <v>15</v>
      </c>
      <c r="I1253" s="103">
        <f t="shared" si="71"/>
        <v>3210</v>
      </c>
      <c r="J1253" s="103">
        <f t="shared" si="72"/>
        <v>2141.2500000000005</v>
      </c>
    </row>
    <row r="1254" spans="1:10">
      <c r="A1254" s="102"/>
      <c r="B1254" s="102"/>
      <c r="C1254" s="103">
        <v>20000</v>
      </c>
      <c r="D1254" s="104" t="s">
        <v>434</v>
      </c>
      <c r="E1254" s="103">
        <v>750</v>
      </c>
      <c r="F1254" s="102">
        <v>9</v>
      </c>
      <c r="G1254" s="208">
        <f t="shared" si="73"/>
        <v>7.4999999999999997E-2</v>
      </c>
      <c r="H1254" s="102">
        <v>15</v>
      </c>
      <c r="I1254" s="103">
        <f t="shared" si="71"/>
        <v>6750</v>
      </c>
      <c r="J1254" s="103">
        <f t="shared" si="72"/>
        <v>4499.9999999999991</v>
      </c>
    </row>
    <row r="1255" spans="1:10">
      <c r="A1255" s="102"/>
      <c r="B1255" s="102"/>
      <c r="C1255" s="103">
        <v>20000</v>
      </c>
      <c r="D1255" s="104" t="s">
        <v>3168</v>
      </c>
      <c r="E1255" s="103">
        <v>750</v>
      </c>
      <c r="F1255" s="102">
        <v>3</v>
      </c>
      <c r="G1255" s="208">
        <f t="shared" si="73"/>
        <v>7.4999999999999997E-2</v>
      </c>
      <c r="H1255" s="102">
        <v>15</v>
      </c>
      <c r="I1255" s="103">
        <f t="shared" si="71"/>
        <v>2250</v>
      </c>
      <c r="J1255" s="103">
        <f t="shared" si="72"/>
        <v>1499.9999999999998</v>
      </c>
    </row>
    <row r="1256" spans="1:10">
      <c r="A1256" s="102"/>
      <c r="B1256" s="102"/>
      <c r="C1256" s="103">
        <v>10000</v>
      </c>
      <c r="D1256" s="104" t="s">
        <v>3168</v>
      </c>
      <c r="E1256" s="103">
        <v>375</v>
      </c>
      <c r="F1256" s="102">
        <v>3</v>
      </c>
      <c r="G1256" s="208">
        <f t="shared" si="73"/>
        <v>7.4999999999999997E-2</v>
      </c>
      <c r="H1256" s="102">
        <v>15</v>
      </c>
      <c r="I1256" s="103">
        <f t="shared" si="71"/>
        <v>1125</v>
      </c>
      <c r="J1256" s="103">
        <f t="shared" si="72"/>
        <v>749.99999999999989</v>
      </c>
    </row>
    <row r="1257" spans="1:10">
      <c r="A1257" s="102">
        <v>167</v>
      </c>
      <c r="B1257" s="102" t="s">
        <v>2634</v>
      </c>
      <c r="C1257" s="103">
        <v>10000</v>
      </c>
      <c r="D1257" s="104" t="s">
        <v>3171</v>
      </c>
      <c r="E1257" s="103">
        <v>375</v>
      </c>
      <c r="F1257" s="102">
        <v>9</v>
      </c>
      <c r="G1257" s="208">
        <f t="shared" si="73"/>
        <v>7.4999999999999997E-2</v>
      </c>
      <c r="H1257" s="102">
        <v>15</v>
      </c>
      <c r="I1257" s="103">
        <f t="shared" si="71"/>
        <v>3375</v>
      </c>
      <c r="J1257" s="103">
        <f t="shared" si="72"/>
        <v>2249.9999999999995</v>
      </c>
    </row>
    <row r="1258" spans="1:10">
      <c r="A1258" s="102"/>
      <c r="B1258" s="102"/>
      <c r="C1258" s="103">
        <v>10000</v>
      </c>
      <c r="D1258" s="104" t="s">
        <v>3171</v>
      </c>
      <c r="E1258" s="103">
        <v>1150</v>
      </c>
      <c r="F1258" s="102">
        <v>10</v>
      </c>
      <c r="G1258" s="208">
        <v>0.06</v>
      </c>
      <c r="H1258" s="102" t="s">
        <v>664</v>
      </c>
      <c r="I1258" s="103">
        <f t="shared" si="71"/>
        <v>1500</v>
      </c>
      <c r="J1258" s="103">
        <f t="shared" si="72"/>
        <v>874.99999999999977</v>
      </c>
    </row>
    <row r="1259" spans="1:10">
      <c r="A1259" s="102"/>
      <c r="B1259" s="102"/>
      <c r="C1259" s="103">
        <v>10000</v>
      </c>
      <c r="D1259" s="104" t="s">
        <v>1668</v>
      </c>
      <c r="E1259" s="103">
        <v>375</v>
      </c>
      <c r="F1259" s="102">
        <v>6</v>
      </c>
      <c r="G1259" s="208">
        <f>E1259/(C1259*H1259/30)</f>
        <v>7.4999999999999997E-2</v>
      </c>
      <c r="H1259" s="102">
        <v>15</v>
      </c>
      <c r="I1259" s="103">
        <f t="shared" si="71"/>
        <v>2250</v>
      </c>
      <c r="J1259" s="103">
        <f t="shared" si="72"/>
        <v>1499.9999999999998</v>
      </c>
    </row>
    <row r="1260" spans="1:10">
      <c r="A1260" s="102"/>
      <c r="B1260" s="102"/>
      <c r="C1260" s="103">
        <v>10000</v>
      </c>
      <c r="D1260" s="104" t="s">
        <v>574</v>
      </c>
      <c r="E1260" s="103">
        <v>1150</v>
      </c>
      <c r="F1260" s="102">
        <v>10</v>
      </c>
      <c r="G1260" s="208">
        <v>0.06</v>
      </c>
      <c r="H1260" s="102" t="s">
        <v>664</v>
      </c>
      <c r="I1260" s="103">
        <f t="shared" si="71"/>
        <v>1500</v>
      </c>
      <c r="J1260" s="103">
        <f t="shared" si="72"/>
        <v>874.99999999999977</v>
      </c>
    </row>
    <row r="1261" spans="1:10">
      <c r="A1261" s="102"/>
      <c r="B1261" s="102"/>
      <c r="C1261" s="103">
        <v>10000</v>
      </c>
      <c r="D1261" s="104" t="s">
        <v>480</v>
      </c>
      <c r="E1261" s="103">
        <v>1150</v>
      </c>
      <c r="F1261" s="102">
        <v>10</v>
      </c>
      <c r="G1261" s="208">
        <v>0.06</v>
      </c>
      <c r="H1261" s="102" t="s">
        <v>664</v>
      </c>
      <c r="I1261" s="103">
        <f t="shared" si="71"/>
        <v>1500</v>
      </c>
      <c r="J1261" s="103">
        <f t="shared" si="72"/>
        <v>874.99999999999977</v>
      </c>
    </row>
    <row r="1262" spans="1:10">
      <c r="A1262" s="102"/>
      <c r="B1262" s="102"/>
      <c r="C1262" s="103">
        <v>20000</v>
      </c>
      <c r="D1262" s="104" t="s">
        <v>574</v>
      </c>
      <c r="E1262" s="103">
        <v>750</v>
      </c>
      <c r="F1262" s="102">
        <v>8</v>
      </c>
      <c r="G1262" s="208">
        <f>E1262/(C1262*H1262/30)</f>
        <v>7.4999999999999997E-2</v>
      </c>
      <c r="H1262" s="102">
        <v>15</v>
      </c>
      <c r="I1262" s="103">
        <f t="shared" si="71"/>
        <v>6000</v>
      </c>
      <c r="J1262" s="103">
        <f t="shared" si="72"/>
        <v>3999.9999999999995</v>
      </c>
    </row>
    <row r="1263" spans="1:10">
      <c r="A1263" s="102"/>
      <c r="B1263" s="102"/>
      <c r="C1263" s="103">
        <v>10000</v>
      </c>
      <c r="D1263" s="104" t="s">
        <v>1386</v>
      </c>
      <c r="E1263" s="103">
        <v>1150</v>
      </c>
      <c r="F1263" s="102">
        <v>5</v>
      </c>
      <c r="G1263" s="208">
        <v>0.06</v>
      </c>
      <c r="H1263" s="102" t="s">
        <v>664</v>
      </c>
      <c r="I1263" s="103">
        <f t="shared" si="71"/>
        <v>750</v>
      </c>
      <c r="J1263" s="103">
        <f t="shared" si="72"/>
        <v>437.49999999999989</v>
      </c>
    </row>
    <row r="1264" spans="1:10">
      <c r="A1264" s="102"/>
      <c r="B1264" s="102"/>
      <c r="C1264" s="103">
        <v>20000</v>
      </c>
      <c r="D1264" s="104" t="s">
        <v>3185</v>
      </c>
      <c r="E1264" s="103">
        <v>750</v>
      </c>
      <c r="F1264" s="102">
        <v>6</v>
      </c>
      <c r="G1264" s="208">
        <f>E1264/(C1264*H1264/30)</f>
        <v>7.4999999999999997E-2</v>
      </c>
      <c r="H1264" s="102">
        <v>15</v>
      </c>
      <c r="I1264" s="103">
        <f t="shared" si="71"/>
        <v>4500</v>
      </c>
      <c r="J1264" s="103">
        <f t="shared" si="72"/>
        <v>2999.9999999999995</v>
      </c>
    </row>
    <row r="1265" spans="1:10">
      <c r="A1265" s="102">
        <v>168</v>
      </c>
      <c r="B1265" s="102" t="s">
        <v>2635</v>
      </c>
      <c r="C1265" s="103">
        <v>40000</v>
      </c>
      <c r="D1265" s="104" t="s">
        <v>3171</v>
      </c>
      <c r="E1265" s="103">
        <v>1500</v>
      </c>
      <c r="F1265" s="102">
        <v>5</v>
      </c>
      <c r="G1265" s="208">
        <f>E1265/(C1265*H1265/30)</f>
        <v>7.4999999999999997E-2</v>
      </c>
      <c r="H1265" s="102">
        <v>15</v>
      </c>
      <c r="I1265" s="103">
        <f t="shared" si="71"/>
        <v>7500</v>
      </c>
      <c r="J1265" s="103">
        <f t="shared" si="72"/>
        <v>4999.9999999999991</v>
      </c>
    </row>
    <row r="1266" spans="1:10">
      <c r="A1266" s="102"/>
      <c r="B1266" s="102"/>
      <c r="C1266" s="103">
        <v>30000</v>
      </c>
      <c r="D1266" s="104" t="s">
        <v>3171</v>
      </c>
      <c r="E1266" s="103">
        <v>1125</v>
      </c>
      <c r="F1266" s="102">
        <v>11</v>
      </c>
      <c r="G1266" s="208">
        <f>E1266/(C1266*H1266/30)</f>
        <v>7.4999999999999997E-2</v>
      </c>
      <c r="H1266" s="102">
        <v>15</v>
      </c>
      <c r="I1266" s="103">
        <f t="shared" si="71"/>
        <v>12375</v>
      </c>
      <c r="J1266" s="103">
        <f t="shared" si="72"/>
        <v>8249.9999999999982</v>
      </c>
    </row>
    <row r="1267" spans="1:10">
      <c r="A1267" s="102"/>
      <c r="B1267" s="102"/>
      <c r="C1267" s="103">
        <v>10000</v>
      </c>
      <c r="D1267" s="104" t="s">
        <v>3171</v>
      </c>
      <c r="E1267" s="103">
        <v>1150</v>
      </c>
      <c r="F1267" s="102">
        <v>10</v>
      </c>
      <c r="G1267" s="208">
        <v>0.06</v>
      </c>
      <c r="H1267" s="102" t="s">
        <v>664</v>
      </c>
      <c r="I1267" s="103">
        <f t="shared" si="71"/>
        <v>1500</v>
      </c>
      <c r="J1267" s="103">
        <f t="shared" si="72"/>
        <v>874.99999999999977</v>
      </c>
    </row>
    <row r="1268" spans="1:10">
      <c r="A1268" s="102"/>
      <c r="B1268" s="102"/>
      <c r="C1268" s="103">
        <v>15000</v>
      </c>
      <c r="D1268" s="104" t="s">
        <v>454</v>
      </c>
      <c r="E1268" s="103">
        <v>1750</v>
      </c>
      <c r="F1268" s="102">
        <v>10</v>
      </c>
      <c r="G1268" s="208">
        <v>0.06</v>
      </c>
      <c r="H1268" s="102" t="s">
        <v>664</v>
      </c>
      <c r="I1268" s="103">
        <f t="shared" si="71"/>
        <v>2250</v>
      </c>
      <c r="J1268" s="103">
        <f t="shared" si="72"/>
        <v>1312.5</v>
      </c>
    </row>
    <row r="1269" spans="1:10">
      <c r="A1269" s="102"/>
      <c r="B1269" s="102"/>
      <c r="C1269" s="103">
        <v>15000</v>
      </c>
      <c r="D1269" s="114" t="s">
        <v>732</v>
      </c>
      <c r="E1269" s="103">
        <v>1750</v>
      </c>
      <c r="F1269" s="102">
        <v>3</v>
      </c>
      <c r="G1269" s="208">
        <v>0.06</v>
      </c>
      <c r="H1269" s="102" t="s">
        <v>2184</v>
      </c>
      <c r="I1269" s="103">
        <f t="shared" si="71"/>
        <v>675</v>
      </c>
      <c r="J1269" s="103">
        <f t="shared" si="72"/>
        <v>393.75</v>
      </c>
    </row>
    <row r="1270" spans="1:10">
      <c r="A1270" s="102"/>
      <c r="B1270" s="102"/>
      <c r="C1270" s="103">
        <v>15000</v>
      </c>
      <c r="D1270" s="104" t="s">
        <v>419</v>
      </c>
      <c r="E1270" s="103">
        <v>1750</v>
      </c>
      <c r="F1270" s="102">
        <v>10</v>
      </c>
      <c r="G1270" s="208">
        <v>0.06</v>
      </c>
      <c r="H1270" s="102" t="s">
        <v>664</v>
      </c>
      <c r="I1270" s="103">
        <f t="shared" si="71"/>
        <v>2250</v>
      </c>
      <c r="J1270" s="103">
        <f t="shared" si="72"/>
        <v>1312.5</v>
      </c>
    </row>
    <row r="1271" spans="1:10">
      <c r="A1271" s="102"/>
      <c r="B1271" s="102"/>
      <c r="C1271" s="103">
        <v>15000</v>
      </c>
      <c r="D1271" s="104" t="s">
        <v>1525</v>
      </c>
      <c r="E1271" s="103">
        <v>1750</v>
      </c>
      <c r="F1271" s="102">
        <v>10</v>
      </c>
      <c r="G1271" s="208">
        <v>0.06</v>
      </c>
      <c r="H1271" s="102" t="s">
        <v>664</v>
      </c>
      <c r="I1271" s="103">
        <f t="shared" si="71"/>
        <v>2250</v>
      </c>
      <c r="J1271" s="103">
        <f t="shared" si="72"/>
        <v>1312.5</v>
      </c>
    </row>
    <row r="1272" spans="1:10">
      <c r="A1272" s="102"/>
      <c r="B1272" s="102"/>
      <c r="C1272" s="103">
        <v>10000</v>
      </c>
      <c r="D1272" s="114" t="s">
        <v>733</v>
      </c>
      <c r="E1272" s="103">
        <v>375</v>
      </c>
      <c r="F1272" s="102">
        <v>18</v>
      </c>
      <c r="G1272" s="208">
        <f>E1272/(C1272*H1272/30)</f>
        <v>7.4999999999999997E-2</v>
      </c>
      <c r="H1272" s="102">
        <v>15</v>
      </c>
      <c r="I1272" s="103">
        <f t="shared" si="71"/>
        <v>6750</v>
      </c>
      <c r="J1272" s="103">
        <f t="shared" si="72"/>
        <v>4499.9999999999991</v>
      </c>
    </row>
    <row r="1273" spans="1:10">
      <c r="A1273" s="102"/>
      <c r="B1273" s="102"/>
      <c r="C1273" s="103">
        <v>20000</v>
      </c>
      <c r="D1273" s="114" t="s">
        <v>734</v>
      </c>
      <c r="E1273" s="103">
        <v>750</v>
      </c>
      <c r="F1273" s="102">
        <v>20</v>
      </c>
      <c r="G1273" s="208">
        <f>E1273/(C1273*H1273/30)</f>
        <v>7.4999999999999997E-2</v>
      </c>
      <c r="H1273" s="102">
        <v>15</v>
      </c>
      <c r="I1273" s="103">
        <f t="shared" si="71"/>
        <v>15000</v>
      </c>
      <c r="J1273" s="103">
        <f t="shared" si="72"/>
        <v>9999.9999999999982</v>
      </c>
    </row>
    <row r="1274" spans="1:10">
      <c r="A1274" s="102"/>
      <c r="B1274" s="102"/>
      <c r="C1274" s="103">
        <v>15000</v>
      </c>
      <c r="D1274" s="104" t="s">
        <v>657</v>
      </c>
      <c r="E1274" s="103">
        <v>1725</v>
      </c>
      <c r="F1274" s="102">
        <v>10</v>
      </c>
      <c r="G1274" s="208">
        <v>0.06</v>
      </c>
      <c r="H1274" s="102" t="s">
        <v>664</v>
      </c>
      <c r="I1274" s="103">
        <f t="shared" si="71"/>
        <v>2250</v>
      </c>
      <c r="J1274" s="103">
        <f t="shared" si="72"/>
        <v>1312.5</v>
      </c>
    </row>
    <row r="1275" spans="1:10">
      <c r="A1275" s="102"/>
      <c r="B1275" s="102"/>
      <c r="C1275" s="103">
        <v>15000</v>
      </c>
      <c r="D1275" s="104" t="s">
        <v>3154</v>
      </c>
      <c r="E1275" s="103">
        <v>1750</v>
      </c>
      <c r="F1275" s="102">
        <v>10</v>
      </c>
      <c r="G1275" s="208">
        <v>0.06</v>
      </c>
      <c r="H1275" s="102" t="s">
        <v>664</v>
      </c>
      <c r="I1275" s="103">
        <f t="shared" si="71"/>
        <v>2250</v>
      </c>
      <c r="J1275" s="103">
        <f t="shared" si="72"/>
        <v>1312.5</v>
      </c>
    </row>
    <row r="1276" spans="1:10">
      <c r="A1276" s="102"/>
      <c r="B1276" s="102"/>
      <c r="C1276" s="103">
        <v>15000</v>
      </c>
      <c r="D1276" s="114" t="s">
        <v>735</v>
      </c>
      <c r="E1276" s="103">
        <v>1750</v>
      </c>
      <c r="F1276" s="102">
        <v>10</v>
      </c>
      <c r="G1276" s="208">
        <v>0.06</v>
      </c>
      <c r="H1276" s="102" t="s">
        <v>2184</v>
      </c>
      <c r="I1276" s="103">
        <f t="shared" si="71"/>
        <v>2250</v>
      </c>
      <c r="J1276" s="103">
        <f t="shared" si="72"/>
        <v>1312.5</v>
      </c>
    </row>
    <row r="1277" spans="1:10">
      <c r="A1277" s="102"/>
      <c r="B1277" s="102"/>
      <c r="C1277" s="103">
        <v>15000</v>
      </c>
      <c r="D1277" s="104" t="s">
        <v>648</v>
      </c>
      <c r="E1277" s="103">
        <v>1750</v>
      </c>
      <c r="F1277" s="102">
        <v>10</v>
      </c>
      <c r="G1277" s="208">
        <v>0.06</v>
      </c>
      <c r="H1277" s="102" t="s">
        <v>664</v>
      </c>
      <c r="I1277" s="103">
        <f t="shared" si="71"/>
        <v>2250</v>
      </c>
      <c r="J1277" s="103">
        <f t="shared" si="72"/>
        <v>1312.5</v>
      </c>
    </row>
    <row r="1278" spans="1:10">
      <c r="A1278" s="102"/>
      <c r="B1278" s="102"/>
      <c r="C1278" s="103">
        <v>15000</v>
      </c>
      <c r="D1278" s="104" t="s">
        <v>987</v>
      </c>
      <c r="E1278" s="103">
        <v>1750</v>
      </c>
      <c r="F1278" s="102">
        <v>10</v>
      </c>
      <c r="G1278" s="208">
        <v>0.06</v>
      </c>
      <c r="H1278" s="102" t="s">
        <v>2184</v>
      </c>
      <c r="I1278" s="103">
        <f t="shared" si="71"/>
        <v>2250</v>
      </c>
      <c r="J1278" s="103">
        <f t="shared" si="72"/>
        <v>1312.5</v>
      </c>
    </row>
    <row r="1279" spans="1:10">
      <c r="A1279" s="102"/>
      <c r="B1279" s="102"/>
      <c r="C1279" s="103">
        <v>15000</v>
      </c>
      <c r="D1279" s="104" t="s">
        <v>1386</v>
      </c>
      <c r="E1279" s="103">
        <v>1750</v>
      </c>
      <c r="F1279" s="102">
        <v>10</v>
      </c>
      <c r="G1279" s="208">
        <v>0.06</v>
      </c>
      <c r="H1279" s="102" t="s">
        <v>664</v>
      </c>
      <c r="I1279" s="103">
        <f t="shared" si="71"/>
        <v>2250</v>
      </c>
      <c r="J1279" s="103">
        <f t="shared" si="72"/>
        <v>1312.5</v>
      </c>
    </row>
    <row r="1280" spans="1:10">
      <c r="A1280" s="102"/>
      <c r="B1280" s="102"/>
      <c r="C1280" s="103">
        <v>10000</v>
      </c>
      <c r="D1280" s="104" t="s">
        <v>3151</v>
      </c>
      <c r="E1280" s="103">
        <v>375</v>
      </c>
      <c r="F1280" s="102">
        <v>13</v>
      </c>
      <c r="G1280" s="208">
        <f>E1280/(C1280*H1280/30)</f>
        <v>7.4999999999999997E-2</v>
      </c>
      <c r="H1280" s="102">
        <v>15</v>
      </c>
      <c r="I1280" s="103">
        <f t="shared" si="71"/>
        <v>4875</v>
      </c>
      <c r="J1280" s="103">
        <f t="shared" si="72"/>
        <v>3249.9999999999995</v>
      </c>
    </row>
    <row r="1281" spans="1:10">
      <c r="A1281" s="102"/>
      <c r="B1281" s="102"/>
      <c r="C1281" s="103">
        <v>5000</v>
      </c>
      <c r="D1281" s="104" t="s">
        <v>857</v>
      </c>
      <c r="E1281" s="103">
        <v>190</v>
      </c>
      <c r="F1281" s="102">
        <v>9</v>
      </c>
      <c r="G1281" s="208">
        <f>E1281/(C1281*H1281/30)</f>
        <v>7.5999999999999998E-2</v>
      </c>
      <c r="H1281" s="102">
        <v>15</v>
      </c>
      <c r="I1281" s="103">
        <f t="shared" si="71"/>
        <v>1710</v>
      </c>
      <c r="J1281" s="103">
        <f t="shared" si="72"/>
        <v>1147.4999999999998</v>
      </c>
    </row>
    <row r="1282" spans="1:10">
      <c r="A1282" s="102"/>
      <c r="B1282" s="102"/>
      <c r="C1282" s="103">
        <v>15000</v>
      </c>
      <c r="D1282" s="104" t="s">
        <v>1727</v>
      </c>
      <c r="E1282" s="103">
        <v>1750</v>
      </c>
      <c r="F1282" s="102">
        <v>10</v>
      </c>
      <c r="G1282" s="208">
        <v>0.06</v>
      </c>
      <c r="H1282" s="102" t="s">
        <v>664</v>
      </c>
      <c r="I1282" s="103">
        <f t="shared" si="71"/>
        <v>2250</v>
      </c>
      <c r="J1282" s="103">
        <f t="shared" si="72"/>
        <v>1312.5</v>
      </c>
    </row>
    <row r="1283" spans="1:10">
      <c r="A1283" s="102"/>
      <c r="B1283" s="102"/>
      <c r="C1283" s="103">
        <v>10000</v>
      </c>
      <c r="D1283" s="104" t="s">
        <v>3145</v>
      </c>
      <c r="E1283" s="103">
        <v>375</v>
      </c>
      <c r="F1283" s="102">
        <v>5</v>
      </c>
      <c r="G1283" s="208">
        <f>E1283/(C1283*H1283/30)</f>
        <v>7.4999999999999997E-2</v>
      </c>
      <c r="H1283" s="102">
        <v>15</v>
      </c>
      <c r="I1283" s="103">
        <f t="shared" si="71"/>
        <v>1875</v>
      </c>
      <c r="J1283" s="103">
        <f t="shared" si="72"/>
        <v>1249.9999999999998</v>
      </c>
    </row>
    <row r="1284" spans="1:10">
      <c r="A1284" s="102"/>
      <c r="B1284" s="102"/>
      <c r="C1284" s="103">
        <v>15000</v>
      </c>
      <c r="D1284" s="104" t="s">
        <v>489</v>
      </c>
      <c r="E1284" s="103">
        <v>1750</v>
      </c>
      <c r="F1284" s="102">
        <v>10</v>
      </c>
      <c r="G1284" s="208">
        <v>0.06</v>
      </c>
      <c r="H1284" s="102" t="s">
        <v>664</v>
      </c>
      <c r="I1284" s="103">
        <f t="shared" si="71"/>
        <v>2250</v>
      </c>
      <c r="J1284" s="103">
        <f t="shared" si="72"/>
        <v>1312.5</v>
      </c>
    </row>
    <row r="1285" spans="1:10">
      <c r="A1285" s="102"/>
      <c r="B1285" s="102"/>
      <c r="C1285" s="103">
        <v>15000</v>
      </c>
      <c r="D1285" s="104" t="s">
        <v>3175</v>
      </c>
      <c r="E1285" s="103">
        <v>1750</v>
      </c>
      <c r="F1285" s="102">
        <v>4</v>
      </c>
      <c r="G1285" s="208">
        <v>0.06</v>
      </c>
      <c r="H1285" s="102" t="s">
        <v>664</v>
      </c>
      <c r="I1285" s="103">
        <f t="shared" ref="I1285:I1348" si="74">IF(H1285="分期",C1285*G1285*2.5*F1285/10,C1285*G1285*H1285/30*F1285)</f>
        <v>900</v>
      </c>
      <c r="J1285" s="103">
        <f t="shared" ref="J1285:J1348" si="75">IF(H1285="分期",C1285*(G1285-0.025)*2.5*F1285/10,C1285*(G1285-0.025)*H1285/30*F1285)</f>
        <v>525</v>
      </c>
    </row>
    <row r="1286" spans="1:10">
      <c r="A1286" s="102">
        <v>169</v>
      </c>
      <c r="B1286" s="102" t="s">
        <v>2636</v>
      </c>
      <c r="C1286" s="103">
        <v>50000</v>
      </c>
      <c r="D1286" s="104" t="s">
        <v>1991</v>
      </c>
      <c r="E1286" s="103">
        <v>1875</v>
      </c>
      <c r="F1286" s="102">
        <v>17</v>
      </c>
      <c r="G1286" s="208">
        <f>E1286/(C1286*H1286/30)</f>
        <v>7.4999999999999997E-2</v>
      </c>
      <c r="H1286" s="102">
        <v>15</v>
      </c>
      <c r="I1286" s="103">
        <f t="shared" si="74"/>
        <v>31875</v>
      </c>
      <c r="J1286" s="103">
        <f t="shared" si="75"/>
        <v>21250</v>
      </c>
    </row>
    <row r="1287" spans="1:10">
      <c r="A1287" s="102"/>
      <c r="B1287" s="102"/>
      <c r="C1287" s="103">
        <v>20000</v>
      </c>
      <c r="D1287" s="104" t="s">
        <v>963</v>
      </c>
      <c r="E1287" s="103">
        <v>2300</v>
      </c>
      <c r="F1287" s="102">
        <v>10</v>
      </c>
      <c r="G1287" s="208">
        <v>0.06</v>
      </c>
      <c r="H1287" s="102" t="s">
        <v>664</v>
      </c>
      <c r="I1287" s="103">
        <f t="shared" si="74"/>
        <v>3000</v>
      </c>
      <c r="J1287" s="103">
        <f t="shared" si="75"/>
        <v>1749.9999999999995</v>
      </c>
    </row>
    <row r="1288" spans="1:10">
      <c r="A1288" s="102"/>
      <c r="B1288" s="102"/>
      <c r="C1288" s="103">
        <v>20000</v>
      </c>
      <c r="D1288" s="104" t="s">
        <v>3179</v>
      </c>
      <c r="E1288" s="103">
        <v>2300</v>
      </c>
      <c r="F1288" s="102">
        <v>10</v>
      </c>
      <c r="G1288" s="208">
        <v>0.06</v>
      </c>
      <c r="H1288" s="102" t="s">
        <v>664</v>
      </c>
      <c r="I1288" s="103">
        <f t="shared" si="74"/>
        <v>3000</v>
      </c>
      <c r="J1288" s="103">
        <f t="shared" si="75"/>
        <v>1749.9999999999995</v>
      </c>
    </row>
    <row r="1289" spans="1:10">
      <c r="A1289" s="102"/>
      <c r="B1289" s="102"/>
      <c r="C1289" s="103">
        <v>30000</v>
      </c>
      <c r="D1289" s="104" t="s">
        <v>980</v>
      </c>
      <c r="E1289" s="103">
        <v>1125</v>
      </c>
      <c r="F1289" s="102">
        <v>10</v>
      </c>
      <c r="G1289" s="208">
        <f>E1289/(C1289*H1289/30)</f>
        <v>7.4999999999999997E-2</v>
      </c>
      <c r="H1289" s="102">
        <v>15</v>
      </c>
      <c r="I1289" s="103">
        <f t="shared" si="74"/>
        <v>11250</v>
      </c>
      <c r="J1289" s="103">
        <f t="shared" si="75"/>
        <v>7499.9999999999991</v>
      </c>
    </row>
    <row r="1290" spans="1:10">
      <c r="A1290" s="102"/>
      <c r="B1290" s="102"/>
      <c r="C1290" s="103">
        <v>20000</v>
      </c>
      <c r="D1290" s="104" t="s">
        <v>446</v>
      </c>
      <c r="E1290" s="103">
        <v>2300</v>
      </c>
      <c r="F1290" s="102">
        <v>10</v>
      </c>
      <c r="G1290" s="208">
        <v>0.06</v>
      </c>
      <c r="H1290" s="102" t="s">
        <v>664</v>
      </c>
      <c r="I1290" s="103">
        <f t="shared" si="74"/>
        <v>3000</v>
      </c>
      <c r="J1290" s="103">
        <f t="shared" si="75"/>
        <v>1749.9999999999995</v>
      </c>
    </row>
    <row r="1291" spans="1:10">
      <c r="A1291" s="102"/>
      <c r="B1291" s="102"/>
      <c r="C1291" s="103">
        <v>30000</v>
      </c>
      <c r="D1291" s="104" t="s">
        <v>245</v>
      </c>
      <c r="E1291" s="103">
        <v>1125</v>
      </c>
      <c r="F1291" s="102">
        <v>3</v>
      </c>
      <c r="G1291" s="208">
        <f>E1291/(C1291*H1291/30)</f>
        <v>7.4999999999999997E-2</v>
      </c>
      <c r="H1291" s="102">
        <v>15</v>
      </c>
      <c r="I1291" s="103">
        <f t="shared" si="74"/>
        <v>3375</v>
      </c>
      <c r="J1291" s="103">
        <f t="shared" si="75"/>
        <v>2249.9999999999995</v>
      </c>
    </row>
    <row r="1292" spans="1:10">
      <c r="A1292" s="102"/>
      <c r="B1292" s="102"/>
      <c r="C1292" s="103">
        <v>20000</v>
      </c>
      <c r="D1292" s="104" t="s">
        <v>966</v>
      </c>
      <c r="E1292" s="103">
        <v>2300</v>
      </c>
      <c r="F1292" s="102">
        <v>10</v>
      </c>
      <c r="G1292" s="208">
        <v>0.06</v>
      </c>
      <c r="H1292" s="102" t="s">
        <v>664</v>
      </c>
      <c r="I1292" s="103">
        <f t="shared" si="74"/>
        <v>3000</v>
      </c>
      <c r="J1292" s="103">
        <f t="shared" si="75"/>
        <v>1749.9999999999995</v>
      </c>
    </row>
    <row r="1293" spans="1:10">
      <c r="A1293" s="102"/>
      <c r="B1293" s="102"/>
      <c r="C1293" s="103">
        <v>20000</v>
      </c>
      <c r="D1293" s="104" t="s">
        <v>1387</v>
      </c>
      <c r="E1293" s="103">
        <v>2300</v>
      </c>
      <c r="F1293" s="102">
        <v>2</v>
      </c>
      <c r="G1293" s="208">
        <v>0.06</v>
      </c>
      <c r="H1293" s="102" t="s">
        <v>664</v>
      </c>
      <c r="I1293" s="103">
        <f t="shared" si="74"/>
        <v>600</v>
      </c>
      <c r="J1293" s="103">
        <f t="shared" si="75"/>
        <v>349.99999999999994</v>
      </c>
    </row>
    <row r="1294" spans="1:10">
      <c r="A1294" s="102"/>
      <c r="B1294" s="102"/>
      <c r="C1294" s="103">
        <v>20000</v>
      </c>
      <c r="D1294" s="104" t="s">
        <v>2532</v>
      </c>
      <c r="E1294" s="103">
        <v>2300</v>
      </c>
      <c r="F1294" s="102">
        <v>10</v>
      </c>
      <c r="G1294" s="208">
        <v>0.06</v>
      </c>
      <c r="H1294" s="102" t="s">
        <v>664</v>
      </c>
      <c r="I1294" s="103">
        <f t="shared" si="74"/>
        <v>3000</v>
      </c>
      <c r="J1294" s="103">
        <f t="shared" si="75"/>
        <v>1749.9999999999995</v>
      </c>
    </row>
    <row r="1295" spans="1:10">
      <c r="A1295" s="102"/>
      <c r="B1295" s="102"/>
      <c r="C1295" s="103">
        <v>50000</v>
      </c>
      <c r="D1295" s="104" t="s">
        <v>1750</v>
      </c>
      <c r="E1295" s="103">
        <v>1875</v>
      </c>
      <c r="F1295" s="102">
        <v>2</v>
      </c>
      <c r="G1295" s="208">
        <f>E1295/(C1295*H1295/30)</f>
        <v>7.4999999999999997E-2</v>
      </c>
      <c r="H1295" s="102">
        <v>15</v>
      </c>
      <c r="I1295" s="103">
        <f t="shared" si="74"/>
        <v>3750</v>
      </c>
      <c r="J1295" s="103">
        <f t="shared" si="75"/>
        <v>2500</v>
      </c>
    </row>
    <row r="1296" spans="1:10">
      <c r="A1296" s="102"/>
      <c r="B1296" s="102"/>
      <c r="C1296" s="103">
        <v>20000</v>
      </c>
      <c r="D1296" s="104" t="s">
        <v>1002</v>
      </c>
      <c r="E1296" s="103">
        <v>2300</v>
      </c>
      <c r="F1296" s="102">
        <v>2</v>
      </c>
      <c r="G1296" s="208">
        <v>0.06</v>
      </c>
      <c r="H1296" s="102" t="s">
        <v>664</v>
      </c>
      <c r="I1296" s="103">
        <f t="shared" si="74"/>
        <v>600</v>
      </c>
      <c r="J1296" s="103">
        <f t="shared" si="75"/>
        <v>349.99999999999994</v>
      </c>
    </row>
    <row r="1297" spans="1:10">
      <c r="A1297" s="102"/>
      <c r="B1297" s="102"/>
      <c r="C1297" s="103">
        <v>30000</v>
      </c>
      <c r="D1297" s="104" t="s">
        <v>3150</v>
      </c>
      <c r="E1297" s="103">
        <v>1125</v>
      </c>
      <c r="F1297" s="102">
        <v>4</v>
      </c>
      <c r="G1297" s="208">
        <f>E1297/(C1297*H1297/30)</f>
        <v>7.4999999999999997E-2</v>
      </c>
      <c r="H1297" s="102">
        <v>15</v>
      </c>
      <c r="I1297" s="103">
        <f t="shared" si="74"/>
        <v>4500</v>
      </c>
      <c r="J1297" s="103">
        <f t="shared" si="75"/>
        <v>2999.9999999999995</v>
      </c>
    </row>
    <row r="1298" spans="1:10">
      <c r="A1298" s="102"/>
      <c r="B1298" s="102"/>
      <c r="C1298" s="103">
        <v>20000</v>
      </c>
      <c r="D1298" s="104" t="s">
        <v>3150</v>
      </c>
      <c r="E1298" s="103">
        <v>2300</v>
      </c>
      <c r="F1298" s="102">
        <v>10</v>
      </c>
      <c r="G1298" s="208">
        <v>0.06</v>
      </c>
      <c r="H1298" s="102" t="s">
        <v>664</v>
      </c>
      <c r="I1298" s="103">
        <f t="shared" si="74"/>
        <v>3000</v>
      </c>
      <c r="J1298" s="103">
        <f t="shared" si="75"/>
        <v>1749.9999999999995</v>
      </c>
    </row>
    <row r="1299" spans="1:10">
      <c r="A1299" s="102"/>
      <c r="B1299" s="102"/>
      <c r="C1299" s="103">
        <v>50000</v>
      </c>
      <c r="D1299" s="114" t="s">
        <v>736</v>
      </c>
      <c r="E1299" s="103">
        <v>1875</v>
      </c>
      <c r="F1299" s="102">
        <v>5</v>
      </c>
      <c r="G1299" s="208">
        <f t="shared" ref="G1299:G1304" si="76">E1299/(C1299*H1299/30)</f>
        <v>7.4999999999999997E-2</v>
      </c>
      <c r="H1299" s="102">
        <v>15</v>
      </c>
      <c r="I1299" s="103">
        <f t="shared" si="74"/>
        <v>9375</v>
      </c>
      <c r="J1299" s="103">
        <f t="shared" si="75"/>
        <v>6250</v>
      </c>
    </row>
    <row r="1300" spans="1:10">
      <c r="A1300" s="102"/>
      <c r="B1300" s="102"/>
      <c r="C1300" s="103">
        <v>30000</v>
      </c>
      <c r="D1300" s="104" t="s">
        <v>1685</v>
      </c>
      <c r="E1300" s="103">
        <v>1125</v>
      </c>
      <c r="F1300" s="102">
        <v>4</v>
      </c>
      <c r="G1300" s="208">
        <f t="shared" si="76"/>
        <v>7.4999999999999997E-2</v>
      </c>
      <c r="H1300" s="102">
        <v>15</v>
      </c>
      <c r="I1300" s="103">
        <f t="shared" si="74"/>
        <v>4500</v>
      </c>
      <c r="J1300" s="103">
        <f t="shared" si="75"/>
        <v>2999.9999999999995</v>
      </c>
    </row>
    <row r="1301" spans="1:10">
      <c r="A1301" s="102"/>
      <c r="B1301" s="102"/>
      <c r="C1301" s="103">
        <v>30000</v>
      </c>
      <c r="D1301" s="104" t="s">
        <v>1982</v>
      </c>
      <c r="E1301" s="103">
        <v>1125</v>
      </c>
      <c r="F1301" s="102">
        <v>3</v>
      </c>
      <c r="G1301" s="208">
        <f t="shared" si="76"/>
        <v>7.4999999999999997E-2</v>
      </c>
      <c r="H1301" s="102">
        <v>15</v>
      </c>
      <c r="I1301" s="103">
        <f t="shared" si="74"/>
        <v>3375</v>
      </c>
      <c r="J1301" s="103">
        <f t="shared" si="75"/>
        <v>2249.9999999999995</v>
      </c>
    </row>
    <row r="1302" spans="1:10">
      <c r="A1302" s="102"/>
      <c r="B1302" s="102"/>
      <c r="C1302" s="103">
        <v>50000</v>
      </c>
      <c r="D1302" s="104" t="s">
        <v>654</v>
      </c>
      <c r="E1302" s="103">
        <v>1875</v>
      </c>
      <c r="F1302" s="102">
        <v>2</v>
      </c>
      <c r="G1302" s="208">
        <f t="shared" si="76"/>
        <v>7.4999999999999997E-2</v>
      </c>
      <c r="H1302" s="102">
        <v>15</v>
      </c>
      <c r="I1302" s="103">
        <f t="shared" si="74"/>
        <v>3750</v>
      </c>
      <c r="J1302" s="103">
        <f t="shared" si="75"/>
        <v>2500</v>
      </c>
    </row>
    <row r="1303" spans="1:10">
      <c r="A1303" s="102"/>
      <c r="B1303" s="102"/>
      <c r="C1303" s="103">
        <v>50000</v>
      </c>
      <c r="D1303" s="114" t="s">
        <v>737</v>
      </c>
      <c r="E1303" s="103">
        <v>1875</v>
      </c>
      <c r="F1303" s="102">
        <v>4</v>
      </c>
      <c r="G1303" s="208">
        <f t="shared" si="76"/>
        <v>7.4999999999999997E-2</v>
      </c>
      <c r="H1303" s="102">
        <v>15</v>
      </c>
      <c r="I1303" s="103">
        <f t="shared" si="74"/>
        <v>7500</v>
      </c>
      <c r="J1303" s="103">
        <f t="shared" si="75"/>
        <v>5000</v>
      </c>
    </row>
    <row r="1304" spans="1:10">
      <c r="A1304" s="102"/>
      <c r="B1304" s="102"/>
      <c r="C1304" s="103">
        <v>30000</v>
      </c>
      <c r="D1304" s="114" t="s">
        <v>738</v>
      </c>
      <c r="E1304" s="103">
        <v>1125</v>
      </c>
      <c r="F1304" s="102">
        <v>4</v>
      </c>
      <c r="G1304" s="208">
        <f t="shared" si="76"/>
        <v>7.4999999999999997E-2</v>
      </c>
      <c r="H1304" s="102">
        <v>15</v>
      </c>
      <c r="I1304" s="103">
        <f t="shared" si="74"/>
        <v>4500</v>
      </c>
      <c r="J1304" s="103">
        <f t="shared" si="75"/>
        <v>2999.9999999999995</v>
      </c>
    </row>
    <row r="1305" spans="1:10">
      <c r="A1305" s="102"/>
      <c r="B1305" s="102"/>
      <c r="C1305" s="103">
        <v>20000</v>
      </c>
      <c r="D1305" s="104" t="s">
        <v>655</v>
      </c>
      <c r="E1305" s="103">
        <v>2300</v>
      </c>
      <c r="F1305" s="102">
        <v>5</v>
      </c>
      <c r="G1305" s="208">
        <v>0.06</v>
      </c>
      <c r="H1305" s="102" t="s">
        <v>664</v>
      </c>
      <c r="I1305" s="103">
        <f t="shared" si="74"/>
        <v>1500</v>
      </c>
      <c r="J1305" s="103">
        <f t="shared" si="75"/>
        <v>874.99999999999977</v>
      </c>
    </row>
    <row r="1306" spans="1:10">
      <c r="A1306" s="102"/>
      <c r="B1306" s="102"/>
      <c r="C1306" s="103">
        <v>30000</v>
      </c>
      <c r="D1306" s="104" t="s">
        <v>670</v>
      </c>
      <c r="E1306" s="103">
        <v>3450</v>
      </c>
      <c r="F1306" s="102">
        <v>4</v>
      </c>
      <c r="G1306" s="208">
        <v>0.06</v>
      </c>
      <c r="H1306" s="102" t="s">
        <v>2184</v>
      </c>
      <c r="I1306" s="103">
        <f t="shared" si="74"/>
        <v>1800</v>
      </c>
      <c r="J1306" s="103">
        <f t="shared" si="75"/>
        <v>1050</v>
      </c>
    </row>
    <row r="1307" spans="1:10">
      <c r="A1307" s="102"/>
      <c r="B1307" s="102"/>
      <c r="C1307" s="103">
        <v>50000</v>
      </c>
      <c r="D1307" s="114" t="s">
        <v>739</v>
      </c>
      <c r="E1307" s="103">
        <v>1875</v>
      </c>
      <c r="F1307" s="102">
        <v>5</v>
      </c>
      <c r="G1307" s="208">
        <f>E1307/(C1307*H1307/30)</f>
        <v>7.4999999999999997E-2</v>
      </c>
      <c r="H1307" s="102">
        <v>15</v>
      </c>
      <c r="I1307" s="103">
        <f t="shared" si="74"/>
        <v>9375</v>
      </c>
      <c r="J1307" s="103">
        <f t="shared" si="75"/>
        <v>6250</v>
      </c>
    </row>
    <row r="1308" spans="1:10">
      <c r="A1308" s="102"/>
      <c r="B1308" s="102"/>
      <c r="C1308" s="103">
        <v>90000</v>
      </c>
      <c r="D1308" s="104" t="s">
        <v>449</v>
      </c>
      <c r="E1308" s="103">
        <v>3375</v>
      </c>
      <c r="F1308" s="102">
        <v>5</v>
      </c>
      <c r="G1308" s="208">
        <v>7.4999999999999997E-2</v>
      </c>
      <c r="H1308" s="102">
        <v>15</v>
      </c>
      <c r="I1308" s="103">
        <f t="shared" si="74"/>
        <v>16875</v>
      </c>
      <c r="J1308" s="103">
        <f t="shared" si="75"/>
        <v>11250</v>
      </c>
    </row>
    <row r="1309" spans="1:10">
      <c r="A1309" s="102"/>
      <c r="B1309" s="102"/>
      <c r="C1309" s="103">
        <v>30000</v>
      </c>
      <c r="D1309" s="104" t="s">
        <v>418</v>
      </c>
      <c r="E1309" s="103">
        <v>1125</v>
      </c>
      <c r="F1309" s="102">
        <v>4</v>
      </c>
      <c r="G1309" s="208">
        <f t="shared" ref="G1309:G1314" si="77">E1309/(C1309*H1309/30)</f>
        <v>7.4999999999999997E-2</v>
      </c>
      <c r="H1309" s="102">
        <v>15</v>
      </c>
      <c r="I1309" s="103">
        <f t="shared" si="74"/>
        <v>4500</v>
      </c>
      <c r="J1309" s="103">
        <f t="shared" si="75"/>
        <v>2999.9999999999995</v>
      </c>
    </row>
    <row r="1310" spans="1:10">
      <c r="A1310" s="102"/>
      <c r="B1310" s="102"/>
      <c r="C1310" s="103">
        <v>20000</v>
      </c>
      <c r="D1310" s="114" t="s">
        <v>740</v>
      </c>
      <c r="E1310" s="103">
        <v>750</v>
      </c>
      <c r="F1310" s="102">
        <v>2</v>
      </c>
      <c r="G1310" s="208">
        <f t="shared" si="77"/>
        <v>7.4999999999999997E-2</v>
      </c>
      <c r="H1310" s="102">
        <v>15</v>
      </c>
      <c r="I1310" s="103">
        <f t="shared" si="74"/>
        <v>1500</v>
      </c>
      <c r="J1310" s="103">
        <f t="shared" si="75"/>
        <v>999.99999999999989</v>
      </c>
    </row>
    <row r="1311" spans="1:10">
      <c r="A1311" s="102"/>
      <c r="B1311" s="102"/>
      <c r="C1311" s="103">
        <v>30000</v>
      </c>
      <c r="D1311" s="104" t="s">
        <v>990</v>
      </c>
      <c r="E1311" s="103">
        <v>1125</v>
      </c>
      <c r="F1311" s="102">
        <v>4</v>
      </c>
      <c r="G1311" s="208">
        <f t="shared" si="77"/>
        <v>7.4999999999999997E-2</v>
      </c>
      <c r="H1311" s="102">
        <v>15</v>
      </c>
      <c r="I1311" s="103">
        <f t="shared" si="74"/>
        <v>4500</v>
      </c>
      <c r="J1311" s="103">
        <f t="shared" si="75"/>
        <v>2999.9999999999995</v>
      </c>
    </row>
    <row r="1312" spans="1:10">
      <c r="A1312" s="102"/>
      <c r="B1312" s="102"/>
      <c r="C1312" s="103">
        <v>19000</v>
      </c>
      <c r="D1312" s="104" t="s">
        <v>990</v>
      </c>
      <c r="E1312" s="103">
        <v>715</v>
      </c>
      <c r="F1312" s="102">
        <v>4</v>
      </c>
      <c r="G1312" s="208">
        <f t="shared" si="77"/>
        <v>7.5263157894736837E-2</v>
      </c>
      <c r="H1312" s="102">
        <v>15</v>
      </c>
      <c r="I1312" s="103">
        <f t="shared" si="74"/>
        <v>2860</v>
      </c>
      <c r="J1312" s="103">
        <f t="shared" si="75"/>
        <v>1909.9999999999998</v>
      </c>
    </row>
    <row r="1313" spans="1:10">
      <c r="A1313" s="102"/>
      <c r="B1313" s="102"/>
      <c r="C1313" s="103">
        <v>30900</v>
      </c>
      <c r="D1313" s="104" t="s">
        <v>993</v>
      </c>
      <c r="E1313" s="103">
        <v>1160</v>
      </c>
      <c r="F1313" s="102">
        <v>4</v>
      </c>
      <c r="G1313" s="208">
        <f t="shared" si="77"/>
        <v>7.508090614886731E-2</v>
      </c>
      <c r="H1313" s="102">
        <v>15</v>
      </c>
      <c r="I1313" s="103">
        <f t="shared" si="74"/>
        <v>4640</v>
      </c>
      <c r="J1313" s="103">
        <f t="shared" si="75"/>
        <v>3094.9999999999995</v>
      </c>
    </row>
    <row r="1314" spans="1:10">
      <c r="A1314" s="102"/>
      <c r="B1314" s="102"/>
      <c r="C1314" s="103">
        <v>50000</v>
      </c>
      <c r="D1314" s="104" t="s">
        <v>3181</v>
      </c>
      <c r="E1314" s="103">
        <v>1875</v>
      </c>
      <c r="F1314" s="102">
        <v>3</v>
      </c>
      <c r="G1314" s="208">
        <f t="shared" si="77"/>
        <v>7.4999999999999997E-2</v>
      </c>
      <c r="H1314" s="102">
        <v>15</v>
      </c>
      <c r="I1314" s="103">
        <f t="shared" si="74"/>
        <v>5625</v>
      </c>
      <c r="J1314" s="103">
        <f t="shared" si="75"/>
        <v>3750</v>
      </c>
    </row>
    <row r="1315" spans="1:10">
      <c r="A1315" s="102"/>
      <c r="B1315" s="102"/>
      <c r="C1315" s="103">
        <v>30000</v>
      </c>
      <c r="D1315" s="104" t="s">
        <v>230</v>
      </c>
      <c r="E1315" s="103">
        <v>3450</v>
      </c>
      <c r="F1315" s="102">
        <v>3</v>
      </c>
      <c r="G1315" s="208">
        <v>0.06</v>
      </c>
      <c r="H1315" s="102" t="s">
        <v>664</v>
      </c>
      <c r="I1315" s="103">
        <f t="shared" si="74"/>
        <v>1350</v>
      </c>
      <c r="J1315" s="103">
        <f t="shared" si="75"/>
        <v>787.5</v>
      </c>
    </row>
    <row r="1316" spans="1:10">
      <c r="A1316" s="102">
        <v>170</v>
      </c>
      <c r="B1316" s="102" t="s">
        <v>2637</v>
      </c>
      <c r="C1316" s="103">
        <v>10000</v>
      </c>
      <c r="D1316" s="104" t="s">
        <v>1991</v>
      </c>
      <c r="E1316" s="103">
        <v>1150</v>
      </c>
      <c r="F1316" s="102">
        <v>2</v>
      </c>
      <c r="G1316" s="208">
        <v>0.06</v>
      </c>
      <c r="H1316" s="102" t="s">
        <v>664</v>
      </c>
      <c r="I1316" s="103">
        <f t="shared" si="74"/>
        <v>300</v>
      </c>
      <c r="J1316" s="103">
        <f t="shared" si="75"/>
        <v>174.99999999999997</v>
      </c>
    </row>
    <row r="1317" spans="1:10">
      <c r="A1317" s="102"/>
      <c r="B1317" s="102"/>
      <c r="C1317" s="103">
        <v>40000</v>
      </c>
      <c r="D1317" s="104" t="s">
        <v>1991</v>
      </c>
      <c r="E1317" s="103">
        <v>1500</v>
      </c>
      <c r="F1317" s="102">
        <v>1</v>
      </c>
      <c r="G1317" s="208">
        <f>E1317/(C1317*H1317/30)</f>
        <v>7.4999999999999997E-2</v>
      </c>
      <c r="H1317" s="102">
        <v>15</v>
      </c>
      <c r="I1317" s="103">
        <f t="shared" si="74"/>
        <v>1500</v>
      </c>
      <c r="J1317" s="103">
        <f t="shared" si="75"/>
        <v>999.99999999999989</v>
      </c>
    </row>
    <row r="1318" spans="1:10">
      <c r="A1318" s="102"/>
      <c r="B1318" s="102"/>
      <c r="C1318" s="103">
        <v>30000</v>
      </c>
      <c r="D1318" s="104" t="s">
        <v>258</v>
      </c>
      <c r="E1318" s="103">
        <v>1125</v>
      </c>
      <c r="F1318" s="102">
        <v>3</v>
      </c>
      <c r="G1318" s="208">
        <f>E1318/(C1318*H1318/30)</f>
        <v>7.4999999999999997E-2</v>
      </c>
      <c r="H1318" s="102">
        <v>15</v>
      </c>
      <c r="I1318" s="103">
        <f t="shared" si="74"/>
        <v>3375</v>
      </c>
      <c r="J1318" s="103">
        <f t="shared" si="75"/>
        <v>2249.9999999999995</v>
      </c>
    </row>
    <row r="1319" spans="1:10">
      <c r="A1319" s="102">
        <v>171</v>
      </c>
      <c r="B1319" s="102" t="s">
        <v>2638</v>
      </c>
      <c r="C1319" s="103">
        <v>10000</v>
      </c>
      <c r="D1319" s="104" t="s">
        <v>1522</v>
      </c>
      <c r="E1319" s="103">
        <v>1150</v>
      </c>
      <c r="F1319" s="102">
        <v>4</v>
      </c>
      <c r="G1319" s="208">
        <v>0.06</v>
      </c>
      <c r="H1319" s="102" t="s">
        <v>664</v>
      </c>
      <c r="I1319" s="103">
        <f t="shared" si="74"/>
        <v>600</v>
      </c>
      <c r="J1319" s="103">
        <f t="shared" si="75"/>
        <v>349.99999999999994</v>
      </c>
    </row>
    <row r="1320" spans="1:10">
      <c r="A1320" s="102">
        <v>172</v>
      </c>
      <c r="B1320" s="128" t="s">
        <v>741</v>
      </c>
      <c r="C1320" s="103">
        <v>10000</v>
      </c>
      <c r="D1320" s="104" t="s">
        <v>1522</v>
      </c>
      <c r="E1320" s="103">
        <v>1150</v>
      </c>
      <c r="F1320" s="102">
        <v>10</v>
      </c>
      <c r="G1320" s="208">
        <v>0.06</v>
      </c>
      <c r="H1320" s="102" t="s">
        <v>1917</v>
      </c>
      <c r="I1320" s="103">
        <f>IF(H1320="分期",C1320*G1320*2.5*F1320/10,C1320*G1320*H1320/30*F1320)</f>
        <v>1500</v>
      </c>
      <c r="J1320" s="103">
        <f>IF(H1320="分期",C1320*(G1320-0.025)*2.5*F1320/10,C1320*(G1320-0.025)*H1320/30*F1320)</f>
        <v>874.99999999999977</v>
      </c>
    </row>
    <row r="1321" spans="1:10">
      <c r="A1321" s="102"/>
      <c r="B1321" s="102"/>
      <c r="C1321" s="103">
        <v>10000</v>
      </c>
      <c r="D1321" s="104" t="s">
        <v>452</v>
      </c>
      <c r="E1321" s="103">
        <v>1150</v>
      </c>
      <c r="F1321" s="102">
        <v>10</v>
      </c>
      <c r="G1321" s="208">
        <v>0.06</v>
      </c>
      <c r="H1321" s="102" t="s">
        <v>664</v>
      </c>
      <c r="I1321" s="103">
        <f t="shared" si="74"/>
        <v>1500</v>
      </c>
      <c r="J1321" s="103">
        <f t="shared" si="75"/>
        <v>874.99999999999977</v>
      </c>
    </row>
    <row r="1322" spans="1:10">
      <c r="A1322" s="102"/>
      <c r="B1322" s="102"/>
      <c r="C1322" s="103">
        <v>10000</v>
      </c>
      <c r="D1322" s="104" t="s">
        <v>1975</v>
      </c>
      <c r="E1322" s="103">
        <v>1150</v>
      </c>
      <c r="F1322" s="102">
        <v>1</v>
      </c>
      <c r="G1322" s="208">
        <v>0.06</v>
      </c>
      <c r="H1322" s="102" t="s">
        <v>664</v>
      </c>
      <c r="I1322" s="103">
        <f t="shared" si="74"/>
        <v>150</v>
      </c>
      <c r="J1322" s="103">
        <f t="shared" si="75"/>
        <v>87.499999999999986</v>
      </c>
    </row>
    <row r="1323" spans="1:10">
      <c r="A1323" s="102"/>
      <c r="B1323" s="102"/>
      <c r="C1323" s="103">
        <v>20000</v>
      </c>
      <c r="D1323" s="104" t="s">
        <v>1009</v>
      </c>
      <c r="E1323" s="103">
        <v>750</v>
      </c>
      <c r="F1323" s="102">
        <v>2</v>
      </c>
      <c r="G1323" s="208">
        <f t="shared" ref="G1323:G1330" si="78">E1323/(C1323*H1323/30)</f>
        <v>7.4999999999999997E-2</v>
      </c>
      <c r="H1323" s="102">
        <v>15</v>
      </c>
      <c r="I1323" s="103">
        <f t="shared" si="74"/>
        <v>1500</v>
      </c>
      <c r="J1323" s="103">
        <f t="shared" si="75"/>
        <v>999.99999999999989</v>
      </c>
    </row>
    <row r="1324" spans="1:10">
      <c r="A1324" s="102">
        <v>173</v>
      </c>
      <c r="B1324" s="102" t="s">
        <v>2639</v>
      </c>
      <c r="C1324" s="103">
        <v>10000</v>
      </c>
      <c r="D1324" s="104" t="s">
        <v>3158</v>
      </c>
      <c r="E1324" s="103">
        <v>375</v>
      </c>
      <c r="F1324" s="102">
        <v>38</v>
      </c>
      <c r="G1324" s="208">
        <f t="shared" si="78"/>
        <v>7.4999999999999997E-2</v>
      </c>
      <c r="H1324" s="102">
        <v>15</v>
      </c>
      <c r="I1324" s="103">
        <f t="shared" si="74"/>
        <v>14250</v>
      </c>
      <c r="J1324" s="103">
        <f t="shared" si="75"/>
        <v>9499.9999999999982</v>
      </c>
    </row>
    <row r="1325" spans="1:10">
      <c r="A1325" s="102">
        <v>174</v>
      </c>
      <c r="B1325" s="102" t="s">
        <v>2640</v>
      </c>
      <c r="C1325" s="103">
        <v>160000</v>
      </c>
      <c r="D1325" s="104" t="s">
        <v>655</v>
      </c>
      <c r="E1325" s="103">
        <v>6000</v>
      </c>
      <c r="F1325" s="102">
        <v>8</v>
      </c>
      <c r="G1325" s="208">
        <f t="shared" si="78"/>
        <v>7.4999999999999997E-2</v>
      </c>
      <c r="H1325" s="102">
        <v>15</v>
      </c>
      <c r="I1325" s="103">
        <f t="shared" si="74"/>
        <v>48000</v>
      </c>
      <c r="J1325" s="103">
        <f t="shared" si="75"/>
        <v>31999.999999999996</v>
      </c>
    </row>
    <row r="1326" spans="1:10">
      <c r="A1326" s="102">
        <v>176</v>
      </c>
      <c r="B1326" s="102" t="s">
        <v>2641</v>
      </c>
      <c r="C1326" s="103">
        <v>20000</v>
      </c>
      <c r="D1326" s="104" t="s">
        <v>963</v>
      </c>
      <c r="E1326" s="103">
        <v>750</v>
      </c>
      <c r="F1326" s="102">
        <v>37</v>
      </c>
      <c r="G1326" s="208">
        <f t="shared" si="78"/>
        <v>7.4999999999999997E-2</v>
      </c>
      <c r="H1326" s="102">
        <v>15</v>
      </c>
      <c r="I1326" s="103">
        <f t="shared" si="74"/>
        <v>27750</v>
      </c>
      <c r="J1326" s="103">
        <f t="shared" si="75"/>
        <v>18499.999999999996</v>
      </c>
    </row>
    <row r="1327" spans="1:10">
      <c r="A1327" s="102">
        <v>177</v>
      </c>
      <c r="B1327" s="102" t="s">
        <v>2642</v>
      </c>
      <c r="C1327" s="103">
        <v>30000</v>
      </c>
      <c r="D1327" s="104" t="s">
        <v>488</v>
      </c>
      <c r="E1327" s="103">
        <v>2250</v>
      </c>
      <c r="F1327" s="102">
        <v>9</v>
      </c>
      <c r="G1327" s="208">
        <f t="shared" si="78"/>
        <v>7.4999999999999997E-2</v>
      </c>
      <c r="H1327" s="102">
        <v>30</v>
      </c>
      <c r="I1327" s="103">
        <f t="shared" si="74"/>
        <v>20250</v>
      </c>
      <c r="J1327" s="103">
        <f t="shared" si="75"/>
        <v>13499.999999999998</v>
      </c>
    </row>
    <row r="1328" spans="1:10">
      <c r="A1328" s="102">
        <v>178</v>
      </c>
      <c r="B1328" s="102" t="s">
        <v>2643</v>
      </c>
      <c r="C1328" s="103">
        <v>60000</v>
      </c>
      <c r="D1328" s="104" t="s">
        <v>488</v>
      </c>
      <c r="E1328" s="103">
        <v>2250</v>
      </c>
      <c r="F1328" s="102">
        <v>2</v>
      </c>
      <c r="G1328" s="208">
        <f t="shared" si="78"/>
        <v>7.4999999999999997E-2</v>
      </c>
      <c r="H1328" s="102">
        <v>15</v>
      </c>
      <c r="I1328" s="103">
        <f t="shared" si="74"/>
        <v>4500</v>
      </c>
      <c r="J1328" s="103">
        <f t="shared" si="75"/>
        <v>2999.9999999999995</v>
      </c>
    </row>
    <row r="1329" spans="1:10">
      <c r="A1329" s="102"/>
      <c r="B1329" s="102"/>
      <c r="C1329" s="103">
        <v>45000</v>
      </c>
      <c r="D1329" s="104" t="s">
        <v>3170</v>
      </c>
      <c r="E1329" s="103">
        <v>1690</v>
      </c>
      <c r="F1329" s="102">
        <v>6</v>
      </c>
      <c r="G1329" s="208">
        <f t="shared" si="78"/>
        <v>7.5111111111111115E-2</v>
      </c>
      <c r="H1329" s="102">
        <v>15</v>
      </c>
      <c r="I1329" s="103">
        <f t="shared" si="74"/>
        <v>10140</v>
      </c>
      <c r="J1329" s="103">
        <f t="shared" si="75"/>
        <v>6765</v>
      </c>
    </row>
    <row r="1330" spans="1:10">
      <c r="A1330" s="102">
        <v>179</v>
      </c>
      <c r="B1330" s="102" t="s">
        <v>2644</v>
      </c>
      <c r="C1330" s="103">
        <v>80000</v>
      </c>
      <c r="D1330" s="104" t="s">
        <v>1521</v>
      </c>
      <c r="E1330" s="103">
        <v>3000</v>
      </c>
      <c r="F1330" s="102">
        <v>6</v>
      </c>
      <c r="G1330" s="208">
        <f t="shared" si="78"/>
        <v>7.4999999999999997E-2</v>
      </c>
      <c r="H1330" s="102">
        <v>15</v>
      </c>
      <c r="I1330" s="103">
        <f t="shared" si="74"/>
        <v>18000</v>
      </c>
      <c r="J1330" s="103">
        <f t="shared" si="75"/>
        <v>11999.999999999998</v>
      </c>
    </row>
    <row r="1331" spans="1:10">
      <c r="A1331" s="102"/>
      <c r="B1331" s="102"/>
      <c r="C1331" s="103">
        <v>20000</v>
      </c>
      <c r="D1331" s="104" t="s">
        <v>1521</v>
      </c>
      <c r="E1331" s="103">
        <v>2300</v>
      </c>
      <c r="F1331" s="102">
        <v>10</v>
      </c>
      <c r="G1331" s="208">
        <v>0.06</v>
      </c>
      <c r="H1331" s="102" t="s">
        <v>664</v>
      </c>
      <c r="I1331" s="103">
        <f t="shared" si="74"/>
        <v>3000</v>
      </c>
      <c r="J1331" s="103">
        <f t="shared" si="75"/>
        <v>1749.9999999999995</v>
      </c>
    </row>
    <row r="1332" spans="1:10">
      <c r="A1332" s="102">
        <v>180</v>
      </c>
      <c r="B1332" s="102" t="s">
        <v>0</v>
      </c>
      <c r="C1332" s="103">
        <v>20000</v>
      </c>
      <c r="D1332" s="104" t="s">
        <v>2333</v>
      </c>
      <c r="E1332" s="103">
        <v>2300</v>
      </c>
      <c r="F1332" s="102">
        <v>5</v>
      </c>
      <c r="G1332" s="208">
        <v>0.06</v>
      </c>
      <c r="H1332" s="102" t="s">
        <v>664</v>
      </c>
      <c r="I1332" s="103">
        <f t="shared" si="74"/>
        <v>1500</v>
      </c>
      <c r="J1332" s="103">
        <f t="shared" si="75"/>
        <v>874.99999999999977</v>
      </c>
    </row>
    <row r="1333" spans="1:10">
      <c r="A1333" s="102"/>
      <c r="B1333" s="102"/>
      <c r="C1333" s="103">
        <v>10000</v>
      </c>
      <c r="D1333" s="104" t="s">
        <v>2333</v>
      </c>
      <c r="E1333" s="103">
        <v>375</v>
      </c>
      <c r="F1333" s="102">
        <v>3</v>
      </c>
      <c r="G1333" s="208">
        <f>E1333/(C1333*H1333/30)</f>
        <v>7.4999999999999997E-2</v>
      </c>
      <c r="H1333" s="102">
        <v>15</v>
      </c>
      <c r="I1333" s="103">
        <f t="shared" si="74"/>
        <v>1125</v>
      </c>
      <c r="J1333" s="103">
        <f t="shared" si="75"/>
        <v>749.99999999999989</v>
      </c>
    </row>
    <row r="1334" spans="1:10">
      <c r="A1334" s="102">
        <v>181</v>
      </c>
      <c r="B1334" s="102" t="s">
        <v>2644</v>
      </c>
      <c r="C1334" s="103">
        <v>50000</v>
      </c>
      <c r="D1334" s="104" t="s">
        <v>686</v>
      </c>
      <c r="E1334" s="103">
        <v>1875</v>
      </c>
      <c r="F1334" s="102">
        <v>4</v>
      </c>
      <c r="G1334" s="208">
        <f>E1334/(C1334*H1334/30)</f>
        <v>7.4999999999999997E-2</v>
      </c>
      <c r="H1334" s="102">
        <v>15</v>
      </c>
      <c r="I1334" s="103">
        <f t="shared" si="74"/>
        <v>7500</v>
      </c>
      <c r="J1334" s="103">
        <f t="shared" si="75"/>
        <v>5000</v>
      </c>
    </row>
    <row r="1335" spans="1:10">
      <c r="A1335" s="102"/>
      <c r="B1335" s="102"/>
      <c r="C1335" s="103">
        <v>30000</v>
      </c>
      <c r="D1335" s="104" t="s">
        <v>670</v>
      </c>
      <c r="E1335" s="103">
        <v>3450</v>
      </c>
      <c r="F1335" s="102">
        <v>4</v>
      </c>
      <c r="G1335" s="208">
        <v>0.06</v>
      </c>
      <c r="H1335" s="102" t="s">
        <v>664</v>
      </c>
      <c r="I1335" s="103">
        <f t="shared" si="74"/>
        <v>1800</v>
      </c>
      <c r="J1335" s="103">
        <f t="shared" si="75"/>
        <v>1050</v>
      </c>
    </row>
    <row r="1336" spans="1:10">
      <c r="A1336" s="102"/>
      <c r="B1336" s="102"/>
      <c r="C1336" s="103">
        <v>20000</v>
      </c>
      <c r="D1336" s="104" t="s">
        <v>670</v>
      </c>
      <c r="E1336" s="103">
        <v>750</v>
      </c>
      <c r="F1336" s="102">
        <v>2</v>
      </c>
      <c r="G1336" s="208">
        <f>E1336/(C1336*H1336/30)</f>
        <v>7.4999999999999997E-2</v>
      </c>
      <c r="H1336" s="102">
        <v>15</v>
      </c>
      <c r="I1336" s="103">
        <f t="shared" si="74"/>
        <v>1500</v>
      </c>
      <c r="J1336" s="103">
        <f t="shared" si="75"/>
        <v>999.99999999999989</v>
      </c>
    </row>
    <row r="1337" spans="1:10">
      <c r="A1337" s="102"/>
      <c r="B1337" s="102"/>
      <c r="C1337" s="103">
        <v>30000</v>
      </c>
      <c r="D1337" s="104" t="s">
        <v>1974</v>
      </c>
      <c r="E1337" s="103">
        <v>1125</v>
      </c>
      <c r="F1337" s="102">
        <v>1</v>
      </c>
      <c r="G1337" s="208">
        <f>E1337/(C1337*H1337/30)</f>
        <v>7.4999999999999997E-2</v>
      </c>
      <c r="H1337" s="102">
        <v>15</v>
      </c>
      <c r="I1337" s="103">
        <f t="shared" si="74"/>
        <v>1125</v>
      </c>
      <c r="J1337" s="103">
        <f t="shared" si="75"/>
        <v>749.99999999999989</v>
      </c>
    </row>
    <row r="1338" spans="1:10">
      <c r="A1338" s="102"/>
      <c r="B1338" s="102"/>
      <c r="C1338" s="103">
        <v>40000</v>
      </c>
      <c r="D1338" s="104" t="s">
        <v>3111</v>
      </c>
      <c r="E1338" s="103">
        <v>1500</v>
      </c>
      <c r="F1338" s="102">
        <v>5</v>
      </c>
      <c r="G1338" s="208">
        <f>E1338/(C1338*H1338/30)</f>
        <v>7.4999999999999997E-2</v>
      </c>
      <c r="H1338" s="102">
        <v>15</v>
      </c>
      <c r="I1338" s="103">
        <f t="shared" si="74"/>
        <v>7500</v>
      </c>
      <c r="J1338" s="103">
        <f t="shared" si="75"/>
        <v>4999.9999999999991</v>
      </c>
    </row>
    <row r="1339" spans="1:10">
      <c r="A1339" s="102">
        <v>182</v>
      </c>
      <c r="B1339" s="102" t="s">
        <v>1</v>
      </c>
      <c r="C1339" s="103">
        <v>40000</v>
      </c>
      <c r="D1339" s="104" t="s">
        <v>258</v>
      </c>
      <c r="E1339" s="103">
        <v>1500</v>
      </c>
      <c r="F1339" s="102">
        <v>5</v>
      </c>
      <c r="G1339" s="208">
        <f>E1339/(C1339*H1339/30)</f>
        <v>7.4999999999999997E-2</v>
      </c>
      <c r="H1339" s="102">
        <v>15</v>
      </c>
      <c r="I1339" s="103">
        <f t="shared" si="74"/>
        <v>7500</v>
      </c>
      <c r="J1339" s="103">
        <f t="shared" si="75"/>
        <v>4999.9999999999991</v>
      </c>
    </row>
    <row r="1340" spans="1:10">
      <c r="A1340" s="102"/>
      <c r="B1340" s="102"/>
      <c r="C1340" s="103">
        <v>10000</v>
      </c>
      <c r="D1340" s="104" t="s">
        <v>444</v>
      </c>
      <c r="E1340" s="103">
        <v>1150</v>
      </c>
      <c r="F1340" s="102">
        <v>10</v>
      </c>
      <c r="G1340" s="208">
        <v>0.06</v>
      </c>
      <c r="H1340" s="102" t="s">
        <v>664</v>
      </c>
      <c r="I1340" s="103">
        <f t="shared" si="74"/>
        <v>1500</v>
      </c>
      <c r="J1340" s="103">
        <f t="shared" si="75"/>
        <v>874.99999999999977</v>
      </c>
    </row>
    <row r="1341" spans="1:10">
      <c r="A1341" s="102"/>
      <c r="B1341" s="102"/>
      <c r="C1341" s="103">
        <v>10000</v>
      </c>
      <c r="D1341" s="114" t="s">
        <v>55</v>
      </c>
      <c r="E1341" s="103">
        <v>1150</v>
      </c>
      <c r="F1341" s="102">
        <v>10</v>
      </c>
      <c r="G1341" s="208">
        <v>0.06</v>
      </c>
      <c r="H1341" s="102" t="s">
        <v>664</v>
      </c>
      <c r="I1341" s="103">
        <f t="shared" si="74"/>
        <v>1500</v>
      </c>
      <c r="J1341" s="103">
        <f t="shared" si="75"/>
        <v>874.99999999999977</v>
      </c>
    </row>
    <row r="1342" spans="1:10">
      <c r="A1342" s="102"/>
      <c r="B1342" s="102"/>
      <c r="C1342" s="103">
        <v>30000</v>
      </c>
      <c r="D1342" s="104" t="s">
        <v>1974</v>
      </c>
      <c r="E1342" s="103">
        <v>1125</v>
      </c>
      <c r="F1342" s="102">
        <v>7</v>
      </c>
      <c r="G1342" s="208">
        <f>E1342/(C1342*H1342/30)</f>
        <v>7.4999999999999997E-2</v>
      </c>
      <c r="H1342" s="102">
        <v>15</v>
      </c>
      <c r="I1342" s="103">
        <f t="shared" si="74"/>
        <v>7875</v>
      </c>
      <c r="J1342" s="103">
        <f t="shared" si="75"/>
        <v>5249.9999999999991</v>
      </c>
    </row>
    <row r="1343" spans="1:10">
      <c r="A1343" s="102"/>
      <c r="B1343" s="102"/>
      <c r="C1343" s="103">
        <v>20000</v>
      </c>
      <c r="D1343" s="104" t="s">
        <v>3181</v>
      </c>
      <c r="E1343" s="103">
        <v>2300</v>
      </c>
      <c r="F1343" s="102">
        <v>4</v>
      </c>
      <c r="G1343" s="208">
        <v>0.06</v>
      </c>
      <c r="H1343" s="102" t="s">
        <v>664</v>
      </c>
      <c r="I1343" s="103">
        <f t="shared" si="74"/>
        <v>1200</v>
      </c>
      <c r="J1343" s="103">
        <f t="shared" si="75"/>
        <v>699.99999999999989</v>
      </c>
    </row>
    <row r="1344" spans="1:10">
      <c r="A1344" s="102">
        <v>184</v>
      </c>
      <c r="B1344" s="102" t="s">
        <v>2</v>
      </c>
      <c r="C1344" s="103">
        <v>40000</v>
      </c>
      <c r="D1344" s="104" t="s">
        <v>3701</v>
      </c>
      <c r="E1344" s="103">
        <v>1500</v>
      </c>
      <c r="F1344" s="102">
        <v>10</v>
      </c>
      <c r="G1344" s="208">
        <f t="shared" ref="G1344:G1351" si="79">E1344/(C1344*H1344/30)</f>
        <v>7.4999999999999997E-2</v>
      </c>
      <c r="H1344" s="102">
        <v>15</v>
      </c>
      <c r="I1344" s="103">
        <f t="shared" si="74"/>
        <v>15000</v>
      </c>
      <c r="J1344" s="103">
        <f t="shared" si="75"/>
        <v>9999.9999999999982</v>
      </c>
    </row>
    <row r="1345" spans="1:10">
      <c r="A1345" s="102"/>
      <c r="B1345" s="102"/>
      <c r="C1345" s="103">
        <v>40000</v>
      </c>
      <c r="D1345" s="104" t="s">
        <v>3701</v>
      </c>
      <c r="E1345" s="103">
        <v>625</v>
      </c>
      <c r="F1345" s="102">
        <v>1</v>
      </c>
      <c r="G1345" s="208">
        <f t="shared" si="79"/>
        <v>3.125E-2</v>
      </c>
      <c r="H1345" s="102">
        <v>15</v>
      </c>
      <c r="I1345" s="103">
        <f t="shared" si="74"/>
        <v>625</v>
      </c>
      <c r="J1345" s="103">
        <f t="shared" si="75"/>
        <v>124.99999999999997</v>
      </c>
    </row>
    <row r="1346" spans="1:10">
      <c r="A1346" s="102"/>
      <c r="B1346" s="102"/>
      <c r="C1346" s="103">
        <v>10000</v>
      </c>
      <c r="D1346" s="104" t="s">
        <v>3111</v>
      </c>
      <c r="E1346" s="103">
        <v>375</v>
      </c>
      <c r="F1346" s="102">
        <v>2</v>
      </c>
      <c r="G1346" s="208">
        <f t="shared" si="79"/>
        <v>7.4999999999999997E-2</v>
      </c>
      <c r="H1346" s="102">
        <v>15</v>
      </c>
      <c r="I1346" s="103">
        <f t="shared" si="74"/>
        <v>750</v>
      </c>
      <c r="J1346" s="103">
        <f t="shared" si="75"/>
        <v>499.99999999999994</v>
      </c>
    </row>
    <row r="1347" spans="1:10">
      <c r="A1347" s="102"/>
      <c r="B1347" s="102"/>
      <c r="C1347" s="103">
        <v>200000</v>
      </c>
      <c r="D1347" s="114" t="s">
        <v>742</v>
      </c>
      <c r="E1347" s="103">
        <v>7500</v>
      </c>
      <c r="F1347" s="102">
        <v>7</v>
      </c>
      <c r="G1347" s="208">
        <f t="shared" si="79"/>
        <v>7.4999999999999997E-2</v>
      </c>
      <c r="H1347" s="102">
        <v>15</v>
      </c>
      <c r="I1347" s="103">
        <f t="shared" si="74"/>
        <v>52500</v>
      </c>
      <c r="J1347" s="103">
        <f t="shared" si="75"/>
        <v>35000</v>
      </c>
    </row>
    <row r="1348" spans="1:10">
      <c r="A1348" s="102"/>
      <c r="B1348" s="102"/>
      <c r="C1348" s="103">
        <v>35000</v>
      </c>
      <c r="D1348" s="104" t="s">
        <v>650</v>
      </c>
      <c r="E1348" s="103">
        <v>1315</v>
      </c>
      <c r="F1348" s="102">
        <v>4</v>
      </c>
      <c r="G1348" s="208">
        <f t="shared" si="79"/>
        <v>7.5142857142857136E-2</v>
      </c>
      <c r="H1348" s="102">
        <v>15</v>
      </c>
      <c r="I1348" s="103">
        <f t="shared" si="74"/>
        <v>5259.9999999999991</v>
      </c>
      <c r="J1348" s="103">
        <f t="shared" si="75"/>
        <v>3509.9999999999995</v>
      </c>
    </row>
    <row r="1349" spans="1:10">
      <c r="A1349" s="102">
        <v>186</v>
      </c>
      <c r="B1349" s="102" t="s">
        <v>3</v>
      </c>
      <c r="C1349" s="103">
        <v>10000</v>
      </c>
      <c r="D1349" s="104" t="s">
        <v>2599</v>
      </c>
      <c r="E1349" s="103">
        <v>375</v>
      </c>
      <c r="F1349" s="102">
        <v>5</v>
      </c>
      <c r="G1349" s="208">
        <f t="shared" si="79"/>
        <v>7.4999999999999997E-2</v>
      </c>
      <c r="H1349" s="102">
        <v>15</v>
      </c>
      <c r="I1349" s="103">
        <f t="shared" ref="I1349:I1412" si="80">IF(H1349="分期",C1349*G1349*2.5*F1349/10,C1349*G1349*H1349/30*F1349)</f>
        <v>1875</v>
      </c>
      <c r="J1349" s="103">
        <f t="shared" ref="J1349:J1412" si="81">IF(H1349="分期",C1349*(G1349-0.025)*2.5*F1349/10,C1349*(G1349-0.025)*H1349/30*F1349)</f>
        <v>1249.9999999999998</v>
      </c>
    </row>
    <row r="1350" spans="1:10">
      <c r="A1350" s="102"/>
      <c r="B1350" s="102"/>
      <c r="C1350" s="103">
        <v>10000</v>
      </c>
      <c r="D1350" s="104" t="s">
        <v>4</v>
      </c>
      <c r="E1350" s="103">
        <v>375</v>
      </c>
      <c r="F1350" s="102">
        <v>5</v>
      </c>
      <c r="G1350" s="208">
        <f t="shared" si="79"/>
        <v>7.4999999999999997E-2</v>
      </c>
      <c r="H1350" s="102">
        <v>15</v>
      </c>
      <c r="I1350" s="103">
        <f t="shared" si="80"/>
        <v>1875</v>
      </c>
      <c r="J1350" s="103">
        <f t="shared" si="81"/>
        <v>1249.9999999999998</v>
      </c>
    </row>
    <row r="1351" spans="1:10">
      <c r="A1351" s="102"/>
      <c r="B1351" s="102"/>
      <c r="C1351" s="103">
        <v>10000</v>
      </c>
      <c r="D1351" s="104" t="s">
        <v>3185</v>
      </c>
      <c r="E1351" s="103">
        <v>375</v>
      </c>
      <c r="F1351" s="102">
        <v>26</v>
      </c>
      <c r="G1351" s="208">
        <f t="shared" si="79"/>
        <v>7.4999999999999997E-2</v>
      </c>
      <c r="H1351" s="102">
        <v>15</v>
      </c>
      <c r="I1351" s="103">
        <f t="shared" si="80"/>
        <v>9750</v>
      </c>
      <c r="J1351" s="103">
        <f t="shared" si="81"/>
        <v>6499.9999999999991</v>
      </c>
    </row>
    <row r="1352" spans="1:10">
      <c r="A1352" s="102"/>
      <c r="B1352" s="102"/>
      <c r="C1352" s="103">
        <v>10000</v>
      </c>
      <c r="D1352" s="104" t="s">
        <v>491</v>
      </c>
      <c r="E1352" s="103">
        <v>1150</v>
      </c>
      <c r="F1352" s="102">
        <v>10</v>
      </c>
      <c r="G1352" s="208">
        <v>0.06</v>
      </c>
      <c r="H1352" s="102" t="s">
        <v>664</v>
      </c>
      <c r="I1352" s="103">
        <f t="shared" si="80"/>
        <v>1500</v>
      </c>
      <c r="J1352" s="103">
        <f t="shared" si="81"/>
        <v>874.99999999999977</v>
      </c>
    </row>
    <row r="1353" spans="1:10">
      <c r="A1353" s="102"/>
      <c r="B1353" s="102"/>
      <c r="C1353" s="103">
        <v>10000</v>
      </c>
      <c r="D1353" s="104" t="s">
        <v>974</v>
      </c>
      <c r="E1353" s="103">
        <v>1150</v>
      </c>
      <c r="F1353" s="102">
        <v>10</v>
      </c>
      <c r="G1353" s="208">
        <v>0.06</v>
      </c>
      <c r="H1353" s="102" t="s">
        <v>664</v>
      </c>
      <c r="I1353" s="103">
        <f t="shared" si="80"/>
        <v>1500</v>
      </c>
      <c r="J1353" s="103">
        <f t="shared" si="81"/>
        <v>874.99999999999977</v>
      </c>
    </row>
    <row r="1354" spans="1:10">
      <c r="A1354" s="102"/>
      <c r="B1354" s="102"/>
      <c r="C1354" s="103">
        <v>10000</v>
      </c>
      <c r="D1354" s="104" t="s">
        <v>3150</v>
      </c>
      <c r="E1354" s="103">
        <v>1150</v>
      </c>
      <c r="F1354" s="102">
        <v>10</v>
      </c>
      <c r="G1354" s="208">
        <v>0.06</v>
      </c>
      <c r="H1354" s="102" t="s">
        <v>664</v>
      </c>
      <c r="I1354" s="103">
        <f t="shared" si="80"/>
        <v>1500</v>
      </c>
      <c r="J1354" s="103">
        <f t="shared" si="81"/>
        <v>874.99999999999977</v>
      </c>
    </row>
    <row r="1355" spans="1:10">
      <c r="A1355" s="102"/>
      <c r="B1355" s="102"/>
      <c r="C1355" s="103">
        <v>10000</v>
      </c>
      <c r="D1355" s="104" t="s">
        <v>2532</v>
      </c>
      <c r="E1355" s="103">
        <v>1150</v>
      </c>
      <c r="F1355" s="102">
        <v>10</v>
      </c>
      <c r="G1355" s="208">
        <v>0.06</v>
      </c>
      <c r="H1355" s="102" t="s">
        <v>664</v>
      </c>
      <c r="I1355" s="103">
        <f t="shared" si="80"/>
        <v>1500</v>
      </c>
      <c r="J1355" s="103">
        <f t="shared" si="81"/>
        <v>874.99999999999977</v>
      </c>
    </row>
    <row r="1356" spans="1:10">
      <c r="A1356" s="102"/>
      <c r="B1356" s="102"/>
      <c r="C1356" s="103">
        <v>10000</v>
      </c>
      <c r="D1356" s="104" t="s">
        <v>3396</v>
      </c>
      <c r="E1356" s="103">
        <v>1150</v>
      </c>
      <c r="F1356" s="102">
        <v>10</v>
      </c>
      <c r="G1356" s="208">
        <v>0.06</v>
      </c>
      <c r="H1356" s="102" t="s">
        <v>664</v>
      </c>
      <c r="I1356" s="103">
        <f t="shared" si="80"/>
        <v>1500</v>
      </c>
      <c r="J1356" s="103">
        <f t="shared" si="81"/>
        <v>874.99999999999977</v>
      </c>
    </row>
    <row r="1357" spans="1:10">
      <c r="A1357" s="102"/>
      <c r="B1357" s="102"/>
      <c r="C1357" s="103">
        <v>10000</v>
      </c>
      <c r="D1357" s="104" t="s">
        <v>3415</v>
      </c>
      <c r="E1357" s="103">
        <v>1150</v>
      </c>
      <c r="F1357" s="102">
        <v>10</v>
      </c>
      <c r="G1357" s="208">
        <v>0.06</v>
      </c>
      <c r="H1357" s="102" t="s">
        <v>664</v>
      </c>
      <c r="I1357" s="103">
        <f t="shared" si="80"/>
        <v>1500</v>
      </c>
      <c r="J1357" s="103">
        <f t="shared" si="81"/>
        <v>874.99999999999977</v>
      </c>
    </row>
    <row r="1358" spans="1:10">
      <c r="A1358" s="102"/>
      <c r="B1358" s="102"/>
      <c r="C1358" s="103">
        <v>10000</v>
      </c>
      <c r="D1358" s="104" t="s">
        <v>1386</v>
      </c>
      <c r="E1358" s="103">
        <v>1150</v>
      </c>
      <c r="F1358" s="102">
        <v>10</v>
      </c>
      <c r="G1358" s="208">
        <v>0.06</v>
      </c>
      <c r="H1358" s="102" t="s">
        <v>664</v>
      </c>
      <c r="I1358" s="103">
        <f t="shared" si="80"/>
        <v>1500</v>
      </c>
      <c r="J1358" s="103">
        <f t="shared" si="81"/>
        <v>874.99999999999977</v>
      </c>
    </row>
    <row r="1359" spans="1:10">
      <c r="A1359" s="102"/>
      <c r="B1359" s="102"/>
      <c r="C1359" s="103">
        <v>10000</v>
      </c>
      <c r="D1359" s="104" t="s">
        <v>1707</v>
      </c>
      <c r="E1359" s="103">
        <v>1150</v>
      </c>
      <c r="F1359" s="102">
        <v>10</v>
      </c>
      <c r="G1359" s="208">
        <v>0.06</v>
      </c>
      <c r="H1359" s="102" t="s">
        <v>664</v>
      </c>
      <c r="I1359" s="103">
        <f t="shared" si="80"/>
        <v>1500</v>
      </c>
      <c r="J1359" s="103">
        <f t="shared" si="81"/>
        <v>874.99999999999977</v>
      </c>
    </row>
    <row r="1360" spans="1:10">
      <c r="A1360" s="102"/>
      <c r="B1360" s="102"/>
      <c r="C1360" s="103">
        <v>10000</v>
      </c>
      <c r="D1360" s="104" t="s">
        <v>1988</v>
      </c>
      <c r="E1360" s="103">
        <v>1150</v>
      </c>
      <c r="F1360" s="102">
        <v>10</v>
      </c>
      <c r="G1360" s="208">
        <v>0.06</v>
      </c>
      <c r="H1360" s="102" t="s">
        <v>664</v>
      </c>
      <c r="I1360" s="103">
        <f t="shared" si="80"/>
        <v>1500</v>
      </c>
      <c r="J1360" s="103">
        <f t="shared" si="81"/>
        <v>874.99999999999977</v>
      </c>
    </row>
    <row r="1361" spans="1:10">
      <c r="A1361" s="102"/>
      <c r="B1361" s="102"/>
      <c r="C1361" s="103">
        <v>10000</v>
      </c>
      <c r="D1361" s="104" t="s">
        <v>1960</v>
      </c>
      <c r="E1361" s="103">
        <v>1150</v>
      </c>
      <c r="F1361" s="102">
        <v>10</v>
      </c>
      <c r="G1361" s="208">
        <v>0.06</v>
      </c>
      <c r="H1361" s="102" t="s">
        <v>664</v>
      </c>
      <c r="I1361" s="103">
        <f t="shared" si="80"/>
        <v>1500</v>
      </c>
      <c r="J1361" s="103">
        <f t="shared" si="81"/>
        <v>874.99999999999977</v>
      </c>
    </row>
    <row r="1362" spans="1:10">
      <c r="A1362" s="102"/>
      <c r="B1362" s="102"/>
      <c r="C1362" s="103">
        <v>10000</v>
      </c>
      <c r="D1362" s="104" t="s">
        <v>577</v>
      </c>
      <c r="E1362" s="103">
        <v>1150</v>
      </c>
      <c r="F1362" s="102">
        <v>10</v>
      </c>
      <c r="G1362" s="208">
        <v>0.06</v>
      </c>
      <c r="H1362" s="102" t="s">
        <v>664</v>
      </c>
      <c r="I1362" s="103">
        <f t="shared" si="80"/>
        <v>1500</v>
      </c>
      <c r="J1362" s="103">
        <f t="shared" si="81"/>
        <v>874.99999999999977</v>
      </c>
    </row>
    <row r="1363" spans="1:10">
      <c r="A1363" s="102"/>
      <c r="B1363" s="102"/>
      <c r="C1363" s="103">
        <v>20000</v>
      </c>
      <c r="D1363" s="104" t="s">
        <v>1732</v>
      </c>
      <c r="E1363" s="103">
        <v>2300</v>
      </c>
      <c r="F1363" s="102">
        <v>4</v>
      </c>
      <c r="G1363" s="208">
        <v>0.06</v>
      </c>
      <c r="H1363" s="102" t="s">
        <v>664</v>
      </c>
      <c r="I1363" s="103">
        <f t="shared" si="80"/>
        <v>1200</v>
      </c>
      <c r="J1363" s="103">
        <f t="shared" si="81"/>
        <v>699.99999999999989</v>
      </c>
    </row>
    <row r="1364" spans="1:10">
      <c r="A1364" s="102">
        <v>187</v>
      </c>
      <c r="B1364" s="102" t="s">
        <v>5</v>
      </c>
      <c r="C1364" s="103">
        <v>50000</v>
      </c>
      <c r="D1364" s="104" t="s">
        <v>262</v>
      </c>
      <c r="E1364" s="103">
        <v>1875</v>
      </c>
      <c r="F1364" s="102">
        <v>11</v>
      </c>
      <c r="G1364" s="208">
        <f>E1364/(C1364*H1364/30)</f>
        <v>7.4999999999999997E-2</v>
      </c>
      <c r="H1364" s="102">
        <v>15</v>
      </c>
      <c r="I1364" s="103">
        <f t="shared" si="80"/>
        <v>20625</v>
      </c>
      <c r="J1364" s="103">
        <f t="shared" si="81"/>
        <v>13750</v>
      </c>
    </row>
    <row r="1365" spans="1:10">
      <c r="A1365" s="102">
        <v>188</v>
      </c>
      <c r="B1365" s="102" t="s">
        <v>6</v>
      </c>
      <c r="C1365" s="103">
        <v>10000</v>
      </c>
      <c r="D1365" s="104" t="s">
        <v>1668</v>
      </c>
      <c r="E1365" s="103">
        <v>375</v>
      </c>
      <c r="F1365" s="102">
        <v>4</v>
      </c>
      <c r="G1365" s="208">
        <f>E1365/(C1365*H1365/30)</f>
        <v>7.4999999999999997E-2</v>
      </c>
      <c r="H1365" s="102">
        <v>15</v>
      </c>
      <c r="I1365" s="103">
        <f t="shared" si="80"/>
        <v>1500</v>
      </c>
      <c r="J1365" s="103">
        <f t="shared" si="81"/>
        <v>999.99999999999989</v>
      </c>
    </row>
    <row r="1366" spans="1:10">
      <c r="A1366" s="102"/>
      <c r="B1366" s="102"/>
      <c r="C1366" s="103">
        <v>10000</v>
      </c>
      <c r="D1366" s="104" t="s">
        <v>1668</v>
      </c>
      <c r="E1366" s="103">
        <v>1150</v>
      </c>
      <c r="F1366" s="102">
        <v>10</v>
      </c>
      <c r="G1366" s="208">
        <v>0.06</v>
      </c>
      <c r="H1366" s="102" t="s">
        <v>664</v>
      </c>
      <c r="I1366" s="103">
        <f t="shared" si="80"/>
        <v>1500</v>
      </c>
      <c r="J1366" s="103">
        <f t="shared" si="81"/>
        <v>874.99999999999977</v>
      </c>
    </row>
    <row r="1367" spans="1:10">
      <c r="A1367" s="102"/>
      <c r="B1367" s="102"/>
      <c r="C1367" s="103">
        <v>10000</v>
      </c>
      <c r="D1367" s="104" t="s">
        <v>1683</v>
      </c>
      <c r="E1367" s="103">
        <v>1150</v>
      </c>
      <c r="F1367" s="102">
        <v>2</v>
      </c>
      <c r="G1367" s="208">
        <v>0.06</v>
      </c>
      <c r="H1367" s="102" t="s">
        <v>664</v>
      </c>
      <c r="I1367" s="103">
        <f t="shared" si="80"/>
        <v>300</v>
      </c>
      <c r="J1367" s="103">
        <f t="shared" si="81"/>
        <v>174.99999999999997</v>
      </c>
    </row>
    <row r="1368" spans="1:10">
      <c r="A1368" s="102"/>
      <c r="B1368" s="102"/>
      <c r="C1368" s="103">
        <v>20000</v>
      </c>
      <c r="D1368" s="104" t="s">
        <v>3703</v>
      </c>
      <c r="E1368" s="103">
        <v>750</v>
      </c>
      <c r="F1368" s="102">
        <v>3</v>
      </c>
      <c r="G1368" s="208">
        <f>E1368/(C1368*H1368/30)</f>
        <v>7.4999999999999997E-2</v>
      </c>
      <c r="H1368" s="102">
        <v>15</v>
      </c>
      <c r="I1368" s="103">
        <f t="shared" si="80"/>
        <v>2250</v>
      </c>
      <c r="J1368" s="103">
        <f t="shared" si="81"/>
        <v>1499.9999999999998</v>
      </c>
    </row>
    <row r="1369" spans="1:10">
      <c r="A1369" s="102"/>
      <c r="B1369" s="102"/>
      <c r="C1369" s="103">
        <v>10000</v>
      </c>
      <c r="D1369" s="104" t="s">
        <v>2361</v>
      </c>
      <c r="E1369" s="103">
        <v>1150</v>
      </c>
      <c r="F1369" s="102">
        <v>6</v>
      </c>
      <c r="G1369" s="208">
        <v>0.06</v>
      </c>
      <c r="H1369" s="102" t="s">
        <v>664</v>
      </c>
      <c r="I1369" s="103">
        <f t="shared" si="80"/>
        <v>900</v>
      </c>
      <c r="J1369" s="103">
        <f t="shared" si="81"/>
        <v>524.99999999999989</v>
      </c>
    </row>
    <row r="1370" spans="1:10">
      <c r="A1370" s="102">
        <v>189</v>
      </c>
      <c r="B1370" s="102" t="s">
        <v>7</v>
      </c>
      <c r="C1370" s="103">
        <v>20000</v>
      </c>
      <c r="D1370" s="104" t="s">
        <v>2622</v>
      </c>
      <c r="E1370" s="103">
        <v>750</v>
      </c>
      <c r="F1370" s="102">
        <v>10</v>
      </c>
      <c r="G1370" s="208">
        <f>E1370/(C1370*H1370/30)</f>
        <v>7.4999999999999997E-2</v>
      </c>
      <c r="H1370" s="102">
        <v>15</v>
      </c>
      <c r="I1370" s="103">
        <f t="shared" si="80"/>
        <v>7500</v>
      </c>
      <c r="J1370" s="103">
        <f t="shared" si="81"/>
        <v>4999.9999999999991</v>
      </c>
    </row>
    <row r="1371" spans="1:10">
      <c r="A1371" s="102"/>
      <c r="B1371" s="102"/>
      <c r="C1371" s="103">
        <v>10000</v>
      </c>
      <c r="D1371" s="104" t="s">
        <v>2622</v>
      </c>
      <c r="E1371" s="103">
        <v>1150</v>
      </c>
      <c r="F1371" s="102">
        <v>10</v>
      </c>
      <c r="G1371" s="208">
        <v>0.06</v>
      </c>
      <c r="H1371" s="102" t="s">
        <v>664</v>
      </c>
      <c r="I1371" s="103">
        <f t="shared" si="80"/>
        <v>1500</v>
      </c>
      <c r="J1371" s="103">
        <f t="shared" si="81"/>
        <v>874.99999999999977</v>
      </c>
    </row>
    <row r="1372" spans="1:10">
      <c r="A1372" s="102"/>
      <c r="B1372" s="102"/>
      <c r="C1372" s="103">
        <v>20000</v>
      </c>
      <c r="D1372" s="114" t="s">
        <v>743</v>
      </c>
      <c r="E1372" s="103">
        <v>750</v>
      </c>
      <c r="F1372" s="102">
        <v>7</v>
      </c>
      <c r="G1372" s="208">
        <f t="shared" ref="G1372:G1377" si="82">E1372/(C1372*H1372/30)</f>
        <v>7.4999999999999997E-2</v>
      </c>
      <c r="H1372" s="102">
        <v>15</v>
      </c>
      <c r="I1372" s="103">
        <f t="shared" si="80"/>
        <v>5250</v>
      </c>
      <c r="J1372" s="103">
        <f t="shared" si="81"/>
        <v>3499.9999999999995</v>
      </c>
    </row>
    <row r="1373" spans="1:10">
      <c r="A1373" s="102">
        <v>190</v>
      </c>
      <c r="B1373" s="102" t="s">
        <v>8</v>
      </c>
      <c r="C1373" s="103">
        <v>20000</v>
      </c>
      <c r="D1373" s="104" t="s">
        <v>499</v>
      </c>
      <c r="E1373" s="103">
        <v>750</v>
      </c>
      <c r="F1373" s="102">
        <v>2</v>
      </c>
      <c r="G1373" s="208">
        <f t="shared" si="82"/>
        <v>7.4999999999999997E-2</v>
      </c>
      <c r="H1373" s="102">
        <v>15</v>
      </c>
      <c r="I1373" s="103">
        <f t="shared" si="80"/>
        <v>1500</v>
      </c>
      <c r="J1373" s="103">
        <f t="shared" si="81"/>
        <v>999.99999999999989</v>
      </c>
    </row>
    <row r="1374" spans="1:10">
      <c r="A1374" s="102"/>
      <c r="B1374" s="102"/>
      <c r="C1374" s="103">
        <v>10000</v>
      </c>
      <c r="D1374" s="104" t="s">
        <v>242</v>
      </c>
      <c r="E1374" s="103">
        <v>375</v>
      </c>
      <c r="F1374" s="102">
        <v>1</v>
      </c>
      <c r="G1374" s="208">
        <f t="shared" si="82"/>
        <v>7.4999999999999997E-2</v>
      </c>
      <c r="H1374" s="102">
        <v>15</v>
      </c>
      <c r="I1374" s="103">
        <f t="shared" si="80"/>
        <v>375</v>
      </c>
      <c r="J1374" s="103">
        <f t="shared" si="81"/>
        <v>249.99999999999997</v>
      </c>
    </row>
    <row r="1375" spans="1:10">
      <c r="A1375" s="102">
        <v>191</v>
      </c>
      <c r="B1375" s="102" t="s">
        <v>9</v>
      </c>
      <c r="C1375" s="103">
        <v>20000</v>
      </c>
      <c r="D1375" s="104" t="s">
        <v>452</v>
      </c>
      <c r="E1375" s="103">
        <v>750</v>
      </c>
      <c r="F1375" s="102">
        <v>2</v>
      </c>
      <c r="G1375" s="208">
        <f t="shared" si="82"/>
        <v>7.4999999999999997E-2</v>
      </c>
      <c r="H1375" s="102">
        <v>15</v>
      </c>
      <c r="I1375" s="103">
        <f t="shared" si="80"/>
        <v>1500</v>
      </c>
      <c r="J1375" s="103">
        <f t="shared" si="81"/>
        <v>999.99999999999989</v>
      </c>
    </row>
    <row r="1376" spans="1:10">
      <c r="A1376" s="102"/>
      <c r="B1376" s="102"/>
      <c r="C1376" s="103">
        <v>5000</v>
      </c>
      <c r="D1376" s="104" t="s">
        <v>450</v>
      </c>
      <c r="E1376" s="103">
        <v>190</v>
      </c>
      <c r="F1376" s="102">
        <v>4</v>
      </c>
      <c r="G1376" s="208">
        <f t="shared" si="82"/>
        <v>7.5999999999999998E-2</v>
      </c>
      <c r="H1376" s="102">
        <v>15</v>
      </c>
      <c r="I1376" s="103">
        <f t="shared" si="80"/>
        <v>760</v>
      </c>
      <c r="J1376" s="103">
        <f t="shared" si="81"/>
        <v>509.99999999999994</v>
      </c>
    </row>
    <row r="1377" spans="1:10">
      <c r="A1377" s="102"/>
      <c r="B1377" s="102"/>
      <c r="C1377" s="103">
        <v>10000</v>
      </c>
      <c r="D1377" s="104" t="s">
        <v>2141</v>
      </c>
      <c r="E1377" s="103">
        <v>375</v>
      </c>
      <c r="F1377" s="102">
        <v>3</v>
      </c>
      <c r="G1377" s="208">
        <f t="shared" si="82"/>
        <v>7.4999999999999997E-2</v>
      </c>
      <c r="H1377" s="102">
        <v>15</v>
      </c>
      <c r="I1377" s="103">
        <f t="shared" si="80"/>
        <v>1125</v>
      </c>
      <c r="J1377" s="103">
        <f t="shared" si="81"/>
        <v>749.99999999999989</v>
      </c>
    </row>
    <row r="1378" spans="1:10">
      <c r="A1378" s="102"/>
      <c r="B1378" s="102"/>
      <c r="C1378" s="103">
        <v>10000</v>
      </c>
      <c r="D1378" s="104" t="s">
        <v>2327</v>
      </c>
      <c r="E1378" s="103">
        <v>1150</v>
      </c>
      <c r="F1378" s="102">
        <v>10</v>
      </c>
      <c r="G1378" s="208">
        <v>0.06</v>
      </c>
      <c r="H1378" s="102" t="s">
        <v>664</v>
      </c>
      <c r="I1378" s="103">
        <f t="shared" si="80"/>
        <v>1500</v>
      </c>
      <c r="J1378" s="103">
        <f t="shared" si="81"/>
        <v>874.99999999999977</v>
      </c>
    </row>
    <row r="1379" spans="1:10">
      <c r="A1379" s="102"/>
      <c r="B1379" s="102"/>
      <c r="C1379" s="103">
        <v>10000</v>
      </c>
      <c r="D1379" s="104" t="s">
        <v>980</v>
      </c>
      <c r="E1379" s="103">
        <v>1150</v>
      </c>
      <c r="F1379" s="102">
        <v>3</v>
      </c>
      <c r="G1379" s="208">
        <v>0.06</v>
      </c>
      <c r="H1379" s="102" t="s">
        <v>664</v>
      </c>
      <c r="I1379" s="103">
        <f t="shared" si="80"/>
        <v>450</v>
      </c>
      <c r="J1379" s="103">
        <f t="shared" si="81"/>
        <v>262.49999999999994</v>
      </c>
    </row>
    <row r="1380" spans="1:10">
      <c r="A1380" s="102">
        <v>192</v>
      </c>
      <c r="B1380" s="102" t="s">
        <v>10</v>
      </c>
      <c r="C1380" s="103">
        <v>20000</v>
      </c>
      <c r="D1380" s="104" t="s">
        <v>493</v>
      </c>
      <c r="E1380" s="103">
        <v>2300</v>
      </c>
      <c r="F1380" s="102">
        <v>10</v>
      </c>
      <c r="G1380" s="208">
        <v>0.06</v>
      </c>
      <c r="H1380" s="102" t="s">
        <v>664</v>
      </c>
      <c r="I1380" s="103">
        <f t="shared" si="80"/>
        <v>3000</v>
      </c>
      <c r="J1380" s="103">
        <f t="shared" si="81"/>
        <v>1749.9999999999995</v>
      </c>
    </row>
    <row r="1381" spans="1:10">
      <c r="A1381" s="102"/>
      <c r="B1381" s="102"/>
      <c r="C1381" s="103">
        <v>20000</v>
      </c>
      <c r="D1381" s="104" t="s">
        <v>3399</v>
      </c>
      <c r="E1381" s="103">
        <v>2300</v>
      </c>
      <c r="F1381" s="102">
        <v>10</v>
      </c>
      <c r="G1381" s="208">
        <v>0.06</v>
      </c>
      <c r="H1381" s="102" t="s">
        <v>664</v>
      </c>
      <c r="I1381" s="103">
        <f t="shared" si="80"/>
        <v>3000</v>
      </c>
      <c r="J1381" s="103">
        <f t="shared" si="81"/>
        <v>1749.9999999999995</v>
      </c>
    </row>
    <row r="1382" spans="1:10">
      <c r="A1382" s="102"/>
      <c r="B1382" s="102"/>
      <c r="C1382" s="103">
        <v>20000</v>
      </c>
      <c r="D1382" s="104" t="s">
        <v>970</v>
      </c>
      <c r="E1382" s="103">
        <v>2300</v>
      </c>
      <c r="F1382" s="102">
        <v>10</v>
      </c>
      <c r="G1382" s="208">
        <v>0.06</v>
      </c>
      <c r="H1382" s="102" t="s">
        <v>664</v>
      </c>
      <c r="I1382" s="103">
        <f t="shared" si="80"/>
        <v>3000</v>
      </c>
      <c r="J1382" s="103">
        <f t="shared" si="81"/>
        <v>1749.9999999999995</v>
      </c>
    </row>
    <row r="1383" spans="1:10">
      <c r="A1383" s="102"/>
      <c r="B1383" s="102"/>
      <c r="C1383" s="103">
        <v>20000</v>
      </c>
      <c r="D1383" s="104" t="s">
        <v>1534</v>
      </c>
      <c r="E1383" s="103">
        <v>2300</v>
      </c>
      <c r="F1383" s="102">
        <v>10</v>
      </c>
      <c r="G1383" s="208">
        <v>0.06</v>
      </c>
      <c r="H1383" s="102" t="s">
        <v>664</v>
      </c>
      <c r="I1383" s="103">
        <f t="shared" si="80"/>
        <v>3000</v>
      </c>
      <c r="J1383" s="103">
        <f t="shared" si="81"/>
        <v>1749.9999999999995</v>
      </c>
    </row>
    <row r="1384" spans="1:10">
      <c r="A1384" s="102"/>
      <c r="B1384" s="102"/>
      <c r="C1384" s="103">
        <v>20000</v>
      </c>
      <c r="D1384" s="104" t="s">
        <v>3154</v>
      </c>
      <c r="E1384" s="103">
        <v>750</v>
      </c>
      <c r="F1384" s="102">
        <v>18</v>
      </c>
      <c r="G1384" s="208">
        <f>E1384/(C1384*H1384/30)</f>
        <v>7.4999999999999997E-2</v>
      </c>
      <c r="H1384" s="102">
        <v>15</v>
      </c>
      <c r="I1384" s="103">
        <f t="shared" si="80"/>
        <v>13500</v>
      </c>
      <c r="J1384" s="103">
        <f t="shared" si="81"/>
        <v>8999.9999999999982</v>
      </c>
    </row>
    <row r="1385" spans="1:10">
      <c r="A1385" s="102"/>
      <c r="B1385" s="102"/>
      <c r="C1385" s="103">
        <v>20000</v>
      </c>
      <c r="D1385" s="104" t="s">
        <v>686</v>
      </c>
      <c r="E1385" s="103">
        <v>2300</v>
      </c>
      <c r="F1385" s="102">
        <v>7</v>
      </c>
      <c r="G1385" s="208">
        <v>0.06</v>
      </c>
      <c r="H1385" s="102" t="s">
        <v>664</v>
      </c>
      <c r="I1385" s="103">
        <f t="shared" si="80"/>
        <v>2100</v>
      </c>
      <c r="J1385" s="103">
        <f t="shared" si="81"/>
        <v>1224.9999999999998</v>
      </c>
    </row>
    <row r="1386" spans="1:10">
      <c r="A1386" s="102"/>
      <c r="B1386" s="102"/>
      <c r="C1386" s="103">
        <v>20000</v>
      </c>
      <c r="D1386" s="104" t="s">
        <v>244</v>
      </c>
      <c r="E1386" s="103">
        <v>750</v>
      </c>
      <c r="F1386" s="102">
        <v>9</v>
      </c>
      <c r="G1386" s="208">
        <f>E1386/(C1386*H1386/30)</f>
        <v>7.4999999999999997E-2</v>
      </c>
      <c r="H1386" s="102">
        <v>15</v>
      </c>
      <c r="I1386" s="103">
        <f t="shared" si="80"/>
        <v>6750</v>
      </c>
      <c r="J1386" s="103">
        <f t="shared" si="81"/>
        <v>4499.9999999999991</v>
      </c>
    </row>
    <row r="1387" spans="1:10">
      <c r="A1387" s="102"/>
      <c r="B1387" s="102"/>
      <c r="C1387" s="103">
        <v>10000</v>
      </c>
      <c r="D1387" s="104" t="s">
        <v>3124</v>
      </c>
      <c r="E1387" s="103">
        <v>375</v>
      </c>
      <c r="F1387" s="102">
        <v>11</v>
      </c>
      <c r="G1387" s="208">
        <f>E1387/(C1387*H1387/30)</f>
        <v>7.4999999999999997E-2</v>
      </c>
      <c r="H1387" s="102">
        <v>15</v>
      </c>
      <c r="I1387" s="103">
        <f t="shared" si="80"/>
        <v>4125</v>
      </c>
      <c r="J1387" s="103">
        <f t="shared" si="81"/>
        <v>2749.9999999999995</v>
      </c>
    </row>
    <row r="1388" spans="1:10">
      <c r="A1388" s="102"/>
      <c r="B1388" s="102"/>
      <c r="C1388" s="103">
        <v>10000</v>
      </c>
      <c r="D1388" s="104" t="s">
        <v>1709</v>
      </c>
      <c r="E1388" s="103">
        <v>1150</v>
      </c>
      <c r="F1388" s="102">
        <v>10</v>
      </c>
      <c r="G1388" s="208">
        <v>0.06</v>
      </c>
      <c r="H1388" s="102" t="s">
        <v>664</v>
      </c>
      <c r="I1388" s="103">
        <f t="shared" si="80"/>
        <v>1500</v>
      </c>
      <c r="J1388" s="103">
        <f t="shared" si="81"/>
        <v>874.99999999999977</v>
      </c>
    </row>
    <row r="1389" spans="1:10">
      <c r="A1389" s="102"/>
      <c r="B1389" s="102"/>
      <c r="C1389" s="103">
        <v>40000</v>
      </c>
      <c r="D1389" s="104" t="s">
        <v>2328</v>
      </c>
      <c r="E1389" s="103">
        <v>1500</v>
      </c>
      <c r="F1389" s="102">
        <v>6</v>
      </c>
      <c r="G1389" s="208">
        <f>E1389/(C1389*H1389/30)</f>
        <v>7.4999999999999997E-2</v>
      </c>
      <c r="H1389" s="102">
        <v>15</v>
      </c>
      <c r="I1389" s="103">
        <f t="shared" si="80"/>
        <v>9000</v>
      </c>
      <c r="J1389" s="103">
        <f t="shared" si="81"/>
        <v>5999.9999999999991</v>
      </c>
    </row>
    <row r="1390" spans="1:10">
      <c r="A1390" s="102">
        <v>193</v>
      </c>
      <c r="B1390" s="102" t="s">
        <v>11</v>
      </c>
      <c r="C1390" s="103">
        <v>40000</v>
      </c>
      <c r="D1390" s="104" t="s">
        <v>493</v>
      </c>
      <c r="E1390" s="103">
        <v>1500</v>
      </c>
      <c r="F1390" s="102">
        <v>9</v>
      </c>
      <c r="G1390" s="208">
        <f>E1390/(C1390*H1390/30)</f>
        <v>7.4999999999999997E-2</v>
      </c>
      <c r="H1390" s="102">
        <v>15</v>
      </c>
      <c r="I1390" s="103">
        <f t="shared" si="80"/>
        <v>13500</v>
      </c>
      <c r="J1390" s="103">
        <f t="shared" si="81"/>
        <v>8999.9999999999982</v>
      </c>
    </row>
    <row r="1391" spans="1:10">
      <c r="A1391" s="102"/>
      <c r="B1391" s="102"/>
      <c r="C1391" s="103">
        <v>30000</v>
      </c>
      <c r="D1391" s="104" t="s">
        <v>493</v>
      </c>
      <c r="E1391" s="103">
        <v>1125</v>
      </c>
      <c r="F1391" s="102">
        <v>5</v>
      </c>
      <c r="G1391" s="208">
        <f>E1391/(C1391*H1391/30)</f>
        <v>7.4999999999999997E-2</v>
      </c>
      <c r="H1391" s="102">
        <v>15</v>
      </c>
      <c r="I1391" s="103">
        <f t="shared" si="80"/>
        <v>5625</v>
      </c>
      <c r="J1391" s="103">
        <f t="shared" si="81"/>
        <v>3749.9999999999995</v>
      </c>
    </row>
    <row r="1392" spans="1:10">
      <c r="A1392" s="102"/>
      <c r="B1392" s="102"/>
      <c r="C1392" s="103">
        <v>20000</v>
      </c>
      <c r="D1392" s="104" t="s">
        <v>493</v>
      </c>
      <c r="E1392" s="103">
        <v>750</v>
      </c>
      <c r="F1392" s="102">
        <v>17</v>
      </c>
      <c r="G1392" s="208">
        <f>E1392/(C1392*H1392/30)</f>
        <v>7.4999999999999997E-2</v>
      </c>
      <c r="H1392" s="102">
        <v>15</v>
      </c>
      <c r="I1392" s="103">
        <f t="shared" si="80"/>
        <v>12750</v>
      </c>
      <c r="J1392" s="103">
        <f t="shared" si="81"/>
        <v>8499.9999999999982</v>
      </c>
    </row>
    <row r="1393" spans="1:10">
      <c r="A1393" s="102"/>
      <c r="B1393" s="102"/>
      <c r="C1393" s="103">
        <v>20000</v>
      </c>
      <c r="D1393" s="104" t="s">
        <v>493</v>
      </c>
      <c r="E1393" s="103">
        <v>2300</v>
      </c>
      <c r="F1393" s="102">
        <v>10</v>
      </c>
      <c r="G1393" s="208">
        <v>0.06</v>
      </c>
      <c r="H1393" s="102" t="s">
        <v>2184</v>
      </c>
      <c r="I1393" s="103">
        <f t="shared" si="80"/>
        <v>3000</v>
      </c>
      <c r="J1393" s="103">
        <f t="shared" si="81"/>
        <v>1749.9999999999995</v>
      </c>
    </row>
    <row r="1394" spans="1:10">
      <c r="A1394" s="102"/>
      <c r="B1394" s="102"/>
      <c r="C1394" s="103">
        <v>20000</v>
      </c>
      <c r="D1394" s="104" t="s">
        <v>1977</v>
      </c>
      <c r="E1394" s="103">
        <v>2300</v>
      </c>
      <c r="F1394" s="102">
        <v>10</v>
      </c>
      <c r="G1394" s="208">
        <v>0.06</v>
      </c>
      <c r="H1394" s="102" t="s">
        <v>664</v>
      </c>
      <c r="I1394" s="103">
        <f t="shared" si="80"/>
        <v>3000</v>
      </c>
      <c r="J1394" s="103">
        <f t="shared" si="81"/>
        <v>1749.9999999999995</v>
      </c>
    </row>
    <row r="1395" spans="1:10">
      <c r="A1395" s="102"/>
      <c r="B1395" s="102"/>
      <c r="C1395" s="103">
        <v>10000</v>
      </c>
      <c r="D1395" s="104" t="s">
        <v>238</v>
      </c>
      <c r="E1395" s="103">
        <v>1150</v>
      </c>
      <c r="F1395" s="102">
        <v>10</v>
      </c>
      <c r="G1395" s="208">
        <v>0.06</v>
      </c>
      <c r="H1395" s="102" t="s">
        <v>664</v>
      </c>
      <c r="I1395" s="103">
        <f t="shared" si="80"/>
        <v>1500</v>
      </c>
      <c r="J1395" s="103">
        <f t="shared" si="81"/>
        <v>874.99999999999977</v>
      </c>
    </row>
    <row r="1396" spans="1:10">
      <c r="A1396" s="102"/>
      <c r="B1396" s="102"/>
      <c r="C1396" s="103">
        <v>10000</v>
      </c>
      <c r="D1396" s="104" t="s">
        <v>230</v>
      </c>
      <c r="E1396" s="103">
        <v>1150</v>
      </c>
      <c r="F1396" s="102">
        <v>10</v>
      </c>
      <c r="G1396" s="208">
        <v>0.06</v>
      </c>
      <c r="H1396" s="102" t="s">
        <v>664</v>
      </c>
      <c r="I1396" s="103">
        <f t="shared" si="80"/>
        <v>1500</v>
      </c>
      <c r="J1396" s="103">
        <f t="shared" si="81"/>
        <v>874.99999999999977</v>
      </c>
    </row>
    <row r="1397" spans="1:10">
      <c r="A1397" s="102"/>
      <c r="B1397" s="102"/>
      <c r="C1397" s="103">
        <v>10000</v>
      </c>
      <c r="D1397" s="114" t="s">
        <v>744</v>
      </c>
      <c r="E1397" s="103">
        <v>1150</v>
      </c>
      <c r="F1397" s="102">
        <v>10</v>
      </c>
      <c r="G1397" s="208">
        <v>0.06</v>
      </c>
      <c r="H1397" s="102" t="s">
        <v>664</v>
      </c>
      <c r="I1397" s="103">
        <f t="shared" si="80"/>
        <v>1500</v>
      </c>
      <c r="J1397" s="103">
        <f t="shared" si="81"/>
        <v>874.99999999999977</v>
      </c>
    </row>
    <row r="1398" spans="1:10">
      <c r="A1398" s="102"/>
      <c r="B1398" s="102"/>
      <c r="C1398" s="103">
        <v>10000</v>
      </c>
      <c r="D1398" s="104" t="s">
        <v>667</v>
      </c>
      <c r="E1398" s="103">
        <v>375</v>
      </c>
      <c r="F1398" s="102">
        <v>19</v>
      </c>
      <c r="G1398" s="208">
        <f>E1398/(C1398*H1398/30)</f>
        <v>7.4999999999999997E-2</v>
      </c>
      <c r="H1398" s="102">
        <v>15</v>
      </c>
      <c r="I1398" s="103">
        <f t="shared" si="80"/>
        <v>7125</v>
      </c>
      <c r="J1398" s="103">
        <f t="shared" si="81"/>
        <v>4749.9999999999991</v>
      </c>
    </row>
    <row r="1399" spans="1:10">
      <c r="A1399" s="102"/>
      <c r="B1399" s="102"/>
      <c r="C1399" s="103">
        <v>10000</v>
      </c>
      <c r="D1399" s="104" t="s">
        <v>456</v>
      </c>
      <c r="E1399" s="103">
        <v>1150</v>
      </c>
      <c r="F1399" s="102">
        <v>10</v>
      </c>
      <c r="G1399" s="208">
        <v>0.06</v>
      </c>
      <c r="H1399" s="102" t="s">
        <v>664</v>
      </c>
      <c r="I1399" s="103">
        <f t="shared" si="80"/>
        <v>1500</v>
      </c>
      <c r="J1399" s="103">
        <f t="shared" si="81"/>
        <v>874.99999999999977</v>
      </c>
    </row>
    <row r="1400" spans="1:10">
      <c r="A1400" s="102"/>
      <c r="B1400" s="102"/>
      <c r="C1400" s="103">
        <v>10000</v>
      </c>
      <c r="D1400" s="104" t="s">
        <v>673</v>
      </c>
      <c r="E1400" s="103">
        <v>1150</v>
      </c>
      <c r="F1400" s="102">
        <v>10</v>
      </c>
      <c r="G1400" s="208">
        <v>0.06</v>
      </c>
      <c r="H1400" s="102" t="s">
        <v>664</v>
      </c>
      <c r="I1400" s="103">
        <f t="shared" si="80"/>
        <v>1500</v>
      </c>
      <c r="J1400" s="103">
        <f t="shared" si="81"/>
        <v>874.99999999999977</v>
      </c>
    </row>
    <row r="1401" spans="1:10">
      <c r="A1401" s="102"/>
      <c r="B1401" s="102"/>
      <c r="C1401" s="103">
        <v>20000</v>
      </c>
      <c r="D1401" s="104" t="s">
        <v>2620</v>
      </c>
      <c r="E1401" s="103">
        <v>750</v>
      </c>
      <c r="F1401" s="102">
        <v>9</v>
      </c>
      <c r="G1401" s="208">
        <f>E1401/(C1401*H1401/30)</f>
        <v>7.4999999999999997E-2</v>
      </c>
      <c r="H1401" s="102">
        <v>15</v>
      </c>
      <c r="I1401" s="103">
        <f t="shared" si="80"/>
        <v>6750</v>
      </c>
      <c r="J1401" s="103">
        <f t="shared" si="81"/>
        <v>4499.9999999999991</v>
      </c>
    </row>
    <row r="1402" spans="1:10">
      <c r="A1402" s="102"/>
      <c r="B1402" s="102"/>
      <c r="C1402" s="103">
        <v>10000</v>
      </c>
      <c r="D1402" s="104" t="s">
        <v>656</v>
      </c>
      <c r="E1402" s="103">
        <v>1150</v>
      </c>
      <c r="F1402" s="102">
        <v>10</v>
      </c>
      <c r="G1402" s="208">
        <v>0.06</v>
      </c>
      <c r="H1402" s="102" t="s">
        <v>664</v>
      </c>
      <c r="I1402" s="103">
        <f t="shared" si="80"/>
        <v>1500</v>
      </c>
      <c r="J1402" s="103">
        <f t="shared" si="81"/>
        <v>874.99999999999977</v>
      </c>
    </row>
    <row r="1403" spans="1:10">
      <c r="A1403" s="102"/>
      <c r="B1403" s="102"/>
      <c r="C1403" s="103">
        <v>10000</v>
      </c>
      <c r="D1403" s="104" t="s">
        <v>2344</v>
      </c>
      <c r="E1403" s="103">
        <v>375</v>
      </c>
      <c r="F1403" s="102">
        <v>6</v>
      </c>
      <c r="G1403" s="208">
        <f>E1403/(C1403*H1403/30)</f>
        <v>7.4999999999999997E-2</v>
      </c>
      <c r="H1403" s="102">
        <v>15</v>
      </c>
      <c r="I1403" s="103">
        <f t="shared" si="80"/>
        <v>2250</v>
      </c>
      <c r="J1403" s="103">
        <f t="shared" si="81"/>
        <v>1499.9999999999998</v>
      </c>
    </row>
    <row r="1404" spans="1:10">
      <c r="A1404" s="102"/>
      <c r="B1404" s="102"/>
      <c r="C1404" s="103">
        <v>10000</v>
      </c>
      <c r="D1404" s="104" t="s">
        <v>2361</v>
      </c>
      <c r="E1404" s="103">
        <v>1150</v>
      </c>
      <c r="F1404" s="102">
        <v>7</v>
      </c>
      <c r="G1404" s="208">
        <v>0.06</v>
      </c>
      <c r="H1404" s="102" t="s">
        <v>664</v>
      </c>
      <c r="I1404" s="103">
        <f t="shared" si="80"/>
        <v>1050</v>
      </c>
      <c r="J1404" s="103">
        <f t="shared" si="81"/>
        <v>612.49999999999989</v>
      </c>
    </row>
    <row r="1405" spans="1:10">
      <c r="A1405" s="102">
        <v>194</v>
      </c>
      <c r="B1405" s="102" t="s">
        <v>12</v>
      </c>
      <c r="C1405" s="103">
        <v>30000</v>
      </c>
      <c r="D1405" s="104" t="s">
        <v>493</v>
      </c>
      <c r="E1405" s="103">
        <v>3450</v>
      </c>
      <c r="F1405" s="102">
        <v>10</v>
      </c>
      <c r="G1405" s="208">
        <v>0.06</v>
      </c>
      <c r="H1405" s="102" t="s">
        <v>664</v>
      </c>
      <c r="I1405" s="103">
        <f t="shared" si="80"/>
        <v>4500</v>
      </c>
      <c r="J1405" s="103">
        <f t="shared" si="81"/>
        <v>2625</v>
      </c>
    </row>
    <row r="1406" spans="1:10">
      <c r="A1406" s="102"/>
      <c r="B1406" s="102"/>
      <c r="C1406" s="103">
        <v>20000</v>
      </c>
      <c r="D1406" s="104" t="s">
        <v>446</v>
      </c>
      <c r="E1406" s="103">
        <v>750</v>
      </c>
      <c r="F1406" s="102">
        <v>18</v>
      </c>
      <c r="G1406" s="208">
        <f>E1406/(C1406*H1406/30)</f>
        <v>7.4999999999999997E-2</v>
      </c>
      <c r="H1406" s="102">
        <v>15</v>
      </c>
      <c r="I1406" s="103">
        <f t="shared" si="80"/>
        <v>13500</v>
      </c>
      <c r="J1406" s="103">
        <f t="shared" si="81"/>
        <v>8999.9999999999982</v>
      </c>
    </row>
    <row r="1407" spans="1:10">
      <c r="A1407" s="102"/>
      <c r="B1407" s="102"/>
      <c r="C1407" s="103">
        <v>10000</v>
      </c>
      <c r="D1407" s="104" t="s">
        <v>3127</v>
      </c>
      <c r="E1407" s="103">
        <v>1150</v>
      </c>
      <c r="F1407" s="102">
        <v>10</v>
      </c>
      <c r="G1407" s="208">
        <v>0.06</v>
      </c>
      <c r="H1407" s="102" t="s">
        <v>664</v>
      </c>
      <c r="I1407" s="103">
        <f t="shared" si="80"/>
        <v>1500</v>
      </c>
      <c r="J1407" s="103">
        <f t="shared" si="81"/>
        <v>874.99999999999977</v>
      </c>
    </row>
    <row r="1408" spans="1:10">
      <c r="A1408" s="102"/>
      <c r="B1408" s="102"/>
      <c r="C1408" s="103">
        <v>25000</v>
      </c>
      <c r="D1408" s="104" t="s">
        <v>652</v>
      </c>
      <c r="E1408" s="103">
        <v>2900</v>
      </c>
      <c r="F1408" s="102">
        <v>10</v>
      </c>
      <c r="G1408" s="208">
        <v>0.06</v>
      </c>
      <c r="H1408" s="102" t="s">
        <v>664</v>
      </c>
      <c r="I1408" s="103">
        <f t="shared" si="80"/>
        <v>3750</v>
      </c>
      <c r="J1408" s="103">
        <f t="shared" si="81"/>
        <v>2187.4999999999995</v>
      </c>
    </row>
    <row r="1409" spans="1:10">
      <c r="A1409" s="102"/>
      <c r="B1409" s="102"/>
      <c r="C1409" s="103">
        <v>10000</v>
      </c>
      <c r="D1409" s="104" t="s">
        <v>988</v>
      </c>
      <c r="E1409" s="103">
        <v>1150</v>
      </c>
      <c r="F1409" s="102">
        <v>10</v>
      </c>
      <c r="G1409" s="208">
        <v>0.06</v>
      </c>
      <c r="H1409" s="102" t="s">
        <v>664</v>
      </c>
      <c r="I1409" s="103">
        <f t="shared" si="80"/>
        <v>1500</v>
      </c>
      <c r="J1409" s="103">
        <f t="shared" si="81"/>
        <v>874.99999999999977</v>
      </c>
    </row>
    <row r="1410" spans="1:10">
      <c r="A1410" s="102"/>
      <c r="B1410" s="102"/>
      <c r="C1410" s="103">
        <v>25000</v>
      </c>
      <c r="D1410" s="104" t="s">
        <v>498</v>
      </c>
      <c r="E1410" s="103">
        <v>940</v>
      </c>
      <c r="F1410" s="102">
        <v>5</v>
      </c>
      <c r="G1410" s="208">
        <f>E1410/(C1410*H1410/30)</f>
        <v>7.5200000000000003E-2</v>
      </c>
      <c r="H1410" s="102">
        <v>15</v>
      </c>
      <c r="I1410" s="103">
        <f t="shared" si="80"/>
        <v>4700</v>
      </c>
      <c r="J1410" s="103">
        <f t="shared" si="81"/>
        <v>3137.5</v>
      </c>
    </row>
    <row r="1411" spans="1:10">
      <c r="A1411" s="102"/>
      <c r="B1411" s="102"/>
      <c r="C1411" s="103">
        <v>20000</v>
      </c>
      <c r="D1411" s="104" t="s">
        <v>498</v>
      </c>
      <c r="E1411" s="103">
        <v>2300</v>
      </c>
      <c r="F1411" s="102">
        <v>10</v>
      </c>
      <c r="G1411" s="208">
        <v>0.06</v>
      </c>
      <c r="H1411" s="102" t="s">
        <v>664</v>
      </c>
      <c r="I1411" s="103">
        <f t="shared" si="80"/>
        <v>3000</v>
      </c>
      <c r="J1411" s="103">
        <f t="shared" si="81"/>
        <v>1749.9999999999995</v>
      </c>
    </row>
    <row r="1412" spans="1:10">
      <c r="A1412" s="102"/>
      <c r="B1412" s="102"/>
      <c r="C1412" s="103">
        <v>5000</v>
      </c>
      <c r="D1412" s="104" t="s">
        <v>3406</v>
      </c>
      <c r="E1412" s="103">
        <v>190</v>
      </c>
      <c r="F1412" s="102">
        <v>4</v>
      </c>
      <c r="G1412" s="208">
        <f>E1412/(C1412*H1412/30)</f>
        <v>7.5999999999999998E-2</v>
      </c>
      <c r="H1412" s="102">
        <v>15</v>
      </c>
      <c r="I1412" s="103">
        <f t="shared" si="80"/>
        <v>760</v>
      </c>
      <c r="J1412" s="103">
        <f t="shared" si="81"/>
        <v>509.99999999999994</v>
      </c>
    </row>
    <row r="1413" spans="1:10">
      <c r="A1413" s="102">
        <v>195</v>
      </c>
      <c r="B1413" s="102" t="s">
        <v>13</v>
      </c>
      <c r="C1413" s="103">
        <v>20000</v>
      </c>
      <c r="D1413" s="104" t="s">
        <v>493</v>
      </c>
      <c r="E1413" s="103">
        <v>2300</v>
      </c>
      <c r="F1413" s="102">
        <v>10</v>
      </c>
      <c r="G1413" s="208">
        <v>0.06</v>
      </c>
      <c r="H1413" s="102" t="s">
        <v>664</v>
      </c>
      <c r="I1413" s="103">
        <f t="shared" ref="I1413:I1476" si="83">IF(H1413="分期",C1413*G1413*2.5*F1413/10,C1413*G1413*H1413/30*F1413)</f>
        <v>3000</v>
      </c>
      <c r="J1413" s="103">
        <f t="shared" ref="J1413:J1476" si="84">IF(H1413="分期",C1413*(G1413-0.025)*2.5*F1413/10,C1413*(G1413-0.025)*H1413/30*F1413)</f>
        <v>1749.9999999999995</v>
      </c>
    </row>
    <row r="1414" spans="1:10">
      <c r="A1414" s="102"/>
      <c r="B1414" s="102"/>
      <c r="C1414" s="103">
        <v>10000</v>
      </c>
      <c r="D1414" s="104" t="s">
        <v>493</v>
      </c>
      <c r="E1414" s="103">
        <v>375</v>
      </c>
      <c r="F1414" s="102">
        <v>5</v>
      </c>
      <c r="G1414" s="208">
        <f>E1414/(C1414*H1414/30)</f>
        <v>7.4999999999999997E-2</v>
      </c>
      <c r="H1414" s="102">
        <v>15</v>
      </c>
      <c r="I1414" s="103">
        <f t="shared" si="83"/>
        <v>1875</v>
      </c>
      <c r="J1414" s="103">
        <f t="shared" si="84"/>
        <v>1249.9999999999998</v>
      </c>
    </row>
    <row r="1415" spans="1:10">
      <c r="A1415" s="102"/>
      <c r="B1415" s="102"/>
      <c r="C1415" s="103">
        <v>15000</v>
      </c>
      <c r="D1415" s="114" t="s">
        <v>745</v>
      </c>
      <c r="E1415" s="103">
        <v>565</v>
      </c>
      <c r="F1415" s="102">
        <v>2</v>
      </c>
      <c r="G1415" s="208">
        <f>E1415/(C1415*H1415/30)</f>
        <v>7.5333333333333335E-2</v>
      </c>
      <c r="H1415" s="102">
        <v>15</v>
      </c>
      <c r="I1415" s="103">
        <f t="shared" si="83"/>
        <v>1130</v>
      </c>
      <c r="J1415" s="103">
        <f t="shared" si="84"/>
        <v>755</v>
      </c>
    </row>
    <row r="1416" spans="1:10">
      <c r="A1416" s="102"/>
      <c r="B1416" s="102"/>
      <c r="C1416" s="103">
        <v>20000</v>
      </c>
      <c r="D1416" s="104" t="s">
        <v>1693</v>
      </c>
      <c r="E1416" s="103">
        <v>2300</v>
      </c>
      <c r="F1416" s="102">
        <v>10</v>
      </c>
      <c r="G1416" s="208">
        <v>0.06</v>
      </c>
      <c r="H1416" s="102" t="s">
        <v>664</v>
      </c>
      <c r="I1416" s="103">
        <f t="shared" si="83"/>
        <v>3000</v>
      </c>
      <c r="J1416" s="103">
        <f t="shared" si="84"/>
        <v>1749.9999999999995</v>
      </c>
    </row>
    <row r="1417" spans="1:10">
      <c r="A1417" s="102"/>
      <c r="B1417" s="102"/>
      <c r="C1417" s="103">
        <v>20000</v>
      </c>
      <c r="D1417" s="104" t="s">
        <v>990</v>
      </c>
      <c r="E1417" s="103">
        <v>2300</v>
      </c>
      <c r="F1417" s="102">
        <v>1</v>
      </c>
      <c r="G1417" s="208">
        <v>0.06</v>
      </c>
      <c r="H1417" s="102" t="s">
        <v>664</v>
      </c>
      <c r="I1417" s="103">
        <f t="shared" si="83"/>
        <v>300</v>
      </c>
      <c r="J1417" s="103">
        <f t="shared" si="84"/>
        <v>174.99999999999997</v>
      </c>
    </row>
    <row r="1418" spans="1:10">
      <c r="A1418" s="102">
        <v>196</v>
      </c>
      <c r="B1418" s="102" t="s">
        <v>14</v>
      </c>
      <c r="C1418" s="103">
        <v>100000</v>
      </c>
      <c r="D1418" s="104" t="s">
        <v>4</v>
      </c>
      <c r="E1418" s="103">
        <v>3750</v>
      </c>
      <c r="F1418" s="102">
        <v>5</v>
      </c>
      <c r="G1418" s="208">
        <f>E1418/(C1418*H1418/30)</f>
        <v>7.4999999999999997E-2</v>
      </c>
      <c r="H1418" s="102">
        <v>15</v>
      </c>
      <c r="I1418" s="103">
        <f t="shared" si="83"/>
        <v>18750</v>
      </c>
      <c r="J1418" s="103">
        <f t="shared" si="84"/>
        <v>12500</v>
      </c>
    </row>
    <row r="1419" spans="1:10">
      <c r="A1419" s="102"/>
      <c r="B1419" s="102"/>
      <c r="C1419" s="103">
        <v>30000</v>
      </c>
      <c r="D1419" s="114" t="s">
        <v>746</v>
      </c>
      <c r="E1419" s="103">
        <v>3450</v>
      </c>
      <c r="F1419" s="102">
        <v>10</v>
      </c>
      <c r="G1419" s="208">
        <v>0.06</v>
      </c>
      <c r="H1419" s="102" t="s">
        <v>664</v>
      </c>
      <c r="I1419" s="103">
        <f t="shared" si="83"/>
        <v>4500</v>
      </c>
      <c r="J1419" s="103">
        <f t="shared" si="84"/>
        <v>2625</v>
      </c>
    </row>
    <row r="1420" spans="1:10">
      <c r="A1420" s="102"/>
      <c r="B1420" s="102"/>
      <c r="C1420" s="103">
        <v>70000</v>
      </c>
      <c r="D1420" s="114" t="s">
        <v>747</v>
      </c>
      <c r="E1420" s="103">
        <v>2625</v>
      </c>
      <c r="F1420" s="102">
        <v>5</v>
      </c>
      <c r="G1420" s="208">
        <f>E1420/(C1420*H1420/30)</f>
        <v>7.4999999999999997E-2</v>
      </c>
      <c r="H1420" s="102">
        <v>15</v>
      </c>
      <c r="I1420" s="103">
        <f t="shared" si="83"/>
        <v>13125</v>
      </c>
      <c r="J1420" s="103">
        <f t="shared" si="84"/>
        <v>8749.9999999999982</v>
      </c>
    </row>
    <row r="1421" spans="1:10">
      <c r="A1421" s="102"/>
      <c r="B1421" s="102"/>
      <c r="C1421" s="103">
        <v>50000</v>
      </c>
      <c r="D1421" s="114" t="s">
        <v>747</v>
      </c>
      <c r="E1421" s="103">
        <v>1875</v>
      </c>
      <c r="F1421" s="102">
        <v>23</v>
      </c>
      <c r="G1421" s="208">
        <f>E1421/(C1421*H1421/30)</f>
        <v>7.4999999999999997E-2</v>
      </c>
      <c r="H1421" s="102">
        <v>15</v>
      </c>
      <c r="I1421" s="103">
        <f t="shared" si="83"/>
        <v>43125</v>
      </c>
      <c r="J1421" s="103">
        <f t="shared" si="84"/>
        <v>28750</v>
      </c>
    </row>
    <row r="1422" spans="1:10">
      <c r="A1422" s="102"/>
      <c r="B1422" s="102"/>
      <c r="C1422" s="103">
        <v>20000</v>
      </c>
      <c r="D1422" s="114" t="s">
        <v>748</v>
      </c>
      <c r="E1422" s="103">
        <v>750</v>
      </c>
      <c r="F1422" s="102">
        <v>18</v>
      </c>
      <c r="G1422" s="208">
        <f>E1422/(C1422*H1422/30)</f>
        <v>7.4999999999999997E-2</v>
      </c>
      <c r="H1422" s="102">
        <v>15</v>
      </c>
      <c r="I1422" s="103">
        <f t="shared" si="83"/>
        <v>13500</v>
      </c>
      <c r="J1422" s="103">
        <f t="shared" si="84"/>
        <v>8999.9999999999982</v>
      </c>
    </row>
    <row r="1423" spans="1:10">
      <c r="A1423" s="102"/>
      <c r="B1423" s="102"/>
      <c r="C1423" s="103">
        <v>10000</v>
      </c>
      <c r="D1423" s="114" t="s">
        <v>748</v>
      </c>
      <c r="E1423" s="103">
        <v>375</v>
      </c>
      <c r="F1423" s="102">
        <v>5</v>
      </c>
      <c r="G1423" s="208">
        <f>E1423/(C1423*H1423/30)</f>
        <v>7.4999999999999997E-2</v>
      </c>
      <c r="H1423" s="102">
        <v>15</v>
      </c>
      <c r="I1423" s="103">
        <f t="shared" si="83"/>
        <v>1875</v>
      </c>
      <c r="J1423" s="103">
        <f t="shared" si="84"/>
        <v>1249.9999999999998</v>
      </c>
    </row>
    <row r="1424" spans="1:10">
      <c r="A1424" s="102"/>
      <c r="B1424" s="102"/>
      <c r="C1424" s="103">
        <v>15000</v>
      </c>
      <c r="D1424" s="104" t="s">
        <v>3156</v>
      </c>
      <c r="E1424" s="103">
        <v>1750</v>
      </c>
      <c r="F1424" s="102">
        <v>10</v>
      </c>
      <c r="G1424" s="208">
        <v>0.06</v>
      </c>
      <c r="H1424" s="102" t="s">
        <v>664</v>
      </c>
      <c r="I1424" s="103">
        <f t="shared" si="83"/>
        <v>2250</v>
      </c>
      <c r="J1424" s="103">
        <f t="shared" si="84"/>
        <v>1312.5</v>
      </c>
    </row>
    <row r="1425" spans="1:10">
      <c r="A1425" s="102"/>
      <c r="B1425" s="102"/>
      <c r="C1425" s="103">
        <v>15000</v>
      </c>
      <c r="D1425" s="114" t="s">
        <v>749</v>
      </c>
      <c r="E1425" s="103">
        <v>1750</v>
      </c>
      <c r="F1425" s="102">
        <v>10</v>
      </c>
      <c r="G1425" s="208">
        <v>0.06</v>
      </c>
      <c r="H1425" s="102" t="s">
        <v>664</v>
      </c>
      <c r="I1425" s="103">
        <f t="shared" si="83"/>
        <v>2250</v>
      </c>
      <c r="J1425" s="103">
        <f t="shared" si="84"/>
        <v>1312.5</v>
      </c>
    </row>
    <row r="1426" spans="1:10">
      <c r="A1426" s="102"/>
      <c r="B1426" s="102"/>
      <c r="C1426" s="103">
        <v>10000</v>
      </c>
      <c r="D1426" s="114" t="s">
        <v>750</v>
      </c>
      <c r="E1426" s="103">
        <v>1150</v>
      </c>
      <c r="F1426" s="102">
        <v>10</v>
      </c>
      <c r="G1426" s="208">
        <v>0.06</v>
      </c>
      <c r="H1426" s="102" t="s">
        <v>664</v>
      </c>
      <c r="I1426" s="103">
        <f t="shared" si="83"/>
        <v>1500</v>
      </c>
      <c r="J1426" s="103">
        <f t="shared" si="84"/>
        <v>874.99999999999977</v>
      </c>
    </row>
    <row r="1427" spans="1:10">
      <c r="A1427" s="102"/>
      <c r="B1427" s="102"/>
      <c r="C1427" s="103">
        <v>10000</v>
      </c>
      <c r="D1427" s="104" t="s">
        <v>1531</v>
      </c>
      <c r="E1427" s="103">
        <v>1150</v>
      </c>
      <c r="F1427" s="102">
        <v>10</v>
      </c>
      <c r="G1427" s="208">
        <v>0.06</v>
      </c>
      <c r="H1427" s="102" t="s">
        <v>664</v>
      </c>
      <c r="I1427" s="103">
        <f t="shared" si="83"/>
        <v>1500</v>
      </c>
      <c r="J1427" s="103">
        <f t="shared" si="84"/>
        <v>874.99999999999977</v>
      </c>
    </row>
    <row r="1428" spans="1:10">
      <c r="A1428" s="102"/>
      <c r="B1428" s="102"/>
      <c r="C1428" s="103">
        <v>10000</v>
      </c>
      <c r="D1428" s="104" t="s">
        <v>3155</v>
      </c>
      <c r="E1428" s="103">
        <v>1150</v>
      </c>
      <c r="F1428" s="102">
        <v>10</v>
      </c>
      <c r="G1428" s="208">
        <v>0.06</v>
      </c>
      <c r="H1428" s="102" t="s">
        <v>664</v>
      </c>
      <c r="I1428" s="103">
        <f t="shared" si="83"/>
        <v>1500</v>
      </c>
      <c r="J1428" s="103">
        <f t="shared" si="84"/>
        <v>874.99999999999977</v>
      </c>
    </row>
    <row r="1429" spans="1:10">
      <c r="A1429" s="102"/>
      <c r="B1429" s="102"/>
      <c r="C1429" s="103">
        <v>20000</v>
      </c>
      <c r="D1429" s="114" t="s">
        <v>751</v>
      </c>
      <c r="E1429" s="103">
        <v>2300</v>
      </c>
      <c r="F1429" s="102">
        <v>10</v>
      </c>
      <c r="G1429" s="208">
        <v>0.06</v>
      </c>
      <c r="H1429" s="102" t="s">
        <v>664</v>
      </c>
      <c r="I1429" s="103">
        <f t="shared" si="83"/>
        <v>3000</v>
      </c>
      <c r="J1429" s="103">
        <f t="shared" si="84"/>
        <v>1749.9999999999995</v>
      </c>
    </row>
    <row r="1430" spans="1:10">
      <c r="A1430" s="102"/>
      <c r="B1430" s="102"/>
      <c r="C1430" s="103">
        <v>30000</v>
      </c>
      <c r="D1430" s="114" t="s">
        <v>752</v>
      </c>
      <c r="E1430" s="103">
        <v>3450</v>
      </c>
      <c r="F1430" s="102">
        <v>10</v>
      </c>
      <c r="G1430" s="208">
        <v>0.06</v>
      </c>
      <c r="H1430" s="102" t="s">
        <v>664</v>
      </c>
      <c r="I1430" s="103">
        <f t="shared" si="83"/>
        <v>4500</v>
      </c>
      <c r="J1430" s="103">
        <f t="shared" si="84"/>
        <v>2625</v>
      </c>
    </row>
    <row r="1431" spans="1:10">
      <c r="A1431" s="102"/>
      <c r="B1431" s="102"/>
      <c r="C1431" s="103">
        <v>30000</v>
      </c>
      <c r="D1431" s="114" t="s">
        <v>3380</v>
      </c>
      <c r="E1431" s="103">
        <v>3450</v>
      </c>
      <c r="F1431" s="102">
        <v>6</v>
      </c>
      <c r="G1431" s="208">
        <v>0.06</v>
      </c>
      <c r="H1431" s="102" t="s">
        <v>664</v>
      </c>
      <c r="I1431" s="103">
        <f t="shared" si="83"/>
        <v>2700</v>
      </c>
      <c r="J1431" s="103">
        <f t="shared" si="84"/>
        <v>1575</v>
      </c>
    </row>
    <row r="1432" spans="1:10">
      <c r="A1432" s="102">
        <v>197</v>
      </c>
      <c r="B1432" s="102" t="s">
        <v>15</v>
      </c>
      <c r="C1432" s="103">
        <v>120000</v>
      </c>
      <c r="D1432" s="104" t="s">
        <v>4</v>
      </c>
      <c r="E1432" s="103">
        <v>4500</v>
      </c>
      <c r="F1432" s="102">
        <v>6</v>
      </c>
      <c r="G1432" s="208">
        <f>E1432/(C1432*H1432/30)</f>
        <v>7.4999999999999997E-2</v>
      </c>
      <c r="H1432" s="102">
        <v>15</v>
      </c>
      <c r="I1432" s="103">
        <f t="shared" si="83"/>
        <v>27000</v>
      </c>
      <c r="J1432" s="103">
        <f t="shared" si="84"/>
        <v>17999.999999999996</v>
      </c>
    </row>
    <row r="1433" spans="1:10">
      <c r="A1433" s="102">
        <v>198</v>
      </c>
      <c r="B1433" s="102" t="s">
        <v>16</v>
      </c>
      <c r="C1433" s="103">
        <v>20000</v>
      </c>
      <c r="D1433" s="104" t="s">
        <v>439</v>
      </c>
      <c r="E1433" s="103">
        <v>2300</v>
      </c>
      <c r="F1433" s="102">
        <v>10</v>
      </c>
      <c r="G1433" s="208">
        <v>0.06</v>
      </c>
      <c r="H1433" s="102" t="s">
        <v>664</v>
      </c>
      <c r="I1433" s="103">
        <f t="shared" si="83"/>
        <v>3000</v>
      </c>
      <c r="J1433" s="103">
        <f t="shared" si="84"/>
        <v>1749.9999999999995</v>
      </c>
    </row>
    <row r="1434" spans="1:10">
      <c r="A1434" s="102"/>
      <c r="B1434" s="102"/>
      <c r="C1434" s="103">
        <v>10000</v>
      </c>
      <c r="D1434" s="104" t="s">
        <v>439</v>
      </c>
      <c r="E1434" s="103">
        <v>375</v>
      </c>
      <c r="F1434" s="102">
        <v>9</v>
      </c>
      <c r="G1434" s="208">
        <f>E1434/(C1434*H1434/30)</f>
        <v>7.4999999999999997E-2</v>
      </c>
      <c r="H1434" s="102">
        <v>15</v>
      </c>
      <c r="I1434" s="103">
        <f t="shared" si="83"/>
        <v>3375</v>
      </c>
      <c r="J1434" s="103">
        <f t="shared" si="84"/>
        <v>2249.9999999999995</v>
      </c>
    </row>
    <row r="1435" spans="1:10">
      <c r="A1435" s="102"/>
      <c r="B1435" s="102"/>
      <c r="C1435" s="103">
        <v>20000</v>
      </c>
      <c r="D1435" s="104" t="s">
        <v>3122</v>
      </c>
      <c r="E1435" s="103">
        <v>2300</v>
      </c>
      <c r="F1435" s="102">
        <v>10</v>
      </c>
      <c r="G1435" s="208">
        <v>0.06</v>
      </c>
      <c r="H1435" s="102" t="s">
        <v>664</v>
      </c>
      <c r="I1435" s="103">
        <f t="shared" si="83"/>
        <v>3000</v>
      </c>
      <c r="J1435" s="103">
        <f t="shared" si="84"/>
        <v>1749.9999999999995</v>
      </c>
    </row>
    <row r="1436" spans="1:10">
      <c r="A1436" s="102"/>
      <c r="B1436" s="102"/>
      <c r="C1436" s="103">
        <v>10000</v>
      </c>
      <c r="D1436" s="104" t="s">
        <v>2608</v>
      </c>
      <c r="E1436" s="103">
        <v>1150</v>
      </c>
      <c r="F1436" s="102">
        <v>10</v>
      </c>
      <c r="G1436" s="208">
        <v>0.06</v>
      </c>
      <c r="H1436" s="102" t="s">
        <v>664</v>
      </c>
      <c r="I1436" s="103">
        <f t="shared" si="83"/>
        <v>1500</v>
      </c>
      <c r="J1436" s="103">
        <f t="shared" si="84"/>
        <v>874.99999999999977</v>
      </c>
    </row>
    <row r="1437" spans="1:10">
      <c r="A1437" s="102"/>
      <c r="B1437" s="102"/>
      <c r="C1437" s="103">
        <v>10000</v>
      </c>
      <c r="D1437" s="104" t="s">
        <v>3122</v>
      </c>
      <c r="E1437" s="103">
        <v>375</v>
      </c>
      <c r="F1437" s="102">
        <v>3</v>
      </c>
      <c r="G1437" s="208">
        <f>E1437/(C1437*H1437/30)</f>
        <v>7.4999999999999997E-2</v>
      </c>
      <c r="H1437" s="102">
        <v>15</v>
      </c>
      <c r="I1437" s="103">
        <f t="shared" si="83"/>
        <v>1125</v>
      </c>
      <c r="J1437" s="103">
        <f t="shared" si="84"/>
        <v>749.99999999999989</v>
      </c>
    </row>
    <row r="1438" spans="1:10">
      <c r="A1438" s="102"/>
      <c r="B1438" s="102"/>
      <c r="C1438" s="103">
        <v>10000</v>
      </c>
      <c r="D1438" s="104" t="s">
        <v>430</v>
      </c>
      <c r="E1438" s="103">
        <v>1150</v>
      </c>
      <c r="F1438" s="102">
        <v>10</v>
      </c>
      <c r="G1438" s="208">
        <v>0.06</v>
      </c>
      <c r="H1438" s="102" t="s">
        <v>2184</v>
      </c>
      <c r="I1438" s="103">
        <f t="shared" si="83"/>
        <v>1500</v>
      </c>
      <c r="J1438" s="103">
        <f t="shared" si="84"/>
        <v>874.99999999999977</v>
      </c>
    </row>
    <row r="1439" spans="1:10">
      <c r="A1439" s="102"/>
      <c r="B1439" s="102"/>
      <c r="C1439" s="103">
        <v>20000</v>
      </c>
      <c r="D1439" s="104" t="s">
        <v>1671</v>
      </c>
      <c r="E1439" s="103">
        <v>2300</v>
      </c>
      <c r="F1439" s="102">
        <v>10</v>
      </c>
      <c r="G1439" s="208">
        <v>0.06</v>
      </c>
      <c r="H1439" s="102" t="s">
        <v>664</v>
      </c>
      <c r="I1439" s="103">
        <f t="shared" si="83"/>
        <v>3000</v>
      </c>
      <c r="J1439" s="103">
        <f t="shared" si="84"/>
        <v>1749.9999999999995</v>
      </c>
    </row>
    <row r="1440" spans="1:10">
      <c r="A1440" s="102"/>
      <c r="B1440" s="102"/>
      <c r="C1440" s="103">
        <v>20000</v>
      </c>
      <c r="D1440" s="104" t="s">
        <v>433</v>
      </c>
      <c r="E1440" s="103">
        <v>750</v>
      </c>
      <c r="F1440" s="102">
        <v>3</v>
      </c>
      <c r="G1440" s="208">
        <f>E1440/(C1440*H1440/30)</f>
        <v>7.4999999999999997E-2</v>
      </c>
      <c r="H1440" s="102">
        <v>15</v>
      </c>
      <c r="I1440" s="103">
        <f t="shared" si="83"/>
        <v>2250</v>
      </c>
      <c r="J1440" s="103">
        <f t="shared" si="84"/>
        <v>1499.9999999999998</v>
      </c>
    </row>
    <row r="1441" spans="1:10">
      <c r="A1441" s="102"/>
      <c r="B1441" s="102"/>
      <c r="C1441" s="103">
        <v>20000</v>
      </c>
      <c r="D1441" s="104" t="s">
        <v>413</v>
      </c>
      <c r="E1441" s="103">
        <v>750</v>
      </c>
      <c r="F1441" s="102">
        <v>3</v>
      </c>
      <c r="G1441" s="208">
        <f>E1441/(C1441*H1441/30)</f>
        <v>7.4999999999999997E-2</v>
      </c>
      <c r="H1441" s="102">
        <v>15</v>
      </c>
      <c r="I1441" s="103">
        <f t="shared" si="83"/>
        <v>2250</v>
      </c>
      <c r="J1441" s="103">
        <f t="shared" si="84"/>
        <v>1499.9999999999998</v>
      </c>
    </row>
    <row r="1442" spans="1:10">
      <c r="A1442" s="102"/>
      <c r="B1442" s="102"/>
      <c r="C1442" s="103">
        <v>5000</v>
      </c>
      <c r="D1442" s="104" t="s">
        <v>2322</v>
      </c>
      <c r="E1442" s="103">
        <v>190</v>
      </c>
      <c r="F1442" s="102">
        <v>5</v>
      </c>
      <c r="G1442" s="208">
        <f>E1442/(C1442*H1442/30)</f>
        <v>7.5999999999999998E-2</v>
      </c>
      <c r="H1442" s="102">
        <v>15</v>
      </c>
      <c r="I1442" s="103">
        <f t="shared" si="83"/>
        <v>950</v>
      </c>
      <c r="J1442" s="103">
        <f t="shared" si="84"/>
        <v>637.49999999999989</v>
      </c>
    </row>
    <row r="1443" spans="1:10">
      <c r="A1443" s="102"/>
      <c r="B1443" s="102"/>
      <c r="C1443" s="103">
        <v>20000</v>
      </c>
      <c r="D1443" s="114" t="s">
        <v>2429</v>
      </c>
      <c r="E1443" s="103">
        <v>2300</v>
      </c>
      <c r="F1443" s="102">
        <v>10</v>
      </c>
      <c r="G1443" s="208">
        <v>0.06</v>
      </c>
      <c r="H1443" s="102" t="s">
        <v>664</v>
      </c>
      <c r="I1443" s="103">
        <f t="shared" si="83"/>
        <v>3000</v>
      </c>
      <c r="J1443" s="103">
        <f t="shared" si="84"/>
        <v>1749.9999999999995</v>
      </c>
    </row>
    <row r="1444" spans="1:10">
      <c r="A1444" s="102"/>
      <c r="B1444" s="102"/>
      <c r="C1444" s="103">
        <v>20000</v>
      </c>
      <c r="D1444" s="114" t="s">
        <v>3381</v>
      </c>
      <c r="E1444" s="103">
        <v>2300</v>
      </c>
      <c r="F1444" s="102">
        <v>10</v>
      </c>
      <c r="G1444" s="208">
        <v>0.06</v>
      </c>
      <c r="H1444" s="102" t="s">
        <v>2184</v>
      </c>
      <c r="I1444" s="103">
        <f t="shared" si="83"/>
        <v>3000</v>
      </c>
      <c r="J1444" s="103">
        <f t="shared" si="84"/>
        <v>1749.9999999999995</v>
      </c>
    </row>
    <row r="1445" spans="1:10">
      <c r="A1445" s="102"/>
      <c r="B1445" s="102"/>
      <c r="C1445" s="103">
        <v>65000</v>
      </c>
      <c r="D1445" s="104" t="s">
        <v>2322</v>
      </c>
      <c r="E1445" s="103">
        <v>2450</v>
      </c>
      <c r="F1445" s="102">
        <v>5</v>
      </c>
      <c r="G1445" s="208">
        <f>E1445/(C1445*H1445/30)</f>
        <v>7.5384615384615383E-2</v>
      </c>
      <c r="H1445" s="102">
        <v>15</v>
      </c>
      <c r="I1445" s="103">
        <f t="shared" si="83"/>
        <v>12250</v>
      </c>
      <c r="J1445" s="103">
        <f t="shared" si="84"/>
        <v>8187.5</v>
      </c>
    </row>
    <row r="1446" spans="1:10">
      <c r="A1446" s="102"/>
      <c r="B1446" s="102"/>
      <c r="C1446" s="103">
        <v>50000</v>
      </c>
      <c r="D1446" s="104" t="s">
        <v>2652</v>
      </c>
      <c r="E1446" s="103">
        <v>1875</v>
      </c>
      <c r="F1446" s="102">
        <v>8</v>
      </c>
      <c r="G1446" s="208">
        <f>E1446/(C1446*H1446/30)</f>
        <v>7.4999999999999997E-2</v>
      </c>
      <c r="H1446" s="102">
        <v>15</v>
      </c>
      <c r="I1446" s="103">
        <f t="shared" si="83"/>
        <v>15000</v>
      </c>
      <c r="J1446" s="103">
        <f t="shared" si="84"/>
        <v>10000</v>
      </c>
    </row>
    <row r="1447" spans="1:10">
      <c r="A1447" s="102"/>
      <c r="B1447" s="102"/>
      <c r="C1447" s="103">
        <v>10000</v>
      </c>
      <c r="D1447" s="104" t="s">
        <v>3151</v>
      </c>
      <c r="E1447" s="103">
        <v>375</v>
      </c>
      <c r="F1447" s="102">
        <v>3</v>
      </c>
      <c r="G1447" s="208">
        <f>E1447/(C1447*H1447/30)</f>
        <v>7.4999999999999997E-2</v>
      </c>
      <c r="H1447" s="102">
        <v>15</v>
      </c>
      <c r="I1447" s="103">
        <f t="shared" si="83"/>
        <v>1125</v>
      </c>
      <c r="J1447" s="103">
        <f t="shared" si="84"/>
        <v>749.99999999999989</v>
      </c>
    </row>
    <row r="1448" spans="1:10">
      <c r="A1448" s="102"/>
      <c r="B1448" s="102"/>
      <c r="C1448" s="103">
        <v>10000</v>
      </c>
      <c r="D1448" s="104" t="s">
        <v>17</v>
      </c>
      <c r="E1448" s="103">
        <v>375</v>
      </c>
      <c r="F1448" s="102">
        <v>1</v>
      </c>
      <c r="G1448" s="208">
        <f>E1448/(C1448*H1448/30)</f>
        <v>7.4999999999999997E-2</v>
      </c>
      <c r="H1448" s="102">
        <v>15</v>
      </c>
      <c r="I1448" s="103">
        <f t="shared" si="83"/>
        <v>375</v>
      </c>
      <c r="J1448" s="103">
        <f t="shared" si="84"/>
        <v>249.99999999999997</v>
      </c>
    </row>
    <row r="1449" spans="1:10">
      <c r="A1449" s="102"/>
      <c r="B1449" s="102"/>
      <c r="C1449" s="103">
        <v>10000</v>
      </c>
      <c r="D1449" s="104" t="s">
        <v>244</v>
      </c>
      <c r="E1449" s="103">
        <v>1150</v>
      </c>
      <c r="F1449" s="102">
        <v>10</v>
      </c>
      <c r="G1449" s="208">
        <v>0.06</v>
      </c>
      <c r="H1449" s="102" t="s">
        <v>664</v>
      </c>
      <c r="I1449" s="103">
        <f t="shared" si="83"/>
        <v>1500</v>
      </c>
      <c r="J1449" s="103">
        <f t="shared" si="84"/>
        <v>874.99999999999977</v>
      </c>
    </row>
    <row r="1450" spans="1:10">
      <c r="A1450" s="102"/>
      <c r="B1450" s="102"/>
      <c r="C1450" s="103">
        <v>10000</v>
      </c>
      <c r="D1450" s="104" t="s">
        <v>446</v>
      </c>
      <c r="E1450" s="103">
        <v>1150</v>
      </c>
      <c r="F1450" s="102">
        <v>10</v>
      </c>
      <c r="G1450" s="208">
        <v>0.06</v>
      </c>
      <c r="H1450" s="102" t="s">
        <v>664</v>
      </c>
      <c r="I1450" s="103">
        <f t="shared" si="83"/>
        <v>1500</v>
      </c>
      <c r="J1450" s="103">
        <f t="shared" si="84"/>
        <v>874.99999999999977</v>
      </c>
    </row>
    <row r="1451" spans="1:10">
      <c r="A1451" s="102"/>
      <c r="B1451" s="102"/>
      <c r="C1451" s="103">
        <v>20000</v>
      </c>
      <c r="D1451" s="104" t="s">
        <v>2325</v>
      </c>
      <c r="E1451" s="103">
        <v>2300</v>
      </c>
      <c r="F1451" s="102">
        <v>10</v>
      </c>
      <c r="G1451" s="208">
        <v>0.06</v>
      </c>
      <c r="H1451" s="102" t="s">
        <v>664</v>
      </c>
      <c r="I1451" s="103">
        <f t="shared" si="83"/>
        <v>3000</v>
      </c>
      <c r="J1451" s="103">
        <f t="shared" si="84"/>
        <v>1749.9999999999995</v>
      </c>
    </row>
    <row r="1452" spans="1:10">
      <c r="A1452" s="102"/>
      <c r="B1452" s="102"/>
      <c r="C1452" s="103">
        <v>30000</v>
      </c>
      <c r="D1452" s="104" t="s">
        <v>2325</v>
      </c>
      <c r="E1452" s="103">
        <v>1125</v>
      </c>
      <c r="F1452" s="102">
        <v>6</v>
      </c>
      <c r="G1452" s="208">
        <f>E1452/(C1452*H1452/30)</f>
        <v>7.4999999999999997E-2</v>
      </c>
      <c r="H1452" s="102">
        <v>15</v>
      </c>
      <c r="I1452" s="103">
        <f t="shared" si="83"/>
        <v>6750</v>
      </c>
      <c r="J1452" s="103">
        <f t="shared" si="84"/>
        <v>4499.9999999999991</v>
      </c>
    </row>
    <row r="1453" spans="1:10">
      <c r="A1453" s="102"/>
      <c r="B1453" s="102"/>
      <c r="C1453" s="103">
        <v>20000</v>
      </c>
      <c r="D1453" s="114" t="s">
        <v>3382</v>
      </c>
      <c r="E1453" s="103">
        <v>750</v>
      </c>
      <c r="F1453" s="102">
        <v>5</v>
      </c>
      <c r="G1453" s="208">
        <f>E1453/(C1453*H1453/30)</f>
        <v>7.4999999999999997E-2</v>
      </c>
      <c r="H1453" s="102">
        <v>15</v>
      </c>
      <c r="I1453" s="103">
        <f t="shared" si="83"/>
        <v>3750</v>
      </c>
      <c r="J1453" s="103">
        <f t="shared" si="84"/>
        <v>2499.9999999999995</v>
      </c>
    </row>
    <row r="1454" spans="1:10">
      <c r="A1454" s="102"/>
      <c r="B1454" s="102"/>
      <c r="C1454" s="103">
        <v>10000</v>
      </c>
      <c r="D1454" s="104" t="s">
        <v>430</v>
      </c>
      <c r="E1454" s="103">
        <v>375</v>
      </c>
      <c r="F1454" s="102">
        <v>2</v>
      </c>
      <c r="G1454" s="208">
        <f>E1454/(C1454*H1454/30)</f>
        <v>7.4999999999999997E-2</v>
      </c>
      <c r="H1454" s="102">
        <v>15</v>
      </c>
      <c r="I1454" s="103">
        <f t="shared" si="83"/>
        <v>750</v>
      </c>
      <c r="J1454" s="103">
        <f t="shared" si="84"/>
        <v>499.99999999999994</v>
      </c>
    </row>
    <row r="1455" spans="1:10">
      <c r="A1455" s="102"/>
      <c r="B1455" s="102"/>
      <c r="C1455" s="103">
        <v>20000</v>
      </c>
      <c r="D1455" s="114" t="s">
        <v>3383</v>
      </c>
      <c r="E1455" s="103">
        <v>2300</v>
      </c>
      <c r="F1455" s="102">
        <v>6</v>
      </c>
      <c r="G1455" s="208">
        <v>0.06</v>
      </c>
      <c r="H1455" s="102" t="s">
        <v>664</v>
      </c>
      <c r="I1455" s="103">
        <f t="shared" si="83"/>
        <v>1800</v>
      </c>
      <c r="J1455" s="103">
        <f t="shared" si="84"/>
        <v>1049.9999999999998</v>
      </c>
    </row>
    <row r="1456" spans="1:10">
      <c r="A1456" s="102"/>
      <c r="B1456" s="102"/>
      <c r="C1456" s="103">
        <v>10000</v>
      </c>
      <c r="D1456" s="104" t="s">
        <v>1518</v>
      </c>
      <c r="E1456" s="103">
        <v>1150</v>
      </c>
      <c r="F1456" s="102">
        <v>4</v>
      </c>
      <c r="G1456" s="208">
        <v>0.06</v>
      </c>
      <c r="H1456" s="102" t="s">
        <v>664</v>
      </c>
      <c r="I1456" s="103">
        <f t="shared" si="83"/>
        <v>600</v>
      </c>
      <c r="J1456" s="103">
        <f t="shared" si="84"/>
        <v>349.99999999999994</v>
      </c>
    </row>
    <row r="1457" spans="1:10">
      <c r="A1457" s="102">
        <v>199</v>
      </c>
      <c r="B1457" s="102" t="s">
        <v>18</v>
      </c>
      <c r="C1457" s="103">
        <v>10000</v>
      </c>
      <c r="D1457" s="104" t="s">
        <v>966</v>
      </c>
      <c r="E1457" s="103">
        <v>375</v>
      </c>
      <c r="F1457" s="102">
        <v>21</v>
      </c>
      <c r="G1457" s="208">
        <f>E1457/(C1457*H1457/30)</f>
        <v>7.4999999999999997E-2</v>
      </c>
      <c r="H1457" s="102">
        <v>15</v>
      </c>
      <c r="I1457" s="103">
        <f t="shared" si="83"/>
        <v>7875</v>
      </c>
      <c r="J1457" s="103">
        <f t="shared" si="84"/>
        <v>5249.9999999999991</v>
      </c>
    </row>
    <row r="1458" spans="1:10">
      <c r="A1458" s="102"/>
      <c r="B1458" s="102"/>
      <c r="C1458" s="103">
        <v>10000</v>
      </c>
      <c r="D1458" s="104" t="s">
        <v>966</v>
      </c>
      <c r="E1458" s="103">
        <v>1150</v>
      </c>
      <c r="F1458" s="102">
        <v>10</v>
      </c>
      <c r="G1458" s="208">
        <v>0.06</v>
      </c>
      <c r="H1458" s="102" t="s">
        <v>664</v>
      </c>
      <c r="I1458" s="103">
        <f t="shared" si="83"/>
        <v>1500</v>
      </c>
      <c r="J1458" s="103">
        <f t="shared" si="84"/>
        <v>874.99999999999977</v>
      </c>
    </row>
    <row r="1459" spans="1:10">
      <c r="A1459" s="102"/>
      <c r="B1459" s="102"/>
      <c r="C1459" s="103">
        <v>10000</v>
      </c>
      <c r="D1459" s="104" t="s">
        <v>453</v>
      </c>
      <c r="E1459" s="103">
        <v>1150</v>
      </c>
      <c r="F1459" s="102">
        <v>10</v>
      </c>
      <c r="G1459" s="208">
        <v>0.06</v>
      </c>
      <c r="H1459" s="102" t="s">
        <v>664</v>
      </c>
      <c r="I1459" s="103">
        <f t="shared" si="83"/>
        <v>1500</v>
      </c>
      <c r="J1459" s="103">
        <f t="shared" si="84"/>
        <v>874.99999999999977</v>
      </c>
    </row>
    <row r="1460" spans="1:10">
      <c r="A1460" s="102"/>
      <c r="B1460" s="102"/>
      <c r="C1460" s="103">
        <v>10000</v>
      </c>
      <c r="D1460" s="104" t="s">
        <v>991</v>
      </c>
      <c r="E1460" s="103">
        <v>375</v>
      </c>
      <c r="F1460" s="102">
        <v>30</v>
      </c>
      <c r="G1460" s="208">
        <f>E1460/(C1460*H1460/30)</f>
        <v>7.4999999999999997E-2</v>
      </c>
      <c r="H1460" s="102">
        <v>15</v>
      </c>
      <c r="I1460" s="103">
        <f t="shared" si="83"/>
        <v>11250</v>
      </c>
      <c r="J1460" s="103">
        <f t="shared" si="84"/>
        <v>7499.9999999999991</v>
      </c>
    </row>
    <row r="1461" spans="1:10">
      <c r="A1461" s="102"/>
      <c r="B1461" s="102"/>
      <c r="C1461" s="103">
        <v>10000</v>
      </c>
      <c r="D1461" s="104" t="s">
        <v>1709</v>
      </c>
      <c r="E1461" s="103">
        <v>1150</v>
      </c>
      <c r="F1461" s="102">
        <v>10</v>
      </c>
      <c r="G1461" s="208">
        <v>0.06</v>
      </c>
      <c r="H1461" s="102" t="s">
        <v>2184</v>
      </c>
      <c r="I1461" s="103">
        <f t="shared" si="83"/>
        <v>1500</v>
      </c>
      <c r="J1461" s="103">
        <f t="shared" si="84"/>
        <v>874.99999999999977</v>
      </c>
    </row>
    <row r="1462" spans="1:10">
      <c r="A1462" s="102"/>
      <c r="B1462" s="102"/>
      <c r="C1462" s="103">
        <v>10000</v>
      </c>
      <c r="D1462" s="104" t="s">
        <v>991</v>
      </c>
      <c r="E1462" s="103">
        <v>1150</v>
      </c>
      <c r="F1462" s="102">
        <v>10</v>
      </c>
      <c r="G1462" s="208">
        <v>0.06</v>
      </c>
      <c r="H1462" s="102" t="s">
        <v>664</v>
      </c>
      <c r="I1462" s="103">
        <f t="shared" si="83"/>
        <v>1500</v>
      </c>
      <c r="J1462" s="103">
        <f t="shared" si="84"/>
        <v>874.99999999999977</v>
      </c>
    </row>
    <row r="1463" spans="1:10">
      <c r="A1463" s="102"/>
      <c r="B1463" s="102"/>
      <c r="C1463" s="103">
        <v>10000</v>
      </c>
      <c r="D1463" s="104" t="s">
        <v>3162</v>
      </c>
      <c r="E1463" s="103">
        <v>1150</v>
      </c>
      <c r="F1463" s="102">
        <v>9</v>
      </c>
      <c r="G1463" s="208">
        <v>0.06</v>
      </c>
      <c r="H1463" s="102" t="s">
        <v>664</v>
      </c>
      <c r="I1463" s="103">
        <f t="shared" si="83"/>
        <v>1350</v>
      </c>
      <c r="J1463" s="103">
        <f t="shared" si="84"/>
        <v>787.49999999999989</v>
      </c>
    </row>
    <row r="1464" spans="1:10">
      <c r="A1464" s="102"/>
      <c r="B1464" s="102"/>
      <c r="C1464" s="103">
        <v>10000</v>
      </c>
      <c r="D1464" s="104" t="s">
        <v>1006</v>
      </c>
      <c r="E1464" s="103">
        <v>1150</v>
      </c>
      <c r="F1464" s="102">
        <v>10</v>
      </c>
      <c r="G1464" s="208">
        <v>0.06</v>
      </c>
      <c r="H1464" s="102" t="s">
        <v>664</v>
      </c>
      <c r="I1464" s="103">
        <f t="shared" si="83"/>
        <v>1500</v>
      </c>
      <c r="J1464" s="103">
        <f t="shared" si="84"/>
        <v>874.99999999999977</v>
      </c>
    </row>
    <row r="1465" spans="1:10">
      <c r="A1465" s="102"/>
      <c r="B1465" s="102"/>
      <c r="C1465" s="103">
        <v>10000</v>
      </c>
      <c r="D1465" s="104" t="s">
        <v>1520</v>
      </c>
      <c r="E1465" s="103">
        <v>1150</v>
      </c>
      <c r="F1465" s="102">
        <v>10</v>
      </c>
      <c r="G1465" s="208">
        <v>0.06</v>
      </c>
      <c r="H1465" s="102" t="s">
        <v>664</v>
      </c>
      <c r="I1465" s="103">
        <f t="shared" si="83"/>
        <v>1500</v>
      </c>
      <c r="J1465" s="103">
        <f t="shared" si="84"/>
        <v>874.99999999999977</v>
      </c>
    </row>
    <row r="1466" spans="1:10">
      <c r="A1466" s="102"/>
      <c r="B1466" s="102"/>
      <c r="C1466" s="103">
        <v>10000</v>
      </c>
      <c r="D1466" s="104" t="s">
        <v>3701</v>
      </c>
      <c r="E1466" s="103">
        <v>1150</v>
      </c>
      <c r="F1466" s="102">
        <v>10</v>
      </c>
      <c r="G1466" s="208">
        <v>0.06</v>
      </c>
      <c r="H1466" s="102" t="s">
        <v>664</v>
      </c>
      <c r="I1466" s="103">
        <f t="shared" si="83"/>
        <v>1500</v>
      </c>
      <c r="J1466" s="103">
        <f t="shared" si="84"/>
        <v>874.99999999999977</v>
      </c>
    </row>
    <row r="1467" spans="1:10">
      <c r="A1467" s="102"/>
      <c r="B1467" s="102"/>
      <c r="C1467" s="103">
        <v>10000</v>
      </c>
      <c r="D1467" s="104" t="s">
        <v>246</v>
      </c>
      <c r="E1467" s="103">
        <v>1150</v>
      </c>
      <c r="F1467" s="102">
        <v>10</v>
      </c>
      <c r="G1467" s="208">
        <v>0.06</v>
      </c>
      <c r="H1467" s="102" t="s">
        <v>664</v>
      </c>
      <c r="I1467" s="103">
        <f t="shared" si="83"/>
        <v>1500</v>
      </c>
      <c r="J1467" s="103">
        <f t="shared" si="84"/>
        <v>874.99999999999977</v>
      </c>
    </row>
    <row r="1468" spans="1:10">
      <c r="A1468" s="102"/>
      <c r="B1468" s="102"/>
      <c r="C1468" s="103">
        <v>10000</v>
      </c>
      <c r="D1468" s="104" t="s">
        <v>17</v>
      </c>
      <c r="E1468" s="103">
        <v>375</v>
      </c>
      <c r="F1468" s="102">
        <v>9</v>
      </c>
      <c r="G1468" s="208">
        <f>E1468/(C1468*H1468/30)</f>
        <v>7.4999999999999997E-2</v>
      </c>
      <c r="H1468" s="102">
        <v>15</v>
      </c>
      <c r="I1468" s="103">
        <f t="shared" si="83"/>
        <v>3375</v>
      </c>
      <c r="J1468" s="103">
        <f t="shared" si="84"/>
        <v>2249.9999999999995</v>
      </c>
    </row>
    <row r="1469" spans="1:10">
      <c r="A1469" s="102"/>
      <c r="B1469" s="102"/>
      <c r="C1469" s="103">
        <v>10000</v>
      </c>
      <c r="D1469" s="104" t="s">
        <v>1515</v>
      </c>
      <c r="E1469" s="103">
        <v>1150</v>
      </c>
      <c r="F1469" s="102">
        <v>10</v>
      </c>
      <c r="G1469" s="208">
        <v>0.06</v>
      </c>
      <c r="H1469" s="102" t="s">
        <v>664</v>
      </c>
      <c r="I1469" s="103">
        <f t="shared" si="83"/>
        <v>1500</v>
      </c>
      <c r="J1469" s="103">
        <f t="shared" si="84"/>
        <v>874.99999999999977</v>
      </c>
    </row>
    <row r="1470" spans="1:10">
      <c r="A1470" s="102"/>
      <c r="B1470" s="102"/>
      <c r="C1470" s="103">
        <v>10000</v>
      </c>
      <c r="D1470" s="104" t="s">
        <v>1525</v>
      </c>
      <c r="E1470" s="103">
        <v>1150</v>
      </c>
      <c r="F1470" s="102">
        <v>8</v>
      </c>
      <c r="G1470" s="208">
        <v>0.06</v>
      </c>
      <c r="H1470" s="102" t="s">
        <v>664</v>
      </c>
      <c r="I1470" s="103">
        <f t="shared" si="83"/>
        <v>1200</v>
      </c>
      <c r="J1470" s="103">
        <f t="shared" si="84"/>
        <v>699.99999999999989</v>
      </c>
    </row>
    <row r="1471" spans="1:10">
      <c r="A1471" s="102"/>
      <c r="B1471" s="102"/>
      <c r="C1471" s="103">
        <v>10000</v>
      </c>
      <c r="D1471" s="104" t="s">
        <v>1732</v>
      </c>
      <c r="E1471" s="103">
        <v>1150</v>
      </c>
      <c r="F1471" s="102">
        <v>4</v>
      </c>
      <c r="G1471" s="208">
        <v>0.06</v>
      </c>
      <c r="H1471" s="102" t="s">
        <v>664</v>
      </c>
      <c r="I1471" s="103">
        <f t="shared" si="83"/>
        <v>600</v>
      </c>
      <c r="J1471" s="103">
        <f t="shared" si="84"/>
        <v>349.99999999999994</v>
      </c>
    </row>
    <row r="1472" spans="1:10">
      <c r="A1472" s="102">
        <v>200</v>
      </c>
      <c r="B1472" s="102" t="s">
        <v>19</v>
      </c>
      <c r="C1472" s="103">
        <v>30000</v>
      </c>
      <c r="D1472" s="104" t="s">
        <v>3702</v>
      </c>
      <c r="E1472" s="103">
        <v>1125</v>
      </c>
      <c r="F1472" s="102">
        <v>2</v>
      </c>
      <c r="G1472" s="208">
        <f>E1472/(C1472*H1472/30)</f>
        <v>7.4999999999999997E-2</v>
      </c>
      <c r="H1472" s="102">
        <v>15</v>
      </c>
      <c r="I1472" s="103">
        <f t="shared" si="83"/>
        <v>2250</v>
      </c>
      <c r="J1472" s="103">
        <f t="shared" si="84"/>
        <v>1499.9999999999998</v>
      </c>
    </row>
    <row r="1473" spans="1:10">
      <c r="A1473" s="102"/>
      <c r="B1473" s="102"/>
      <c r="C1473" s="103">
        <v>10000</v>
      </c>
      <c r="D1473" s="104" t="s">
        <v>3702</v>
      </c>
      <c r="E1473" s="103">
        <v>1150</v>
      </c>
      <c r="F1473" s="102">
        <v>4</v>
      </c>
      <c r="G1473" s="208">
        <v>0.06</v>
      </c>
      <c r="H1473" s="102" t="s">
        <v>664</v>
      </c>
      <c r="I1473" s="103">
        <f t="shared" si="83"/>
        <v>600</v>
      </c>
      <c r="J1473" s="103">
        <f t="shared" si="84"/>
        <v>349.99999999999994</v>
      </c>
    </row>
    <row r="1474" spans="1:10">
      <c r="A1474" s="102"/>
      <c r="B1474" s="102"/>
      <c r="C1474" s="103">
        <v>30000</v>
      </c>
      <c r="D1474" s="104" t="s">
        <v>254</v>
      </c>
      <c r="E1474" s="103">
        <v>1125</v>
      </c>
      <c r="F1474" s="102">
        <v>28</v>
      </c>
      <c r="G1474" s="208">
        <f>E1474/(C1474*H1474/30)</f>
        <v>7.4999999999999997E-2</v>
      </c>
      <c r="H1474" s="102">
        <v>15</v>
      </c>
      <c r="I1474" s="103">
        <f t="shared" si="83"/>
        <v>31500</v>
      </c>
      <c r="J1474" s="103">
        <f t="shared" si="84"/>
        <v>20999.999999999996</v>
      </c>
    </row>
    <row r="1475" spans="1:10">
      <c r="A1475" s="102"/>
      <c r="B1475" s="102"/>
      <c r="C1475" s="103">
        <v>10000</v>
      </c>
      <c r="D1475" s="104" t="s">
        <v>254</v>
      </c>
      <c r="E1475" s="103">
        <v>1150</v>
      </c>
      <c r="F1475" s="102">
        <v>10</v>
      </c>
      <c r="G1475" s="208">
        <v>0.06</v>
      </c>
      <c r="H1475" s="102" t="s">
        <v>664</v>
      </c>
      <c r="I1475" s="103">
        <f t="shared" si="83"/>
        <v>1500</v>
      </c>
      <c r="J1475" s="103">
        <f t="shared" si="84"/>
        <v>874.99999999999977</v>
      </c>
    </row>
    <row r="1476" spans="1:10">
      <c r="A1476" s="102"/>
      <c r="B1476" s="102"/>
      <c r="C1476" s="103">
        <v>20000</v>
      </c>
      <c r="D1476" s="104" t="s">
        <v>2590</v>
      </c>
      <c r="E1476" s="103">
        <v>2300</v>
      </c>
      <c r="F1476" s="102">
        <v>10</v>
      </c>
      <c r="G1476" s="208">
        <v>0.06</v>
      </c>
      <c r="H1476" s="102" t="s">
        <v>664</v>
      </c>
      <c r="I1476" s="103">
        <f t="shared" si="83"/>
        <v>3000</v>
      </c>
      <c r="J1476" s="103">
        <f t="shared" si="84"/>
        <v>1749.9999999999995</v>
      </c>
    </row>
    <row r="1477" spans="1:10">
      <c r="A1477" s="102"/>
      <c r="B1477" s="102"/>
      <c r="C1477" s="103">
        <v>20000</v>
      </c>
      <c r="D1477" s="104" t="s">
        <v>3151</v>
      </c>
      <c r="E1477" s="103">
        <v>2300</v>
      </c>
      <c r="F1477" s="102">
        <v>10</v>
      </c>
      <c r="G1477" s="208">
        <v>0.06</v>
      </c>
      <c r="H1477" s="102" t="s">
        <v>664</v>
      </c>
      <c r="I1477" s="103">
        <f t="shared" ref="I1477:I1540" si="85">IF(H1477="分期",C1477*G1477*2.5*F1477/10,C1477*G1477*H1477/30*F1477)</f>
        <v>3000</v>
      </c>
      <c r="J1477" s="103">
        <f t="shared" ref="J1477:J1540" si="86">IF(H1477="分期",C1477*(G1477-0.025)*2.5*F1477/10,C1477*(G1477-0.025)*H1477/30*F1477)</f>
        <v>1749.9999999999995</v>
      </c>
    </row>
    <row r="1478" spans="1:10">
      <c r="A1478" s="102"/>
      <c r="B1478" s="102"/>
      <c r="C1478" s="103">
        <v>20000</v>
      </c>
      <c r="D1478" s="104" t="s">
        <v>449</v>
      </c>
      <c r="E1478" s="103">
        <v>2300</v>
      </c>
      <c r="F1478" s="102">
        <v>10</v>
      </c>
      <c r="G1478" s="208">
        <v>0.06</v>
      </c>
      <c r="H1478" s="102" t="s">
        <v>664</v>
      </c>
      <c r="I1478" s="103">
        <f t="shared" si="85"/>
        <v>3000</v>
      </c>
      <c r="J1478" s="103">
        <f t="shared" si="86"/>
        <v>1749.9999999999995</v>
      </c>
    </row>
    <row r="1479" spans="1:10">
      <c r="A1479" s="102">
        <v>201</v>
      </c>
      <c r="B1479" s="102" t="s">
        <v>1958</v>
      </c>
      <c r="C1479" s="103">
        <v>30000</v>
      </c>
      <c r="D1479" s="114" t="s">
        <v>3385</v>
      </c>
      <c r="E1479" s="105">
        <v>1125</v>
      </c>
      <c r="F1479" s="102">
        <v>7</v>
      </c>
      <c r="G1479" s="208">
        <f>E1479/(C1479*H1479/30)</f>
        <v>7.4999999999999997E-2</v>
      </c>
      <c r="H1479" s="102">
        <v>15</v>
      </c>
      <c r="I1479" s="103">
        <f t="shared" si="85"/>
        <v>7875</v>
      </c>
      <c r="J1479" s="103">
        <f t="shared" si="86"/>
        <v>5249.9999999999991</v>
      </c>
    </row>
    <row r="1480" spans="1:10">
      <c r="A1480" s="102"/>
      <c r="B1480" s="102"/>
      <c r="C1480" s="103">
        <v>10000</v>
      </c>
      <c r="D1480" s="114" t="s">
        <v>3384</v>
      </c>
      <c r="E1480" s="103">
        <v>375</v>
      </c>
      <c r="F1480" s="102">
        <v>5</v>
      </c>
      <c r="G1480" s="208">
        <f>E1480/(C1480*H1480/30)</f>
        <v>7.4999999999999997E-2</v>
      </c>
      <c r="H1480" s="102">
        <v>15</v>
      </c>
      <c r="I1480" s="103">
        <f t="shared" si="85"/>
        <v>1875</v>
      </c>
      <c r="J1480" s="103">
        <f t="shared" si="86"/>
        <v>1249.9999999999998</v>
      </c>
    </row>
    <row r="1481" spans="1:10">
      <c r="A1481" s="102">
        <v>202</v>
      </c>
      <c r="B1481" s="102" t="s">
        <v>20</v>
      </c>
      <c r="C1481" s="103">
        <v>10000</v>
      </c>
      <c r="D1481" s="104">
        <v>1017</v>
      </c>
      <c r="E1481" s="103">
        <v>1150</v>
      </c>
      <c r="F1481" s="102">
        <v>10</v>
      </c>
      <c r="G1481" s="208">
        <v>0.06</v>
      </c>
      <c r="H1481" s="102" t="s">
        <v>664</v>
      </c>
      <c r="I1481" s="103">
        <f t="shared" si="85"/>
        <v>1500</v>
      </c>
      <c r="J1481" s="103">
        <f t="shared" si="86"/>
        <v>874.99999999999977</v>
      </c>
    </row>
    <row r="1482" spans="1:10">
      <c r="A1482" s="102"/>
      <c r="B1482" s="102"/>
      <c r="C1482" s="103">
        <v>30000</v>
      </c>
      <c r="D1482" s="104">
        <v>1017</v>
      </c>
      <c r="E1482" s="103">
        <v>1125</v>
      </c>
      <c r="F1482" s="102">
        <v>4</v>
      </c>
      <c r="G1482" s="208">
        <f>E1482/(C1482*H1482/30)</f>
        <v>7.4999999999999997E-2</v>
      </c>
      <c r="H1482" s="102">
        <v>15</v>
      </c>
      <c r="I1482" s="103">
        <f t="shared" si="85"/>
        <v>4500</v>
      </c>
      <c r="J1482" s="103">
        <f t="shared" si="86"/>
        <v>2999.9999999999995</v>
      </c>
    </row>
    <row r="1483" spans="1:10">
      <c r="A1483" s="102"/>
      <c r="B1483" s="102"/>
      <c r="C1483" s="103">
        <v>20000</v>
      </c>
      <c r="D1483" s="114" t="s">
        <v>3386</v>
      </c>
      <c r="E1483" s="103">
        <v>750</v>
      </c>
      <c r="F1483" s="102">
        <v>6</v>
      </c>
      <c r="G1483" s="208">
        <f>E1483/(C1483*H1483/30)</f>
        <v>7.4999999999999997E-2</v>
      </c>
      <c r="H1483" s="102">
        <v>15</v>
      </c>
      <c r="I1483" s="103">
        <f t="shared" si="85"/>
        <v>4500</v>
      </c>
      <c r="J1483" s="103">
        <f t="shared" si="86"/>
        <v>2999.9999999999995</v>
      </c>
    </row>
    <row r="1484" spans="1:10">
      <c r="A1484" s="102"/>
      <c r="B1484" s="102"/>
      <c r="C1484" s="103">
        <v>10000</v>
      </c>
      <c r="D1484" s="114" t="s">
        <v>3386</v>
      </c>
      <c r="E1484" s="103">
        <v>375</v>
      </c>
      <c r="F1484" s="102">
        <v>11</v>
      </c>
      <c r="G1484" s="208">
        <f>E1484/(C1484*H1484/30)</f>
        <v>7.4999999999999997E-2</v>
      </c>
      <c r="H1484" s="102">
        <v>15</v>
      </c>
      <c r="I1484" s="103">
        <f t="shared" si="85"/>
        <v>4125</v>
      </c>
      <c r="J1484" s="103">
        <f t="shared" si="86"/>
        <v>2749.9999999999995</v>
      </c>
    </row>
    <row r="1485" spans="1:10">
      <c r="A1485" s="102"/>
      <c r="B1485" s="102"/>
      <c r="C1485" s="103">
        <v>10000</v>
      </c>
      <c r="D1485" s="104">
        <v>1218</v>
      </c>
      <c r="E1485" s="103">
        <v>1150</v>
      </c>
      <c r="F1485" s="102">
        <v>10</v>
      </c>
      <c r="G1485" s="208">
        <v>0.06</v>
      </c>
      <c r="H1485" s="102" t="s">
        <v>664</v>
      </c>
      <c r="I1485" s="103">
        <f t="shared" si="85"/>
        <v>1500</v>
      </c>
      <c r="J1485" s="103">
        <f t="shared" si="86"/>
        <v>874.99999999999977</v>
      </c>
    </row>
    <row r="1486" spans="1:10">
      <c r="A1486" s="102"/>
      <c r="B1486" s="102"/>
      <c r="C1486" s="103">
        <v>30000</v>
      </c>
      <c r="D1486" s="104" t="s">
        <v>1711</v>
      </c>
      <c r="E1486" s="103">
        <v>1125</v>
      </c>
      <c r="F1486" s="102">
        <v>1</v>
      </c>
      <c r="G1486" s="208">
        <f>E1486/(C1486*H1486/30)</f>
        <v>7.4999999999999997E-2</v>
      </c>
      <c r="H1486" s="102">
        <v>15</v>
      </c>
      <c r="I1486" s="103">
        <f t="shared" si="85"/>
        <v>1125</v>
      </c>
      <c r="J1486" s="103">
        <f t="shared" si="86"/>
        <v>749.99999999999989</v>
      </c>
    </row>
    <row r="1487" spans="1:10">
      <c r="A1487" s="102"/>
      <c r="B1487" s="102"/>
      <c r="C1487" s="103">
        <v>10000</v>
      </c>
      <c r="D1487" s="104" t="s">
        <v>3119</v>
      </c>
      <c r="E1487" s="103">
        <v>1150</v>
      </c>
      <c r="F1487" s="102">
        <v>10</v>
      </c>
      <c r="G1487" s="208">
        <v>0.06</v>
      </c>
      <c r="H1487" s="102" t="s">
        <v>664</v>
      </c>
      <c r="I1487" s="103">
        <f t="shared" si="85"/>
        <v>1500</v>
      </c>
      <c r="J1487" s="103">
        <f t="shared" si="86"/>
        <v>874.99999999999977</v>
      </c>
    </row>
    <row r="1488" spans="1:10">
      <c r="A1488" s="102"/>
      <c r="B1488" s="102"/>
      <c r="C1488" s="103">
        <v>10000</v>
      </c>
      <c r="D1488" s="114" t="s">
        <v>3387</v>
      </c>
      <c r="E1488" s="103">
        <v>375</v>
      </c>
      <c r="F1488" s="102">
        <v>12</v>
      </c>
      <c r="G1488" s="208">
        <f>E1488/(C1488*H1488/30)</f>
        <v>7.4999999999999997E-2</v>
      </c>
      <c r="H1488" s="102">
        <v>15</v>
      </c>
      <c r="I1488" s="103">
        <f t="shared" si="85"/>
        <v>4500</v>
      </c>
      <c r="J1488" s="103">
        <f t="shared" si="86"/>
        <v>2999.9999999999995</v>
      </c>
    </row>
    <row r="1489" spans="1:10">
      <c r="A1489" s="102"/>
      <c r="B1489" s="102"/>
      <c r="C1489" s="103">
        <v>10000</v>
      </c>
      <c r="D1489" s="104" t="s">
        <v>266</v>
      </c>
      <c r="E1489" s="103">
        <v>1150</v>
      </c>
      <c r="F1489" s="102">
        <v>10</v>
      </c>
      <c r="G1489" s="208">
        <v>0.06</v>
      </c>
      <c r="H1489" s="102" t="s">
        <v>664</v>
      </c>
      <c r="I1489" s="103">
        <f t="shared" si="85"/>
        <v>1500</v>
      </c>
      <c r="J1489" s="103">
        <f t="shared" si="86"/>
        <v>874.99999999999977</v>
      </c>
    </row>
    <row r="1490" spans="1:10">
      <c r="A1490" s="102"/>
      <c r="B1490" s="102"/>
      <c r="C1490" s="103">
        <v>10000</v>
      </c>
      <c r="D1490" s="104" t="s">
        <v>1531</v>
      </c>
      <c r="E1490" s="103">
        <v>1150</v>
      </c>
      <c r="F1490" s="102">
        <v>10</v>
      </c>
      <c r="G1490" s="208">
        <v>0.06</v>
      </c>
      <c r="H1490" s="102" t="s">
        <v>664</v>
      </c>
      <c r="I1490" s="103">
        <f t="shared" si="85"/>
        <v>1500</v>
      </c>
      <c r="J1490" s="103">
        <f t="shared" si="86"/>
        <v>874.99999999999977</v>
      </c>
    </row>
    <row r="1491" spans="1:10">
      <c r="A1491" s="102"/>
      <c r="B1491" s="102"/>
      <c r="C1491" s="103">
        <v>40000</v>
      </c>
      <c r="D1491" s="114" t="s">
        <v>3388</v>
      </c>
      <c r="E1491" s="103">
        <v>1500</v>
      </c>
      <c r="F1491" s="102">
        <v>2</v>
      </c>
      <c r="G1491" s="208">
        <f>E1491/(C1491*H1491/30)</f>
        <v>7.4999999999999997E-2</v>
      </c>
      <c r="H1491" s="102">
        <v>15</v>
      </c>
      <c r="I1491" s="103">
        <f t="shared" si="85"/>
        <v>3000</v>
      </c>
      <c r="J1491" s="103">
        <f t="shared" si="86"/>
        <v>1999.9999999999998</v>
      </c>
    </row>
    <row r="1492" spans="1:10">
      <c r="A1492" s="102">
        <v>203</v>
      </c>
      <c r="B1492" s="102" t="s">
        <v>21</v>
      </c>
      <c r="C1492" s="103">
        <v>60000</v>
      </c>
      <c r="D1492" s="104" t="s">
        <v>2350</v>
      </c>
      <c r="E1492" s="103">
        <v>2400</v>
      </c>
      <c r="F1492" s="102">
        <v>2</v>
      </c>
      <c r="G1492" s="208">
        <f>E1492/(C1492*H1492/30)</f>
        <v>0.04</v>
      </c>
      <c r="H1492" s="102">
        <v>30</v>
      </c>
      <c r="I1492" s="103">
        <f t="shared" si="85"/>
        <v>4800</v>
      </c>
      <c r="J1492" s="103">
        <f t="shared" si="86"/>
        <v>1800</v>
      </c>
    </row>
    <row r="1493" spans="1:10">
      <c r="A1493" s="102">
        <v>204</v>
      </c>
      <c r="B1493" s="102" t="s">
        <v>22</v>
      </c>
      <c r="C1493" s="103">
        <v>20000</v>
      </c>
      <c r="D1493" s="104" t="s">
        <v>450</v>
      </c>
      <c r="E1493" s="103">
        <v>2300</v>
      </c>
      <c r="F1493" s="102">
        <v>10</v>
      </c>
      <c r="G1493" s="208">
        <v>0.06</v>
      </c>
      <c r="H1493" s="102" t="s">
        <v>664</v>
      </c>
      <c r="I1493" s="103">
        <f t="shared" si="85"/>
        <v>3000</v>
      </c>
      <c r="J1493" s="103">
        <f t="shared" si="86"/>
        <v>1749.9999999999995</v>
      </c>
    </row>
    <row r="1494" spans="1:10">
      <c r="A1494" s="102"/>
      <c r="B1494" s="102"/>
      <c r="C1494" s="103">
        <v>15000</v>
      </c>
      <c r="D1494" s="104" t="s">
        <v>3406</v>
      </c>
      <c r="E1494" s="103">
        <v>1750</v>
      </c>
      <c r="F1494" s="102">
        <v>4</v>
      </c>
      <c r="G1494" s="208">
        <v>0.06</v>
      </c>
      <c r="H1494" s="102" t="s">
        <v>2184</v>
      </c>
      <c r="I1494" s="103">
        <f t="shared" si="85"/>
        <v>900</v>
      </c>
      <c r="J1494" s="103">
        <f t="shared" si="86"/>
        <v>525</v>
      </c>
    </row>
    <row r="1495" spans="1:10">
      <c r="A1495" s="102"/>
      <c r="B1495" s="102"/>
      <c r="C1495" s="103">
        <v>10000</v>
      </c>
      <c r="D1495" s="104" t="s">
        <v>3406</v>
      </c>
      <c r="E1495" s="103">
        <v>375</v>
      </c>
      <c r="F1495" s="102">
        <v>13</v>
      </c>
      <c r="G1495" s="208">
        <f>E1495/(C1495*H1495/30)</f>
        <v>7.4999999999999997E-2</v>
      </c>
      <c r="H1495" s="102">
        <v>15</v>
      </c>
      <c r="I1495" s="103">
        <f t="shared" si="85"/>
        <v>4875</v>
      </c>
      <c r="J1495" s="103">
        <f t="shared" si="86"/>
        <v>3249.9999999999995</v>
      </c>
    </row>
    <row r="1496" spans="1:10">
      <c r="A1496" s="102"/>
      <c r="B1496" s="102"/>
      <c r="C1496" s="103">
        <v>10000</v>
      </c>
      <c r="D1496" s="104" t="s">
        <v>3406</v>
      </c>
      <c r="E1496" s="103">
        <v>750</v>
      </c>
      <c r="F1496" s="102">
        <v>2</v>
      </c>
      <c r="G1496" s="208">
        <f>E1496/(C1496*H1496/30)</f>
        <v>7.4999999999999997E-2</v>
      </c>
      <c r="H1496" s="102">
        <v>30</v>
      </c>
      <c r="I1496" s="103">
        <f t="shared" si="85"/>
        <v>1500</v>
      </c>
      <c r="J1496" s="103">
        <f t="shared" si="86"/>
        <v>999.99999999999989</v>
      </c>
    </row>
    <row r="1497" spans="1:10">
      <c r="A1497" s="102"/>
      <c r="B1497" s="102"/>
      <c r="C1497" s="103">
        <v>10500</v>
      </c>
      <c r="D1497" s="114" t="s">
        <v>3389</v>
      </c>
      <c r="E1497" s="103">
        <v>790</v>
      </c>
      <c r="F1497" s="102">
        <v>8</v>
      </c>
      <c r="G1497" s="208">
        <f>E1497/(C1497*H1497/30)</f>
        <v>7.5238095238095243E-2</v>
      </c>
      <c r="H1497" s="102">
        <v>30</v>
      </c>
      <c r="I1497" s="103">
        <f t="shared" si="85"/>
        <v>6320</v>
      </c>
      <c r="J1497" s="103">
        <f t="shared" si="86"/>
        <v>4220</v>
      </c>
    </row>
    <row r="1498" spans="1:10">
      <c r="A1498" s="102">
        <v>205</v>
      </c>
      <c r="B1498" s="102" t="s">
        <v>23</v>
      </c>
      <c r="C1498" s="103">
        <v>20000</v>
      </c>
      <c r="D1498" s="104" t="s">
        <v>3415</v>
      </c>
      <c r="E1498" s="103">
        <v>2300</v>
      </c>
      <c r="F1498" s="102">
        <v>10</v>
      </c>
      <c r="G1498" s="208">
        <v>0.06</v>
      </c>
      <c r="H1498" s="102" t="s">
        <v>664</v>
      </c>
      <c r="I1498" s="103">
        <f t="shared" si="85"/>
        <v>3000</v>
      </c>
      <c r="J1498" s="103">
        <f t="shared" si="86"/>
        <v>1749.9999999999995</v>
      </c>
    </row>
    <row r="1499" spans="1:10">
      <c r="A1499" s="102"/>
      <c r="B1499" s="102"/>
      <c r="C1499" s="103">
        <v>30000</v>
      </c>
      <c r="D1499" s="104" t="s">
        <v>3415</v>
      </c>
      <c r="E1499" s="103">
        <v>1125</v>
      </c>
      <c r="F1499" s="102">
        <v>14</v>
      </c>
      <c r="G1499" s="208">
        <f>E1499/(C1499*H1499/30)</f>
        <v>7.4999999999999997E-2</v>
      </c>
      <c r="H1499" s="102">
        <v>15</v>
      </c>
      <c r="I1499" s="103">
        <f t="shared" si="85"/>
        <v>15750</v>
      </c>
      <c r="J1499" s="103">
        <f t="shared" si="86"/>
        <v>10499.999999999998</v>
      </c>
    </row>
    <row r="1500" spans="1:10">
      <c r="A1500" s="102"/>
      <c r="B1500" s="102"/>
      <c r="C1500" s="103">
        <v>20000</v>
      </c>
      <c r="D1500" s="104" t="s">
        <v>3398</v>
      </c>
      <c r="E1500" s="103">
        <v>2300</v>
      </c>
      <c r="F1500" s="102">
        <v>4</v>
      </c>
      <c r="G1500" s="208">
        <v>0.06</v>
      </c>
      <c r="H1500" s="102" t="s">
        <v>664</v>
      </c>
      <c r="I1500" s="103">
        <f t="shared" si="85"/>
        <v>1200</v>
      </c>
      <c r="J1500" s="103">
        <f t="shared" si="86"/>
        <v>699.99999999999989</v>
      </c>
    </row>
    <row r="1501" spans="1:10">
      <c r="A1501" s="102"/>
      <c r="B1501" s="102"/>
      <c r="C1501" s="103">
        <v>40000</v>
      </c>
      <c r="D1501" s="104" t="s">
        <v>425</v>
      </c>
      <c r="E1501" s="103">
        <v>1500</v>
      </c>
      <c r="F1501" s="102">
        <v>17</v>
      </c>
      <c r="G1501" s="208">
        <f>E1501/(C1501*H1501/30)</f>
        <v>7.4999999999999997E-2</v>
      </c>
      <c r="H1501" s="102">
        <v>15</v>
      </c>
      <c r="I1501" s="103">
        <f t="shared" si="85"/>
        <v>25500</v>
      </c>
      <c r="J1501" s="103">
        <f t="shared" si="86"/>
        <v>16999.999999999996</v>
      </c>
    </row>
    <row r="1502" spans="1:10">
      <c r="A1502" s="102"/>
      <c r="B1502" s="102"/>
      <c r="C1502" s="103">
        <v>10000</v>
      </c>
      <c r="D1502" s="104" t="s">
        <v>425</v>
      </c>
      <c r="E1502" s="103">
        <v>1150</v>
      </c>
      <c r="F1502" s="102">
        <v>10</v>
      </c>
      <c r="G1502" s="208">
        <v>0.06</v>
      </c>
      <c r="H1502" s="102" t="s">
        <v>664</v>
      </c>
      <c r="I1502" s="103">
        <f t="shared" si="85"/>
        <v>1500</v>
      </c>
      <c r="J1502" s="103">
        <f t="shared" si="86"/>
        <v>874.99999999999977</v>
      </c>
    </row>
    <row r="1503" spans="1:10">
      <c r="A1503" s="102">
        <v>207</v>
      </c>
      <c r="B1503" s="102" t="s">
        <v>24</v>
      </c>
      <c r="C1503" s="103">
        <v>10000</v>
      </c>
      <c r="D1503" s="104" t="s">
        <v>244</v>
      </c>
      <c r="E1503" s="103">
        <v>1150</v>
      </c>
      <c r="F1503" s="102">
        <v>5</v>
      </c>
      <c r="G1503" s="208">
        <v>0.06</v>
      </c>
      <c r="H1503" s="102" t="s">
        <v>664</v>
      </c>
      <c r="I1503" s="103">
        <f t="shared" si="85"/>
        <v>750</v>
      </c>
      <c r="J1503" s="103">
        <f t="shared" si="86"/>
        <v>437.49999999999989</v>
      </c>
    </row>
    <row r="1504" spans="1:10">
      <c r="A1504" s="102"/>
      <c r="B1504" s="102"/>
      <c r="C1504" s="103">
        <v>20000</v>
      </c>
      <c r="D1504" s="104" t="s">
        <v>244</v>
      </c>
      <c r="E1504" s="103">
        <v>750</v>
      </c>
      <c r="F1504" s="102">
        <v>2</v>
      </c>
      <c r="G1504" s="208">
        <f>E1504/(C1504*H1504/30)</f>
        <v>7.4999999999999997E-2</v>
      </c>
      <c r="H1504" s="102">
        <v>15</v>
      </c>
      <c r="I1504" s="103">
        <f t="shared" si="85"/>
        <v>1500</v>
      </c>
      <c r="J1504" s="103">
        <f t="shared" si="86"/>
        <v>999.99999999999989</v>
      </c>
    </row>
    <row r="1505" spans="1:10">
      <c r="A1505" s="102"/>
      <c r="B1505" s="102"/>
      <c r="C1505" s="103">
        <v>30000</v>
      </c>
      <c r="D1505" s="104" t="s">
        <v>462</v>
      </c>
      <c r="E1505" s="103">
        <v>1125</v>
      </c>
      <c r="F1505" s="102">
        <v>1</v>
      </c>
      <c r="G1505" s="208">
        <f>E1505/(C1505*H1505/30)</f>
        <v>7.4999999999999997E-2</v>
      </c>
      <c r="H1505" s="102">
        <v>15</v>
      </c>
      <c r="I1505" s="103">
        <f t="shared" si="85"/>
        <v>1125</v>
      </c>
      <c r="J1505" s="103">
        <f t="shared" si="86"/>
        <v>749.99999999999989</v>
      </c>
    </row>
    <row r="1506" spans="1:10">
      <c r="A1506" s="102"/>
      <c r="B1506" s="102"/>
      <c r="C1506" s="103">
        <v>125000</v>
      </c>
      <c r="D1506" s="104" t="s">
        <v>1975</v>
      </c>
      <c r="E1506" s="103">
        <v>9375</v>
      </c>
      <c r="F1506" s="102">
        <v>2</v>
      </c>
      <c r="G1506" s="208">
        <f>E1506/(C1506*H1506/30)</f>
        <v>7.4999999999999997E-2</v>
      </c>
      <c r="H1506" s="102">
        <v>30</v>
      </c>
      <c r="I1506" s="103">
        <f t="shared" si="85"/>
        <v>18750</v>
      </c>
      <c r="J1506" s="103">
        <f t="shared" si="86"/>
        <v>12499.999999999998</v>
      </c>
    </row>
    <row r="1507" spans="1:10">
      <c r="A1507" s="102"/>
      <c r="B1507" s="102"/>
      <c r="C1507" s="103">
        <v>120000</v>
      </c>
      <c r="D1507" s="104" t="s">
        <v>1975</v>
      </c>
      <c r="E1507" s="103">
        <v>9000</v>
      </c>
      <c r="F1507" s="102">
        <v>1</v>
      </c>
      <c r="G1507" s="208">
        <f>E1507/(C1507*H1507/30)</f>
        <v>7.4999999999999997E-2</v>
      </c>
      <c r="H1507" s="102">
        <v>30</v>
      </c>
      <c r="I1507" s="103">
        <f t="shared" si="85"/>
        <v>9000</v>
      </c>
      <c r="J1507" s="103">
        <f t="shared" si="86"/>
        <v>5999.9999999999991</v>
      </c>
    </row>
    <row r="1508" spans="1:10">
      <c r="A1508" s="102">
        <v>208</v>
      </c>
      <c r="B1508" s="102" t="s">
        <v>25</v>
      </c>
      <c r="C1508" s="103">
        <v>30000</v>
      </c>
      <c r="D1508" s="104" t="s">
        <v>1977</v>
      </c>
      <c r="E1508" s="103">
        <v>1125</v>
      </c>
      <c r="F1508" s="102">
        <v>33</v>
      </c>
      <c r="G1508" s="208">
        <f>E1508/(C1508*H1508/30)</f>
        <v>7.4999999999999997E-2</v>
      </c>
      <c r="H1508" s="102">
        <v>15</v>
      </c>
      <c r="I1508" s="103">
        <f t="shared" si="85"/>
        <v>37125</v>
      </c>
      <c r="J1508" s="103">
        <f t="shared" si="86"/>
        <v>24749.999999999996</v>
      </c>
    </row>
    <row r="1509" spans="1:10">
      <c r="A1509" s="102"/>
      <c r="B1509" s="102"/>
      <c r="C1509" s="103">
        <v>10000</v>
      </c>
      <c r="D1509" s="104" t="s">
        <v>1988</v>
      </c>
      <c r="E1509" s="103">
        <v>1150</v>
      </c>
      <c r="F1509" s="102">
        <v>10</v>
      </c>
      <c r="G1509" s="208">
        <v>0.06</v>
      </c>
      <c r="H1509" s="102" t="s">
        <v>664</v>
      </c>
      <c r="I1509" s="103">
        <f t="shared" si="85"/>
        <v>1500</v>
      </c>
      <c r="J1509" s="103">
        <f t="shared" si="86"/>
        <v>874.99999999999977</v>
      </c>
    </row>
    <row r="1510" spans="1:10">
      <c r="A1510" s="102"/>
      <c r="B1510" s="102"/>
      <c r="C1510" s="103">
        <v>10000</v>
      </c>
      <c r="D1510" s="104" t="s">
        <v>1984</v>
      </c>
      <c r="E1510" s="103">
        <v>1150</v>
      </c>
      <c r="F1510" s="102">
        <v>10</v>
      </c>
      <c r="G1510" s="208">
        <v>0.06</v>
      </c>
      <c r="H1510" s="102" t="s">
        <v>664</v>
      </c>
      <c r="I1510" s="103">
        <f t="shared" si="85"/>
        <v>1500</v>
      </c>
      <c r="J1510" s="103">
        <f t="shared" si="86"/>
        <v>874.99999999999977</v>
      </c>
    </row>
    <row r="1511" spans="1:10">
      <c r="A1511" s="102"/>
      <c r="B1511" s="102"/>
      <c r="C1511" s="103">
        <v>10000</v>
      </c>
      <c r="D1511" s="104" t="s">
        <v>1705</v>
      </c>
      <c r="E1511" s="103">
        <v>1150</v>
      </c>
      <c r="F1511" s="102">
        <v>10</v>
      </c>
      <c r="G1511" s="208">
        <v>0.06</v>
      </c>
      <c r="H1511" s="102" t="s">
        <v>664</v>
      </c>
      <c r="I1511" s="103">
        <f t="shared" si="85"/>
        <v>1500</v>
      </c>
      <c r="J1511" s="103">
        <f t="shared" si="86"/>
        <v>874.99999999999977</v>
      </c>
    </row>
    <row r="1512" spans="1:10">
      <c r="A1512" s="102"/>
      <c r="B1512" s="102"/>
      <c r="C1512" s="103">
        <v>10000</v>
      </c>
      <c r="D1512" s="104" t="s">
        <v>997</v>
      </c>
      <c r="E1512" s="103">
        <v>1150</v>
      </c>
      <c r="F1512" s="102">
        <v>10</v>
      </c>
      <c r="G1512" s="208">
        <v>0.06</v>
      </c>
      <c r="H1512" s="102" t="s">
        <v>664</v>
      </c>
      <c r="I1512" s="103">
        <f t="shared" si="85"/>
        <v>1500</v>
      </c>
      <c r="J1512" s="103">
        <f t="shared" si="86"/>
        <v>874.99999999999977</v>
      </c>
    </row>
    <row r="1513" spans="1:10">
      <c r="A1513" s="102"/>
      <c r="B1513" s="102"/>
      <c r="C1513" s="103">
        <v>10000</v>
      </c>
      <c r="D1513" s="104" t="s">
        <v>3163</v>
      </c>
      <c r="E1513" s="103">
        <v>375</v>
      </c>
      <c r="F1513" s="102">
        <v>25</v>
      </c>
      <c r="G1513" s="208">
        <f>E1513/(C1513*H1513/30)</f>
        <v>7.4999999999999997E-2</v>
      </c>
      <c r="H1513" s="102">
        <v>15</v>
      </c>
      <c r="I1513" s="103">
        <f t="shared" si="85"/>
        <v>9375</v>
      </c>
      <c r="J1513" s="103">
        <f t="shared" si="86"/>
        <v>6249.9999999999991</v>
      </c>
    </row>
    <row r="1514" spans="1:10">
      <c r="A1514" s="102"/>
      <c r="B1514" s="102"/>
      <c r="C1514" s="103">
        <v>10000</v>
      </c>
      <c r="D1514" s="104" t="s">
        <v>1694</v>
      </c>
      <c r="E1514" s="103">
        <v>1150</v>
      </c>
      <c r="F1514" s="102">
        <v>10</v>
      </c>
      <c r="G1514" s="208">
        <v>0.06</v>
      </c>
      <c r="H1514" s="102" t="s">
        <v>664</v>
      </c>
      <c r="I1514" s="103">
        <f t="shared" si="85"/>
        <v>1500</v>
      </c>
      <c r="J1514" s="103">
        <f t="shared" si="86"/>
        <v>874.99999999999977</v>
      </c>
    </row>
    <row r="1515" spans="1:10">
      <c r="A1515" s="102"/>
      <c r="B1515" s="102"/>
      <c r="C1515" s="103">
        <v>5000</v>
      </c>
      <c r="D1515" s="104" t="s">
        <v>3179</v>
      </c>
      <c r="E1515" s="103">
        <v>600</v>
      </c>
      <c r="F1515" s="102">
        <v>3</v>
      </c>
      <c r="G1515" s="208">
        <v>0.06</v>
      </c>
      <c r="H1515" s="102" t="s">
        <v>664</v>
      </c>
      <c r="I1515" s="103">
        <f t="shared" si="85"/>
        <v>225</v>
      </c>
      <c r="J1515" s="103">
        <f t="shared" si="86"/>
        <v>131.24999999999997</v>
      </c>
    </row>
    <row r="1516" spans="1:10">
      <c r="A1516" s="102"/>
      <c r="B1516" s="102"/>
      <c r="C1516" s="103">
        <v>10000</v>
      </c>
      <c r="D1516" s="104" t="s">
        <v>1698</v>
      </c>
      <c r="E1516" s="103">
        <v>1150</v>
      </c>
      <c r="F1516" s="102">
        <v>10</v>
      </c>
      <c r="G1516" s="208">
        <v>0.06</v>
      </c>
      <c r="H1516" s="102" t="s">
        <v>664</v>
      </c>
      <c r="I1516" s="103">
        <f t="shared" si="85"/>
        <v>1500</v>
      </c>
      <c r="J1516" s="103">
        <f t="shared" si="86"/>
        <v>874.99999999999977</v>
      </c>
    </row>
    <row r="1517" spans="1:10">
      <c r="A1517" s="102"/>
      <c r="B1517" s="102"/>
      <c r="C1517" s="103">
        <v>5000</v>
      </c>
      <c r="D1517" s="104" t="s">
        <v>3395</v>
      </c>
      <c r="E1517" s="103">
        <v>600</v>
      </c>
      <c r="F1517" s="102">
        <v>10</v>
      </c>
      <c r="G1517" s="208">
        <v>0.06</v>
      </c>
      <c r="H1517" s="102" t="s">
        <v>664</v>
      </c>
      <c r="I1517" s="103">
        <f t="shared" si="85"/>
        <v>750</v>
      </c>
      <c r="J1517" s="103">
        <f t="shared" si="86"/>
        <v>437.49999999999989</v>
      </c>
    </row>
    <row r="1518" spans="1:10">
      <c r="A1518" s="102"/>
      <c r="B1518" s="102"/>
      <c r="C1518" s="103">
        <v>10000</v>
      </c>
      <c r="D1518" s="104" t="s">
        <v>1985</v>
      </c>
      <c r="E1518" s="103">
        <v>1150</v>
      </c>
      <c r="F1518" s="102">
        <v>6</v>
      </c>
      <c r="G1518" s="208">
        <v>0.06</v>
      </c>
      <c r="H1518" s="102" t="s">
        <v>664</v>
      </c>
      <c r="I1518" s="103">
        <f t="shared" si="85"/>
        <v>900</v>
      </c>
      <c r="J1518" s="103">
        <f t="shared" si="86"/>
        <v>524.99999999999989</v>
      </c>
    </row>
    <row r="1519" spans="1:10">
      <c r="A1519" s="102"/>
      <c r="B1519" s="102"/>
      <c r="C1519" s="103">
        <v>10000</v>
      </c>
      <c r="D1519" s="104" t="s">
        <v>442</v>
      </c>
      <c r="E1519" s="103">
        <v>1150</v>
      </c>
      <c r="F1519" s="102">
        <v>10</v>
      </c>
      <c r="G1519" s="208">
        <v>0.06</v>
      </c>
      <c r="H1519" s="102" t="s">
        <v>664</v>
      </c>
      <c r="I1519" s="103">
        <f t="shared" si="85"/>
        <v>1500</v>
      </c>
      <c r="J1519" s="103">
        <f t="shared" si="86"/>
        <v>874.99999999999977</v>
      </c>
    </row>
    <row r="1520" spans="1:10">
      <c r="A1520" s="102"/>
      <c r="B1520" s="102"/>
      <c r="C1520" s="103">
        <v>10000</v>
      </c>
      <c r="D1520" s="104" t="s">
        <v>2531</v>
      </c>
      <c r="E1520" s="103">
        <v>1150</v>
      </c>
      <c r="F1520" s="102">
        <v>10</v>
      </c>
      <c r="G1520" s="208">
        <v>0.06</v>
      </c>
      <c r="H1520" s="102" t="s">
        <v>664</v>
      </c>
      <c r="I1520" s="103">
        <f t="shared" si="85"/>
        <v>1500</v>
      </c>
      <c r="J1520" s="103">
        <f t="shared" si="86"/>
        <v>874.99999999999977</v>
      </c>
    </row>
    <row r="1521" spans="1:10">
      <c r="A1521" s="102"/>
      <c r="B1521" s="102"/>
      <c r="C1521" s="103">
        <v>5000</v>
      </c>
      <c r="D1521" s="104" t="s">
        <v>1991</v>
      </c>
      <c r="E1521" s="103">
        <v>600</v>
      </c>
      <c r="F1521" s="102">
        <v>10</v>
      </c>
      <c r="G1521" s="208">
        <v>0.06</v>
      </c>
      <c r="H1521" s="102" t="s">
        <v>664</v>
      </c>
      <c r="I1521" s="103">
        <f t="shared" si="85"/>
        <v>750</v>
      </c>
      <c r="J1521" s="103">
        <f t="shared" si="86"/>
        <v>437.49999999999989</v>
      </c>
    </row>
    <row r="1522" spans="1:10">
      <c r="A1522" s="102"/>
      <c r="B1522" s="102"/>
      <c r="C1522" s="103">
        <v>5000</v>
      </c>
      <c r="D1522" s="104" t="s">
        <v>446</v>
      </c>
      <c r="E1522" s="103">
        <v>600</v>
      </c>
      <c r="F1522" s="102">
        <v>10</v>
      </c>
      <c r="G1522" s="208">
        <v>0.06</v>
      </c>
      <c r="H1522" s="102" t="s">
        <v>664</v>
      </c>
      <c r="I1522" s="103">
        <f t="shared" si="85"/>
        <v>750</v>
      </c>
      <c r="J1522" s="103">
        <f t="shared" si="86"/>
        <v>437.49999999999989</v>
      </c>
    </row>
    <row r="1523" spans="1:10">
      <c r="A1523" s="102"/>
      <c r="B1523" s="102"/>
      <c r="C1523" s="103">
        <v>5000</v>
      </c>
      <c r="D1523" s="104" t="s">
        <v>242</v>
      </c>
      <c r="E1523" s="103">
        <v>600</v>
      </c>
      <c r="F1523" s="102">
        <v>10</v>
      </c>
      <c r="G1523" s="208">
        <v>0.06</v>
      </c>
      <c r="H1523" s="102" t="s">
        <v>664</v>
      </c>
      <c r="I1523" s="103">
        <f t="shared" si="85"/>
        <v>750</v>
      </c>
      <c r="J1523" s="103">
        <f t="shared" si="86"/>
        <v>437.49999999999989</v>
      </c>
    </row>
    <row r="1524" spans="1:10">
      <c r="A1524" s="102"/>
      <c r="B1524" s="102"/>
      <c r="C1524" s="103">
        <v>5000</v>
      </c>
      <c r="D1524" s="104" t="s">
        <v>1977</v>
      </c>
      <c r="E1524" s="103">
        <v>190</v>
      </c>
      <c r="F1524" s="102">
        <v>7</v>
      </c>
      <c r="G1524" s="208">
        <f>E1524/(C1524*H1524/30)</f>
        <v>7.5999999999999998E-2</v>
      </c>
      <c r="H1524" s="102">
        <v>15</v>
      </c>
      <c r="I1524" s="103">
        <f t="shared" si="85"/>
        <v>1330</v>
      </c>
      <c r="J1524" s="103">
        <f t="shared" si="86"/>
        <v>892.49999999999989</v>
      </c>
    </row>
    <row r="1525" spans="1:10">
      <c r="A1525" s="102"/>
      <c r="B1525" s="102"/>
      <c r="C1525" s="103">
        <v>5000</v>
      </c>
      <c r="D1525" s="104" t="s">
        <v>1710</v>
      </c>
      <c r="E1525" s="103">
        <v>600</v>
      </c>
      <c r="F1525" s="102">
        <v>10</v>
      </c>
      <c r="G1525" s="208">
        <v>0.06</v>
      </c>
      <c r="H1525" s="102" t="s">
        <v>664</v>
      </c>
      <c r="I1525" s="103">
        <f t="shared" si="85"/>
        <v>750</v>
      </c>
      <c r="J1525" s="103">
        <f t="shared" si="86"/>
        <v>437.49999999999989</v>
      </c>
    </row>
    <row r="1526" spans="1:10">
      <c r="A1526" s="102"/>
      <c r="B1526" s="102"/>
      <c r="C1526" s="103">
        <v>5000</v>
      </c>
      <c r="D1526" s="104" t="s">
        <v>229</v>
      </c>
      <c r="E1526" s="103">
        <v>600</v>
      </c>
      <c r="F1526" s="102">
        <v>10</v>
      </c>
      <c r="G1526" s="208">
        <v>0.06</v>
      </c>
      <c r="H1526" s="102" t="s">
        <v>664</v>
      </c>
      <c r="I1526" s="103">
        <f t="shared" si="85"/>
        <v>750</v>
      </c>
      <c r="J1526" s="103">
        <f t="shared" si="86"/>
        <v>437.49999999999989</v>
      </c>
    </row>
    <row r="1527" spans="1:10">
      <c r="A1527" s="102"/>
      <c r="B1527" s="102"/>
      <c r="C1527" s="103">
        <v>5000</v>
      </c>
      <c r="D1527" s="104" t="s">
        <v>1009</v>
      </c>
      <c r="E1527" s="103">
        <v>190</v>
      </c>
      <c r="F1527" s="102">
        <v>1</v>
      </c>
      <c r="G1527" s="208">
        <f>E1527/(C1527*H1527/30)</f>
        <v>7.5999999999999998E-2</v>
      </c>
      <c r="H1527" s="102">
        <v>15</v>
      </c>
      <c r="I1527" s="103">
        <f t="shared" si="85"/>
        <v>190</v>
      </c>
      <c r="J1527" s="103">
        <f t="shared" si="86"/>
        <v>127.49999999999999</v>
      </c>
    </row>
    <row r="1528" spans="1:10">
      <c r="A1528" s="102">
        <v>209</v>
      </c>
      <c r="B1528" s="102" t="s">
        <v>26</v>
      </c>
      <c r="C1528" s="103">
        <v>130000</v>
      </c>
      <c r="D1528" s="104" t="s">
        <v>2610</v>
      </c>
      <c r="E1528" s="103">
        <v>4875</v>
      </c>
      <c r="F1528" s="102">
        <v>2</v>
      </c>
      <c r="G1528" s="208">
        <f>E1528/(C1528*H1528/30)</f>
        <v>7.4999999999999997E-2</v>
      </c>
      <c r="H1528" s="102">
        <v>15</v>
      </c>
      <c r="I1528" s="103">
        <f t="shared" si="85"/>
        <v>9750</v>
      </c>
      <c r="J1528" s="103">
        <f t="shared" si="86"/>
        <v>6499.9999999999991</v>
      </c>
    </row>
    <row r="1529" spans="1:10">
      <c r="A1529" s="102"/>
      <c r="B1529" s="102"/>
      <c r="C1529" s="103">
        <v>146000</v>
      </c>
      <c r="D1529" s="114" t="s">
        <v>3390</v>
      </c>
      <c r="E1529" s="103">
        <v>5475</v>
      </c>
      <c r="F1529" s="102">
        <v>2</v>
      </c>
      <c r="G1529" s="208">
        <f>E1529/(C1529*H1529/30)</f>
        <v>7.4999999999999997E-2</v>
      </c>
      <c r="H1529" s="102">
        <v>15</v>
      </c>
      <c r="I1529" s="103">
        <f t="shared" si="85"/>
        <v>10950</v>
      </c>
      <c r="J1529" s="103">
        <f t="shared" si="86"/>
        <v>7299.9999999999991</v>
      </c>
    </row>
    <row r="1530" spans="1:10">
      <c r="A1530" s="102"/>
      <c r="B1530" s="102"/>
      <c r="C1530" s="103">
        <v>130000</v>
      </c>
      <c r="D1530" s="114" t="s">
        <v>3390</v>
      </c>
      <c r="E1530" s="103">
        <v>4875</v>
      </c>
      <c r="F1530" s="102">
        <v>2</v>
      </c>
      <c r="G1530" s="208">
        <f>E1530/(C1530*H1530/30)</f>
        <v>7.4999999999999997E-2</v>
      </c>
      <c r="H1530" s="102">
        <v>15</v>
      </c>
      <c r="I1530" s="103">
        <f t="shared" si="85"/>
        <v>9750</v>
      </c>
      <c r="J1530" s="103">
        <f t="shared" si="86"/>
        <v>6499.9999999999991</v>
      </c>
    </row>
    <row r="1531" spans="1:10">
      <c r="A1531" s="102"/>
      <c r="B1531" s="102"/>
      <c r="C1531" s="103">
        <v>110000</v>
      </c>
      <c r="D1531" s="114" t="s">
        <v>3390</v>
      </c>
      <c r="E1531" s="103">
        <v>4125</v>
      </c>
      <c r="F1531" s="102">
        <v>1</v>
      </c>
      <c r="G1531" s="208">
        <f>E1531/(C1531*H1531/30)</f>
        <v>7.4999999999999997E-2</v>
      </c>
      <c r="H1531" s="102">
        <v>15</v>
      </c>
      <c r="I1531" s="103">
        <f t="shared" si="85"/>
        <v>4125</v>
      </c>
      <c r="J1531" s="103">
        <f t="shared" si="86"/>
        <v>2749.9999999999995</v>
      </c>
    </row>
    <row r="1532" spans="1:10">
      <c r="A1532" s="102">
        <v>210</v>
      </c>
      <c r="B1532" s="102" t="s">
        <v>27</v>
      </c>
      <c r="C1532" s="103">
        <v>150000</v>
      </c>
      <c r="D1532" s="104" t="s">
        <v>3152</v>
      </c>
      <c r="E1532" s="103">
        <v>1750</v>
      </c>
      <c r="F1532" s="102">
        <v>10</v>
      </c>
      <c r="G1532" s="208">
        <v>0.06</v>
      </c>
      <c r="H1532" s="102" t="s">
        <v>664</v>
      </c>
      <c r="I1532" s="103">
        <f t="shared" si="85"/>
        <v>22500</v>
      </c>
      <c r="J1532" s="103">
        <f t="shared" si="86"/>
        <v>13124.999999999996</v>
      </c>
    </row>
    <row r="1533" spans="1:10">
      <c r="A1533" s="102"/>
      <c r="B1533" s="102"/>
      <c r="C1533" s="103">
        <v>15000</v>
      </c>
      <c r="D1533" s="104" t="s">
        <v>1709</v>
      </c>
      <c r="E1533" s="103">
        <v>1750</v>
      </c>
      <c r="F1533" s="102">
        <v>10</v>
      </c>
      <c r="G1533" s="208">
        <v>0.06</v>
      </c>
      <c r="H1533" s="102" t="s">
        <v>664</v>
      </c>
      <c r="I1533" s="103">
        <f t="shared" si="85"/>
        <v>2250</v>
      </c>
      <c r="J1533" s="103">
        <f t="shared" si="86"/>
        <v>1312.5</v>
      </c>
    </row>
    <row r="1534" spans="1:10">
      <c r="A1534" s="102"/>
      <c r="B1534" s="102"/>
      <c r="C1534" s="103">
        <v>15000</v>
      </c>
      <c r="D1534" s="104" t="s">
        <v>994</v>
      </c>
      <c r="E1534" s="103">
        <v>1750</v>
      </c>
      <c r="F1534" s="102">
        <v>10</v>
      </c>
      <c r="G1534" s="208">
        <v>0.06</v>
      </c>
      <c r="H1534" s="102" t="s">
        <v>664</v>
      </c>
      <c r="I1534" s="103">
        <f t="shared" si="85"/>
        <v>2250</v>
      </c>
      <c r="J1534" s="103">
        <f t="shared" si="86"/>
        <v>1312.5</v>
      </c>
    </row>
    <row r="1535" spans="1:10">
      <c r="A1535" s="102"/>
      <c r="B1535" s="102"/>
      <c r="C1535" s="103">
        <v>10000</v>
      </c>
      <c r="D1535" s="104" t="s">
        <v>28</v>
      </c>
      <c r="E1535" s="103">
        <v>375</v>
      </c>
      <c r="F1535" s="102">
        <v>22</v>
      </c>
      <c r="G1535" s="208">
        <f>E1535/(C1535*H1535/30)</f>
        <v>7.4999999999999997E-2</v>
      </c>
      <c r="H1535" s="102">
        <v>15</v>
      </c>
      <c r="I1535" s="103">
        <f t="shared" si="85"/>
        <v>8250</v>
      </c>
      <c r="J1535" s="103">
        <f t="shared" si="86"/>
        <v>5499.9999999999991</v>
      </c>
    </row>
    <row r="1536" spans="1:10">
      <c r="A1536" s="102"/>
      <c r="B1536" s="102"/>
      <c r="C1536" s="103">
        <v>15000</v>
      </c>
      <c r="D1536" s="104" t="s">
        <v>1747</v>
      </c>
      <c r="E1536" s="103">
        <v>1750</v>
      </c>
      <c r="F1536" s="102">
        <v>10</v>
      </c>
      <c r="G1536" s="208">
        <v>0.06</v>
      </c>
      <c r="H1536" s="102" t="s">
        <v>664</v>
      </c>
      <c r="I1536" s="103">
        <f t="shared" si="85"/>
        <v>2250</v>
      </c>
      <c r="J1536" s="103">
        <f t="shared" si="86"/>
        <v>1312.5</v>
      </c>
    </row>
    <row r="1537" spans="1:10">
      <c r="A1537" s="102"/>
      <c r="B1537" s="102"/>
      <c r="C1537" s="103">
        <v>15000</v>
      </c>
      <c r="D1537" s="104" t="s">
        <v>3116</v>
      </c>
      <c r="E1537" s="103">
        <v>1750</v>
      </c>
      <c r="F1537" s="102">
        <v>10</v>
      </c>
      <c r="G1537" s="208">
        <v>0.06</v>
      </c>
      <c r="H1537" s="102" t="s">
        <v>664</v>
      </c>
      <c r="I1537" s="103">
        <f t="shared" si="85"/>
        <v>2250</v>
      </c>
      <c r="J1537" s="103">
        <f t="shared" si="86"/>
        <v>1312.5</v>
      </c>
    </row>
    <row r="1538" spans="1:10">
      <c r="A1538" s="102"/>
      <c r="B1538" s="102"/>
      <c r="C1538" s="103">
        <v>15000</v>
      </c>
      <c r="D1538" s="104" t="s">
        <v>999</v>
      </c>
      <c r="E1538" s="103">
        <v>1750</v>
      </c>
      <c r="F1538" s="102">
        <v>10</v>
      </c>
      <c r="G1538" s="208">
        <v>0.06</v>
      </c>
      <c r="H1538" s="102" t="s">
        <v>664</v>
      </c>
      <c r="I1538" s="103">
        <f t="shared" si="85"/>
        <v>2250</v>
      </c>
      <c r="J1538" s="103">
        <f t="shared" si="86"/>
        <v>1312.5</v>
      </c>
    </row>
    <row r="1539" spans="1:10">
      <c r="A1539" s="102"/>
      <c r="B1539" s="102"/>
      <c r="C1539" s="103">
        <v>15000</v>
      </c>
      <c r="D1539" s="104" t="s">
        <v>654</v>
      </c>
      <c r="E1539" s="103">
        <v>1750</v>
      </c>
      <c r="F1539" s="102">
        <v>10</v>
      </c>
      <c r="G1539" s="208">
        <v>0.06</v>
      </c>
      <c r="H1539" s="102" t="s">
        <v>664</v>
      </c>
      <c r="I1539" s="103">
        <f t="shared" si="85"/>
        <v>2250</v>
      </c>
      <c r="J1539" s="103">
        <f t="shared" si="86"/>
        <v>1312.5</v>
      </c>
    </row>
    <row r="1540" spans="1:10">
      <c r="A1540" s="102"/>
      <c r="B1540" s="102"/>
      <c r="C1540" s="103">
        <v>50000</v>
      </c>
      <c r="D1540" s="104" t="s">
        <v>1008</v>
      </c>
      <c r="E1540" s="103">
        <v>1875</v>
      </c>
      <c r="F1540" s="102">
        <v>21</v>
      </c>
      <c r="G1540" s="208">
        <f>E1540/(C1540*H1540/30)</f>
        <v>7.4999999999999997E-2</v>
      </c>
      <c r="H1540" s="102">
        <v>15</v>
      </c>
      <c r="I1540" s="103">
        <f t="shared" si="85"/>
        <v>39375</v>
      </c>
      <c r="J1540" s="103">
        <f t="shared" si="86"/>
        <v>26250</v>
      </c>
    </row>
    <row r="1541" spans="1:10">
      <c r="A1541" s="102"/>
      <c r="B1541" s="102"/>
      <c r="C1541" s="103">
        <v>15000</v>
      </c>
      <c r="D1541" s="104" t="s">
        <v>29</v>
      </c>
      <c r="E1541" s="103">
        <v>1750</v>
      </c>
      <c r="F1541" s="102">
        <v>10</v>
      </c>
      <c r="G1541" s="208">
        <v>0.06</v>
      </c>
      <c r="H1541" s="102" t="s">
        <v>664</v>
      </c>
      <c r="I1541" s="103">
        <f t="shared" ref="I1541:I1604" si="87">IF(H1541="分期",C1541*G1541*2.5*F1541/10,C1541*G1541*H1541/30*F1541)</f>
        <v>2250</v>
      </c>
      <c r="J1541" s="103">
        <f t="shared" ref="J1541:J1604" si="88">IF(H1541="分期",C1541*(G1541-0.025)*2.5*F1541/10,C1541*(G1541-0.025)*H1541/30*F1541)</f>
        <v>1312.5</v>
      </c>
    </row>
    <row r="1542" spans="1:10">
      <c r="A1542" s="102"/>
      <c r="B1542" s="102"/>
      <c r="C1542" s="103">
        <v>15000</v>
      </c>
      <c r="D1542" s="104" t="s">
        <v>421</v>
      </c>
      <c r="E1542" s="103">
        <v>1750</v>
      </c>
      <c r="F1542" s="102">
        <v>10</v>
      </c>
      <c r="G1542" s="208">
        <v>0.06</v>
      </c>
      <c r="H1542" s="102" t="s">
        <v>664</v>
      </c>
      <c r="I1542" s="103">
        <f t="shared" si="87"/>
        <v>2250</v>
      </c>
      <c r="J1542" s="103">
        <f t="shared" si="88"/>
        <v>1312.5</v>
      </c>
    </row>
    <row r="1543" spans="1:10">
      <c r="A1543" s="102"/>
      <c r="B1543" s="102"/>
      <c r="C1543" s="103">
        <v>10000</v>
      </c>
      <c r="D1543" s="104" t="s">
        <v>3187</v>
      </c>
      <c r="E1543" s="103">
        <v>375</v>
      </c>
      <c r="F1543" s="102">
        <v>6</v>
      </c>
      <c r="G1543" s="208">
        <f>E1543/(C1543*H1543/30)</f>
        <v>7.4999999999999997E-2</v>
      </c>
      <c r="H1543" s="102">
        <v>15</v>
      </c>
      <c r="I1543" s="103">
        <f t="shared" si="87"/>
        <v>2250</v>
      </c>
      <c r="J1543" s="103">
        <f t="shared" si="88"/>
        <v>1499.9999999999998</v>
      </c>
    </row>
    <row r="1544" spans="1:10">
      <c r="A1544" s="102"/>
      <c r="B1544" s="102"/>
      <c r="C1544" s="103">
        <v>15000</v>
      </c>
      <c r="D1544" s="104" t="s">
        <v>442</v>
      </c>
      <c r="E1544" s="103">
        <v>1750</v>
      </c>
      <c r="F1544" s="102">
        <v>10</v>
      </c>
      <c r="G1544" s="208">
        <v>0.06</v>
      </c>
      <c r="H1544" s="102" t="s">
        <v>664</v>
      </c>
      <c r="I1544" s="103">
        <f t="shared" si="87"/>
        <v>2250</v>
      </c>
      <c r="J1544" s="103">
        <f t="shared" si="88"/>
        <v>1312.5</v>
      </c>
    </row>
    <row r="1545" spans="1:10">
      <c r="A1545" s="102"/>
      <c r="B1545" s="102"/>
      <c r="C1545" s="103">
        <v>10000</v>
      </c>
      <c r="D1545" s="104" t="s">
        <v>1976</v>
      </c>
      <c r="E1545" s="103">
        <v>1150</v>
      </c>
      <c r="F1545" s="102">
        <v>10</v>
      </c>
      <c r="G1545" s="208">
        <v>0.06</v>
      </c>
      <c r="H1545" s="102" t="s">
        <v>664</v>
      </c>
      <c r="I1545" s="103">
        <f t="shared" si="87"/>
        <v>1500</v>
      </c>
      <c r="J1545" s="103">
        <f t="shared" si="88"/>
        <v>874.99999999999977</v>
      </c>
    </row>
    <row r="1546" spans="1:10">
      <c r="A1546" s="102"/>
      <c r="B1546" s="102"/>
      <c r="C1546" s="103">
        <v>15000</v>
      </c>
      <c r="D1546" s="104" t="s">
        <v>994</v>
      </c>
      <c r="E1546" s="103">
        <v>1750</v>
      </c>
      <c r="F1546" s="102">
        <v>10</v>
      </c>
      <c r="G1546" s="208">
        <v>0.06</v>
      </c>
      <c r="H1546" s="102" t="s">
        <v>664</v>
      </c>
      <c r="I1546" s="103">
        <f t="shared" si="87"/>
        <v>2250</v>
      </c>
      <c r="J1546" s="103">
        <f t="shared" si="88"/>
        <v>1312.5</v>
      </c>
    </row>
    <row r="1547" spans="1:10">
      <c r="A1547" s="102">
        <v>212</v>
      </c>
      <c r="B1547" s="102" t="s">
        <v>30</v>
      </c>
      <c r="C1547" s="103">
        <v>20000</v>
      </c>
      <c r="D1547" s="114" t="s">
        <v>3391</v>
      </c>
      <c r="E1547" s="103">
        <v>750</v>
      </c>
      <c r="F1547" s="102">
        <v>8</v>
      </c>
      <c r="G1547" s="208">
        <f>E1547/(C1547*H1547/30)</f>
        <v>7.4999999999999997E-2</v>
      </c>
      <c r="H1547" s="102">
        <v>15</v>
      </c>
      <c r="I1547" s="103">
        <f t="shared" si="87"/>
        <v>6000</v>
      </c>
      <c r="J1547" s="103">
        <f t="shared" si="88"/>
        <v>3999.9999999999995</v>
      </c>
    </row>
    <row r="1548" spans="1:10">
      <c r="A1548" s="102"/>
      <c r="B1548" s="102"/>
      <c r="C1548" s="103">
        <v>10000</v>
      </c>
      <c r="D1548" s="104" t="s">
        <v>651</v>
      </c>
      <c r="E1548" s="103">
        <v>1150</v>
      </c>
      <c r="F1548" s="102">
        <v>10</v>
      </c>
      <c r="G1548" s="208">
        <v>0.06</v>
      </c>
      <c r="H1548" s="102" t="s">
        <v>664</v>
      </c>
      <c r="I1548" s="103">
        <f t="shared" si="87"/>
        <v>1500</v>
      </c>
      <c r="J1548" s="103">
        <f t="shared" si="88"/>
        <v>874.99999999999977</v>
      </c>
    </row>
    <row r="1549" spans="1:10">
      <c r="A1549" s="102"/>
      <c r="B1549" s="102"/>
      <c r="C1549" s="103">
        <v>10000</v>
      </c>
      <c r="D1549" s="104" t="s">
        <v>1710</v>
      </c>
      <c r="E1549" s="103">
        <v>1150</v>
      </c>
      <c r="F1549" s="102">
        <v>10</v>
      </c>
      <c r="G1549" s="208">
        <v>0.06</v>
      </c>
      <c r="H1549" s="102" t="s">
        <v>664</v>
      </c>
      <c r="I1549" s="103">
        <f t="shared" si="87"/>
        <v>1500</v>
      </c>
      <c r="J1549" s="103">
        <f t="shared" si="88"/>
        <v>874.99999999999977</v>
      </c>
    </row>
    <row r="1550" spans="1:10">
      <c r="A1550" s="102"/>
      <c r="B1550" s="102"/>
      <c r="C1550" s="103">
        <v>10000</v>
      </c>
      <c r="D1550" s="104" t="s">
        <v>3172</v>
      </c>
      <c r="E1550" s="103">
        <v>1150</v>
      </c>
      <c r="F1550" s="102">
        <v>6</v>
      </c>
      <c r="G1550" s="208">
        <v>0.06</v>
      </c>
      <c r="H1550" s="102" t="s">
        <v>664</v>
      </c>
      <c r="I1550" s="103">
        <f t="shared" si="87"/>
        <v>900</v>
      </c>
      <c r="J1550" s="103">
        <f t="shared" si="88"/>
        <v>524.99999999999989</v>
      </c>
    </row>
    <row r="1551" spans="1:10">
      <c r="A1551" s="102">
        <v>213</v>
      </c>
      <c r="B1551" s="102" t="s">
        <v>31</v>
      </c>
      <c r="C1551" s="103">
        <v>20000</v>
      </c>
      <c r="D1551" s="104" t="s">
        <v>17</v>
      </c>
      <c r="E1551" s="103">
        <v>750</v>
      </c>
      <c r="F1551" s="102">
        <v>18</v>
      </c>
      <c r="G1551" s="208">
        <f>E1551/(C1551*H1551/30)</f>
        <v>7.4999999999999997E-2</v>
      </c>
      <c r="H1551" s="102">
        <v>15</v>
      </c>
      <c r="I1551" s="103">
        <f t="shared" si="87"/>
        <v>13500</v>
      </c>
      <c r="J1551" s="103">
        <f t="shared" si="88"/>
        <v>8999.9999999999982</v>
      </c>
    </row>
    <row r="1552" spans="1:10">
      <c r="A1552" s="102"/>
      <c r="B1552" s="102"/>
      <c r="C1552" s="103">
        <v>10000</v>
      </c>
      <c r="D1552" s="104" t="s">
        <v>17</v>
      </c>
      <c r="E1552" s="103">
        <v>1150</v>
      </c>
      <c r="F1552" s="102">
        <v>10</v>
      </c>
      <c r="G1552" s="208">
        <v>0.06</v>
      </c>
      <c r="H1552" s="102" t="s">
        <v>664</v>
      </c>
      <c r="I1552" s="103">
        <f t="shared" si="87"/>
        <v>1500</v>
      </c>
      <c r="J1552" s="103">
        <f t="shared" si="88"/>
        <v>874.99999999999977</v>
      </c>
    </row>
    <row r="1553" spans="1:10">
      <c r="A1553" s="102"/>
      <c r="B1553" s="102"/>
      <c r="C1553" s="103">
        <v>10000</v>
      </c>
      <c r="D1553" s="104" t="s">
        <v>1710</v>
      </c>
      <c r="E1553" s="103">
        <v>375</v>
      </c>
      <c r="F1553" s="102">
        <v>15</v>
      </c>
      <c r="G1553" s="208">
        <f>E1553/(C1553*H1553/30)</f>
        <v>7.4999999999999997E-2</v>
      </c>
      <c r="H1553" s="102">
        <v>15</v>
      </c>
      <c r="I1553" s="103">
        <f t="shared" si="87"/>
        <v>5625</v>
      </c>
      <c r="J1553" s="103">
        <f t="shared" si="88"/>
        <v>3749.9999999999995</v>
      </c>
    </row>
    <row r="1554" spans="1:10">
      <c r="A1554" s="102"/>
      <c r="B1554" s="102"/>
      <c r="C1554" s="103">
        <v>10000</v>
      </c>
      <c r="D1554" s="104" t="s">
        <v>1988</v>
      </c>
      <c r="E1554" s="103">
        <v>1150</v>
      </c>
      <c r="F1554" s="102">
        <v>10</v>
      </c>
      <c r="G1554" s="208">
        <v>0.06</v>
      </c>
      <c r="H1554" s="102" t="s">
        <v>664</v>
      </c>
      <c r="I1554" s="103">
        <f t="shared" si="87"/>
        <v>1500</v>
      </c>
      <c r="J1554" s="103">
        <f t="shared" si="88"/>
        <v>874.99999999999977</v>
      </c>
    </row>
    <row r="1555" spans="1:10">
      <c r="A1555" s="102"/>
      <c r="B1555" s="102"/>
      <c r="C1555" s="103">
        <v>10000</v>
      </c>
      <c r="D1555" s="114" t="s">
        <v>3392</v>
      </c>
      <c r="E1555" s="103">
        <v>1150</v>
      </c>
      <c r="F1555" s="102">
        <v>10</v>
      </c>
      <c r="G1555" s="208">
        <v>0.06</v>
      </c>
      <c r="H1555" s="102" t="s">
        <v>2184</v>
      </c>
      <c r="I1555" s="103">
        <f t="shared" si="87"/>
        <v>1500</v>
      </c>
      <c r="J1555" s="103">
        <f t="shared" si="88"/>
        <v>874.99999999999977</v>
      </c>
    </row>
    <row r="1556" spans="1:10">
      <c r="A1556" s="102"/>
      <c r="B1556" s="102"/>
      <c r="C1556" s="103">
        <v>15000</v>
      </c>
      <c r="D1556" s="114" t="s">
        <v>3393</v>
      </c>
      <c r="E1556" s="103">
        <v>1750</v>
      </c>
      <c r="F1556" s="102">
        <v>10</v>
      </c>
      <c r="G1556" s="208">
        <v>0.06</v>
      </c>
      <c r="H1556" s="102" t="s">
        <v>664</v>
      </c>
      <c r="I1556" s="103">
        <f t="shared" si="87"/>
        <v>2250</v>
      </c>
      <c r="J1556" s="103">
        <f t="shared" si="88"/>
        <v>1312.5</v>
      </c>
    </row>
    <row r="1557" spans="1:10">
      <c r="A1557" s="102"/>
      <c r="B1557" s="102"/>
      <c r="C1557" s="103">
        <v>10000</v>
      </c>
      <c r="D1557" s="104" t="s">
        <v>994</v>
      </c>
      <c r="E1557" s="103">
        <v>1150</v>
      </c>
      <c r="F1557" s="102">
        <v>10</v>
      </c>
      <c r="G1557" s="208">
        <v>0.06</v>
      </c>
      <c r="H1557" s="102" t="s">
        <v>2184</v>
      </c>
      <c r="I1557" s="103">
        <f t="shared" si="87"/>
        <v>1500</v>
      </c>
      <c r="J1557" s="103">
        <f t="shared" si="88"/>
        <v>874.99999999999977</v>
      </c>
    </row>
    <row r="1558" spans="1:10">
      <c r="A1558" s="102"/>
      <c r="B1558" s="102"/>
      <c r="C1558" s="103">
        <v>10000</v>
      </c>
      <c r="D1558" s="104" t="s">
        <v>994</v>
      </c>
      <c r="E1558" s="103">
        <v>375</v>
      </c>
      <c r="F1558" s="102">
        <v>5</v>
      </c>
      <c r="G1558" s="208">
        <f>E1558/(C1558*H1558/30)</f>
        <v>7.4999999999999997E-2</v>
      </c>
      <c r="H1558" s="102">
        <v>15</v>
      </c>
      <c r="I1558" s="103">
        <f t="shared" si="87"/>
        <v>1875</v>
      </c>
      <c r="J1558" s="103">
        <f t="shared" si="88"/>
        <v>1249.9999999999998</v>
      </c>
    </row>
    <row r="1559" spans="1:10">
      <c r="A1559" s="102"/>
      <c r="B1559" s="102"/>
      <c r="C1559" s="103">
        <v>10000</v>
      </c>
      <c r="D1559" s="104" t="s">
        <v>230</v>
      </c>
      <c r="E1559" s="103">
        <v>375</v>
      </c>
      <c r="F1559" s="102">
        <v>2</v>
      </c>
      <c r="G1559" s="208">
        <f>E1559/(C1559*H1559/30)</f>
        <v>7.4999999999999997E-2</v>
      </c>
      <c r="H1559" s="102">
        <v>15</v>
      </c>
      <c r="I1559" s="103">
        <f t="shared" si="87"/>
        <v>750</v>
      </c>
      <c r="J1559" s="103">
        <f t="shared" si="88"/>
        <v>499.99999999999994</v>
      </c>
    </row>
    <row r="1560" spans="1:10">
      <c r="A1560" s="102">
        <v>214</v>
      </c>
      <c r="B1560" s="102" t="s">
        <v>32</v>
      </c>
      <c r="C1560" s="103">
        <v>20000</v>
      </c>
      <c r="D1560" s="104" t="s">
        <v>857</v>
      </c>
      <c r="E1560" s="103">
        <v>750</v>
      </c>
      <c r="F1560" s="102">
        <v>8</v>
      </c>
      <c r="G1560" s="208">
        <f>E1560/(C1560*H1560/30)</f>
        <v>7.4999999999999997E-2</v>
      </c>
      <c r="H1560" s="102">
        <v>15</v>
      </c>
      <c r="I1560" s="103">
        <f t="shared" si="87"/>
        <v>6000</v>
      </c>
      <c r="J1560" s="103">
        <f t="shared" si="88"/>
        <v>3999.9999999999995</v>
      </c>
    </row>
    <row r="1561" spans="1:10">
      <c r="A1561" s="102"/>
      <c r="B1561" s="102"/>
      <c r="C1561" s="103">
        <v>10000</v>
      </c>
      <c r="D1561" s="104" t="s">
        <v>857</v>
      </c>
      <c r="E1561" s="103">
        <v>1150</v>
      </c>
      <c r="F1561" s="102">
        <v>10</v>
      </c>
      <c r="G1561" s="208">
        <v>0.06</v>
      </c>
      <c r="H1561" s="102" t="s">
        <v>664</v>
      </c>
      <c r="I1561" s="103">
        <f t="shared" si="87"/>
        <v>1500</v>
      </c>
      <c r="J1561" s="103">
        <f t="shared" si="88"/>
        <v>874.99999999999977</v>
      </c>
    </row>
    <row r="1562" spans="1:10">
      <c r="A1562" s="102"/>
      <c r="B1562" s="102"/>
      <c r="C1562" s="103">
        <v>10000</v>
      </c>
      <c r="D1562" s="104" t="s">
        <v>1709</v>
      </c>
      <c r="E1562" s="103">
        <v>375</v>
      </c>
      <c r="F1562" s="102">
        <v>6</v>
      </c>
      <c r="G1562" s="208">
        <f>E1562/(C1562*H1562/30)</f>
        <v>7.4999999999999997E-2</v>
      </c>
      <c r="H1562" s="102">
        <v>15</v>
      </c>
      <c r="I1562" s="103">
        <f t="shared" si="87"/>
        <v>2250</v>
      </c>
      <c r="J1562" s="103">
        <f t="shared" si="88"/>
        <v>1499.9999999999998</v>
      </c>
    </row>
    <row r="1563" spans="1:10">
      <c r="A1563" s="102"/>
      <c r="B1563" s="102"/>
      <c r="C1563" s="103">
        <v>10000</v>
      </c>
      <c r="D1563" s="104" t="s">
        <v>3166</v>
      </c>
      <c r="E1563" s="103">
        <v>1150</v>
      </c>
      <c r="F1563" s="102">
        <v>10</v>
      </c>
      <c r="G1563" s="208">
        <v>0.06</v>
      </c>
      <c r="H1563" s="102" t="s">
        <v>664</v>
      </c>
      <c r="I1563" s="103">
        <f t="shared" si="87"/>
        <v>1500</v>
      </c>
      <c r="J1563" s="103">
        <f t="shared" si="88"/>
        <v>874.99999999999977</v>
      </c>
    </row>
    <row r="1564" spans="1:10">
      <c r="A1564" s="102"/>
      <c r="B1564" s="102"/>
      <c r="C1564" s="103">
        <v>10000</v>
      </c>
      <c r="D1564" s="104" t="s">
        <v>3110</v>
      </c>
      <c r="E1564" s="103">
        <v>1150</v>
      </c>
      <c r="F1564" s="102">
        <v>5</v>
      </c>
      <c r="G1564" s="208">
        <v>0.06</v>
      </c>
      <c r="H1564" s="102" t="s">
        <v>664</v>
      </c>
      <c r="I1564" s="103">
        <f t="shared" si="87"/>
        <v>750</v>
      </c>
      <c r="J1564" s="103">
        <f t="shared" si="88"/>
        <v>437.49999999999989</v>
      </c>
    </row>
    <row r="1565" spans="1:10">
      <c r="A1565" s="102">
        <v>215</v>
      </c>
      <c r="B1565" s="102" t="s">
        <v>33</v>
      </c>
      <c r="C1565" s="103">
        <v>20700</v>
      </c>
      <c r="D1565" s="104" t="s">
        <v>857</v>
      </c>
      <c r="E1565" s="103">
        <v>780</v>
      </c>
      <c r="F1565" s="102">
        <v>3</v>
      </c>
      <c r="G1565" s="208">
        <f t="shared" ref="G1565:G1576" si="89">E1565/(C1565*H1565/30)</f>
        <v>7.5362318840579715E-2</v>
      </c>
      <c r="H1565" s="102">
        <v>15</v>
      </c>
      <c r="I1565" s="103">
        <f t="shared" si="87"/>
        <v>2340</v>
      </c>
      <c r="J1565" s="103">
        <f t="shared" si="88"/>
        <v>1563.75</v>
      </c>
    </row>
    <row r="1566" spans="1:10">
      <c r="A1566" s="102"/>
      <c r="B1566" s="102"/>
      <c r="C1566" s="103">
        <v>31350</v>
      </c>
      <c r="D1566" s="104" t="s">
        <v>453</v>
      </c>
      <c r="E1566" s="103">
        <v>1180</v>
      </c>
      <c r="F1566" s="102">
        <v>3</v>
      </c>
      <c r="G1566" s="208">
        <f t="shared" si="89"/>
        <v>7.5279106858054223E-2</v>
      </c>
      <c r="H1566" s="102">
        <v>15</v>
      </c>
      <c r="I1566" s="103">
        <f t="shared" si="87"/>
        <v>3540</v>
      </c>
      <c r="J1566" s="103">
        <f t="shared" si="88"/>
        <v>2364.3749999999995</v>
      </c>
    </row>
    <row r="1567" spans="1:10">
      <c r="A1567" s="102"/>
      <c r="B1567" s="102"/>
      <c r="C1567" s="103">
        <v>90000</v>
      </c>
      <c r="D1567" s="114" t="s">
        <v>896</v>
      </c>
      <c r="E1567" s="103">
        <v>3375</v>
      </c>
      <c r="F1567" s="102">
        <v>3</v>
      </c>
      <c r="G1567" s="208">
        <f t="shared" si="89"/>
        <v>7.4999999999999997E-2</v>
      </c>
      <c r="H1567" s="102">
        <v>15</v>
      </c>
      <c r="I1567" s="103">
        <f t="shared" si="87"/>
        <v>10125</v>
      </c>
      <c r="J1567" s="103">
        <f t="shared" si="88"/>
        <v>6750</v>
      </c>
    </row>
    <row r="1568" spans="1:10">
      <c r="A1568" s="102"/>
      <c r="B1568" s="102"/>
      <c r="C1568" s="103">
        <v>50000</v>
      </c>
      <c r="D1568" s="114" t="s">
        <v>897</v>
      </c>
      <c r="E1568" s="103">
        <v>1875</v>
      </c>
      <c r="F1568" s="102">
        <v>1</v>
      </c>
      <c r="G1568" s="208">
        <f t="shared" si="89"/>
        <v>7.4999999999999997E-2</v>
      </c>
      <c r="H1568" s="102">
        <v>15</v>
      </c>
      <c r="I1568" s="103">
        <f t="shared" si="87"/>
        <v>1875</v>
      </c>
      <c r="J1568" s="103">
        <f t="shared" si="88"/>
        <v>1250</v>
      </c>
    </row>
    <row r="1569" spans="1:10">
      <c r="A1569" s="102"/>
      <c r="B1569" s="102"/>
      <c r="C1569" s="103">
        <v>20000</v>
      </c>
      <c r="D1569" s="114" t="s">
        <v>897</v>
      </c>
      <c r="E1569" s="103">
        <v>750</v>
      </c>
      <c r="F1569" s="102">
        <v>29</v>
      </c>
      <c r="G1569" s="208">
        <f t="shared" si="89"/>
        <v>7.4999999999999997E-2</v>
      </c>
      <c r="H1569" s="102">
        <v>15</v>
      </c>
      <c r="I1569" s="103">
        <f t="shared" si="87"/>
        <v>21750</v>
      </c>
      <c r="J1569" s="103">
        <f t="shared" si="88"/>
        <v>14499.999999999998</v>
      </c>
    </row>
    <row r="1570" spans="1:10">
      <c r="A1570" s="102"/>
      <c r="B1570" s="102"/>
      <c r="C1570" s="103">
        <v>24750</v>
      </c>
      <c r="D1570" s="104" t="s">
        <v>453</v>
      </c>
      <c r="E1570" s="103">
        <v>930</v>
      </c>
      <c r="F1570" s="102">
        <v>3</v>
      </c>
      <c r="G1570" s="208">
        <f t="shared" si="89"/>
        <v>7.515151515151515E-2</v>
      </c>
      <c r="H1570" s="102">
        <v>15</v>
      </c>
      <c r="I1570" s="103">
        <f t="shared" si="87"/>
        <v>2790</v>
      </c>
      <c r="J1570" s="103">
        <f t="shared" si="88"/>
        <v>1861.875</v>
      </c>
    </row>
    <row r="1571" spans="1:10">
      <c r="A1571" s="102"/>
      <c r="B1571" s="102"/>
      <c r="C1571" s="103">
        <v>13000</v>
      </c>
      <c r="D1571" s="104" t="s">
        <v>453</v>
      </c>
      <c r="E1571" s="103">
        <v>490</v>
      </c>
      <c r="F1571" s="102">
        <v>3</v>
      </c>
      <c r="G1571" s="208">
        <f t="shared" si="89"/>
        <v>7.5384615384615383E-2</v>
      </c>
      <c r="H1571" s="102">
        <v>15</v>
      </c>
      <c r="I1571" s="103">
        <f t="shared" si="87"/>
        <v>1470</v>
      </c>
      <c r="J1571" s="103">
        <f t="shared" si="88"/>
        <v>982.5</v>
      </c>
    </row>
    <row r="1572" spans="1:10">
      <c r="A1572" s="102"/>
      <c r="B1572" s="102"/>
      <c r="C1572" s="103">
        <v>20000</v>
      </c>
      <c r="D1572" s="104" t="s">
        <v>34</v>
      </c>
      <c r="E1572" s="103">
        <v>750</v>
      </c>
      <c r="F1572" s="102">
        <v>3</v>
      </c>
      <c r="G1572" s="208">
        <f t="shared" si="89"/>
        <v>7.4999999999999997E-2</v>
      </c>
      <c r="H1572" s="102">
        <v>15</v>
      </c>
      <c r="I1572" s="103">
        <f t="shared" si="87"/>
        <v>2250</v>
      </c>
      <c r="J1572" s="103">
        <f t="shared" si="88"/>
        <v>1499.9999999999998</v>
      </c>
    </row>
    <row r="1573" spans="1:10">
      <c r="A1573" s="102"/>
      <c r="B1573" s="102"/>
      <c r="C1573" s="103">
        <v>40000</v>
      </c>
      <c r="D1573" s="104" t="s">
        <v>1670</v>
      </c>
      <c r="E1573" s="103">
        <v>1500</v>
      </c>
      <c r="F1573" s="102">
        <v>25</v>
      </c>
      <c r="G1573" s="208">
        <f t="shared" si="89"/>
        <v>7.4999999999999997E-2</v>
      </c>
      <c r="H1573" s="102">
        <v>15</v>
      </c>
      <c r="I1573" s="103">
        <f t="shared" si="87"/>
        <v>37500</v>
      </c>
      <c r="J1573" s="103">
        <f t="shared" si="88"/>
        <v>24999.999999999996</v>
      </c>
    </row>
    <row r="1574" spans="1:10">
      <c r="A1574" s="102"/>
      <c r="B1574" s="102"/>
      <c r="C1574" s="103">
        <v>20000</v>
      </c>
      <c r="D1574" s="114" t="s">
        <v>898</v>
      </c>
      <c r="E1574" s="103">
        <v>750</v>
      </c>
      <c r="F1574" s="102">
        <v>3</v>
      </c>
      <c r="G1574" s="208">
        <f t="shared" si="89"/>
        <v>7.4999999999999997E-2</v>
      </c>
      <c r="H1574" s="102">
        <v>15</v>
      </c>
      <c r="I1574" s="103">
        <f t="shared" si="87"/>
        <v>2250</v>
      </c>
      <c r="J1574" s="103">
        <f t="shared" si="88"/>
        <v>1499.9999999999998</v>
      </c>
    </row>
    <row r="1575" spans="1:10">
      <c r="A1575" s="102"/>
      <c r="B1575" s="102"/>
      <c r="C1575" s="103">
        <v>14000</v>
      </c>
      <c r="D1575" s="114" t="s">
        <v>899</v>
      </c>
      <c r="E1575" s="103">
        <v>525</v>
      </c>
      <c r="F1575" s="102">
        <v>2</v>
      </c>
      <c r="G1575" s="208">
        <f t="shared" si="89"/>
        <v>7.4999999999999997E-2</v>
      </c>
      <c r="H1575" s="102">
        <v>15</v>
      </c>
      <c r="I1575" s="103">
        <f t="shared" si="87"/>
        <v>1050</v>
      </c>
      <c r="J1575" s="103">
        <f t="shared" si="88"/>
        <v>699.99999999999989</v>
      </c>
    </row>
    <row r="1576" spans="1:10">
      <c r="A1576" s="102"/>
      <c r="B1576" s="102"/>
      <c r="C1576" s="103">
        <v>20000</v>
      </c>
      <c r="D1576" s="114" t="s">
        <v>900</v>
      </c>
      <c r="E1576" s="103">
        <v>750</v>
      </c>
      <c r="F1576" s="102">
        <v>1</v>
      </c>
      <c r="G1576" s="208">
        <f t="shared" si="89"/>
        <v>7.4999999999999997E-2</v>
      </c>
      <c r="H1576" s="102">
        <v>15</v>
      </c>
      <c r="I1576" s="103">
        <f t="shared" si="87"/>
        <v>750</v>
      </c>
      <c r="J1576" s="103">
        <f t="shared" si="88"/>
        <v>499.99999999999994</v>
      </c>
    </row>
    <row r="1577" spans="1:10">
      <c r="A1577" s="102"/>
      <c r="B1577" s="102"/>
      <c r="C1577" s="103">
        <v>20000</v>
      </c>
      <c r="D1577" s="104" t="s">
        <v>1671</v>
      </c>
      <c r="E1577" s="103">
        <v>2300</v>
      </c>
      <c r="F1577" s="102">
        <v>10</v>
      </c>
      <c r="G1577" s="208">
        <v>0.06</v>
      </c>
      <c r="H1577" s="102" t="s">
        <v>664</v>
      </c>
      <c r="I1577" s="103">
        <f t="shared" si="87"/>
        <v>3000</v>
      </c>
      <c r="J1577" s="103">
        <f t="shared" si="88"/>
        <v>1749.9999999999995</v>
      </c>
    </row>
    <row r="1578" spans="1:10">
      <c r="A1578" s="102"/>
      <c r="B1578" s="102"/>
      <c r="C1578" s="103">
        <v>20000</v>
      </c>
      <c r="D1578" s="104" t="s">
        <v>1692</v>
      </c>
      <c r="E1578" s="103">
        <v>750</v>
      </c>
      <c r="F1578" s="102">
        <v>20</v>
      </c>
      <c r="G1578" s="208">
        <f>E1578/(C1578*H1578/30)</f>
        <v>7.4999999999999997E-2</v>
      </c>
      <c r="H1578" s="102">
        <v>15</v>
      </c>
      <c r="I1578" s="103">
        <f t="shared" si="87"/>
        <v>15000</v>
      </c>
      <c r="J1578" s="103">
        <f t="shared" si="88"/>
        <v>9999.9999999999982</v>
      </c>
    </row>
    <row r="1579" spans="1:10">
      <c r="A1579" s="102"/>
      <c r="B1579" s="102"/>
      <c r="C1579" s="103">
        <v>20000</v>
      </c>
      <c r="D1579" s="104" t="s">
        <v>3134</v>
      </c>
      <c r="E1579" s="103">
        <v>2300</v>
      </c>
      <c r="F1579" s="102">
        <v>10</v>
      </c>
      <c r="G1579" s="208">
        <v>0.06</v>
      </c>
      <c r="H1579" s="102" t="s">
        <v>2184</v>
      </c>
      <c r="I1579" s="103">
        <f t="shared" si="87"/>
        <v>3000</v>
      </c>
      <c r="J1579" s="103">
        <f t="shared" si="88"/>
        <v>1749.9999999999995</v>
      </c>
    </row>
    <row r="1580" spans="1:10">
      <c r="A1580" s="102"/>
      <c r="B1580" s="102"/>
      <c r="C1580" s="103">
        <v>20000</v>
      </c>
      <c r="D1580" s="104" t="s">
        <v>1672</v>
      </c>
      <c r="E1580" s="103">
        <v>2300</v>
      </c>
      <c r="F1580" s="102">
        <v>10</v>
      </c>
      <c r="G1580" s="208">
        <v>0.06</v>
      </c>
      <c r="H1580" s="102" t="s">
        <v>664</v>
      </c>
      <c r="I1580" s="103">
        <f t="shared" si="87"/>
        <v>3000</v>
      </c>
      <c r="J1580" s="103">
        <f t="shared" si="88"/>
        <v>1749.9999999999995</v>
      </c>
    </row>
    <row r="1581" spans="1:10">
      <c r="A1581" s="102"/>
      <c r="B1581" s="102"/>
      <c r="C1581" s="103">
        <v>20000</v>
      </c>
      <c r="D1581" s="104" t="s">
        <v>1976</v>
      </c>
      <c r="E1581" s="103">
        <v>2300</v>
      </c>
      <c r="F1581" s="102">
        <v>10</v>
      </c>
      <c r="G1581" s="208">
        <v>0.06</v>
      </c>
      <c r="H1581" s="102" t="s">
        <v>664</v>
      </c>
      <c r="I1581" s="103">
        <f t="shared" si="87"/>
        <v>3000</v>
      </c>
      <c r="J1581" s="103">
        <f t="shared" si="88"/>
        <v>1749.9999999999995</v>
      </c>
    </row>
    <row r="1582" spans="1:10">
      <c r="A1582" s="102">
        <v>216</v>
      </c>
      <c r="B1582" s="102" t="s">
        <v>3700</v>
      </c>
      <c r="C1582" s="103">
        <v>10000</v>
      </c>
      <c r="D1582" s="104" t="s">
        <v>857</v>
      </c>
      <c r="E1582" s="103">
        <v>1150</v>
      </c>
      <c r="F1582" s="102">
        <v>10</v>
      </c>
      <c r="G1582" s="208">
        <v>0.06</v>
      </c>
      <c r="H1582" s="102" t="s">
        <v>664</v>
      </c>
      <c r="I1582" s="103">
        <f t="shared" si="87"/>
        <v>1500</v>
      </c>
      <c r="J1582" s="103">
        <f t="shared" si="88"/>
        <v>874.99999999999977</v>
      </c>
    </row>
    <row r="1583" spans="1:10">
      <c r="A1583" s="102"/>
      <c r="B1583" s="102"/>
      <c r="C1583" s="103">
        <v>20000</v>
      </c>
      <c r="D1583" s="114" t="s">
        <v>901</v>
      </c>
      <c r="E1583" s="103">
        <v>750</v>
      </c>
      <c r="F1583" s="102">
        <v>32</v>
      </c>
      <c r="G1583" s="208">
        <f>E1583/(C1583*H1583/30)</f>
        <v>7.4999999999999997E-2</v>
      </c>
      <c r="H1583" s="102">
        <v>15</v>
      </c>
      <c r="I1583" s="103">
        <f t="shared" si="87"/>
        <v>24000</v>
      </c>
      <c r="J1583" s="103">
        <f t="shared" si="88"/>
        <v>15999.999999999998</v>
      </c>
    </row>
    <row r="1584" spans="1:10">
      <c r="A1584" s="102"/>
      <c r="B1584" s="102"/>
      <c r="C1584" s="103">
        <v>50000</v>
      </c>
      <c r="D1584" s="104" t="s">
        <v>997</v>
      </c>
      <c r="E1584" s="103">
        <v>1875</v>
      </c>
      <c r="F1584" s="102">
        <v>25</v>
      </c>
      <c r="G1584" s="208">
        <f>E1584/(C1584*H1584/30)</f>
        <v>7.4999999999999997E-2</v>
      </c>
      <c r="H1584" s="102">
        <v>15</v>
      </c>
      <c r="I1584" s="103">
        <f t="shared" si="87"/>
        <v>46875</v>
      </c>
      <c r="J1584" s="103">
        <f t="shared" si="88"/>
        <v>31250</v>
      </c>
    </row>
    <row r="1585" spans="1:10">
      <c r="A1585" s="102"/>
      <c r="B1585" s="102"/>
      <c r="C1585" s="103">
        <v>45000</v>
      </c>
      <c r="D1585" s="104" t="s">
        <v>2341</v>
      </c>
      <c r="E1585" s="103">
        <v>1690</v>
      </c>
      <c r="F1585" s="102">
        <v>7</v>
      </c>
      <c r="G1585" s="208">
        <f>E1585/(C1585*H1585/30)</f>
        <v>7.5111111111111115E-2</v>
      </c>
      <c r="H1585" s="102">
        <v>15</v>
      </c>
      <c r="I1585" s="103">
        <f t="shared" si="87"/>
        <v>11830</v>
      </c>
      <c r="J1585" s="103">
        <f t="shared" si="88"/>
        <v>7892.5</v>
      </c>
    </row>
    <row r="1586" spans="1:10">
      <c r="A1586" s="102"/>
      <c r="B1586" s="102"/>
      <c r="C1586" s="103">
        <v>40000</v>
      </c>
      <c r="D1586" s="104" t="s">
        <v>2137</v>
      </c>
      <c r="E1586" s="103">
        <v>1500</v>
      </c>
      <c r="F1586" s="102">
        <v>10</v>
      </c>
      <c r="G1586" s="208">
        <f>E1586/(C1586*H1586/30)</f>
        <v>7.4999999999999997E-2</v>
      </c>
      <c r="H1586" s="102">
        <v>15</v>
      </c>
      <c r="I1586" s="103">
        <f t="shared" si="87"/>
        <v>15000</v>
      </c>
      <c r="J1586" s="103">
        <f t="shared" si="88"/>
        <v>9999.9999999999982</v>
      </c>
    </row>
    <row r="1587" spans="1:10">
      <c r="A1587" s="102"/>
      <c r="B1587" s="102"/>
      <c r="C1587" s="103">
        <v>10000</v>
      </c>
      <c r="D1587" s="104" t="s">
        <v>3133</v>
      </c>
      <c r="E1587" s="103">
        <v>1150</v>
      </c>
      <c r="F1587" s="102">
        <v>10</v>
      </c>
      <c r="G1587" s="208">
        <v>0.06</v>
      </c>
      <c r="H1587" s="102" t="s">
        <v>664</v>
      </c>
      <c r="I1587" s="103">
        <f t="shared" si="87"/>
        <v>1500</v>
      </c>
      <c r="J1587" s="103">
        <f t="shared" si="88"/>
        <v>874.99999999999977</v>
      </c>
    </row>
    <row r="1588" spans="1:10">
      <c r="A1588" s="102"/>
      <c r="B1588" s="102"/>
      <c r="C1588" s="103">
        <v>10000</v>
      </c>
      <c r="D1588" s="104" t="s">
        <v>3703</v>
      </c>
      <c r="E1588" s="103">
        <v>1150</v>
      </c>
      <c r="F1588" s="102">
        <v>10</v>
      </c>
      <c r="G1588" s="208">
        <v>0.06</v>
      </c>
      <c r="H1588" s="102" t="s">
        <v>664</v>
      </c>
      <c r="I1588" s="103">
        <f t="shared" si="87"/>
        <v>1500</v>
      </c>
      <c r="J1588" s="103">
        <f t="shared" si="88"/>
        <v>874.99999999999977</v>
      </c>
    </row>
    <row r="1589" spans="1:10">
      <c r="A1589" s="102"/>
      <c r="B1589" s="102"/>
      <c r="C1589" s="103">
        <v>10000</v>
      </c>
      <c r="D1589" s="104" t="s">
        <v>3158</v>
      </c>
      <c r="E1589" s="103">
        <v>375</v>
      </c>
      <c r="F1589" s="102">
        <v>2</v>
      </c>
      <c r="G1589" s="208">
        <f>E1589/(C1589*H1589/30)</f>
        <v>7.4999999999999997E-2</v>
      </c>
      <c r="H1589" s="102">
        <v>15</v>
      </c>
      <c r="I1589" s="103">
        <f t="shared" si="87"/>
        <v>750</v>
      </c>
      <c r="J1589" s="103">
        <f t="shared" si="88"/>
        <v>499.99999999999994</v>
      </c>
    </row>
    <row r="1590" spans="1:10">
      <c r="A1590" s="102"/>
      <c r="B1590" s="102"/>
      <c r="C1590" s="103">
        <v>10000</v>
      </c>
      <c r="D1590" s="114" t="s">
        <v>902</v>
      </c>
      <c r="E1590" s="103">
        <v>1150</v>
      </c>
      <c r="F1590" s="102">
        <v>10</v>
      </c>
      <c r="G1590" s="208">
        <v>0.06</v>
      </c>
      <c r="H1590" s="102" t="s">
        <v>2184</v>
      </c>
      <c r="I1590" s="103">
        <f t="shared" si="87"/>
        <v>1500</v>
      </c>
      <c r="J1590" s="103">
        <f t="shared" si="88"/>
        <v>874.99999999999977</v>
      </c>
    </row>
    <row r="1591" spans="1:10">
      <c r="A1591" s="102"/>
      <c r="B1591" s="102"/>
      <c r="C1591" s="103">
        <v>40000</v>
      </c>
      <c r="D1591" s="104" t="s">
        <v>3154</v>
      </c>
      <c r="E1591" s="103">
        <v>1500</v>
      </c>
      <c r="F1591" s="102">
        <v>2</v>
      </c>
      <c r="G1591" s="208">
        <f>E1591/(C1591*H1591/30)</f>
        <v>7.4999999999999997E-2</v>
      </c>
      <c r="H1591" s="102">
        <v>15</v>
      </c>
      <c r="I1591" s="103">
        <f t="shared" si="87"/>
        <v>3000</v>
      </c>
      <c r="J1591" s="103">
        <f t="shared" si="88"/>
        <v>1999.9999999999998</v>
      </c>
    </row>
    <row r="1592" spans="1:10">
      <c r="A1592" s="102"/>
      <c r="B1592" s="102"/>
      <c r="C1592" s="103">
        <v>30000</v>
      </c>
      <c r="D1592" s="104" t="s">
        <v>3154</v>
      </c>
      <c r="E1592" s="103">
        <v>1125</v>
      </c>
      <c r="F1592" s="102">
        <v>16</v>
      </c>
      <c r="G1592" s="208">
        <f>E1592/(C1592*H1592/30)</f>
        <v>7.4999999999999997E-2</v>
      </c>
      <c r="H1592" s="102">
        <v>15</v>
      </c>
      <c r="I1592" s="103">
        <f t="shared" si="87"/>
        <v>18000</v>
      </c>
      <c r="J1592" s="103">
        <f t="shared" si="88"/>
        <v>11999.999999999998</v>
      </c>
    </row>
    <row r="1593" spans="1:10">
      <c r="A1593" s="102"/>
      <c r="B1593" s="102"/>
      <c r="C1593" s="103">
        <v>5000</v>
      </c>
      <c r="D1593" s="104" t="s">
        <v>1686</v>
      </c>
      <c r="E1593" s="103">
        <v>600</v>
      </c>
      <c r="F1593" s="102">
        <v>10</v>
      </c>
      <c r="G1593" s="208">
        <v>0.06</v>
      </c>
      <c r="H1593" s="102" t="s">
        <v>664</v>
      </c>
      <c r="I1593" s="103">
        <f t="shared" si="87"/>
        <v>750</v>
      </c>
      <c r="J1593" s="103">
        <f t="shared" si="88"/>
        <v>437.49999999999989</v>
      </c>
    </row>
    <row r="1594" spans="1:10">
      <c r="A1594" s="102"/>
      <c r="B1594" s="102"/>
      <c r="C1594" s="103">
        <v>43000</v>
      </c>
      <c r="D1594" s="104" t="s">
        <v>3701</v>
      </c>
      <c r="E1594" s="103">
        <v>1615</v>
      </c>
      <c r="F1594" s="102">
        <v>2</v>
      </c>
      <c r="G1594" s="208">
        <f>E1594/(C1594*H1594/30)</f>
        <v>7.5116279069767436E-2</v>
      </c>
      <c r="H1594" s="102">
        <v>15</v>
      </c>
      <c r="I1594" s="103">
        <f t="shared" si="87"/>
        <v>3229.9999999999995</v>
      </c>
      <c r="J1594" s="103">
        <f t="shared" si="88"/>
        <v>2154.9999999999995</v>
      </c>
    </row>
    <row r="1595" spans="1:10">
      <c r="A1595" s="102"/>
      <c r="B1595" s="102"/>
      <c r="C1595" s="103">
        <v>30000</v>
      </c>
      <c r="D1595" s="104" t="s">
        <v>3701</v>
      </c>
      <c r="E1595" s="103">
        <v>1125</v>
      </c>
      <c r="F1595" s="102">
        <v>8</v>
      </c>
      <c r="G1595" s="208">
        <f>E1595/(C1595*H1595/30)</f>
        <v>7.4999999999999997E-2</v>
      </c>
      <c r="H1595" s="102">
        <v>15</v>
      </c>
      <c r="I1595" s="103">
        <f t="shared" si="87"/>
        <v>9000</v>
      </c>
      <c r="J1595" s="103">
        <f t="shared" si="88"/>
        <v>5999.9999999999991</v>
      </c>
    </row>
    <row r="1596" spans="1:10">
      <c r="A1596" s="102"/>
      <c r="B1596" s="102"/>
      <c r="C1596" s="103">
        <v>20000</v>
      </c>
      <c r="D1596" s="104" t="s">
        <v>3701</v>
      </c>
      <c r="E1596" s="103">
        <v>750</v>
      </c>
      <c r="F1596" s="102">
        <v>1</v>
      </c>
      <c r="G1596" s="208">
        <f>E1596/(C1596*H1596/30)</f>
        <v>7.4999999999999997E-2</v>
      </c>
      <c r="H1596" s="102">
        <v>15</v>
      </c>
      <c r="I1596" s="103">
        <f t="shared" si="87"/>
        <v>750</v>
      </c>
      <c r="J1596" s="103">
        <f t="shared" si="88"/>
        <v>499.99999999999994</v>
      </c>
    </row>
    <row r="1597" spans="1:10">
      <c r="A1597" s="102">
        <v>217</v>
      </c>
      <c r="B1597" s="102" t="s">
        <v>3704</v>
      </c>
      <c r="C1597" s="103">
        <v>20000</v>
      </c>
      <c r="D1597" s="104" t="s">
        <v>453</v>
      </c>
      <c r="E1597" s="103">
        <v>2300</v>
      </c>
      <c r="F1597" s="102">
        <v>10</v>
      </c>
      <c r="G1597" s="208">
        <v>0.06</v>
      </c>
      <c r="H1597" s="102" t="s">
        <v>664</v>
      </c>
      <c r="I1597" s="103">
        <f t="shared" si="87"/>
        <v>3000</v>
      </c>
      <c r="J1597" s="103">
        <f t="shared" si="88"/>
        <v>1749.9999999999995</v>
      </c>
    </row>
    <row r="1598" spans="1:10">
      <c r="A1598" s="102"/>
      <c r="B1598" s="102"/>
      <c r="C1598" s="103">
        <v>20000</v>
      </c>
      <c r="D1598" s="104" t="s">
        <v>3705</v>
      </c>
      <c r="E1598" s="103">
        <v>750</v>
      </c>
      <c r="F1598" s="102">
        <v>5</v>
      </c>
      <c r="G1598" s="208">
        <f>E1598/(C1598*H1598/30)</f>
        <v>7.4999999999999997E-2</v>
      </c>
      <c r="H1598" s="102">
        <v>15</v>
      </c>
      <c r="I1598" s="103">
        <f t="shared" si="87"/>
        <v>3750</v>
      </c>
      <c r="J1598" s="103">
        <f t="shared" si="88"/>
        <v>2499.9999999999995</v>
      </c>
    </row>
    <row r="1599" spans="1:10">
      <c r="A1599" s="102"/>
      <c r="B1599" s="102"/>
      <c r="C1599" s="103">
        <v>10000</v>
      </c>
      <c r="D1599" s="104" t="s">
        <v>3705</v>
      </c>
      <c r="E1599" s="103">
        <v>375</v>
      </c>
      <c r="F1599" s="102">
        <v>8</v>
      </c>
      <c r="G1599" s="208">
        <f>E1599/(C1599*H1599/30)</f>
        <v>7.4999999999999997E-2</v>
      </c>
      <c r="H1599" s="102">
        <v>15</v>
      </c>
      <c r="I1599" s="103">
        <f t="shared" si="87"/>
        <v>3000</v>
      </c>
      <c r="J1599" s="103">
        <f t="shared" si="88"/>
        <v>1999.9999999999998</v>
      </c>
    </row>
    <row r="1600" spans="1:10">
      <c r="A1600" s="102"/>
      <c r="B1600" s="102"/>
      <c r="C1600" s="103">
        <v>10000</v>
      </c>
      <c r="D1600" s="104" t="s">
        <v>3705</v>
      </c>
      <c r="E1600" s="103">
        <v>1150</v>
      </c>
      <c r="F1600" s="102">
        <v>10</v>
      </c>
      <c r="G1600" s="208">
        <v>0.06</v>
      </c>
      <c r="H1600" s="102" t="s">
        <v>664</v>
      </c>
      <c r="I1600" s="103">
        <f t="shared" si="87"/>
        <v>1500</v>
      </c>
      <c r="J1600" s="103">
        <f t="shared" si="88"/>
        <v>874.99999999999977</v>
      </c>
    </row>
    <row r="1601" spans="1:10">
      <c r="A1601" s="102"/>
      <c r="B1601" s="102"/>
      <c r="C1601" s="103">
        <v>20000</v>
      </c>
      <c r="D1601" s="104" t="s">
        <v>433</v>
      </c>
      <c r="E1601" s="103">
        <v>750</v>
      </c>
      <c r="F1601" s="102">
        <v>8</v>
      </c>
      <c r="G1601" s="208">
        <f>E1601/(C1601*H1601/30)</f>
        <v>7.4999999999999997E-2</v>
      </c>
      <c r="H1601" s="102">
        <v>15</v>
      </c>
      <c r="I1601" s="103">
        <f t="shared" si="87"/>
        <v>6000</v>
      </c>
      <c r="J1601" s="103">
        <f t="shared" si="88"/>
        <v>3999.9999999999995</v>
      </c>
    </row>
    <row r="1602" spans="1:10">
      <c r="A1602" s="102"/>
      <c r="B1602" s="102"/>
      <c r="C1602" s="103">
        <v>20000</v>
      </c>
      <c r="D1602" s="104" t="s">
        <v>3706</v>
      </c>
      <c r="E1602" s="103">
        <v>750</v>
      </c>
      <c r="F1602" s="102">
        <v>11</v>
      </c>
      <c r="G1602" s="208">
        <f>E1602/(C1602*H1602/30)</f>
        <v>7.4999999999999997E-2</v>
      </c>
      <c r="H1602" s="102">
        <v>15</v>
      </c>
      <c r="I1602" s="103">
        <f t="shared" si="87"/>
        <v>8250</v>
      </c>
      <c r="J1602" s="103">
        <f t="shared" si="88"/>
        <v>5499.9999999999991</v>
      </c>
    </row>
    <row r="1603" spans="1:10">
      <c r="A1603" s="102"/>
      <c r="B1603" s="102"/>
      <c r="C1603" s="103">
        <v>10000</v>
      </c>
      <c r="D1603" s="104" t="s">
        <v>657</v>
      </c>
      <c r="E1603" s="103">
        <v>1150</v>
      </c>
      <c r="F1603" s="102">
        <v>10</v>
      </c>
      <c r="G1603" s="208">
        <v>0.06</v>
      </c>
      <c r="H1603" s="102" t="s">
        <v>664</v>
      </c>
      <c r="I1603" s="103">
        <f t="shared" si="87"/>
        <v>1500</v>
      </c>
      <c r="J1603" s="103">
        <f t="shared" si="88"/>
        <v>874.99999999999977</v>
      </c>
    </row>
    <row r="1604" spans="1:10">
      <c r="A1604" s="102"/>
      <c r="B1604" s="102"/>
      <c r="C1604" s="103">
        <v>20000</v>
      </c>
      <c r="D1604" s="104" t="s">
        <v>650</v>
      </c>
      <c r="E1604" s="103">
        <v>750</v>
      </c>
      <c r="F1604" s="102">
        <v>7</v>
      </c>
      <c r="G1604" s="208">
        <f>E1604/(C1604*H1604/30)</f>
        <v>7.4999999999999997E-2</v>
      </c>
      <c r="H1604" s="102">
        <v>15</v>
      </c>
      <c r="I1604" s="103">
        <f t="shared" si="87"/>
        <v>5250</v>
      </c>
      <c r="J1604" s="103">
        <f t="shared" si="88"/>
        <v>3499.9999999999995</v>
      </c>
    </row>
    <row r="1605" spans="1:10">
      <c r="A1605" s="102"/>
      <c r="B1605" s="102"/>
      <c r="C1605" s="103">
        <v>20000</v>
      </c>
      <c r="D1605" s="104" t="s">
        <v>657</v>
      </c>
      <c r="E1605" s="103">
        <v>2300</v>
      </c>
      <c r="F1605" s="102">
        <v>10</v>
      </c>
      <c r="G1605" s="208">
        <v>0.06</v>
      </c>
      <c r="H1605" s="102" t="s">
        <v>664</v>
      </c>
      <c r="I1605" s="103">
        <f t="shared" ref="I1605:I1668" si="90">IF(H1605="分期",C1605*G1605*2.5*F1605/10,C1605*G1605*H1605/30*F1605)</f>
        <v>3000</v>
      </c>
      <c r="J1605" s="103">
        <f t="shared" ref="J1605:J1668" si="91">IF(H1605="分期",C1605*(G1605-0.025)*2.5*F1605/10,C1605*(G1605-0.025)*H1605/30*F1605)</f>
        <v>1749.9999999999995</v>
      </c>
    </row>
    <row r="1606" spans="1:10">
      <c r="A1606" s="102"/>
      <c r="B1606" s="102"/>
      <c r="C1606" s="103">
        <v>40000</v>
      </c>
      <c r="D1606" s="104" t="s">
        <v>2346</v>
      </c>
      <c r="E1606" s="103">
        <v>1500</v>
      </c>
      <c r="F1606" s="102">
        <v>5</v>
      </c>
      <c r="G1606" s="208">
        <f>E1606/(C1606*H1606/30)</f>
        <v>7.4999999999999997E-2</v>
      </c>
      <c r="H1606" s="102">
        <v>15</v>
      </c>
      <c r="I1606" s="103">
        <f t="shared" si="90"/>
        <v>7500</v>
      </c>
      <c r="J1606" s="103">
        <f t="shared" si="91"/>
        <v>4999.9999999999991</v>
      </c>
    </row>
    <row r="1607" spans="1:10">
      <c r="A1607" s="102">
        <v>218</v>
      </c>
      <c r="B1607" s="102" t="s">
        <v>3707</v>
      </c>
      <c r="C1607" s="103">
        <v>20000</v>
      </c>
      <c r="D1607" s="104" t="s">
        <v>481</v>
      </c>
      <c r="E1607" s="103">
        <v>750</v>
      </c>
      <c r="F1607" s="102">
        <v>1</v>
      </c>
      <c r="G1607" s="208">
        <f>E1607/(C1607*H1607/30)</f>
        <v>7.4999999999999997E-2</v>
      </c>
      <c r="H1607" s="102">
        <v>15</v>
      </c>
      <c r="I1607" s="103">
        <f t="shared" si="90"/>
        <v>750</v>
      </c>
      <c r="J1607" s="103">
        <f t="shared" si="91"/>
        <v>499.99999999999994</v>
      </c>
    </row>
    <row r="1608" spans="1:10">
      <c r="A1608" s="102"/>
      <c r="B1608" s="102"/>
      <c r="C1608" s="103">
        <v>10000</v>
      </c>
      <c r="D1608" s="104" t="s">
        <v>670</v>
      </c>
      <c r="E1608" s="103">
        <v>1150</v>
      </c>
      <c r="F1608" s="102">
        <v>3</v>
      </c>
      <c r="G1608" s="208">
        <v>0.06</v>
      </c>
      <c r="H1608" s="102" t="s">
        <v>664</v>
      </c>
      <c r="I1608" s="103">
        <f t="shared" si="90"/>
        <v>450</v>
      </c>
      <c r="J1608" s="103">
        <f t="shared" si="91"/>
        <v>262.49999999999994</v>
      </c>
    </row>
    <row r="1609" spans="1:10">
      <c r="A1609" s="102"/>
      <c r="B1609" s="102"/>
      <c r="C1609" s="103">
        <v>50000</v>
      </c>
      <c r="D1609" s="104" t="s">
        <v>1696</v>
      </c>
      <c r="E1609" s="103">
        <v>1875</v>
      </c>
      <c r="F1609" s="102">
        <v>1</v>
      </c>
      <c r="G1609" s="208">
        <f t="shared" ref="G1609:G1621" si="92">E1609/(C1609*H1609/30)</f>
        <v>7.4999999999999997E-2</v>
      </c>
      <c r="H1609" s="102">
        <v>15</v>
      </c>
      <c r="I1609" s="103">
        <f t="shared" si="90"/>
        <v>1875</v>
      </c>
      <c r="J1609" s="103">
        <f t="shared" si="91"/>
        <v>1250</v>
      </c>
    </row>
    <row r="1610" spans="1:10">
      <c r="A1610" s="102">
        <v>219</v>
      </c>
      <c r="B1610" s="102" t="s">
        <v>3708</v>
      </c>
      <c r="C1610" s="103">
        <v>40000</v>
      </c>
      <c r="D1610" s="104" t="s">
        <v>1726</v>
      </c>
      <c r="E1610" s="103">
        <v>1500</v>
      </c>
      <c r="F1610" s="102">
        <v>23</v>
      </c>
      <c r="G1610" s="208">
        <f t="shared" si="92"/>
        <v>7.4999999999999997E-2</v>
      </c>
      <c r="H1610" s="102">
        <v>15</v>
      </c>
      <c r="I1610" s="103">
        <f t="shared" si="90"/>
        <v>34500</v>
      </c>
      <c r="J1610" s="103">
        <f t="shared" si="91"/>
        <v>22999.999999999996</v>
      </c>
    </row>
    <row r="1611" spans="1:10">
      <c r="A1611" s="102"/>
      <c r="B1611" s="102"/>
      <c r="C1611" s="103">
        <v>10000</v>
      </c>
      <c r="D1611" s="104" t="s">
        <v>671</v>
      </c>
      <c r="E1611" s="103">
        <v>375</v>
      </c>
      <c r="F1611" s="102">
        <v>5</v>
      </c>
      <c r="G1611" s="208">
        <f t="shared" si="92"/>
        <v>7.4999999999999997E-2</v>
      </c>
      <c r="H1611" s="102">
        <v>15</v>
      </c>
      <c r="I1611" s="103">
        <f t="shared" si="90"/>
        <v>1875</v>
      </c>
      <c r="J1611" s="103">
        <f t="shared" si="91"/>
        <v>1249.9999999999998</v>
      </c>
    </row>
    <row r="1612" spans="1:10">
      <c r="A1612" s="102"/>
      <c r="B1612" s="102"/>
      <c r="C1612" s="103">
        <v>10000</v>
      </c>
      <c r="D1612" s="104" t="s">
        <v>3175</v>
      </c>
      <c r="E1612" s="103">
        <v>375</v>
      </c>
      <c r="F1612" s="102">
        <v>16</v>
      </c>
      <c r="G1612" s="208">
        <f t="shared" si="92"/>
        <v>7.4999999999999997E-2</v>
      </c>
      <c r="H1612" s="102">
        <v>15</v>
      </c>
      <c r="I1612" s="103">
        <f t="shared" si="90"/>
        <v>6000</v>
      </c>
      <c r="J1612" s="103">
        <f t="shared" si="91"/>
        <v>3999.9999999999995</v>
      </c>
    </row>
    <row r="1613" spans="1:10">
      <c r="A1613" s="102"/>
      <c r="B1613" s="102"/>
      <c r="C1613" s="103">
        <v>20000</v>
      </c>
      <c r="D1613" s="104" t="s">
        <v>3709</v>
      </c>
      <c r="E1613" s="103">
        <v>750</v>
      </c>
      <c r="F1613" s="102">
        <v>15</v>
      </c>
      <c r="G1613" s="208">
        <f t="shared" si="92"/>
        <v>7.4999999999999997E-2</v>
      </c>
      <c r="H1613" s="102">
        <v>15</v>
      </c>
      <c r="I1613" s="103">
        <f t="shared" si="90"/>
        <v>11250</v>
      </c>
      <c r="J1613" s="103">
        <f t="shared" si="91"/>
        <v>7499.9999999999991</v>
      </c>
    </row>
    <row r="1614" spans="1:10">
      <c r="A1614" s="102"/>
      <c r="B1614" s="102"/>
      <c r="C1614" s="103">
        <v>60000</v>
      </c>
      <c r="D1614" s="114" t="s">
        <v>903</v>
      </c>
      <c r="E1614" s="103">
        <v>2250</v>
      </c>
      <c r="F1614" s="102">
        <v>1</v>
      </c>
      <c r="G1614" s="208">
        <f t="shared" si="92"/>
        <v>7.4999999999999997E-2</v>
      </c>
      <c r="H1614" s="102">
        <v>15</v>
      </c>
      <c r="I1614" s="103">
        <f t="shared" si="90"/>
        <v>2250</v>
      </c>
      <c r="J1614" s="103">
        <f t="shared" si="91"/>
        <v>1499.9999999999998</v>
      </c>
    </row>
    <row r="1615" spans="1:10">
      <c r="A1615" s="102"/>
      <c r="B1615" s="102"/>
      <c r="C1615" s="103">
        <v>60000</v>
      </c>
      <c r="D1615" s="114" t="s">
        <v>1902</v>
      </c>
      <c r="E1615" s="103">
        <v>2250</v>
      </c>
      <c r="F1615" s="102">
        <v>1</v>
      </c>
      <c r="G1615" s="208">
        <f t="shared" si="92"/>
        <v>7.4999999999999997E-2</v>
      </c>
      <c r="H1615" s="102">
        <v>15</v>
      </c>
      <c r="I1615" s="103">
        <f t="shared" si="90"/>
        <v>2250</v>
      </c>
      <c r="J1615" s="103">
        <f t="shared" si="91"/>
        <v>1499.9999999999998</v>
      </c>
    </row>
    <row r="1616" spans="1:10">
      <c r="A1616" s="102"/>
      <c r="B1616" s="102"/>
      <c r="C1616" s="103">
        <v>60000</v>
      </c>
      <c r="D1616" s="114" t="s">
        <v>904</v>
      </c>
      <c r="E1616" s="103">
        <v>2250</v>
      </c>
      <c r="F1616" s="102">
        <v>2</v>
      </c>
      <c r="G1616" s="208">
        <f t="shared" si="92"/>
        <v>7.4999999999999997E-2</v>
      </c>
      <c r="H1616" s="102">
        <v>15</v>
      </c>
      <c r="I1616" s="103">
        <f t="shared" si="90"/>
        <v>4500</v>
      </c>
      <c r="J1616" s="103">
        <f t="shared" si="91"/>
        <v>2999.9999999999995</v>
      </c>
    </row>
    <row r="1617" spans="1:10">
      <c r="A1617" s="102"/>
      <c r="B1617" s="102"/>
      <c r="C1617" s="103">
        <v>50000</v>
      </c>
      <c r="D1617" s="114" t="s">
        <v>904</v>
      </c>
      <c r="E1617" s="103">
        <v>1875</v>
      </c>
      <c r="F1617" s="102">
        <v>2</v>
      </c>
      <c r="G1617" s="208">
        <f t="shared" si="92"/>
        <v>7.4999999999999997E-2</v>
      </c>
      <c r="H1617" s="102">
        <v>15</v>
      </c>
      <c r="I1617" s="103">
        <f t="shared" si="90"/>
        <v>3750</v>
      </c>
      <c r="J1617" s="103">
        <f t="shared" si="91"/>
        <v>2500</v>
      </c>
    </row>
    <row r="1618" spans="1:10">
      <c r="A1618" s="102"/>
      <c r="B1618" s="102"/>
      <c r="C1618" s="103">
        <v>40000</v>
      </c>
      <c r="D1618" s="114" t="s">
        <v>904</v>
      </c>
      <c r="E1618" s="103">
        <v>1500</v>
      </c>
      <c r="F1618" s="102">
        <v>1</v>
      </c>
      <c r="G1618" s="208">
        <f t="shared" si="92"/>
        <v>7.4999999999999997E-2</v>
      </c>
      <c r="H1618" s="102">
        <v>15</v>
      </c>
      <c r="I1618" s="103">
        <f t="shared" si="90"/>
        <v>1500</v>
      </c>
      <c r="J1618" s="103">
        <f t="shared" si="91"/>
        <v>999.99999999999989</v>
      </c>
    </row>
    <row r="1619" spans="1:10">
      <c r="A1619" s="102"/>
      <c r="B1619" s="102"/>
      <c r="C1619" s="103">
        <v>100000</v>
      </c>
      <c r="D1619" s="104" t="s">
        <v>2325</v>
      </c>
      <c r="E1619" s="103">
        <v>3750</v>
      </c>
      <c r="F1619" s="102">
        <v>3</v>
      </c>
      <c r="G1619" s="208">
        <f t="shared" si="92"/>
        <v>7.4999999999999997E-2</v>
      </c>
      <c r="H1619" s="102">
        <v>15</v>
      </c>
      <c r="I1619" s="103">
        <f t="shared" si="90"/>
        <v>11250</v>
      </c>
      <c r="J1619" s="103">
        <f t="shared" si="91"/>
        <v>7500</v>
      </c>
    </row>
    <row r="1620" spans="1:10">
      <c r="A1620" s="102"/>
      <c r="B1620" s="102"/>
      <c r="C1620" s="103">
        <v>90000</v>
      </c>
      <c r="D1620" s="114" t="s">
        <v>905</v>
      </c>
      <c r="E1620" s="103">
        <v>3375</v>
      </c>
      <c r="F1620" s="102">
        <v>2</v>
      </c>
      <c r="G1620" s="208">
        <f t="shared" si="92"/>
        <v>7.4999999999999997E-2</v>
      </c>
      <c r="H1620" s="102">
        <v>15</v>
      </c>
      <c r="I1620" s="103">
        <f t="shared" si="90"/>
        <v>6750</v>
      </c>
      <c r="J1620" s="103">
        <f t="shared" si="91"/>
        <v>4500</v>
      </c>
    </row>
    <row r="1621" spans="1:10">
      <c r="A1621" s="102"/>
      <c r="B1621" s="102"/>
      <c r="C1621" s="103">
        <v>40000</v>
      </c>
      <c r="D1621" s="104" t="s">
        <v>1700</v>
      </c>
      <c r="E1621" s="103">
        <v>1500</v>
      </c>
      <c r="F1621" s="102">
        <v>1</v>
      </c>
      <c r="G1621" s="208">
        <f t="shared" si="92"/>
        <v>7.4999999999999997E-2</v>
      </c>
      <c r="H1621" s="102">
        <v>15</v>
      </c>
      <c r="I1621" s="103">
        <f t="shared" si="90"/>
        <v>1500</v>
      </c>
      <c r="J1621" s="103">
        <f t="shared" si="91"/>
        <v>999.99999999999989</v>
      </c>
    </row>
    <row r="1622" spans="1:10">
      <c r="A1622" s="102">
        <v>220</v>
      </c>
      <c r="B1622" s="102" t="s">
        <v>958</v>
      </c>
      <c r="C1622" s="103">
        <v>25000</v>
      </c>
      <c r="D1622" s="104" t="s">
        <v>246</v>
      </c>
      <c r="E1622" s="103">
        <v>2900</v>
      </c>
      <c r="F1622" s="102">
        <v>6</v>
      </c>
      <c r="G1622" s="208">
        <v>0.06</v>
      </c>
      <c r="H1622" s="102" t="s">
        <v>2184</v>
      </c>
      <c r="I1622" s="103">
        <f t="shared" si="90"/>
        <v>2250</v>
      </c>
      <c r="J1622" s="103">
        <f t="shared" si="91"/>
        <v>1312.4999999999995</v>
      </c>
    </row>
    <row r="1623" spans="1:10">
      <c r="A1623" s="102">
        <v>221</v>
      </c>
      <c r="B1623" s="102" t="s">
        <v>959</v>
      </c>
      <c r="C1623" s="103">
        <v>70000</v>
      </c>
      <c r="D1623" s="114" t="s">
        <v>906</v>
      </c>
      <c r="E1623" s="103">
        <v>2625</v>
      </c>
      <c r="F1623" s="102">
        <v>2</v>
      </c>
      <c r="G1623" s="208">
        <f t="shared" ref="G1623:G1663" si="93">E1623/(C1623*H1623/30)</f>
        <v>7.4999999999999997E-2</v>
      </c>
      <c r="H1623" s="102">
        <v>15</v>
      </c>
      <c r="I1623" s="103">
        <f t="shared" si="90"/>
        <v>5250</v>
      </c>
      <c r="J1623" s="103">
        <f t="shared" si="91"/>
        <v>3499.9999999999995</v>
      </c>
    </row>
    <row r="1624" spans="1:10">
      <c r="A1624" s="102"/>
      <c r="B1624" s="102"/>
      <c r="C1624" s="103">
        <v>40000</v>
      </c>
      <c r="D1624" s="114" t="s">
        <v>906</v>
      </c>
      <c r="E1624" s="103">
        <v>1500</v>
      </c>
      <c r="F1624" s="102">
        <v>1</v>
      </c>
      <c r="G1624" s="208">
        <f t="shared" si="93"/>
        <v>7.4999999999999997E-2</v>
      </c>
      <c r="H1624" s="102">
        <v>15</v>
      </c>
      <c r="I1624" s="103">
        <f t="shared" si="90"/>
        <v>1500</v>
      </c>
      <c r="J1624" s="103">
        <f t="shared" si="91"/>
        <v>999.99999999999989</v>
      </c>
    </row>
    <row r="1625" spans="1:10">
      <c r="A1625" s="102"/>
      <c r="B1625" s="102"/>
      <c r="C1625" s="103">
        <v>20000</v>
      </c>
      <c r="D1625" s="114" t="s">
        <v>907</v>
      </c>
      <c r="E1625" s="103">
        <v>750</v>
      </c>
      <c r="F1625" s="102">
        <v>2</v>
      </c>
      <c r="G1625" s="208">
        <f t="shared" si="93"/>
        <v>7.4999999999999997E-2</v>
      </c>
      <c r="H1625" s="102">
        <v>15</v>
      </c>
      <c r="I1625" s="103">
        <f t="shared" si="90"/>
        <v>1500</v>
      </c>
      <c r="J1625" s="103">
        <f t="shared" si="91"/>
        <v>999.99999999999989</v>
      </c>
    </row>
    <row r="1626" spans="1:10">
      <c r="A1626" s="102"/>
      <c r="B1626" s="102"/>
      <c r="C1626" s="103">
        <v>10000</v>
      </c>
      <c r="D1626" s="114" t="s">
        <v>907</v>
      </c>
      <c r="E1626" s="103">
        <v>375</v>
      </c>
      <c r="F1626" s="102">
        <v>2</v>
      </c>
      <c r="G1626" s="208">
        <f t="shared" si="93"/>
        <v>7.4999999999999997E-2</v>
      </c>
      <c r="H1626" s="102">
        <v>15</v>
      </c>
      <c r="I1626" s="103">
        <f t="shared" si="90"/>
        <v>750</v>
      </c>
      <c r="J1626" s="103">
        <f t="shared" si="91"/>
        <v>499.99999999999994</v>
      </c>
    </row>
    <row r="1627" spans="1:10">
      <c r="A1627" s="102"/>
      <c r="B1627" s="102"/>
      <c r="C1627" s="103">
        <v>20000</v>
      </c>
      <c r="D1627" s="104" t="s">
        <v>1781</v>
      </c>
      <c r="E1627" s="103">
        <v>750</v>
      </c>
      <c r="F1627" s="102">
        <v>4</v>
      </c>
      <c r="G1627" s="208">
        <f t="shared" si="93"/>
        <v>7.4999999999999997E-2</v>
      </c>
      <c r="H1627" s="102">
        <v>15</v>
      </c>
      <c r="I1627" s="103">
        <f t="shared" si="90"/>
        <v>3000</v>
      </c>
      <c r="J1627" s="103">
        <f t="shared" si="91"/>
        <v>1999.9999999999998</v>
      </c>
    </row>
    <row r="1628" spans="1:10">
      <c r="A1628" s="102"/>
      <c r="B1628" s="102"/>
      <c r="C1628" s="103">
        <v>50000</v>
      </c>
      <c r="D1628" s="104" t="s">
        <v>1781</v>
      </c>
      <c r="E1628" s="103">
        <v>1875</v>
      </c>
      <c r="F1628" s="102">
        <v>2</v>
      </c>
      <c r="G1628" s="208">
        <f t="shared" si="93"/>
        <v>7.4999999999999997E-2</v>
      </c>
      <c r="H1628" s="102">
        <v>15</v>
      </c>
      <c r="I1628" s="103">
        <f t="shared" si="90"/>
        <v>3750</v>
      </c>
      <c r="J1628" s="103">
        <f t="shared" si="91"/>
        <v>2500</v>
      </c>
    </row>
    <row r="1629" spans="1:10">
      <c r="A1629" s="102"/>
      <c r="B1629" s="102"/>
      <c r="C1629" s="103">
        <v>40000</v>
      </c>
      <c r="D1629" s="104" t="s">
        <v>2153</v>
      </c>
      <c r="E1629" s="103">
        <v>1500</v>
      </c>
      <c r="F1629" s="102">
        <v>4</v>
      </c>
      <c r="G1629" s="208">
        <f t="shared" si="93"/>
        <v>7.4999999999999997E-2</v>
      </c>
      <c r="H1629" s="102">
        <v>15</v>
      </c>
      <c r="I1629" s="103">
        <f t="shared" si="90"/>
        <v>6000</v>
      </c>
      <c r="J1629" s="103">
        <f t="shared" si="91"/>
        <v>3999.9999999999995</v>
      </c>
    </row>
    <row r="1630" spans="1:10">
      <c r="A1630" s="102"/>
      <c r="B1630" s="102"/>
      <c r="C1630" s="103">
        <v>20000</v>
      </c>
      <c r="D1630" s="114" t="s">
        <v>908</v>
      </c>
      <c r="E1630" s="103">
        <v>750</v>
      </c>
      <c r="F1630" s="102">
        <v>6</v>
      </c>
      <c r="G1630" s="208">
        <f t="shared" si="93"/>
        <v>7.4999999999999997E-2</v>
      </c>
      <c r="H1630" s="102">
        <v>15</v>
      </c>
      <c r="I1630" s="103">
        <f t="shared" si="90"/>
        <v>4500</v>
      </c>
      <c r="J1630" s="103">
        <f t="shared" si="91"/>
        <v>2999.9999999999995</v>
      </c>
    </row>
    <row r="1631" spans="1:10">
      <c r="A1631" s="102"/>
      <c r="B1631" s="102"/>
      <c r="C1631" s="103">
        <v>30000</v>
      </c>
      <c r="D1631" s="104" t="s">
        <v>1743</v>
      </c>
      <c r="E1631" s="103">
        <v>1125</v>
      </c>
      <c r="F1631" s="102">
        <v>2</v>
      </c>
      <c r="G1631" s="208">
        <f t="shared" si="93"/>
        <v>7.4999999999999997E-2</v>
      </c>
      <c r="H1631" s="102">
        <v>15</v>
      </c>
      <c r="I1631" s="103">
        <f t="shared" si="90"/>
        <v>2250</v>
      </c>
      <c r="J1631" s="103">
        <f t="shared" si="91"/>
        <v>1499.9999999999998</v>
      </c>
    </row>
    <row r="1632" spans="1:10">
      <c r="A1632" s="102"/>
      <c r="B1632" s="102"/>
      <c r="C1632" s="103">
        <v>20000</v>
      </c>
      <c r="D1632" s="114" t="s">
        <v>909</v>
      </c>
      <c r="E1632" s="103">
        <v>750</v>
      </c>
      <c r="F1632" s="102">
        <v>2</v>
      </c>
      <c r="G1632" s="208">
        <f t="shared" si="93"/>
        <v>7.4999999999999997E-2</v>
      </c>
      <c r="H1632" s="102">
        <v>15</v>
      </c>
      <c r="I1632" s="103">
        <f t="shared" si="90"/>
        <v>1500</v>
      </c>
      <c r="J1632" s="103">
        <f t="shared" si="91"/>
        <v>999.99999999999989</v>
      </c>
    </row>
    <row r="1633" spans="1:10">
      <c r="A1633" s="102"/>
      <c r="B1633" s="102"/>
      <c r="C1633" s="103">
        <v>50000</v>
      </c>
      <c r="D1633" s="104" t="s">
        <v>2531</v>
      </c>
      <c r="E1633" s="103">
        <v>1875</v>
      </c>
      <c r="F1633" s="102">
        <v>2</v>
      </c>
      <c r="G1633" s="208">
        <f t="shared" si="93"/>
        <v>7.4999999999999997E-2</v>
      </c>
      <c r="H1633" s="102">
        <v>15</v>
      </c>
      <c r="I1633" s="103">
        <f t="shared" si="90"/>
        <v>3750</v>
      </c>
      <c r="J1633" s="103">
        <f t="shared" si="91"/>
        <v>2500</v>
      </c>
    </row>
    <row r="1634" spans="1:10">
      <c r="A1634" s="102"/>
      <c r="B1634" s="102"/>
      <c r="C1634" s="103">
        <v>40000</v>
      </c>
      <c r="D1634" s="114" t="s">
        <v>910</v>
      </c>
      <c r="E1634" s="103">
        <v>1125</v>
      </c>
      <c r="F1634" s="102">
        <v>3</v>
      </c>
      <c r="G1634" s="208">
        <f t="shared" si="93"/>
        <v>5.6250000000000001E-2</v>
      </c>
      <c r="H1634" s="102">
        <v>15</v>
      </c>
      <c r="I1634" s="103">
        <f t="shared" si="90"/>
        <v>3375</v>
      </c>
      <c r="J1634" s="103">
        <f t="shared" si="91"/>
        <v>1875</v>
      </c>
    </row>
    <row r="1635" spans="1:10">
      <c r="A1635" s="102"/>
      <c r="B1635" s="102"/>
      <c r="C1635" s="103">
        <v>20000</v>
      </c>
      <c r="D1635" s="104" t="s">
        <v>960</v>
      </c>
      <c r="E1635" s="103">
        <v>750</v>
      </c>
      <c r="F1635" s="102">
        <v>3</v>
      </c>
      <c r="G1635" s="208">
        <f t="shared" si="93"/>
        <v>7.4999999999999997E-2</v>
      </c>
      <c r="H1635" s="102">
        <v>15</v>
      </c>
      <c r="I1635" s="103">
        <f t="shared" si="90"/>
        <v>2250</v>
      </c>
      <c r="J1635" s="103">
        <f t="shared" si="91"/>
        <v>1499.9999999999998</v>
      </c>
    </row>
    <row r="1636" spans="1:10">
      <c r="A1636" s="102"/>
      <c r="B1636" s="102"/>
      <c r="C1636" s="103">
        <v>30000</v>
      </c>
      <c r="D1636" s="104" t="s">
        <v>1533</v>
      </c>
      <c r="E1636" s="103">
        <v>1125</v>
      </c>
      <c r="F1636" s="102">
        <v>4</v>
      </c>
      <c r="G1636" s="208">
        <f t="shared" si="93"/>
        <v>7.4999999999999997E-2</v>
      </c>
      <c r="H1636" s="102">
        <v>15</v>
      </c>
      <c r="I1636" s="103">
        <f t="shared" si="90"/>
        <v>4500</v>
      </c>
      <c r="J1636" s="103">
        <f t="shared" si="91"/>
        <v>2999.9999999999995</v>
      </c>
    </row>
    <row r="1637" spans="1:10">
      <c r="A1637" s="102"/>
      <c r="B1637" s="102"/>
      <c r="C1637" s="103">
        <v>20000</v>
      </c>
      <c r="D1637" s="114" t="s">
        <v>911</v>
      </c>
      <c r="E1637" s="103">
        <v>750</v>
      </c>
      <c r="F1637" s="102">
        <v>2</v>
      </c>
      <c r="G1637" s="208">
        <f t="shared" si="93"/>
        <v>7.4999999999999997E-2</v>
      </c>
      <c r="H1637" s="102">
        <v>15</v>
      </c>
      <c r="I1637" s="103">
        <f t="shared" si="90"/>
        <v>1500</v>
      </c>
      <c r="J1637" s="103">
        <f t="shared" si="91"/>
        <v>999.99999999999989</v>
      </c>
    </row>
    <row r="1638" spans="1:10">
      <c r="A1638" s="102"/>
      <c r="B1638" s="102"/>
      <c r="C1638" s="103">
        <v>40000</v>
      </c>
      <c r="D1638" s="104" t="s">
        <v>493</v>
      </c>
      <c r="E1638" s="103">
        <v>1500</v>
      </c>
      <c r="F1638" s="102">
        <v>1</v>
      </c>
      <c r="G1638" s="208">
        <f t="shared" si="93"/>
        <v>7.4999999999999997E-2</v>
      </c>
      <c r="H1638" s="102">
        <v>15</v>
      </c>
      <c r="I1638" s="103">
        <f t="shared" si="90"/>
        <v>1500</v>
      </c>
      <c r="J1638" s="103">
        <f t="shared" si="91"/>
        <v>999.99999999999989</v>
      </c>
    </row>
    <row r="1639" spans="1:10">
      <c r="A1639" s="102"/>
      <c r="B1639" s="102"/>
      <c r="C1639" s="103">
        <v>30000</v>
      </c>
      <c r="D1639" s="104" t="s">
        <v>493</v>
      </c>
      <c r="E1639" s="103">
        <v>1125</v>
      </c>
      <c r="F1639" s="102">
        <v>1</v>
      </c>
      <c r="G1639" s="208">
        <f t="shared" si="93"/>
        <v>7.4999999999999997E-2</v>
      </c>
      <c r="H1639" s="102">
        <v>15</v>
      </c>
      <c r="I1639" s="103">
        <f t="shared" si="90"/>
        <v>1125</v>
      </c>
      <c r="J1639" s="103">
        <f t="shared" si="91"/>
        <v>749.99999999999989</v>
      </c>
    </row>
    <row r="1640" spans="1:10">
      <c r="A1640" s="102"/>
      <c r="B1640" s="102"/>
      <c r="C1640" s="103">
        <v>20000</v>
      </c>
      <c r="D1640" s="104" t="s">
        <v>493</v>
      </c>
      <c r="E1640" s="103">
        <v>750</v>
      </c>
      <c r="F1640" s="102">
        <v>1</v>
      </c>
      <c r="G1640" s="208">
        <f t="shared" si="93"/>
        <v>7.4999999999999997E-2</v>
      </c>
      <c r="H1640" s="102">
        <v>15</v>
      </c>
      <c r="I1640" s="103">
        <f t="shared" si="90"/>
        <v>750</v>
      </c>
      <c r="J1640" s="103">
        <f t="shared" si="91"/>
        <v>499.99999999999994</v>
      </c>
    </row>
    <row r="1641" spans="1:10">
      <c r="A1641" s="102"/>
      <c r="B1641" s="102"/>
      <c r="C1641" s="103">
        <v>50000</v>
      </c>
      <c r="D1641" s="104" t="s">
        <v>655</v>
      </c>
      <c r="E1641" s="103">
        <v>1875</v>
      </c>
      <c r="F1641" s="102">
        <v>7</v>
      </c>
      <c r="G1641" s="208">
        <f t="shared" si="93"/>
        <v>7.4999999999999997E-2</v>
      </c>
      <c r="H1641" s="102">
        <v>15</v>
      </c>
      <c r="I1641" s="103">
        <f t="shared" si="90"/>
        <v>13125</v>
      </c>
      <c r="J1641" s="103">
        <f t="shared" si="91"/>
        <v>8750</v>
      </c>
    </row>
    <row r="1642" spans="1:10">
      <c r="A1642" s="102"/>
      <c r="B1642" s="102"/>
      <c r="C1642" s="103">
        <v>40000</v>
      </c>
      <c r="D1642" s="104" t="s">
        <v>655</v>
      </c>
      <c r="E1642" s="103">
        <v>1500</v>
      </c>
      <c r="F1642" s="102">
        <v>2</v>
      </c>
      <c r="G1642" s="208">
        <f t="shared" si="93"/>
        <v>7.4999999999999997E-2</v>
      </c>
      <c r="H1642" s="102">
        <v>15</v>
      </c>
      <c r="I1642" s="103">
        <f t="shared" si="90"/>
        <v>3000</v>
      </c>
      <c r="J1642" s="103">
        <f t="shared" si="91"/>
        <v>1999.9999999999998</v>
      </c>
    </row>
    <row r="1643" spans="1:10">
      <c r="A1643" s="102"/>
      <c r="B1643" s="102"/>
      <c r="C1643" s="103">
        <v>30000</v>
      </c>
      <c r="D1643" s="104" t="s">
        <v>655</v>
      </c>
      <c r="E1643" s="103">
        <v>1125</v>
      </c>
      <c r="F1643" s="102">
        <v>2</v>
      </c>
      <c r="G1643" s="208">
        <f t="shared" si="93"/>
        <v>7.4999999999999997E-2</v>
      </c>
      <c r="H1643" s="102">
        <v>15</v>
      </c>
      <c r="I1643" s="103">
        <f t="shared" si="90"/>
        <v>2250</v>
      </c>
      <c r="J1643" s="103">
        <f t="shared" si="91"/>
        <v>1499.9999999999998</v>
      </c>
    </row>
    <row r="1644" spans="1:10">
      <c r="A1644" s="102"/>
      <c r="B1644" s="102"/>
      <c r="C1644" s="103">
        <v>20000</v>
      </c>
      <c r="D1644" s="114" t="s">
        <v>913</v>
      </c>
      <c r="E1644" s="103">
        <v>750</v>
      </c>
      <c r="F1644" s="102">
        <v>3</v>
      </c>
      <c r="G1644" s="208">
        <f t="shared" si="93"/>
        <v>7.4999999999999997E-2</v>
      </c>
      <c r="H1644" s="102">
        <v>15</v>
      </c>
      <c r="I1644" s="103">
        <f t="shared" si="90"/>
        <v>2250</v>
      </c>
      <c r="J1644" s="103">
        <f t="shared" si="91"/>
        <v>1499.9999999999998</v>
      </c>
    </row>
    <row r="1645" spans="1:10">
      <c r="A1645" s="102"/>
      <c r="B1645" s="102"/>
      <c r="C1645" s="103">
        <v>50000</v>
      </c>
      <c r="D1645" s="104" t="s">
        <v>1726</v>
      </c>
      <c r="E1645" s="103">
        <v>1875</v>
      </c>
      <c r="F1645" s="102">
        <v>5</v>
      </c>
      <c r="G1645" s="208">
        <f t="shared" si="93"/>
        <v>7.4999999999999997E-2</v>
      </c>
      <c r="H1645" s="102">
        <v>15</v>
      </c>
      <c r="I1645" s="103">
        <f t="shared" si="90"/>
        <v>9375</v>
      </c>
      <c r="J1645" s="103">
        <f t="shared" si="91"/>
        <v>6250</v>
      </c>
    </row>
    <row r="1646" spans="1:10">
      <c r="A1646" s="102"/>
      <c r="B1646" s="102"/>
      <c r="C1646" s="103">
        <v>40000</v>
      </c>
      <c r="D1646" s="114" t="s">
        <v>912</v>
      </c>
      <c r="E1646" s="103">
        <v>1500</v>
      </c>
      <c r="F1646" s="102">
        <v>2</v>
      </c>
      <c r="G1646" s="208">
        <f t="shared" si="93"/>
        <v>7.4999999999999997E-2</v>
      </c>
      <c r="H1646" s="102">
        <v>15</v>
      </c>
      <c r="I1646" s="103">
        <f t="shared" si="90"/>
        <v>3000</v>
      </c>
      <c r="J1646" s="103">
        <f t="shared" si="91"/>
        <v>1999.9999999999998</v>
      </c>
    </row>
    <row r="1647" spans="1:10">
      <c r="A1647" s="102"/>
      <c r="B1647" s="102"/>
      <c r="C1647" s="103">
        <v>30000</v>
      </c>
      <c r="D1647" s="114" t="s">
        <v>912</v>
      </c>
      <c r="E1647" s="103">
        <v>1125</v>
      </c>
      <c r="F1647" s="102">
        <v>2</v>
      </c>
      <c r="G1647" s="208">
        <f t="shared" si="93"/>
        <v>7.4999999999999997E-2</v>
      </c>
      <c r="H1647" s="102">
        <v>15</v>
      </c>
      <c r="I1647" s="103">
        <f t="shared" si="90"/>
        <v>2250</v>
      </c>
      <c r="J1647" s="103">
        <f t="shared" si="91"/>
        <v>1499.9999999999998</v>
      </c>
    </row>
    <row r="1648" spans="1:10">
      <c r="A1648" s="102"/>
      <c r="B1648" s="102"/>
      <c r="C1648" s="103">
        <v>40000</v>
      </c>
      <c r="D1648" s="104" t="s">
        <v>679</v>
      </c>
      <c r="E1648" s="103">
        <v>1500</v>
      </c>
      <c r="F1648" s="102">
        <v>3</v>
      </c>
      <c r="G1648" s="208">
        <f t="shared" si="93"/>
        <v>7.4999999999999997E-2</v>
      </c>
      <c r="H1648" s="102">
        <v>15</v>
      </c>
      <c r="I1648" s="103">
        <f t="shared" si="90"/>
        <v>4500</v>
      </c>
      <c r="J1648" s="103">
        <f t="shared" si="91"/>
        <v>2999.9999999999995</v>
      </c>
    </row>
    <row r="1649" spans="1:10">
      <c r="A1649" s="102"/>
      <c r="B1649" s="102"/>
      <c r="C1649" s="103">
        <v>30000</v>
      </c>
      <c r="D1649" s="104" t="s">
        <v>679</v>
      </c>
      <c r="E1649" s="103">
        <v>1125</v>
      </c>
      <c r="F1649" s="102">
        <v>2</v>
      </c>
      <c r="G1649" s="208">
        <f t="shared" si="93"/>
        <v>7.4999999999999997E-2</v>
      </c>
      <c r="H1649" s="102">
        <v>15</v>
      </c>
      <c r="I1649" s="103">
        <f t="shared" si="90"/>
        <v>2250</v>
      </c>
      <c r="J1649" s="103">
        <f t="shared" si="91"/>
        <v>1499.9999999999998</v>
      </c>
    </row>
    <row r="1650" spans="1:10">
      <c r="A1650" s="102"/>
      <c r="B1650" s="102"/>
      <c r="C1650" s="103">
        <v>20000</v>
      </c>
      <c r="D1650" s="104" t="s">
        <v>679</v>
      </c>
      <c r="E1650" s="103">
        <v>750</v>
      </c>
      <c r="F1650" s="102">
        <v>2</v>
      </c>
      <c r="G1650" s="208">
        <f t="shared" si="93"/>
        <v>7.4999999999999997E-2</v>
      </c>
      <c r="H1650" s="102">
        <v>15</v>
      </c>
      <c r="I1650" s="103">
        <f t="shared" si="90"/>
        <v>1500</v>
      </c>
      <c r="J1650" s="103">
        <f t="shared" si="91"/>
        <v>999.99999999999989</v>
      </c>
    </row>
    <row r="1651" spans="1:10">
      <c r="A1651" s="102"/>
      <c r="B1651" s="102"/>
      <c r="C1651" s="103">
        <v>60000</v>
      </c>
      <c r="D1651" s="104" t="s">
        <v>3178</v>
      </c>
      <c r="E1651" s="103">
        <v>2250</v>
      </c>
      <c r="F1651" s="102">
        <v>3</v>
      </c>
      <c r="G1651" s="208">
        <f t="shared" si="93"/>
        <v>7.4999999999999997E-2</v>
      </c>
      <c r="H1651" s="102">
        <v>15</v>
      </c>
      <c r="I1651" s="103">
        <f t="shared" si="90"/>
        <v>6750</v>
      </c>
      <c r="J1651" s="103">
        <f t="shared" si="91"/>
        <v>4499.9999999999991</v>
      </c>
    </row>
    <row r="1652" spans="1:10">
      <c r="A1652" s="102">
        <v>222</v>
      </c>
      <c r="B1652" s="102" t="s">
        <v>961</v>
      </c>
      <c r="C1652" s="103">
        <v>40000</v>
      </c>
      <c r="D1652" s="104" t="s">
        <v>34</v>
      </c>
      <c r="E1652" s="103">
        <v>1500</v>
      </c>
      <c r="F1652" s="102">
        <v>10</v>
      </c>
      <c r="G1652" s="208">
        <f t="shared" si="93"/>
        <v>7.4999999999999997E-2</v>
      </c>
      <c r="H1652" s="102">
        <v>15</v>
      </c>
      <c r="I1652" s="103">
        <f t="shared" si="90"/>
        <v>15000</v>
      </c>
      <c r="J1652" s="103">
        <f t="shared" si="91"/>
        <v>9999.9999999999982</v>
      </c>
    </row>
    <row r="1653" spans="1:10">
      <c r="A1653" s="102"/>
      <c r="B1653" s="102"/>
      <c r="C1653" s="103">
        <v>10000</v>
      </c>
      <c r="D1653" s="104" t="s">
        <v>1976</v>
      </c>
      <c r="E1653" s="103">
        <v>375</v>
      </c>
      <c r="F1653" s="102">
        <v>9</v>
      </c>
      <c r="G1653" s="208">
        <f t="shared" si="93"/>
        <v>7.4999999999999997E-2</v>
      </c>
      <c r="H1653" s="102">
        <v>15</v>
      </c>
      <c r="I1653" s="103">
        <f t="shared" si="90"/>
        <v>3375</v>
      </c>
      <c r="J1653" s="103">
        <f t="shared" si="91"/>
        <v>2249.9999999999995</v>
      </c>
    </row>
    <row r="1654" spans="1:10">
      <c r="A1654" s="102"/>
      <c r="B1654" s="102"/>
      <c r="C1654" s="103">
        <v>10000</v>
      </c>
      <c r="D1654" s="104" t="s">
        <v>962</v>
      </c>
      <c r="E1654" s="103">
        <v>375</v>
      </c>
      <c r="F1654" s="102">
        <v>4</v>
      </c>
      <c r="G1654" s="208">
        <f t="shared" si="93"/>
        <v>7.4999999999999997E-2</v>
      </c>
      <c r="H1654" s="102">
        <v>15</v>
      </c>
      <c r="I1654" s="103">
        <f t="shared" si="90"/>
        <v>1500</v>
      </c>
      <c r="J1654" s="103">
        <f t="shared" si="91"/>
        <v>999.99999999999989</v>
      </c>
    </row>
    <row r="1655" spans="1:10">
      <c r="A1655" s="102"/>
      <c r="B1655" s="102"/>
      <c r="C1655" s="103">
        <v>90000</v>
      </c>
      <c r="D1655" s="104" t="s">
        <v>1009</v>
      </c>
      <c r="E1655" s="103">
        <v>3150</v>
      </c>
      <c r="F1655" s="102">
        <v>21</v>
      </c>
      <c r="G1655" s="208">
        <f t="shared" si="93"/>
        <v>7.0000000000000007E-2</v>
      </c>
      <c r="H1655" s="102">
        <v>15</v>
      </c>
      <c r="I1655" s="103">
        <f t="shared" si="90"/>
        <v>66150.000000000015</v>
      </c>
      <c r="J1655" s="103">
        <f t="shared" si="91"/>
        <v>42525.000000000007</v>
      </c>
    </row>
    <row r="1656" spans="1:10">
      <c r="A1656" s="102"/>
      <c r="B1656" s="102"/>
      <c r="C1656" s="103">
        <v>20000</v>
      </c>
      <c r="D1656" s="104" t="s">
        <v>3395</v>
      </c>
      <c r="E1656" s="103">
        <v>700</v>
      </c>
      <c r="F1656" s="102">
        <v>5</v>
      </c>
      <c r="G1656" s="208">
        <f t="shared" si="93"/>
        <v>7.0000000000000007E-2</v>
      </c>
      <c r="H1656" s="102">
        <v>15</v>
      </c>
      <c r="I1656" s="103">
        <f t="shared" si="90"/>
        <v>3500.0000000000005</v>
      </c>
      <c r="J1656" s="103">
        <f t="shared" si="91"/>
        <v>2250.0000000000005</v>
      </c>
    </row>
    <row r="1657" spans="1:10">
      <c r="A1657" s="102"/>
      <c r="B1657" s="102"/>
      <c r="C1657" s="103">
        <v>10000</v>
      </c>
      <c r="D1657" s="104" t="s">
        <v>996</v>
      </c>
      <c r="E1657" s="103">
        <v>350</v>
      </c>
      <c r="F1657" s="102">
        <v>6</v>
      </c>
      <c r="G1657" s="208">
        <f t="shared" si="93"/>
        <v>7.0000000000000007E-2</v>
      </c>
      <c r="H1657" s="102">
        <v>15</v>
      </c>
      <c r="I1657" s="103">
        <f t="shared" si="90"/>
        <v>2100.0000000000005</v>
      </c>
      <c r="J1657" s="103">
        <f t="shared" si="91"/>
        <v>1350.0000000000002</v>
      </c>
    </row>
    <row r="1658" spans="1:10">
      <c r="A1658" s="102"/>
      <c r="B1658" s="102"/>
      <c r="C1658" s="103">
        <v>30000</v>
      </c>
      <c r="D1658" s="104" t="s">
        <v>3182</v>
      </c>
      <c r="E1658" s="103">
        <v>1050</v>
      </c>
      <c r="F1658" s="102">
        <v>17</v>
      </c>
      <c r="G1658" s="208">
        <f t="shared" si="93"/>
        <v>7.0000000000000007E-2</v>
      </c>
      <c r="H1658" s="102">
        <v>15</v>
      </c>
      <c r="I1658" s="103">
        <f t="shared" si="90"/>
        <v>17850</v>
      </c>
      <c r="J1658" s="103">
        <f t="shared" si="91"/>
        <v>11475.000000000002</v>
      </c>
    </row>
    <row r="1659" spans="1:10">
      <c r="A1659" s="102"/>
      <c r="B1659" s="102"/>
      <c r="C1659" s="103">
        <v>10000</v>
      </c>
      <c r="D1659" s="104" t="s">
        <v>1692</v>
      </c>
      <c r="E1659" s="103">
        <v>375</v>
      </c>
      <c r="F1659" s="102">
        <v>3</v>
      </c>
      <c r="G1659" s="208">
        <f t="shared" si="93"/>
        <v>7.4999999999999997E-2</v>
      </c>
      <c r="H1659" s="102">
        <v>15</v>
      </c>
      <c r="I1659" s="103">
        <f t="shared" si="90"/>
        <v>1125</v>
      </c>
      <c r="J1659" s="103">
        <f t="shared" si="91"/>
        <v>749.99999999999989</v>
      </c>
    </row>
    <row r="1660" spans="1:10">
      <c r="A1660" s="102"/>
      <c r="B1660" s="102"/>
      <c r="C1660" s="103">
        <v>10000</v>
      </c>
      <c r="D1660" s="104" t="s">
        <v>415</v>
      </c>
      <c r="E1660" s="103">
        <v>375</v>
      </c>
      <c r="F1660" s="102">
        <v>11</v>
      </c>
      <c r="G1660" s="208">
        <f t="shared" si="93"/>
        <v>7.4999999999999997E-2</v>
      </c>
      <c r="H1660" s="102">
        <v>15</v>
      </c>
      <c r="I1660" s="103">
        <f t="shared" si="90"/>
        <v>4125</v>
      </c>
      <c r="J1660" s="103">
        <f t="shared" si="91"/>
        <v>2749.9999999999995</v>
      </c>
    </row>
    <row r="1661" spans="1:10">
      <c r="A1661" s="102"/>
      <c r="B1661" s="102"/>
      <c r="C1661" s="103">
        <v>10000</v>
      </c>
      <c r="D1661" s="104" t="s">
        <v>963</v>
      </c>
      <c r="E1661" s="103">
        <v>375</v>
      </c>
      <c r="F1661" s="102">
        <v>10</v>
      </c>
      <c r="G1661" s="208">
        <f t="shared" si="93"/>
        <v>7.4999999999999997E-2</v>
      </c>
      <c r="H1661" s="102">
        <v>15</v>
      </c>
      <c r="I1661" s="103">
        <f t="shared" si="90"/>
        <v>3750</v>
      </c>
      <c r="J1661" s="103">
        <f t="shared" si="91"/>
        <v>2499.9999999999995</v>
      </c>
    </row>
    <row r="1662" spans="1:10">
      <c r="A1662" s="102"/>
      <c r="B1662" s="102"/>
      <c r="C1662" s="103">
        <v>10000</v>
      </c>
      <c r="D1662" s="104" t="s">
        <v>981</v>
      </c>
      <c r="E1662" s="103">
        <v>375</v>
      </c>
      <c r="F1662" s="102">
        <v>2</v>
      </c>
      <c r="G1662" s="208">
        <f t="shared" si="93"/>
        <v>7.4999999999999997E-2</v>
      </c>
      <c r="H1662" s="102">
        <v>15</v>
      </c>
      <c r="I1662" s="103">
        <f t="shared" si="90"/>
        <v>750</v>
      </c>
      <c r="J1662" s="103">
        <f t="shared" si="91"/>
        <v>499.99999999999994</v>
      </c>
    </row>
    <row r="1663" spans="1:10">
      <c r="A1663" s="102">
        <v>223</v>
      </c>
      <c r="B1663" s="102" t="s">
        <v>964</v>
      </c>
      <c r="C1663" s="103">
        <v>80000</v>
      </c>
      <c r="D1663" s="104" t="s">
        <v>1754</v>
      </c>
      <c r="E1663" s="103">
        <v>3000</v>
      </c>
      <c r="F1663" s="102">
        <v>22</v>
      </c>
      <c r="G1663" s="208">
        <f t="shared" si="93"/>
        <v>7.4999999999999997E-2</v>
      </c>
      <c r="H1663" s="102">
        <v>15</v>
      </c>
      <c r="I1663" s="103">
        <f t="shared" si="90"/>
        <v>66000</v>
      </c>
      <c r="J1663" s="103">
        <f t="shared" si="91"/>
        <v>43999.999999999993</v>
      </c>
    </row>
    <row r="1664" spans="1:10">
      <c r="A1664" s="102"/>
      <c r="B1664" s="102"/>
      <c r="C1664" s="103">
        <v>20000</v>
      </c>
      <c r="D1664" s="104" t="s">
        <v>3705</v>
      </c>
      <c r="E1664" s="103">
        <v>2300</v>
      </c>
      <c r="F1664" s="102">
        <v>10</v>
      </c>
      <c r="G1664" s="208">
        <v>0.06</v>
      </c>
      <c r="H1664" s="102" t="s">
        <v>664</v>
      </c>
      <c r="I1664" s="103">
        <f t="shared" si="90"/>
        <v>3000</v>
      </c>
      <c r="J1664" s="103">
        <f t="shared" si="91"/>
        <v>1749.9999999999995</v>
      </c>
    </row>
    <row r="1665" spans="1:10">
      <c r="A1665" s="102"/>
      <c r="B1665" s="102"/>
      <c r="C1665" s="103">
        <v>10000</v>
      </c>
      <c r="D1665" s="104" t="s">
        <v>1750</v>
      </c>
      <c r="E1665" s="103">
        <v>375</v>
      </c>
      <c r="F1665" s="102">
        <v>14</v>
      </c>
      <c r="G1665" s="208">
        <f>E1665/(C1665*H1665/30)</f>
        <v>7.4999999999999997E-2</v>
      </c>
      <c r="H1665" s="102">
        <v>15</v>
      </c>
      <c r="I1665" s="103">
        <f t="shared" si="90"/>
        <v>5250</v>
      </c>
      <c r="J1665" s="103">
        <f t="shared" si="91"/>
        <v>3499.9999999999995</v>
      </c>
    </row>
    <row r="1666" spans="1:10">
      <c r="A1666" s="102"/>
      <c r="B1666" s="102"/>
      <c r="C1666" s="103">
        <v>20000</v>
      </c>
      <c r="D1666" s="104" t="s">
        <v>3395</v>
      </c>
      <c r="E1666" s="103">
        <v>2300</v>
      </c>
      <c r="F1666" s="102">
        <v>10</v>
      </c>
      <c r="G1666" s="208">
        <v>0.06</v>
      </c>
      <c r="H1666" s="102" t="s">
        <v>664</v>
      </c>
      <c r="I1666" s="103">
        <f t="shared" si="90"/>
        <v>3000</v>
      </c>
      <c r="J1666" s="103">
        <f t="shared" si="91"/>
        <v>1749.9999999999995</v>
      </c>
    </row>
    <row r="1667" spans="1:10">
      <c r="A1667" s="102"/>
      <c r="B1667" s="102"/>
      <c r="C1667" s="103">
        <v>20000</v>
      </c>
      <c r="D1667" s="104" t="s">
        <v>974</v>
      </c>
      <c r="E1667" s="103">
        <v>2300</v>
      </c>
      <c r="F1667" s="102">
        <v>10</v>
      </c>
      <c r="G1667" s="208">
        <v>0.06</v>
      </c>
      <c r="H1667" s="102" t="s">
        <v>664</v>
      </c>
      <c r="I1667" s="103">
        <f t="shared" si="90"/>
        <v>3000</v>
      </c>
      <c r="J1667" s="103">
        <f t="shared" si="91"/>
        <v>1749.9999999999995</v>
      </c>
    </row>
    <row r="1668" spans="1:10">
      <c r="A1668" s="102"/>
      <c r="B1668" s="102"/>
      <c r="C1668" s="103">
        <v>20000</v>
      </c>
      <c r="D1668" s="104" t="s">
        <v>245</v>
      </c>
      <c r="E1668" s="103">
        <v>2300</v>
      </c>
      <c r="F1668" s="102">
        <v>10</v>
      </c>
      <c r="G1668" s="208">
        <v>0.06</v>
      </c>
      <c r="H1668" s="102" t="s">
        <v>664</v>
      </c>
      <c r="I1668" s="103">
        <f t="shared" si="90"/>
        <v>3000</v>
      </c>
      <c r="J1668" s="103">
        <f t="shared" si="91"/>
        <v>1749.9999999999995</v>
      </c>
    </row>
    <row r="1669" spans="1:10">
      <c r="A1669" s="102"/>
      <c r="B1669" s="102"/>
      <c r="C1669" s="103">
        <v>20000</v>
      </c>
      <c r="D1669" s="104" t="s">
        <v>274</v>
      </c>
      <c r="E1669" s="103">
        <v>2300</v>
      </c>
      <c r="F1669" s="102">
        <v>10</v>
      </c>
      <c r="G1669" s="208">
        <v>0.06</v>
      </c>
      <c r="H1669" s="102" t="s">
        <v>664</v>
      </c>
      <c r="I1669" s="103">
        <f t="shared" ref="I1669:I1732" si="94">IF(H1669="分期",C1669*G1669*2.5*F1669/10,C1669*G1669*H1669/30*F1669)</f>
        <v>3000</v>
      </c>
      <c r="J1669" s="103">
        <f t="shared" ref="J1669:J1732" si="95">IF(H1669="分期",C1669*(G1669-0.025)*2.5*F1669/10,C1669*(G1669-0.025)*H1669/30*F1669)</f>
        <v>1749.9999999999995</v>
      </c>
    </row>
    <row r="1670" spans="1:10">
      <c r="A1670" s="102"/>
      <c r="B1670" s="102"/>
      <c r="C1670" s="103">
        <v>20000</v>
      </c>
      <c r="D1670" s="104" t="s">
        <v>442</v>
      </c>
      <c r="E1670" s="103">
        <v>2300</v>
      </c>
      <c r="F1670" s="102">
        <v>5</v>
      </c>
      <c r="G1670" s="208">
        <v>0.06</v>
      </c>
      <c r="H1670" s="102" t="s">
        <v>664</v>
      </c>
      <c r="I1670" s="103">
        <f t="shared" si="94"/>
        <v>1500</v>
      </c>
      <c r="J1670" s="103">
        <f t="shared" si="95"/>
        <v>874.99999999999977</v>
      </c>
    </row>
    <row r="1671" spans="1:10">
      <c r="A1671" s="102"/>
      <c r="B1671" s="102"/>
      <c r="C1671" s="103">
        <v>10000</v>
      </c>
      <c r="D1671" s="114" t="s">
        <v>914</v>
      </c>
      <c r="E1671" s="103">
        <v>375</v>
      </c>
      <c r="F1671" s="102">
        <v>2</v>
      </c>
      <c r="G1671" s="208">
        <f>E1671/(C1671*H1671/30)</f>
        <v>7.4999999999999997E-2</v>
      </c>
      <c r="H1671" s="102">
        <v>15</v>
      </c>
      <c r="I1671" s="103">
        <f t="shared" si="94"/>
        <v>750</v>
      </c>
      <c r="J1671" s="103">
        <f t="shared" si="95"/>
        <v>499.99999999999994</v>
      </c>
    </row>
    <row r="1672" spans="1:10">
      <c r="A1672" s="102">
        <v>224</v>
      </c>
      <c r="B1672" s="102" t="s">
        <v>965</v>
      </c>
      <c r="C1672" s="103">
        <v>10000</v>
      </c>
      <c r="D1672" s="104" t="s">
        <v>1754</v>
      </c>
      <c r="E1672" s="103">
        <v>1150</v>
      </c>
      <c r="F1672" s="102">
        <v>10</v>
      </c>
      <c r="G1672" s="208">
        <v>0.06</v>
      </c>
      <c r="H1672" s="102" t="s">
        <v>664</v>
      </c>
      <c r="I1672" s="103">
        <f t="shared" si="94"/>
        <v>1500</v>
      </c>
      <c r="J1672" s="103">
        <f t="shared" si="95"/>
        <v>874.99999999999977</v>
      </c>
    </row>
    <row r="1673" spans="1:10">
      <c r="A1673" s="102"/>
      <c r="B1673" s="102"/>
      <c r="C1673" s="103">
        <v>20000</v>
      </c>
      <c r="D1673" s="114" t="s">
        <v>916</v>
      </c>
      <c r="E1673" s="103">
        <v>750</v>
      </c>
      <c r="F1673" s="102">
        <v>5</v>
      </c>
      <c r="G1673" s="208">
        <f>E1673/(C1673*H1673/30)</f>
        <v>7.4999999999999997E-2</v>
      </c>
      <c r="H1673" s="102">
        <v>15</v>
      </c>
      <c r="I1673" s="103">
        <f t="shared" si="94"/>
        <v>3750</v>
      </c>
      <c r="J1673" s="103">
        <f t="shared" si="95"/>
        <v>2499.9999999999995</v>
      </c>
    </row>
    <row r="1674" spans="1:10">
      <c r="A1674" s="102"/>
      <c r="B1674" s="102"/>
      <c r="C1674" s="103">
        <v>20000</v>
      </c>
      <c r="D1674" s="114" t="s">
        <v>915</v>
      </c>
      <c r="E1674" s="103">
        <v>750</v>
      </c>
      <c r="F1674" s="102">
        <v>5</v>
      </c>
      <c r="G1674" s="208">
        <f>E1674/(C1674*H1674/30)</f>
        <v>7.4999999999999997E-2</v>
      </c>
      <c r="H1674" s="102">
        <v>15</v>
      </c>
      <c r="I1674" s="103">
        <f t="shared" si="94"/>
        <v>3750</v>
      </c>
      <c r="J1674" s="103">
        <f t="shared" si="95"/>
        <v>2499.9999999999995</v>
      </c>
    </row>
    <row r="1675" spans="1:10">
      <c r="A1675" s="102"/>
      <c r="B1675" s="102"/>
      <c r="C1675" s="103">
        <v>9000</v>
      </c>
      <c r="D1675" s="114" t="s">
        <v>917</v>
      </c>
      <c r="E1675" s="103">
        <v>340</v>
      </c>
      <c r="F1675" s="102">
        <v>1</v>
      </c>
      <c r="G1675" s="208">
        <f>E1675/(C1675*H1675/30)</f>
        <v>7.5555555555555556E-2</v>
      </c>
      <c r="H1675" s="102">
        <v>15</v>
      </c>
      <c r="I1675" s="103">
        <f t="shared" si="94"/>
        <v>340</v>
      </c>
      <c r="J1675" s="103">
        <f t="shared" si="95"/>
        <v>227.5</v>
      </c>
    </row>
    <row r="1676" spans="1:10">
      <c r="A1676" s="102"/>
      <c r="B1676" s="102"/>
      <c r="C1676" s="103">
        <v>10000</v>
      </c>
      <c r="D1676" s="104" t="s">
        <v>419</v>
      </c>
      <c r="E1676" s="103">
        <v>1150</v>
      </c>
      <c r="F1676" s="102">
        <v>7</v>
      </c>
      <c r="G1676" s="208">
        <v>0.06</v>
      </c>
      <c r="H1676" s="102" t="s">
        <v>664</v>
      </c>
      <c r="I1676" s="103">
        <f t="shared" si="94"/>
        <v>1050</v>
      </c>
      <c r="J1676" s="103">
        <f t="shared" si="95"/>
        <v>612.49999999999989</v>
      </c>
    </row>
    <row r="1677" spans="1:10">
      <c r="A1677" s="102"/>
      <c r="B1677" s="102"/>
      <c r="C1677" s="103">
        <v>10000</v>
      </c>
      <c r="D1677" s="104" t="s">
        <v>1517</v>
      </c>
      <c r="E1677" s="103">
        <v>1150</v>
      </c>
      <c r="F1677" s="102">
        <v>10</v>
      </c>
      <c r="G1677" s="208">
        <v>0.06</v>
      </c>
      <c r="H1677" s="102" t="s">
        <v>664</v>
      </c>
      <c r="I1677" s="103">
        <f t="shared" si="94"/>
        <v>1500</v>
      </c>
      <c r="J1677" s="103">
        <f t="shared" si="95"/>
        <v>874.99999999999977</v>
      </c>
    </row>
    <row r="1678" spans="1:10">
      <c r="A1678" s="102"/>
      <c r="B1678" s="102"/>
      <c r="C1678" s="103">
        <v>10000</v>
      </c>
      <c r="D1678" s="114" t="s">
        <v>918</v>
      </c>
      <c r="E1678" s="103">
        <v>375</v>
      </c>
      <c r="F1678" s="102">
        <v>5</v>
      </c>
      <c r="G1678" s="208">
        <f t="shared" ref="G1678:G1690" si="96">E1678/(C1678*H1678/30)</f>
        <v>7.4999999999999997E-2</v>
      </c>
      <c r="H1678" s="102">
        <v>15</v>
      </c>
      <c r="I1678" s="103">
        <f t="shared" si="94"/>
        <v>1875</v>
      </c>
      <c r="J1678" s="103">
        <f t="shared" si="95"/>
        <v>1249.9999999999998</v>
      </c>
    </row>
    <row r="1679" spans="1:10">
      <c r="A1679" s="102"/>
      <c r="B1679" s="102"/>
      <c r="C1679" s="103">
        <v>20000</v>
      </c>
      <c r="D1679" s="114" t="s">
        <v>919</v>
      </c>
      <c r="E1679" s="103">
        <v>750</v>
      </c>
      <c r="F1679" s="102">
        <v>8</v>
      </c>
      <c r="G1679" s="208">
        <f t="shared" si="96"/>
        <v>7.4999999999999997E-2</v>
      </c>
      <c r="H1679" s="102">
        <v>15</v>
      </c>
      <c r="I1679" s="103">
        <f t="shared" si="94"/>
        <v>6000</v>
      </c>
      <c r="J1679" s="103">
        <f t="shared" si="95"/>
        <v>3999.9999999999995</v>
      </c>
    </row>
    <row r="1680" spans="1:10">
      <c r="A1680" s="102"/>
      <c r="B1680" s="102"/>
      <c r="C1680" s="103">
        <v>7000</v>
      </c>
      <c r="D1680" s="104" t="s">
        <v>493</v>
      </c>
      <c r="E1680" s="103">
        <v>265</v>
      </c>
      <c r="F1680" s="102">
        <v>4</v>
      </c>
      <c r="G1680" s="208">
        <f t="shared" si="96"/>
        <v>7.571428571428572E-2</v>
      </c>
      <c r="H1680" s="102">
        <v>15</v>
      </c>
      <c r="I1680" s="103">
        <f t="shared" si="94"/>
        <v>1060</v>
      </c>
      <c r="J1680" s="103">
        <f t="shared" si="95"/>
        <v>710.00000000000011</v>
      </c>
    </row>
    <row r="1681" spans="1:10">
      <c r="A1681" s="102"/>
      <c r="B1681" s="102"/>
      <c r="C1681" s="103">
        <v>20500</v>
      </c>
      <c r="D1681" s="104" t="s">
        <v>673</v>
      </c>
      <c r="E1681" s="103">
        <v>770</v>
      </c>
      <c r="F1681" s="102">
        <v>5</v>
      </c>
      <c r="G1681" s="208">
        <f t="shared" si="96"/>
        <v>7.5121951219512192E-2</v>
      </c>
      <c r="H1681" s="102">
        <v>15</v>
      </c>
      <c r="I1681" s="103">
        <f t="shared" si="94"/>
        <v>3850</v>
      </c>
      <c r="J1681" s="103">
        <f t="shared" si="95"/>
        <v>2568.75</v>
      </c>
    </row>
    <row r="1682" spans="1:10">
      <c r="A1682" s="102"/>
      <c r="B1682" s="102"/>
      <c r="C1682" s="103">
        <v>10750</v>
      </c>
      <c r="D1682" s="114" t="s">
        <v>920</v>
      </c>
      <c r="E1682" s="103">
        <v>405</v>
      </c>
      <c r="F1682" s="102">
        <v>5</v>
      </c>
      <c r="G1682" s="208">
        <f t="shared" si="96"/>
        <v>7.5348837209302327E-2</v>
      </c>
      <c r="H1682" s="102">
        <v>15</v>
      </c>
      <c r="I1682" s="103">
        <f t="shared" si="94"/>
        <v>2025</v>
      </c>
      <c r="J1682" s="103">
        <f t="shared" si="95"/>
        <v>1353.125</v>
      </c>
    </row>
    <row r="1683" spans="1:10">
      <c r="A1683" s="102"/>
      <c r="B1683" s="102"/>
      <c r="C1683" s="103">
        <v>10000</v>
      </c>
      <c r="D1683" s="114" t="s">
        <v>921</v>
      </c>
      <c r="E1683" s="103">
        <v>375</v>
      </c>
      <c r="F1683" s="102">
        <v>3</v>
      </c>
      <c r="G1683" s="208">
        <f t="shared" si="96"/>
        <v>7.4999999999999997E-2</v>
      </c>
      <c r="H1683" s="102">
        <v>15</v>
      </c>
      <c r="I1683" s="103">
        <f t="shared" si="94"/>
        <v>1125</v>
      </c>
      <c r="J1683" s="103">
        <f t="shared" si="95"/>
        <v>749.99999999999989</v>
      </c>
    </row>
    <row r="1684" spans="1:10">
      <c r="A1684" s="102"/>
      <c r="B1684" s="102"/>
      <c r="C1684" s="103">
        <v>7000</v>
      </c>
      <c r="D1684" s="104" t="s">
        <v>966</v>
      </c>
      <c r="E1684" s="103">
        <v>265</v>
      </c>
      <c r="F1684" s="102">
        <v>4</v>
      </c>
      <c r="G1684" s="208">
        <f t="shared" si="96"/>
        <v>7.571428571428572E-2</v>
      </c>
      <c r="H1684" s="102">
        <v>15</v>
      </c>
      <c r="I1684" s="103">
        <f t="shared" si="94"/>
        <v>1060</v>
      </c>
      <c r="J1684" s="103">
        <f t="shared" si="95"/>
        <v>710.00000000000011</v>
      </c>
    </row>
    <row r="1685" spans="1:10">
      <c r="A1685" s="102"/>
      <c r="B1685" s="102"/>
      <c r="C1685" s="103">
        <v>8500</v>
      </c>
      <c r="D1685" s="104" t="s">
        <v>987</v>
      </c>
      <c r="E1685" s="103">
        <v>320</v>
      </c>
      <c r="F1685" s="102">
        <v>4</v>
      </c>
      <c r="G1685" s="208">
        <f t="shared" si="96"/>
        <v>7.5294117647058817E-2</v>
      </c>
      <c r="H1685" s="102">
        <v>15</v>
      </c>
      <c r="I1685" s="103">
        <f t="shared" si="94"/>
        <v>1280</v>
      </c>
      <c r="J1685" s="103">
        <f t="shared" si="95"/>
        <v>854.99999999999989</v>
      </c>
    </row>
    <row r="1686" spans="1:10">
      <c r="A1686" s="102"/>
      <c r="B1686" s="102"/>
      <c r="C1686" s="103">
        <v>25000</v>
      </c>
      <c r="D1686" s="114" t="s">
        <v>922</v>
      </c>
      <c r="E1686" s="103">
        <v>940</v>
      </c>
      <c r="F1686" s="102">
        <v>3</v>
      </c>
      <c r="G1686" s="208">
        <f t="shared" si="96"/>
        <v>7.5200000000000003E-2</v>
      </c>
      <c r="H1686" s="102">
        <v>15</v>
      </c>
      <c r="I1686" s="103">
        <f t="shared" si="94"/>
        <v>2820</v>
      </c>
      <c r="J1686" s="103">
        <f t="shared" si="95"/>
        <v>1882.5</v>
      </c>
    </row>
    <row r="1687" spans="1:10">
      <c r="A1687" s="102"/>
      <c r="B1687" s="102"/>
      <c r="C1687" s="103">
        <v>10000</v>
      </c>
      <c r="D1687" s="114" t="s">
        <v>923</v>
      </c>
      <c r="E1687" s="103">
        <v>375</v>
      </c>
      <c r="F1687" s="102">
        <v>3</v>
      </c>
      <c r="G1687" s="208">
        <f t="shared" si="96"/>
        <v>7.4999999999999997E-2</v>
      </c>
      <c r="H1687" s="102">
        <v>15</v>
      </c>
      <c r="I1687" s="103">
        <f t="shared" si="94"/>
        <v>1125</v>
      </c>
      <c r="J1687" s="103">
        <f t="shared" si="95"/>
        <v>749.99999999999989</v>
      </c>
    </row>
    <row r="1688" spans="1:10">
      <c r="A1688" s="102"/>
      <c r="B1688" s="102"/>
      <c r="C1688" s="103">
        <v>7000</v>
      </c>
      <c r="D1688" s="104" t="s">
        <v>2323</v>
      </c>
      <c r="E1688" s="103">
        <v>265</v>
      </c>
      <c r="F1688" s="102">
        <v>2</v>
      </c>
      <c r="G1688" s="208">
        <f t="shared" si="96"/>
        <v>7.571428571428572E-2</v>
      </c>
      <c r="H1688" s="102">
        <v>15</v>
      </c>
      <c r="I1688" s="103">
        <f t="shared" si="94"/>
        <v>530</v>
      </c>
      <c r="J1688" s="103">
        <f t="shared" si="95"/>
        <v>355.00000000000006</v>
      </c>
    </row>
    <row r="1689" spans="1:10">
      <c r="A1689" s="102"/>
      <c r="B1689" s="102"/>
      <c r="C1689" s="103">
        <v>7000</v>
      </c>
      <c r="D1689" s="104" t="s">
        <v>246</v>
      </c>
      <c r="E1689" s="103">
        <v>265</v>
      </c>
      <c r="F1689" s="102">
        <v>2</v>
      </c>
      <c r="G1689" s="208">
        <f t="shared" si="96"/>
        <v>7.571428571428572E-2</v>
      </c>
      <c r="H1689" s="102">
        <v>15</v>
      </c>
      <c r="I1689" s="103">
        <f t="shared" si="94"/>
        <v>530</v>
      </c>
      <c r="J1689" s="103">
        <f t="shared" si="95"/>
        <v>355.00000000000006</v>
      </c>
    </row>
    <row r="1690" spans="1:10">
      <c r="A1690" s="102">
        <v>225</v>
      </c>
      <c r="B1690" s="102" t="s">
        <v>967</v>
      </c>
      <c r="C1690" s="103">
        <v>50000</v>
      </c>
      <c r="D1690" s="104" t="s">
        <v>3399</v>
      </c>
      <c r="E1690" s="103">
        <v>1875</v>
      </c>
      <c r="F1690" s="102">
        <v>7</v>
      </c>
      <c r="G1690" s="208">
        <f t="shared" si="96"/>
        <v>7.4999999999999997E-2</v>
      </c>
      <c r="H1690" s="102">
        <v>15</v>
      </c>
      <c r="I1690" s="103">
        <f t="shared" si="94"/>
        <v>13125</v>
      </c>
      <c r="J1690" s="103">
        <f t="shared" si="95"/>
        <v>8750</v>
      </c>
    </row>
    <row r="1691" spans="1:10">
      <c r="A1691" s="102">
        <v>226</v>
      </c>
      <c r="B1691" s="102" t="s">
        <v>968</v>
      </c>
      <c r="C1691" s="103">
        <v>20000</v>
      </c>
      <c r="D1691" s="104" t="s">
        <v>3399</v>
      </c>
      <c r="E1691" s="103">
        <v>2300</v>
      </c>
      <c r="F1691" s="102">
        <v>2</v>
      </c>
      <c r="G1691" s="208">
        <v>0.06</v>
      </c>
      <c r="H1691" s="102" t="s">
        <v>664</v>
      </c>
      <c r="I1691" s="103">
        <f t="shared" si="94"/>
        <v>600</v>
      </c>
      <c r="J1691" s="103">
        <f t="shared" si="95"/>
        <v>349.99999999999994</v>
      </c>
    </row>
    <row r="1692" spans="1:10">
      <c r="A1692" s="102"/>
      <c r="B1692" s="102"/>
      <c r="C1692" s="103">
        <v>10000</v>
      </c>
      <c r="D1692" s="104" t="s">
        <v>1710</v>
      </c>
      <c r="E1692" s="103">
        <v>375</v>
      </c>
      <c r="F1692" s="102">
        <v>5</v>
      </c>
      <c r="G1692" s="208">
        <v>7.4999999999999997E-2</v>
      </c>
      <c r="H1692" s="102">
        <v>15</v>
      </c>
      <c r="I1692" s="103">
        <f t="shared" si="94"/>
        <v>1875</v>
      </c>
      <c r="J1692" s="103">
        <f t="shared" si="95"/>
        <v>1249.9999999999998</v>
      </c>
    </row>
    <row r="1693" spans="1:10">
      <c r="A1693" s="102"/>
      <c r="B1693" s="102"/>
      <c r="C1693" s="103">
        <v>10000</v>
      </c>
      <c r="D1693" s="104" t="s">
        <v>231</v>
      </c>
      <c r="E1693" s="103">
        <v>1150</v>
      </c>
      <c r="F1693" s="102">
        <v>10</v>
      </c>
      <c r="G1693" s="208">
        <v>0.06</v>
      </c>
      <c r="H1693" s="102" t="s">
        <v>664</v>
      </c>
      <c r="I1693" s="103">
        <f t="shared" si="94"/>
        <v>1500</v>
      </c>
      <c r="J1693" s="103">
        <f t="shared" si="95"/>
        <v>874.99999999999977</v>
      </c>
    </row>
    <row r="1694" spans="1:10">
      <c r="A1694" s="102"/>
      <c r="B1694" s="102"/>
      <c r="C1694" s="103">
        <v>10000</v>
      </c>
      <c r="D1694" s="104" t="s">
        <v>1984</v>
      </c>
      <c r="E1694" s="103">
        <v>1150</v>
      </c>
      <c r="F1694" s="102">
        <v>10</v>
      </c>
      <c r="G1694" s="208">
        <v>0.06</v>
      </c>
      <c r="H1694" s="102" t="s">
        <v>664</v>
      </c>
      <c r="I1694" s="103">
        <f t="shared" si="94"/>
        <v>1500</v>
      </c>
      <c r="J1694" s="103">
        <f t="shared" si="95"/>
        <v>874.99999999999977</v>
      </c>
    </row>
    <row r="1695" spans="1:10">
      <c r="A1695" s="102"/>
      <c r="B1695" s="102"/>
      <c r="C1695" s="103">
        <v>10000</v>
      </c>
      <c r="D1695" s="104" t="s">
        <v>230</v>
      </c>
      <c r="E1695" s="103">
        <v>1150</v>
      </c>
      <c r="F1695" s="102">
        <v>2</v>
      </c>
      <c r="G1695" s="208">
        <v>0.06</v>
      </c>
      <c r="H1695" s="102" t="s">
        <v>664</v>
      </c>
      <c r="I1695" s="103">
        <f t="shared" si="94"/>
        <v>300</v>
      </c>
      <c r="J1695" s="103">
        <f t="shared" si="95"/>
        <v>174.99999999999997</v>
      </c>
    </row>
    <row r="1696" spans="1:10">
      <c r="A1696" s="102">
        <v>227</v>
      </c>
      <c r="B1696" s="102" t="s">
        <v>969</v>
      </c>
      <c r="C1696" s="103">
        <v>70000</v>
      </c>
      <c r="D1696" s="114" t="s">
        <v>55</v>
      </c>
      <c r="E1696" s="103">
        <v>2625</v>
      </c>
      <c r="F1696" s="102">
        <v>4</v>
      </c>
      <c r="G1696" s="208">
        <v>7.4999999999999997E-2</v>
      </c>
      <c r="H1696" s="102">
        <v>15</v>
      </c>
      <c r="I1696" s="103">
        <f t="shared" si="94"/>
        <v>10500</v>
      </c>
      <c r="J1696" s="103">
        <f t="shared" si="95"/>
        <v>6999.9999999999991</v>
      </c>
    </row>
    <row r="1697" spans="1:10">
      <c r="A1697" s="102"/>
      <c r="B1697" s="102"/>
      <c r="C1697" s="103">
        <v>60000</v>
      </c>
      <c r="D1697" s="114" t="s">
        <v>55</v>
      </c>
      <c r="E1697" s="103">
        <v>2250</v>
      </c>
      <c r="F1697" s="102">
        <v>12</v>
      </c>
      <c r="G1697" s="208">
        <v>7.4999999999999997E-2</v>
      </c>
      <c r="H1697" s="102">
        <v>15</v>
      </c>
      <c r="I1697" s="103">
        <f t="shared" si="94"/>
        <v>27000</v>
      </c>
      <c r="J1697" s="103">
        <f t="shared" si="95"/>
        <v>17999.999999999996</v>
      </c>
    </row>
    <row r="1698" spans="1:10">
      <c r="A1698" s="102"/>
      <c r="B1698" s="102"/>
      <c r="C1698" s="103">
        <v>30000</v>
      </c>
      <c r="D1698" s="104" t="s">
        <v>500</v>
      </c>
      <c r="E1698" s="103">
        <v>1125</v>
      </c>
      <c r="F1698" s="102">
        <v>2</v>
      </c>
      <c r="G1698" s="208">
        <v>7.4999999999999997E-2</v>
      </c>
      <c r="H1698" s="102">
        <v>15</v>
      </c>
      <c r="I1698" s="103">
        <f t="shared" si="94"/>
        <v>2250</v>
      </c>
      <c r="J1698" s="103">
        <f t="shared" si="95"/>
        <v>1499.9999999999998</v>
      </c>
    </row>
    <row r="1699" spans="1:10">
      <c r="A1699" s="102"/>
      <c r="B1699" s="102"/>
      <c r="C1699" s="103">
        <v>20000</v>
      </c>
      <c r="D1699" s="104" t="s">
        <v>500</v>
      </c>
      <c r="E1699" s="103">
        <v>750</v>
      </c>
      <c r="F1699" s="102">
        <v>13</v>
      </c>
      <c r="G1699" s="208">
        <v>7.4999999999999997E-2</v>
      </c>
      <c r="H1699" s="102">
        <v>15</v>
      </c>
      <c r="I1699" s="103">
        <f t="shared" si="94"/>
        <v>9750</v>
      </c>
      <c r="J1699" s="103">
        <f t="shared" si="95"/>
        <v>6499.9999999999991</v>
      </c>
    </row>
    <row r="1700" spans="1:10">
      <c r="A1700" s="102"/>
      <c r="B1700" s="102"/>
      <c r="C1700" s="103">
        <v>30000</v>
      </c>
      <c r="D1700" s="104" t="s">
        <v>1977</v>
      </c>
      <c r="E1700" s="103">
        <v>2250</v>
      </c>
      <c r="F1700" s="102">
        <v>8</v>
      </c>
      <c r="G1700" s="208">
        <v>7.4999999999999997E-2</v>
      </c>
      <c r="H1700" s="102">
        <v>30</v>
      </c>
      <c r="I1700" s="103">
        <f t="shared" si="94"/>
        <v>18000</v>
      </c>
      <c r="J1700" s="103">
        <f t="shared" si="95"/>
        <v>11999.999999999998</v>
      </c>
    </row>
    <row r="1701" spans="1:10">
      <c r="A1701" s="102"/>
      <c r="B1701" s="102"/>
      <c r="C1701" s="103">
        <v>25870</v>
      </c>
      <c r="D1701" s="114" t="s">
        <v>924</v>
      </c>
      <c r="E1701" s="103">
        <v>970</v>
      </c>
      <c r="F1701" s="102">
        <v>4</v>
      </c>
      <c r="G1701" s="208">
        <v>7.4999999999999997E-2</v>
      </c>
      <c r="H1701" s="102">
        <v>15</v>
      </c>
      <c r="I1701" s="103">
        <f t="shared" si="94"/>
        <v>3880.5</v>
      </c>
      <c r="J1701" s="103">
        <f t="shared" si="95"/>
        <v>2587</v>
      </c>
    </row>
    <row r="1702" spans="1:10">
      <c r="A1702" s="102"/>
      <c r="B1702" s="102"/>
      <c r="C1702" s="103">
        <v>30000</v>
      </c>
      <c r="D1702" s="104" t="s">
        <v>1710</v>
      </c>
      <c r="E1702" s="103">
        <v>1125</v>
      </c>
      <c r="F1702" s="102">
        <v>12</v>
      </c>
      <c r="G1702" s="208">
        <v>7.4999999999999997E-2</v>
      </c>
      <c r="H1702" s="102">
        <v>15</v>
      </c>
      <c r="I1702" s="103">
        <f t="shared" si="94"/>
        <v>13500</v>
      </c>
      <c r="J1702" s="103">
        <f t="shared" si="95"/>
        <v>8999.9999999999982</v>
      </c>
    </row>
    <row r="1703" spans="1:10">
      <c r="A1703" s="102">
        <v>228</v>
      </c>
      <c r="B1703" s="102" t="s">
        <v>971</v>
      </c>
      <c r="C1703" s="103">
        <v>120000</v>
      </c>
      <c r="D1703" s="104" t="s">
        <v>2334</v>
      </c>
      <c r="E1703" s="103">
        <v>4500</v>
      </c>
      <c r="F1703" s="102">
        <v>2</v>
      </c>
      <c r="G1703" s="208">
        <v>7.4999999999999997E-2</v>
      </c>
      <c r="H1703" s="102">
        <v>15</v>
      </c>
      <c r="I1703" s="103">
        <f t="shared" si="94"/>
        <v>9000</v>
      </c>
      <c r="J1703" s="103">
        <f t="shared" si="95"/>
        <v>5999.9999999999991</v>
      </c>
    </row>
    <row r="1704" spans="1:10">
      <c r="A1704" s="102"/>
      <c r="B1704" s="102"/>
      <c r="C1704" s="103">
        <v>100000</v>
      </c>
      <c r="D1704" s="104" t="s">
        <v>2334</v>
      </c>
      <c r="E1704" s="103">
        <v>3750</v>
      </c>
      <c r="F1704" s="102">
        <v>2</v>
      </c>
      <c r="G1704" s="208">
        <v>7.4999999999999997E-2</v>
      </c>
      <c r="H1704" s="102">
        <v>15</v>
      </c>
      <c r="I1704" s="103">
        <f t="shared" si="94"/>
        <v>7500</v>
      </c>
      <c r="J1704" s="103">
        <f t="shared" si="95"/>
        <v>5000</v>
      </c>
    </row>
    <row r="1705" spans="1:10">
      <c r="A1705" s="102"/>
      <c r="B1705" s="102"/>
      <c r="C1705" s="103">
        <v>90000</v>
      </c>
      <c r="D1705" s="104" t="s">
        <v>2334</v>
      </c>
      <c r="E1705" s="103">
        <v>3375</v>
      </c>
      <c r="F1705" s="102">
        <v>2</v>
      </c>
      <c r="G1705" s="208">
        <v>7.4999999999999997E-2</v>
      </c>
      <c r="H1705" s="102">
        <v>15</v>
      </c>
      <c r="I1705" s="103">
        <f t="shared" si="94"/>
        <v>6750</v>
      </c>
      <c r="J1705" s="103">
        <f t="shared" si="95"/>
        <v>4500</v>
      </c>
    </row>
    <row r="1706" spans="1:10">
      <c r="A1706" s="102"/>
      <c r="B1706" s="102"/>
      <c r="C1706" s="103">
        <v>70000</v>
      </c>
      <c r="D1706" s="104" t="s">
        <v>2334</v>
      </c>
      <c r="E1706" s="103">
        <v>2625</v>
      </c>
      <c r="F1706" s="102">
        <v>5</v>
      </c>
      <c r="G1706" s="208">
        <v>7.4999999999999997E-2</v>
      </c>
      <c r="H1706" s="102">
        <v>15</v>
      </c>
      <c r="I1706" s="103">
        <f t="shared" si="94"/>
        <v>13125</v>
      </c>
      <c r="J1706" s="103">
        <f t="shared" si="95"/>
        <v>8749.9999999999982</v>
      </c>
    </row>
    <row r="1707" spans="1:10">
      <c r="A1707" s="102"/>
      <c r="B1707" s="102"/>
      <c r="C1707" s="103">
        <v>60000</v>
      </c>
      <c r="D1707" s="104" t="s">
        <v>2334</v>
      </c>
      <c r="E1707" s="103">
        <v>2250</v>
      </c>
      <c r="F1707" s="102">
        <v>21</v>
      </c>
      <c r="G1707" s="208">
        <v>4.1000000000000002E-2</v>
      </c>
      <c r="H1707" s="102">
        <v>15</v>
      </c>
      <c r="I1707" s="103">
        <f t="shared" si="94"/>
        <v>25830</v>
      </c>
      <c r="J1707" s="103">
        <f t="shared" si="95"/>
        <v>10080</v>
      </c>
    </row>
    <row r="1708" spans="1:10">
      <c r="A1708" s="102"/>
      <c r="B1708" s="102"/>
      <c r="C1708" s="103">
        <v>15000</v>
      </c>
      <c r="D1708" s="104" t="s">
        <v>1975</v>
      </c>
      <c r="E1708" s="103">
        <v>1125</v>
      </c>
      <c r="F1708" s="102">
        <v>1</v>
      </c>
      <c r="G1708" s="208">
        <v>7.4999999999999997E-2</v>
      </c>
      <c r="H1708" s="102">
        <v>30</v>
      </c>
      <c r="I1708" s="103">
        <f t="shared" si="94"/>
        <v>1125</v>
      </c>
      <c r="J1708" s="103">
        <f t="shared" si="95"/>
        <v>749.99999999999989</v>
      </c>
    </row>
    <row r="1709" spans="1:10">
      <c r="A1709" s="102"/>
      <c r="B1709" s="102"/>
      <c r="C1709" s="103">
        <v>10000</v>
      </c>
      <c r="D1709" s="104" t="s">
        <v>1975</v>
      </c>
      <c r="E1709" s="103">
        <v>750</v>
      </c>
      <c r="F1709" s="102">
        <v>1</v>
      </c>
      <c r="G1709" s="208">
        <v>7.4999999999999997E-2</v>
      </c>
      <c r="H1709" s="102">
        <v>30</v>
      </c>
      <c r="I1709" s="103">
        <f t="shared" si="94"/>
        <v>750</v>
      </c>
      <c r="J1709" s="103">
        <f t="shared" si="95"/>
        <v>499.99999999999994</v>
      </c>
    </row>
    <row r="1710" spans="1:10">
      <c r="A1710" s="102"/>
      <c r="B1710" s="102"/>
      <c r="C1710" s="103">
        <v>15000</v>
      </c>
      <c r="D1710" s="104" t="s">
        <v>649</v>
      </c>
      <c r="E1710" s="103">
        <v>565</v>
      </c>
      <c r="F1710" s="102">
        <v>16</v>
      </c>
      <c r="G1710" s="208">
        <v>7.4999999999999997E-2</v>
      </c>
      <c r="H1710" s="102">
        <v>15</v>
      </c>
      <c r="I1710" s="103">
        <f t="shared" si="94"/>
        <v>9000</v>
      </c>
      <c r="J1710" s="103">
        <f t="shared" si="95"/>
        <v>5999.9999999999991</v>
      </c>
    </row>
    <row r="1711" spans="1:10">
      <c r="A1711" s="102"/>
      <c r="B1711" s="102"/>
      <c r="C1711" s="103">
        <v>20000</v>
      </c>
      <c r="D1711" s="104" t="s">
        <v>1705</v>
      </c>
      <c r="E1711" s="103">
        <v>750</v>
      </c>
      <c r="F1711" s="102">
        <v>3</v>
      </c>
      <c r="G1711" s="208">
        <v>7.4999999999999997E-2</v>
      </c>
      <c r="H1711" s="102">
        <v>15</v>
      </c>
      <c r="I1711" s="103">
        <f t="shared" si="94"/>
        <v>2250</v>
      </c>
      <c r="J1711" s="103">
        <f t="shared" si="95"/>
        <v>1499.9999999999998</v>
      </c>
    </row>
    <row r="1712" spans="1:10">
      <c r="A1712" s="102"/>
      <c r="B1712" s="102"/>
      <c r="C1712" s="103">
        <v>20000</v>
      </c>
      <c r="D1712" s="104" t="s">
        <v>652</v>
      </c>
      <c r="E1712" s="103">
        <v>750</v>
      </c>
      <c r="F1712" s="102">
        <v>13</v>
      </c>
      <c r="G1712" s="208">
        <v>7.4999999999999997E-2</v>
      </c>
      <c r="H1712" s="102">
        <v>15</v>
      </c>
      <c r="I1712" s="103">
        <f t="shared" si="94"/>
        <v>9750</v>
      </c>
      <c r="J1712" s="103">
        <f t="shared" si="95"/>
        <v>6499.9999999999991</v>
      </c>
    </row>
    <row r="1713" spans="1:10">
      <c r="A1713" s="102"/>
      <c r="B1713" s="102"/>
      <c r="C1713" s="103">
        <v>30000</v>
      </c>
      <c r="D1713" s="104" t="s">
        <v>230</v>
      </c>
      <c r="E1713" s="103">
        <v>1125</v>
      </c>
      <c r="F1713" s="102">
        <v>10</v>
      </c>
      <c r="G1713" s="208">
        <v>7.4999999999999997E-2</v>
      </c>
      <c r="H1713" s="102">
        <v>15</v>
      </c>
      <c r="I1713" s="103">
        <f t="shared" si="94"/>
        <v>11250</v>
      </c>
      <c r="J1713" s="103">
        <f t="shared" si="95"/>
        <v>7499.9999999999991</v>
      </c>
    </row>
    <row r="1714" spans="1:10">
      <c r="A1714" s="102"/>
      <c r="B1714" s="102"/>
      <c r="C1714" s="103">
        <v>40000</v>
      </c>
      <c r="D1714" s="104" t="s">
        <v>1684</v>
      </c>
      <c r="E1714" s="103">
        <v>1500</v>
      </c>
      <c r="F1714" s="102">
        <v>24</v>
      </c>
      <c r="G1714" s="208">
        <v>7.4999999999999997E-2</v>
      </c>
      <c r="H1714" s="102">
        <v>15</v>
      </c>
      <c r="I1714" s="103">
        <f t="shared" si="94"/>
        <v>36000</v>
      </c>
      <c r="J1714" s="103">
        <f t="shared" si="95"/>
        <v>23999.999999999996</v>
      </c>
    </row>
    <row r="1715" spans="1:10">
      <c r="A1715" s="102"/>
      <c r="B1715" s="102"/>
      <c r="C1715" s="103">
        <v>10000</v>
      </c>
      <c r="D1715" s="104" t="s">
        <v>973</v>
      </c>
      <c r="E1715" s="103">
        <v>375</v>
      </c>
      <c r="F1715" s="102">
        <v>2</v>
      </c>
      <c r="G1715" s="208">
        <v>7.4999999999999997E-2</v>
      </c>
      <c r="H1715" s="102">
        <v>15</v>
      </c>
      <c r="I1715" s="103">
        <f t="shared" si="94"/>
        <v>750</v>
      </c>
      <c r="J1715" s="103">
        <f t="shared" si="95"/>
        <v>499.99999999999994</v>
      </c>
    </row>
    <row r="1716" spans="1:10">
      <c r="A1716" s="102"/>
      <c r="B1716" s="102"/>
      <c r="C1716" s="103">
        <v>20000</v>
      </c>
      <c r="D1716" s="104" t="s">
        <v>960</v>
      </c>
      <c r="E1716" s="103">
        <v>750</v>
      </c>
      <c r="F1716" s="102">
        <v>6</v>
      </c>
      <c r="G1716" s="208">
        <v>7.4999999999999997E-2</v>
      </c>
      <c r="H1716" s="102">
        <v>15</v>
      </c>
      <c r="I1716" s="103">
        <f t="shared" si="94"/>
        <v>4500</v>
      </c>
      <c r="J1716" s="103">
        <f t="shared" si="95"/>
        <v>2999.9999999999995</v>
      </c>
    </row>
    <row r="1717" spans="1:10">
      <c r="A1717" s="102"/>
      <c r="B1717" s="102"/>
      <c r="C1717" s="103">
        <v>10000</v>
      </c>
      <c r="D1717" s="104" t="s">
        <v>2135</v>
      </c>
      <c r="E1717" s="103">
        <v>375</v>
      </c>
      <c r="F1717" s="102">
        <v>16</v>
      </c>
      <c r="G1717" s="208">
        <v>7.4999999999999997E-2</v>
      </c>
      <c r="H1717" s="102">
        <v>15</v>
      </c>
      <c r="I1717" s="103">
        <f t="shared" si="94"/>
        <v>6000</v>
      </c>
      <c r="J1717" s="103">
        <f t="shared" si="95"/>
        <v>3999.9999999999995</v>
      </c>
    </row>
    <row r="1718" spans="1:10">
      <c r="A1718" s="102"/>
      <c r="B1718" s="102"/>
      <c r="C1718" s="103">
        <v>10000</v>
      </c>
      <c r="D1718" s="104" t="s">
        <v>680</v>
      </c>
      <c r="E1718" s="103">
        <v>375</v>
      </c>
      <c r="F1718" s="102">
        <v>4</v>
      </c>
      <c r="G1718" s="208">
        <v>7.4999999999999997E-2</v>
      </c>
      <c r="H1718" s="102">
        <v>15</v>
      </c>
      <c r="I1718" s="103">
        <f t="shared" si="94"/>
        <v>1500</v>
      </c>
      <c r="J1718" s="103">
        <f t="shared" si="95"/>
        <v>999.99999999999989</v>
      </c>
    </row>
    <row r="1719" spans="1:10">
      <c r="A1719" s="102"/>
      <c r="B1719" s="102"/>
      <c r="C1719" s="103">
        <v>10000</v>
      </c>
      <c r="D1719" s="104" t="s">
        <v>667</v>
      </c>
      <c r="E1719" s="103">
        <v>375</v>
      </c>
      <c r="F1719" s="102">
        <v>1</v>
      </c>
      <c r="G1719" s="208">
        <v>7.4999999999999997E-2</v>
      </c>
      <c r="H1719" s="102">
        <v>15</v>
      </c>
      <c r="I1719" s="103">
        <f t="shared" si="94"/>
        <v>375</v>
      </c>
      <c r="J1719" s="103">
        <f t="shared" si="95"/>
        <v>249.99999999999997</v>
      </c>
    </row>
    <row r="1720" spans="1:10">
      <c r="A1720" s="102"/>
      <c r="B1720" s="102"/>
      <c r="C1720" s="103">
        <v>10000</v>
      </c>
      <c r="D1720" s="104" t="s">
        <v>274</v>
      </c>
      <c r="E1720" s="103">
        <v>375</v>
      </c>
      <c r="F1720" s="102">
        <v>2</v>
      </c>
      <c r="G1720" s="208">
        <v>7.4999999999999997E-2</v>
      </c>
      <c r="H1720" s="102">
        <v>15</v>
      </c>
      <c r="I1720" s="103">
        <f t="shared" si="94"/>
        <v>750</v>
      </c>
      <c r="J1720" s="103">
        <f t="shared" si="95"/>
        <v>499.99999999999994</v>
      </c>
    </row>
    <row r="1721" spans="1:10">
      <c r="A1721" s="102"/>
      <c r="B1721" s="102"/>
      <c r="C1721" s="103">
        <v>10000</v>
      </c>
      <c r="D1721" s="104" t="s">
        <v>238</v>
      </c>
      <c r="E1721" s="103">
        <v>375</v>
      </c>
      <c r="F1721" s="102">
        <v>8</v>
      </c>
      <c r="G1721" s="208">
        <v>7.4999999999999997E-2</v>
      </c>
      <c r="H1721" s="102">
        <v>15</v>
      </c>
      <c r="I1721" s="103">
        <f t="shared" si="94"/>
        <v>3000</v>
      </c>
      <c r="J1721" s="103">
        <f t="shared" si="95"/>
        <v>1999.9999999999998</v>
      </c>
    </row>
    <row r="1722" spans="1:10">
      <c r="A1722" s="102"/>
      <c r="B1722" s="102"/>
      <c r="C1722" s="103">
        <v>30000</v>
      </c>
      <c r="D1722" s="104" t="s">
        <v>1382</v>
      </c>
      <c r="E1722" s="103">
        <v>1125</v>
      </c>
      <c r="F1722" s="102">
        <v>7</v>
      </c>
      <c r="G1722" s="208">
        <v>7.4999999999999997E-2</v>
      </c>
      <c r="H1722" s="102">
        <v>15</v>
      </c>
      <c r="I1722" s="103">
        <f t="shared" si="94"/>
        <v>7875</v>
      </c>
      <c r="J1722" s="103">
        <f t="shared" si="95"/>
        <v>5249.9999999999991</v>
      </c>
    </row>
    <row r="1723" spans="1:10">
      <c r="A1723" s="102"/>
      <c r="B1723" s="102"/>
      <c r="C1723" s="103">
        <v>20000</v>
      </c>
      <c r="D1723" s="104" t="s">
        <v>1382</v>
      </c>
      <c r="E1723" s="103">
        <v>750</v>
      </c>
      <c r="F1723" s="102">
        <v>11</v>
      </c>
      <c r="G1723" s="208">
        <v>7.4999999999999997E-2</v>
      </c>
      <c r="H1723" s="102">
        <v>15</v>
      </c>
      <c r="I1723" s="103">
        <f t="shared" si="94"/>
        <v>8250</v>
      </c>
      <c r="J1723" s="103">
        <f t="shared" si="95"/>
        <v>5499.9999999999991</v>
      </c>
    </row>
    <row r="1724" spans="1:10">
      <c r="A1724" s="102"/>
      <c r="B1724" s="102"/>
      <c r="C1724" s="103">
        <v>10000</v>
      </c>
      <c r="D1724" s="104" t="s">
        <v>236</v>
      </c>
      <c r="E1724" s="103">
        <v>375</v>
      </c>
      <c r="F1724" s="102">
        <v>7</v>
      </c>
      <c r="G1724" s="208">
        <v>7.4999999999999997E-2</v>
      </c>
      <c r="H1724" s="102">
        <v>15</v>
      </c>
      <c r="I1724" s="103">
        <f t="shared" si="94"/>
        <v>2625</v>
      </c>
      <c r="J1724" s="103">
        <f t="shared" si="95"/>
        <v>1749.9999999999998</v>
      </c>
    </row>
    <row r="1725" spans="1:10">
      <c r="A1725" s="102"/>
      <c r="B1725" s="102"/>
      <c r="C1725" s="103">
        <v>30000</v>
      </c>
      <c r="D1725" s="104" t="s">
        <v>688</v>
      </c>
      <c r="E1725" s="103">
        <v>1125</v>
      </c>
      <c r="F1725" s="102">
        <v>15</v>
      </c>
      <c r="G1725" s="208">
        <v>7.4999999999999997E-2</v>
      </c>
      <c r="H1725" s="102">
        <v>15</v>
      </c>
      <c r="I1725" s="103">
        <f t="shared" si="94"/>
        <v>16875</v>
      </c>
      <c r="J1725" s="103">
        <f t="shared" si="95"/>
        <v>11249.999999999998</v>
      </c>
    </row>
    <row r="1726" spans="1:10">
      <c r="A1726" s="102"/>
      <c r="B1726" s="102"/>
      <c r="C1726" s="103">
        <v>20000</v>
      </c>
      <c r="D1726" s="104" t="s">
        <v>688</v>
      </c>
      <c r="E1726" s="103">
        <v>750</v>
      </c>
      <c r="F1726" s="102">
        <v>15</v>
      </c>
      <c r="G1726" s="208">
        <v>7.4999999999999997E-2</v>
      </c>
      <c r="H1726" s="102">
        <v>15</v>
      </c>
      <c r="I1726" s="103">
        <f t="shared" si="94"/>
        <v>11250</v>
      </c>
      <c r="J1726" s="103">
        <f t="shared" si="95"/>
        <v>7499.9999999999991</v>
      </c>
    </row>
    <row r="1727" spans="1:10">
      <c r="A1727" s="102"/>
      <c r="B1727" s="102"/>
      <c r="C1727" s="103">
        <v>20000</v>
      </c>
      <c r="D1727" s="114" t="s">
        <v>925</v>
      </c>
      <c r="E1727" s="103">
        <v>750</v>
      </c>
      <c r="F1727" s="102">
        <v>9</v>
      </c>
      <c r="G1727" s="208">
        <v>7.4999999999999997E-2</v>
      </c>
      <c r="H1727" s="102">
        <v>15</v>
      </c>
      <c r="I1727" s="103">
        <f t="shared" si="94"/>
        <v>6750</v>
      </c>
      <c r="J1727" s="103">
        <f t="shared" si="95"/>
        <v>4499.9999999999991</v>
      </c>
    </row>
    <row r="1728" spans="1:10">
      <c r="A1728" s="102">
        <v>229</v>
      </c>
      <c r="B1728" s="102" t="s">
        <v>1384</v>
      </c>
      <c r="C1728" s="103">
        <v>10000</v>
      </c>
      <c r="D1728" s="114" t="s">
        <v>97</v>
      </c>
      <c r="E1728" s="103">
        <v>1150</v>
      </c>
      <c r="F1728" s="102">
        <v>2</v>
      </c>
      <c r="G1728" s="208">
        <v>0.06</v>
      </c>
      <c r="H1728" s="102" t="s">
        <v>664</v>
      </c>
      <c r="I1728" s="103">
        <f t="shared" si="94"/>
        <v>300</v>
      </c>
      <c r="J1728" s="103">
        <f t="shared" si="95"/>
        <v>174.99999999999997</v>
      </c>
    </row>
    <row r="1729" spans="1:10">
      <c r="A1729" s="102"/>
      <c r="B1729" s="102"/>
      <c r="C1729" s="103">
        <v>20000</v>
      </c>
      <c r="D1729" s="104" t="s">
        <v>2334</v>
      </c>
      <c r="E1729" s="103">
        <v>750</v>
      </c>
      <c r="F1729" s="102">
        <v>1</v>
      </c>
      <c r="G1729" s="208">
        <v>7.4999999999999997E-2</v>
      </c>
      <c r="H1729" s="102">
        <v>15</v>
      </c>
      <c r="I1729" s="103">
        <f t="shared" si="94"/>
        <v>750</v>
      </c>
      <c r="J1729" s="103">
        <f t="shared" si="95"/>
        <v>499.99999999999994</v>
      </c>
    </row>
    <row r="1730" spans="1:10">
      <c r="A1730" s="102">
        <v>230</v>
      </c>
      <c r="B1730" s="102" t="s">
        <v>1385</v>
      </c>
      <c r="C1730" s="103">
        <v>10000</v>
      </c>
      <c r="D1730" s="104" t="s">
        <v>1386</v>
      </c>
      <c r="E1730" s="103">
        <v>375</v>
      </c>
      <c r="F1730" s="102">
        <v>1</v>
      </c>
      <c r="G1730" s="208">
        <v>7.4999999999999997E-2</v>
      </c>
      <c r="H1730" s="102">
        <v>15</v>
      </c>
      <c r="I1730" s="103">
        <f t="shared" si="94"/>
        <v>375</v>
      </c>
      <c r="J1730" s="103">
        <f t="shared" si="95"/>
        <v>249.99999999999997</v>
      </c>
    </row>
    <row r="1731" spans="1:10">
      <c r="A1731" s="102"/>
      <c r="B1731" s="102"/>
      <c r="C1731" s="103">
        <v>10000</v>
      </c>
      <c r="D1731" s="104" t="s">
        <v>671</v>
      </c>
      <c r="E1731" s="103">
        <v>375</v>
      </c>
      <c r="F1731" s="102">
        <v>3</v>
      </c>
      <c r="G1731" s="208">
        <v>7.4999999999999997E-2</v>
      </c>
      <c r="H1731" s="102">
        <v>15</v>
      </c>
      <c r="I1731" s="103">
        <f t="shared" si="94"/>
        <v>1125</v>
      </c>
      <c r="J1731" s="103">
        <f t="shared" si="95"/>
        <v>749.99999999999989</v>
      </c>
    </row>
    <row r="1732" spans="1:10">
      <c r="A1732" s="102"/>
      <c r="B1732" s="102"/>
      <c r="C1732" s="103">
        <v>20000</v>
      </c>
      <c r="D1732" s="104" t="s">
        <v>577</v>
      </c>
      <c r="E1732" s="103">
        <v>750</v>
      </c>
      <c r="F1732" s="102">
        <v>2</v>
      </c>
      <c r="G1732" s="208">
        <v>7.4999999999999997E-2</v>
      </c>
      <c r="H1732" s="102">
        <v>15</v>
      </c>
      <c r="I1732" s="103">
        <f t="shared" si="94"/>
        <v>1500</v>
      </c>
      <c r="J1732" s="103">
        <f t="shared" si="95"/>
        <v>999.99999999999989</v>
      </c>
    </row>
    <row r="1733" spans="1:10">
      <c r="A1733" s="102"/>
      <c r="B1733" s="102"/>
      <c r="C1733" s="103">
        <v>20000</v>
      </c>
      <c r="D1733" s="104" t="s">
        <v>3705</v>
      </c>
      <c r="E1733" s="103">
        <v>750</v>
      </c>
      <c r="F1733" s="102">
        <v>1</v>
      </c>
      <c r="G1733" s="208">
        <v>7.4999999999999997E-2</v>
      </c>
      <c r="H1733" s="102">
        <v>15</v>
      </c>
      <c r="I1733" s="103">
        <f t="shared" ref="I1733:I1796" si="97">IF(H1733="分期",C1733*G1733*2.5*F1733/10,C1733*G1733*H1733/30*F1733)</f>
        <v>750</v>
      </c>
      <c r="J1733" s="103">
        <f t="shared" ref="J1733:J1796" si="98">IF(H1733="分期",C1733*(G1733-0.025)*2.5*F1733/10,C1733*(G1733-0.025)*H1733/30*F1733)</f>
        <v>499.99999999999994</v>
      </c>
    </row>
    <row r="1734" spans="1:10">
      <c r="A1734" s="102"/>
      <c r="B1734" s="102"/>
      <c r="C1734" s="103">
        <v>477500</v>
      </c>
      <c r="D1734" s="114" t="s">
        <v>926</v>
      </c>
      <c r="E1734" s="103">
        <v>17910</v>
      </c>
      <c r="F1734" s="102">
        <v>8</v>
      </c>
      <c r="G1734" s="208">
        <v>7.4999999999999997E-2</v>
      </c>
      <c r="H1734" s="102">
        <v>15</v>
      </c>
      <c r="I1734" s="103">
        <f t="shared" si="97"/>
        <v>143250</v>
      </c>
      <c r="J1734" s="103">
        <f t="shared" si="98"/>
        <v>95499.999999999985</v>
      </c>
    </row>
    <row r="1735" spans="1:10">
      <c r="A1735" s="102">
        <v>231</v>
      </c>
      <c r="B1735" s="102" t="s">
        <v>1388</v>
      </c>
      <c r="C1735" s="103">
        <v>20000</v>
      </c>
      <c r="D1735" s="104" t="s">
        <v>1386</v>
      </c>
      <c r="E1735" s="103">
        <v>750</v>
      </c>
      <c r="F1735" s="102">
        <v>3</v>
      </c>
      <c r="G1735" s="208">
        <v>7.4999999999999997E-2</v>
      </c>
      <c r="H1735" s="102">
        <v>15</v>
      </c>
      <c r="I1735" s="103">
        <f t="shared" si="97"/>
        <v>2250</v>
      </c>
      <c r="J1735" s="103">
        <f t="shared" si="98"/>
        <v>1499.9999999999998</v>
      </c>
    </row>
    <row r="1736" spans="1:10">
      <c r="A1736" s="102"/>
      <c r="B1736" s="102"/>
      <c r="C1736" s="103">
        <v>20000</v>
      </c>
      <c r="D1736" s="104" t="s">
        <v>1671</v>
      </c>
      <c r="E1736" s="103">
        <v>750</v>
      </c>
      <c r="F1736" s="102">
        <v>23</v>
      </c>
      <c r="G1736" s="208">
        <v>7.4999999999999997E-2</v>
      </c>
      <c r="H1736" s="102">
        <v>15</v>
      </c>
      <c r="I1736" s="103">
        <f t="shared" si="97"/>
        <v>17250</v>
      </c>
      <c r="J1736" s="103">
        <f t="shared" si="98"/>
        <v>11499.999999999998</v>
      </c>
    </row>
    <row r="1737" spans="1:10">
      <c r="A1737" s="102"/>
      <c r="B1737" s="102"/>
      <c r="C1737" s="103">
        <v>20000</v>
      </c>
      <c r="D1737" s="104" t="s">
        <v>268</v>
      </c>
      <c r="E1737" s="103">
        <v>750</v>
      </c>
      <c r="F1737" s="102">
        <v>19</v>
      </c>
      <c r="G1737" s="208">
        <v>7.4999999999999997E-2</v>
      </c>
      <c r="H1737" s="102">
        <v>15</v>
      </c>
      <c r="I1737" s="103">
        <f t="shared" si="97"/>
        <v>14250</v>
      </c>
      <c r="J1737" s="103">
        <f t="shared" si="98"/>
        <v>9499.9999999999982</v>
      </c>
    </row>
    <row r="1738" spans="1:10">
      <c r="A1738" s="102"/>
      <c r="B1738" s="102"/>
      <c r="C1738" s="103">
        <v>10000</v>
      </c>
      <c r="D1738" s="104" t="s">
        <v>244</v>
      </c>
      <c r="E1738" s="103">
        <v>375</v>
      </c>
      <c r="F1738" s="102">
        <v>11</v>
      </c>
      <c r="G1738" s="208">
        <v>7.4999999999999997E-2</v>
      </c>
      <c r="H1738" s="102">
        <v>15</v>
      </c>
      <c r="I1738" s="103">
        <f t="shared" si="97"/>
        <v>4125</v>
      </c>
      <c r="J1738" s="103">
        <f t="shared" si="98"/>
        <v>2749.9999999999995</v>
      </c>
    </row>
    <row r="1739" spans="1:10">
      <c r="A1739" s="102"/>
      <c r="B1739" s="102"/>
      <c r="C1739" s="103">
        <v>10000</v>
      </c>
      <c r="D1739" s="104" t="s">
        <v>254</v>
      </c>
      <c r="E1739" s="103">
        <v>1150</v>
      </c>
      <c r="F1739" s="102">
        <v>10</v>
      </c>
      <c r="G1739" s="208">
        <v>0.06</v>
      </c>
      <c r="H1739" s="102" t="s">
        <v>664</v>
      </c>
      <c r="I1739" s="103">
        <f t="shared" si="97"/>
        <v>1500</v>
      </c>
      <c r="J1739" s="103">
        <f t="shared" si="98"/>
        <v>874.99999999999977</v>
      </c>
    </row>
    <row r="1740" spans="1:10">
      <c r="A1740" s="102">
        <v>232</v>
      </c>
      <c r="B1740" s="102" t="s">
        <v>1389</v>
      </c>
      <c r="C1740" s="103">
        <v>10000</v>
      </c>
      <c r="D1740" s="104" t="s">
        <v>481</v>
      </c>
      <c r="E1740" s="103">
        <v>1150</v>
      </c>
      <c r="F1740" s="102">
        <v>10</v>
      </c>
      <c r="G1740" s="208">
        <v>0.06</v>
      </c>
      <c r="H1740" s="102" t="s">
        <v>664</v>
      </c>
      <c r="I1740" s="103">
        <f t="shared" si="97"/>
        <v>1500</v>
      </c>
      <c r="J1740" s="103">
        <f t="shared" si="98"/>
        <v>874.99999999999977</v>
      </c>
    </row>
    <row r="1741" spans="1:10">
      <c r="A1741" s="102"/>
      <c r="B1741" s="102"/>
      <c r="C1741" s="103">
        <v>20000</v>
      </c>
      <c r="D1741" s="104" t="s">
        <v>481</v>
      </c>
      <c r="E1741" s="103">
        <v>750</v>
      </c>
      <c r="F1741" s="102">
        <v>14</v>
      </c>
      <c r="G1741" s="208">
        <v>7.4999999999999997E-2</v>
      </c>
      <c r="H1741" s="102">
        <v>15</v>
      </c>
      <c r="I1741" s="103">
        <f t="shared" si="97"/>
        <v>10500</v>
      </c>
      <c r="J1741" s="103">
        <f t="shared" si="98"/>
        <v>6999.9999999999991</v>
      </c>
    </row>
    <row r="1742" spans="1:10">
      <c r="A1742" s="102"/>
      <c r="B1742" s="102"/>
      <c r="C1742" s="103">
        <v>10000</v>
      </c>
      <c r="D1742" s="104" t="s">
        <v>2114</v>
      </c>
      <c r="E1742" s="103">
        <v>375</v>
      </c>
      <c r="F1742" s="102">
        <v>7</v>
      </c>
      <c r="G1742" s="208">
        <v>7.4999999999999997E-2</v>
      </c>
      <c r="H1742" s="102">
        <v>15</v>
      </c>
      <c r="I1742" s="103">
        <f t="shared" si="97"/>
        <v>2625</v>
      </c>
      <c r="J1742" s="103">
        <f t="shared" si="98"/>
        <v>1749.9999999999998</v>
      </c>
    </row>
    <row r="1743" spans="1:10">
      <c r="A1743" s="102"/>
      <c r="B1743" s="102"/>
      <c r="C1743" s="103">
        <v>10000</v>
      </c>
      <c r="D1743" s="114" t="s">
        <v>927</v>
      </c>
      <c r="E1743" s="103">
        <v>1150</v>
      </c>
      <c r="F1743" s="102">
        <v>10</v>
      </c>
      <c r="G1743" s="208">
        <v>0.06</v>
      </c>
      <c r="H1743" s="102" t="s">
        <v>664</v>
      </c>
      <c r="I1743" s="103">
        <f t="shared" si="97"/>
        <v>1500</v>
      </c>
      <c r="J1743" s="103">
        <f t="shared" si="98"/>
        <v>874.99999999999977</v>
      </c>
    </row>
    <row r="1744" spans="1:10">
      <c r="A1744" s="102"/>
      <c r="B1744" s="102"/>
      <c r="C1744" s="103">
        <v>20000</v>
      </c>
      <c r="D1744" s="104" t="s">
        <v>963</v>
      </c>
      <c r="E1744" s="103">
        <v>2300</v>
      </c>
      <c r="F1744" s="102">
        <v>10</v>
      </c>
      <c r="G1744" s="208">
        <v>0.06</v>
      </c>
      <c r="H1744" s="102" t="s">
        <v>664</v>
      </c>
      <c r="I1744" s="103">
        <f t="shared" si="97"/>
        <v>3000</v>
      </c>
      <c r="J1744" s="103">
        <f t="shared" si="98"/>
        <v>1749.9999999999995</v>
      </c>
    </row>
    <row r="1745" spans="1:10">
      <c r="A1745" s="102"/>
      <c r="B1745" s="102"/>
      <c r="C1745" s="103">
        <v>20000</v>
      </c>
      <c r="D1745" s="104" t="s">
        <v>3415</v>
      </c>
      <c r="E1745" s="103">
        <v>2300</v>
      </c>
      <c r="F1745" s="102">
        <v>10</v>
      </c>
      <c r="G1745" s="208">
        <v>0.06</v>
      </c>
      <c r="H1745" s="102" t="s">
        <v>664</v>
      </c>
      <c r="I1745" s="103">
        <f t="shared" si="97"/>
        <v>3000</v>
      </c>
      <c r="J1745" s="103">
        <f t="shared" si="98"/>
        <v>1749.9999999999995</v>
      </c>
    </row>
    <row r="1746" spans="1:10">
      <c r="A1746" s="102"/>
      <c r="B1746" s="102"/>
      <c r="C1746" s="103">
        <v>10000</v>
      </c>
      <c r="D1746" s="114" t="s">
        <v>928</v>
      </c>
      <c r="E1746" s="103">
        <v>375</v>
      </c>
      <c r="F1746" s="102">
        <v>10</v>
      </c>
      <c r="G1746" s="208">
        <v>7.4999999999999997E-2</v>
      </c>
      <c r="H1746" s="102">
        <v>15</v>
      </c>
      <c r="I1746" s="103">
        <f t="shared" si="97"/>
        <v>3750</v>
      </c>
      <c r="J1746" s="103">
        <f t="shared" si="98"/>
        <v>2499.9999999999995</v>
      </c>
    </row>
    <row r="1747" spans="1:10">
      <c r="A1747" s="102"/>
      <c r="B1747" s="102"/>
      <c r="C1747" s="103">
        <v>10000</v>
      </c>
      <c r="D1747" s="104" t="s">
        <v>1513</v>
      </c>
      <c r="E1747" s="103">
        <v>1150</v>
      </c>
      <c r="F1747" s="102">
        <v>10</v>
      </c>
      <c r="G1747" s="208">
        <v>0.06</v>
      </c>
      <c r="H1747" s="102" t="s">
        <v>664</v>
      </c>
      <c r="I1747" s="103">
        <f t="shared" si="97"/>
        <v>1500</v>
      </c>
      <c r="J1747" s="103">
        <f t="shared" si="98"/>
        <v>874.99999999999977</v>
      </c>
    </row>
    <row r="1748" spans="1:10">
      <c r="A1748" s="102"/>
      <c r="B1748" s="102"/>
      <c r="C1748" s="103">
        <v>20000</v>
      </c>
      <c r="D1748" s="104" t="s">
        <v>972</v>
      </c>
      <c r="E1748" s="103">
        <v>2300</v>
      </c>
      <c r="F1748" s="102">
        <v>6</v>
      </c>
      <c r="G1748" s="208">
        <v>0.06</v>
      </c>
      <c r="H1748" s="102" t="s">
        <v>664</v>
      </c>
      <c r="I1748" s="103">
        <f t="shared" si="97"/>
        <v>1800</v>
      </c>
      <c r="J1748" s="103">
        <f t="shared" si="98"/>
        <v>1049.9999999999998</v>
      </c>
    </row>
    <row r="1749" spans="1:10">
      <c r="A1749" s="102">
        <v>233</v>
      </c>
      <c r="B1749" s="102" t="s">
        <v>1514</v>
      </c>
      <c r="C1749" s="103">
        <v>20000</v>
      </c>
      <c r="D1749" s="104" t="s">
        <v>481</v>
      </c>
      <c r="E1749" s="103">
        <v>2300</v>
      </c>
      <c r="F1749" s="102">
        <v>10</v>
      </c>
      <c r="G1749" s="208">
        <v>0.06</v>
      </c>
      <c r="H1749" s="102" t="s">
        <v>664</v>
      </c>
      <c r="I1749" s="103">
        <f t="shared" si="97"/>
        <v>3000</v>
      </c>
      <c r="J1749" s="103">
        <f t="shared" si="98"/>
        <v>1749.9999999999995</v>
      </c>
    </row>
    <row r="1750" spans="1:10">
      <c r="A1750" s="102"/>
      <c r="B1750" s="102"/>
      <c r="C1750" s="103">
        <v>20000</v>
      </c>
      <c r="D1750" s="104" t="s">
        <v>1515</v>
      </c>
      <c r="E1750" s="103">
        <v>2300</v>
      </c>
      <c r="F1750" s="102">
        <v>10</v>
      </c>
      <c r="G1750" s="208">
        <v>0.06</v>
      </c>
      <c r="H1750" s="102" t="s">
        <v>664</v>
      </c>
      <c r="I1750" s="103">
        <f t="shared" si="97"/>
        <v>3000</v>
      </c>
      <c r="J1750" s="103">
        <f t="shared" si="98"/>
        <v>1749.9999999999995</v>
      </c>
    </row>
    <row r="1751" spans="1:10">
      <c r="A1751" s="102"/>
      <c r="B1751" s="102"/>
      <c r="C1751" s="103">
        <v>20000</v>
      </c>
      <c r="D1751" s="104" t="s">
        <v>1516</v>
      </c>
      <c r="E1751" s="103">
        <v>2300</v>
      </c>
      <c r="F1751" s="102">
        <v>10</v>
      </c>
      <c r="G1751" s="208">
        <v>0.06</v>
      </c>
      <c r="H1751" s="102" t="s">
        <v>664</v>
      </c>
      <c r="I1751" s="103">
        <f t="shared" si="97"/>
        <v>3000</v>
      </c>
      <c r="J1751" s="103">
        <f t="shared" si="98"/>
        <v>1749.9999999999995</v>
      </c>
    </row>
    <row r="1752" spans="1:10">
      <c r="A1752" s="102"/>
      <c r="B1752" s="102"/>
      <c r="C1752" s="103">
        <v>10000</v>
      </c>
      <c r="D1752" s="114" t="s">
        <v>68</v>
      </c>
      <c r="E1752" s="103">
        <v>1150</v>
      </c>
      <c r="F1752" s="102">
        <v>4</v>
      </c>
      <c r="G1752" s="208">
        <v>0.06</v>
      </c>
      <c r="H1752" s="102" t="s">
        <v>664</v>
      </c>
      <c r="I1752" s="103">
        <f t="shared" si="97"/>
        <v>600</v>
      </c>
      <c r="J1752" s="103">
        <f t="shared" si="98"/>
        <v>349.99999999999994</v>
      </c>
    </row>
    <row r="1753" spans="1:10">
      <c r="A1753" s="102"/>
      <c r="B1753" s="102"/>
      <c r="C1753" s="103">
        <v>10000</v>
      </c>
      <c r="D1753" s="104" t="s">
        <v>1518</v>
      </c>
      <c r="E1753" s="103">
        <v>375</v>
      </c>
      <c r="F1753" s="102">
        <v>4</v>
      </c>
      <c r="G1753" s="208">
        <v>7.4999999999999997E-2</v>
      </c>
      <c r="H1753" s="102">
        <v>15</v>
      </c>
      <c r="I1753" s="103">
        <f t="shared" si="97"/>
        <v>1500</v>
      </c>
      <c r="J1753" s="103">
        <f t="shared" si="98"/>
        <v>999.99999999999989</v>
      </c>
    </row>
    <row r="1754" spans="1:10">
      <c r="A1754" s="102"/>
      <c r="B1754" s="102"/>
      <c r="C1754" s="103">
        <v>20000</v>
      </c>
      <c r="D1754" s="104" t="s">
        <v>1519</v>
      </c>
      <c r="E1754" s="103">
        <v>2300</v>
      </c>
      <c r="F1754" s="102">
        <v>10</v>
      </c>
      <c r="G1754" s="208">
        <v>0.06</v>
      </c>
      <c r="H1754" s="102" t="s">
        <v>664</v>
      </c>
      <c r="I1754" s="103">
        <f t="shared" si="97"/>
        <v>3000</v>
      </c>
      <c r="J1754" s="103">
        <f t="shared" si="98"/>
        <v>1749.9999999999995</v>
      </c>
    </row>
    <row r="1755" spans="1:10">
      <c r="A1755" s="102"/>
      <c r="B1755" s="102"/>
      <c r="C1755" s="103">
        <v>30000</v>
      </c>
      <c r="D1755" s="104" t="s">
        <v>1520</v>
      </c>
      <c r="E1755" s="103">
        <v>1125</v>
      </c>
      <c r="F1755" s="102">
        <v>6</v>
      </c>
      <c r="G1755" s="208">
        <v>7.4999999999999997E-2</v>
      </c>
      <c r="H1755" s="102">
        <v>15</v>
      </c>
      <c r="I1755" s="103">
        <f t="shared" si="97"/>
        <v>6750</v>
      </c>
      <c r="J1755" s="103">
        <f t="shared" si="98"/>
        <v>4499.9999999999991</v>
      </c>
    </row>
    <row r="1756" spans="1:10">
      <c r="A1756" s="102"/>
      <c r="B1756" s="102"/>
      <c r="C1756" s="103">
        <v>10000</v>
      </c>
      <c r="D1756" s="104" t="s">
        <v>1521</v>
      </c>
      <c r="E1756" s="103">
        <v>1150</v>
      </c>
      <c r="F1756" s="102">
        <v>10</v>
      </c>
      <c r="G1756" s="208">
        <v>0.06</v>
      </c>
      <c r="H1756" s="102" t="s">
        <v>664</v>
      </c>
      <c r="I1756" s="103">
        <f t="shared" si="97"/>
        <v>1500</v>
      </c>
      <c r="J1756" s="103">
        <f t="shared" si="98"/>
        <v>874.99999999999977</v>
      </c>
    </row>
    <row r="1757" spans="1:10">
      <c r="A1757" s="102"/>
      <c r="B1757" s="102"/>
      <c r="C1757" s="103">
        <v>2000</v>
      </c>
      <c r="D1757" s="104" t="s">
        <v>650</v>
      </c>
      <c r="E1757" s="103">
        <v>2300</v>
      </c>
      <c r="F1757" s="102">
        <v>10</v>
      </c>
      <c r="G1757" s="208">
        <v>0.06</v>
      </c>
      <c r="H1757" s="102" t="s">
        <v>664</v>
      </c>
      <c r="I1757" s="103">
        <f t="shared" si="97"/>
        <v>300</v>
      </c>
      <c r="J1757" s="103">
        <f t="shared" si="98"/>
        <v>174.99999999999997</v>
      </c>
    </row>
    <row r="1758" spans="1:10">
      <c r="A1758" s="102"/>
      <c r="B1758" s="102"/>
      <c r="C1758" s="103">
        <v>20000</v>
      </c>
      <c r="D1758" s="104" t="s">
        <v>1522</v>
      </c>
      <c r="E1758" s="103">
        <v>750</v>
      </c>
      <c r="F1758" s="102">
        <v>5</v>
      </c>
      <c r="G1758" s="208">
        <v>7.4999999999999997E-2</v>
      </c>
      <c r="H1758" s="102">
        <v>15</v>
      </c>
      <c r="I1758" s="103">
        <f t="shared" si="97"/>
        <v>3750</v>
      </c>
      <c r="J1758" s="103">
        <f t="shared" si="98"/>
        <v>2499.9999999999995</v>
      </c>
    </row>
    <row r="1759" spans="1:10">
      <c r="A1759" s="102"/>
      <c r="B1759" s="102"/>
      <c r="C1759" s="103">
        <v>10000</v>
      </c>
      <c r="D1759" s="104" t="s">
        <v>1523</v>
      </c>
      <c r="E1759" s="103">
        <v>1150</v>
      </c>
      <c r="F1759" s="102">
        <v>10</v>
      </c>
      <c r="G1759" s="208">
        <v>0.06</v>
      </c>
      <c r="H1759" s="102" t="s">
        <v>664</v>
      </c>
      <c r="I1759" s="103">
        <f t="shared" si="97"/>
        <v>1500</v>
      </c>
      <c r="J1759" s="103">
        <f t="shared" si="98"/>
        <v>874.99999999999977</v>
      </c>
    </row>
    <row r="1760" spans="1:10">
      <c r="A1760" s="102">
        <v>234</v>
      </c>
      <c r="B1760" s="102" t="s">
        <v>1524</v>
      </c>
      <c r="C1760" s="103">
        <v>20000</v>
      </c>
      <c r="D1760" s="104" t="s">
        <v>1974</v>
      </c>
      <c r="E1760" s="103">
        <v>2300</v>
      </c>
      <c r="F1760" s="102">
        <v>10</v>
      </c>
      <c r="G1760" s="208">
        <v>0.06</v>
      </c>
      <c r="H1760" s="102" t="s">
        <v>664</v>
      </c>
      <c r="I1760" s="103">
        <f t="shared" si="97"/>
        <v>3000</v>
      </c>
      <c r="J1760" s="103">
        <f t="shared" si="98"/>
        <v>1749.9999999999995</v>
      </c>
    </row>
    <row r="1761" spans="1:10">
      <c r="A1761" s="102"/>
      <c r="B1761" s="102"/>
      <c r="C1761" s="103">
        <v>30000</v>
      </c>
      <c r="D1761" s="104" t="s">
        <v>1974</v>
      </c>
      <c r="E1761" s="103">
        <v>1125</v>
      </c>
      <c r="F1761" s="102">
        <v>11</v>
      </c>
      <c r="G1761" s="208">
        <v>7.4999999999999997E-2</v>
      </c>
      <c r="H1761" s="102">
        <v>15</v>
      </c>
      <c r="I1761" s="103">
        <f t="shared" si="97"/>
        <v>12375</v>
      </c>
      <c r="J1761" s="103">
        <f t="shared" si="98"/>
        <v>8249.9999999999982</v>
      </c>
    </row>
    <row r="1762" spans="1:10">
      <c r="A1762" s="102"/>
      <c r="B1762" s="102"/>
      <c r="C1762" s="103">
        <v>20000</v>
      </c>
      <c r="D1762" s="104" t="s">
        <v>1525</v>
      </c>
      <c r="E1762" s="103">
        <v>2300</v>
      </c>
      <c r="F1762" s="102">
        <v>5</v>
      </c>
      <c r="G1762" s="208">
        <v>0.06</v>
      </c>
      <c r="H1762" s="102" t="s">
        <v>664</v>
      </c>
      <c r="I1762" s="103">
        <f t="shared" si="97"/>
        <v>1500</v>
      </c>
      <c r="J1762" s="103">
        <f t="shared" si="98"/>
        <v>874.99999999999977</v>
      </c>
    </row>
    <row r="1763" spans="1:10">
      <c r="A1763" s="102"/>
      <c r="B1763" s="102"/>
      <c r="C1763" s="103">
        <v>20000</v>
      </c>
      <c r="D1763" s="104" t="s">
        <v>1527</v>
      </c>
      <c r="E1763" s="103">
        <v>2300</v>
      </c>
      <c r="F1763" s="102">
        <v>10</v>
      </c>
      <c r="G1763" s="208">
        <v>0.06</v>
      </c>
      <c r="H1763" s="102" t="s">
        <v>664</v>
      </c>
      <c r="I1763" s="103">
        <f t="shared" si="97"/>
        <v>3000</v>
      </c>
      <c r="J1763" s="103">
        <f t="shared" si="98"/>
        <v>1749.9999999999995</v>
      </c>
    </row>
    <row r="1764" spans="1:10">
      <c r="A1764" s="102">
        <v>235</v>
      </c>
      <c r="B1764" s="102" t="s">
        <v>1528</v>
      </c>
      <c r="C1764" s="103">
        <v>30000</v>
      </c>
      <c r="D1764" s="104" t="s">
        <v>1977</v>
      </c>
      <c r="E1764" s="103">
        <v>1125</v>
      </c>
      <c r="F1764" s="102">
        <v>2</v>
      </c>
      <c r="G1764" s="208">
        <v>7.4999999999999997E-2</v>
      </c>
      <c r="H1764" s="102">
        <v>15</v>
      </c>
      <c r="I1764" s="103">
        <f t="shared" si="97"/>
        <v>2250</v>
      </c>
      <c r="J1764" s="103">
        <f t="shared" si="98"/>
        <v>1499.9999999999998</v>
      </c>
    </row>
    <row r="1765" spans="1:10">
      <c r="A1765" s="102">
        <v>236</v>
      </c>
      <c r="B1765" s="102" t="s">
        <v>1529</v>
      </c>
      <c r="C1765" s="103">
        <v>10000</v>
      </c>
      <c r="D1765" s="104" t="s">
        <v>1979</v>
      </c>
      <c r="E1765" s="103">
        <v>1150</v>
      </c>
      <c r="F1765" s="102">
        <v>10</v>
      </c>
      <c r="G1765" s="208">
        <v>0.06</v>
      </c>
      <c r="H1765" s="102" t="s">
        <v>664</v>
      </c>
      <c r="I1765" s="103">
        <f t="shared" si="97"/>
        <v>1500</v>
      </c>
      <c r="J1765" s="103">
        <f t="shared" si="98"/>
        <v>874.99999999999977</v>
      </c>
    </row>
    <row r="1766" spans="1:10">
      <c r="A1766" s="102"/>
      <c r="B1766" s="102"/>
      <c r="C1766" s="103">
        <v>20000</v>
      </c>
      <c r="D1766" s="104" t="s">
        <v>1979</v>
      </c>
      <c r="E1766" s="103">
        <v>750</v>
      </c>
      <c r="F1766" s="102">
        <v>20</v>
      </c>
      <c r="G1766" s="208">
        <v>7.4999999999999997E-2</v>
      </c>
      <c r="H1766" s="102">
        <v>15</v>
      </c>
      <c r="I1766" s="103">
        <f t="shared" si="97"/>
        <v>15000</v>
      </c>
      <c r="J1766" s="103">
        <f t="shared" si="98"/>
        <v>9999.9999999999982</v>
      </c>
    </row>
    <row r="1767" spans="1:10">
      <c r="A1767" s="102"/>
      <c r="B1767" s="102"/>
      <c r="C1767" s="103">
        <v>10000</v>
      </c>
      <c r="D1767" s="104" t="s">
        <v>1530</v>
      </c>
      <c r="E1767" s="103">
        <v>375</v>
      </c>
      <c r="F1767" s="102">
        <v>11</v>
      </c>
      <c r="G1767" s="208">
        <v>7.4999999999999997E-2</v>
      </c>
      <c r="H1767" s="102">
        <v>15</v>
      </c>
      <c r="I1767" s="103">
        <f t="shared" si="97"/>
        <v>4125</v>
      </c>
      <c r="J1767" s="103">
        <f t="shared" si="98"/>
        <v>2749.9999999999995</v>
      </c>
    </row>
    <row r="1768" spans="1:10">
      <c r="A1768" s="102"/>
      <c r="B1768" s="102"/>
      <c r="C1768" s="103">
        <v>10000</v>
      </c>
      <c r="D1768" s="104" t="s">
        <v>230</v>
      </c>
      <c r="E1768" s="103">
        <v>1150</v>
      </c>
      <c r="F1768" s="102">
        <v>10</v>
      </c>
      <c r="G1768" s="208">
        <v>0.06</v>
      </c>
      <c r="H1768" s="102" t="s">
        <v>664</v>
      </c>
      <c r="I1768" s="103">
        <f t="shared" si="97"/>
        <v>1500</v>
      </c>
      <c r="J1768" s="103">
        <f t="shared" si="98"/>
        <v>874.99999999999977</v>
      </c>
    </row>
    <row r="1769" spans="1:10">
      <c r="A1769" s="102"/>
      <c r="B1769" s="102"/>
      <c r="C1769" s="103">
        <v>10000</v>
      </c>
      <c r="D1769" s="104" t="s">
        <v>1531</v>
      </c>
      <c r="E1769" s="103">
        <v>1150</v>
      </c>
      <c r="F1769" s="102">
        <v>10</v>
      </c>
      <c r="G1769" s="208">
        <v>0.06</v>
      </c>
      <c r="H1769" s="102" t="s">
        <v>664</v>
      </c>
      <c r="I1769" s="103">
        <f t="shared" si="97"/>
        <v>1500</v>
      </c>
      <c r="J1769" s="103">
        <f t="shared" si="98"/>
        <v>874.99999999999977</v>
      </c>
    </row>
    <row r="1770" spans="1:10">
      <c r="A1770" s="102"/>
      <c r="B1770" s="102"/>
      <c r="C1770" s="103">
        <v>10000</v>
      </c>
      <c r="D1770" s="104" t="s">
        <v>1532</v>
      </c>
      <c r="E1770" s="103">
        <v>375</v>
      </c>
      <c r="F1770" s="102">
        <v>10</v>
      </c>
      <c r="G1770" s="208">
        <v>7.4999999999999997E-2</v>
      </c>
      <c r="H1770" s="102">
        <v>15</v>
      </c>
      <c r="I1770" s="103">
        <f t="shared" si="97"/>
        <v>3750</v>
      </c>
      <c r="J1770" s="103">
        <f t="shared" si="98"/>
        <v>2499.9999999999995</v>
      </c>
    </row>
    <row r="1771" spans="1:10">
      <c r="A1771" s="102"/>
      <c r="B1771" s="102"/>
      <c r="C1771" s="103">
        <v>20000</v>
      </c>
      <c r="D1771" s="104" t="s">
        <v>1533</v>
      </c>
      <c r="E1771" s="103">
        <v>750</v>
      </c>
      <c r="F1771" s="102">
        <v>7</v>
      </c>
      <c r="G1771" s="208">
        <v>7.4999999999999997E-2</v>
      </c>
      <c r="H1771" s="102">
        <v>15</v>
      </c>
      <c r="I1771" s="103">
        <f t="shared" si="97"/>
        <v>5250</v>
      </c>
      <c r="J1771" s="103">
        <f t="shared" si="98"/>
        <v>3499.9999999999995</v>
      </c>
    </row>
    <row r="1772" spans="1:10">
      <c r="A1772" s="102"/>
      <c r="B1772" s="102"/>
      <c r="C1772" s="103">
        <v>10000</v>
      </c>
      <c r="D1772" s="104" t="s">
        <v>1534</v>
      </c>
      <c r="E1772" s="103">
        <v>1150</v>
      </c>
      <c r="F1772" s="102">
        <v>10</v>
      </c>
      <c r="G1772" s="208">
        <v>0.06</v>
      </c>
      <c r="H1772" s="102" t="s">
        <v>664</v>
      </c>
      <c r="I1772" s="103">
        <f t="shared" si="97"/>
        <v>1500</v>
      </c>
      <c r="J1772" s="103">
        <f t="shared" si="98"/>
        <v>874.99999999999977</v>
      </c>
    </row>
    <row r="1773" spans="1:10">
      <c r="A1773" s="102"/>
      <c r="B1773" s="102"/>
      <c r="C1773" s="103">
        <v>10000</v>
      </c>
      <c r="D1773" s="104" t="s">
        <v>1534</v>
      </c>
      <c r="E1773" s="103">
        <v>1150</v>
      </c>
      <c r="F1773" s="102">
        <v>10</v>
      </c>
      <c r="G1773" s="208">
        <v>0.06</v>
      </c>
      <c r="H1773" s="102" t="s">
        <v>664</v>
      </c>
      <c r="I1773" s="103">
        <f t="shared" si="97"/>
        <v>1500</v>
      </c>
      <c r="J1773" s="103">
        <f t="shared" si="98"/>
        <v>874.99999999999977</v>
      </c>
    </row>
    <row r="1774" spans="1:10">
      <c r="A1774" s="102"/>
      <c r="B1774" s="102"/>
      <c r="C1774" s="103">
        <v>10000</v>
      </c>
      <c r="D1774" s="104" t="s">
        <v>1535</v>
      </c>
      <c r="E1774" s="103">
        <v>375</v>
      </c>
      <c r="F1774" s="102">
        <v>5</v>
      </c>
      <c r="G1774" s="208">
        <v>7.4999999999999997E-2</v>
      </c>
      <c r="H1774" s="102">
        <v>15</v>
      </c>
      <c r="I1774" s="103">
        <f t="shared" si="97"/>
        <v>1875</v>
      </c>
      <c r="J1774" s="103">
        <f t="shared" si="98"/>
        <v>1249.9999999999998</v>
      </c>
    </row>
    <row r="1775" spans="1:10">
      <c r="A1775" s="102"/>
      <c r="B1775" s="102"/>
      <c r="C1775" s="103">
        <v>10000</v>
      </c>
      <c r="D1775" s="104" t="s">
        <v>1536</v>
      </c>
      <c r="E1775" s="103">
        <v>375</v>
      </c>
      <c r="F1775" s="102">
        <v>2</v>
      </c>
      <c r="G1775" s="208">
        <v>7.4999999999999997E-2</v>
      </c>
      <c r="H1775" s="102">
        <v>15</v>
      </c>
      <c r="I1775" s="103">
        <f t="shared" si="97"/>
        <v>750</v>
      </c>
      <c r="J1775" s="103">
        <f t="shared" si="98"/>
        <v>499.99999999999994</v>
      </c>
    </row>
    <row r="1776" spans="1:10">
      <c r="A1776" s="102"/>
      <c r="B1776" s="102"/>
      <c r="C1776" s="103">
        <v>20000</v>
      </c>
      <c r="D1776" s="104" t="s">
        <v>974</v>
      </c>
      <c r="E1776" s="103">
        <v>2300</v>
      </c>
      <c r="F1776" s="102">
        <v>3</v>
      </c>
      <c r="G1776" s="208">
        <v>0.06</v>
      </c>
      <c r="H1776" s="102" t="s">
        <v>664</v>
      </c>
      <c r="I1776" s="103">
        <f t="shared" si="97"/>
        <v>900</v>
      </c>
      <c r="J1776" s="103">
        <f t="shared" si="98"/>
        <v>524.99999999999989</v>
      </c>
    </row>
    <row r="1777" spans="1:10">
      <c r="A1777" s="102">
        <v>237</v>
      </c>
      <c r="B1777" s="102" t="s">
        <v>975</v>
      </c>
      <c r="C1777" s="103">
        <v>20000</v>
      </c>
      <c r="D1777" s="104" t="s">
        <v>1979</v>
      </c>
      <c r="E1777" s="103">
        <v>2300</v>
      </c>
      <c r="F1777" s="102">
        <v>7</v>
      </c>
      <c r="G1777" s="208">
        <v>0.06</v>
      </c>
      <c r="H1777" s="102" t="s">
        <v>664</v>
      </c>
      <c r="I1777" s="103">
        <f t="shared" si="97"/>
        <v>2100</v>
      </c>
      <c r="J1777" s="103">
        <f t="shared" si="98"/>
        <v>1224.9999999999998</v>
      </c>
    </row>
    <row r="1778" spans="1:10">
      <c r="A1778" s="102"/>
      <c r="B1778" s="102"/>
      <c r="C1778" s="103">
        <v>30000</v>
      </c>
      <c r="D1778" s="104" t="s">
        <v>1979</v>
      </c>
      <c r="E1778" s="103">
        <v>1125</v>
      </c>
      <c r="F1778" s="102">
        <v>15</v>
      </c>
      <c r="G1778" s="208">
        <v>7.4999999999999997E-2</v>
      </c>
      <c r="H1778" s="102">
        <v>15</v>
      </c>
      <c r="I1778" s="103">
        <f t="shared" si="97"/>
        <v>16875</v>
      </c>
      <c r="J1778" s="103">
        <f t="shared" si="98"/>
        <v>11249.999999999998</v>
      </c>
    </row>
    <row r="1779" spans="1:10">
      <c r="A1779" s="102"/>
      <c r="B1779" s="102"/>
      <c r="C1779" s="103">
        <v>40000</v>
      </c>
      <c r="D1779" s="104" t="s">
        <v>1984</v>
      </c>
      <c r="E1779" s="103">
        <v>1500</v>
      </c>
      <c r="F1779" s="102">
        <v>12</v>
      </c>
      <c r="G1779" s="208">
        <v>7.4999999999999997E-2</v>
      </c>
      <c r="H1779" s="102">
        <v>15</v>
      </c>
      <c r="I1779" s="103">
        <f t="shared" si="97"/>
        <v>18000</v>
      </c>
      <c r="J1779" s="103">
        <f t="shared" si="98"/>
        <v>11999.999999999998</v>
      </c>
    </row>
    <row r="1780" spans="1:10">
      <c r="A1780" s="102"/>
      <c r="B1780" s="102"/>
      <c r="C1780" s="103">
        <v>20000</v>
      </c>
      <c r="D1780" s="104" t="s">
        <v>976</v>
      </c>
      <c r="E1780" s="103">
        <v>750</v>
      </c>
      <c r="F1780" s="102">
        <v>7</v>
      </c>
      <c r="G1780" s="208">
        <v>7.4999999999999997E-2</v>
      </c>
      <c r="H1780" s="102">
        <v>15</v>
      </c>
      <c r="I1780" s="103">
        <f t="shared" si="97"/>
        <v>5250</v>
      </c>
      <c r="J1780" s="103">
        <f t="shared" si="98"/>
        <v>3499.9999999999995</v>
      </c>
    </row>
    <row r="1781" spans="1:10">
      <c r="A1781" s="102">
        <v>238</v>
      </c>
      <c r="B1781" s="102" t="s">
        <v>978</v>
      </c>
      <c r="C1781" s="103">
        <v>50000</v>
      </c>
      <c r="D1781" s="104" t="s">
        <v>1979</v>
      </c>
      <c r="E1781" s="103">
        <v>3750</v>
      </c>
      <c r="F1781" s="102">
        <v>2</v>
      </c>
      <c r="G1781" s="208">
        <v>7.4999999999999997E-2</v>
      </c>
      <c r="H1781" s="102">
        <v>30</v>
      </c>
      <c r="I1781" s="103">
        <f t="shared" si="97"/>
        <v>7500</v>
      </c>
      <c r="J1781" s="103">
        <f t="shared" si="98"/>
        <v>5000</v>
      </c>
    </row>
    <row r="1782" spans="1:10">
      <c r="A1782" s="102">
        <v>239</v>
      </c>
      <c r="B1782" s="102" t="s">
        <v>979</v>
      </c>
      <c r="C1782" s="103">
        <v>50000</v>
      </c>
      <c r="D1782" s="104" t="s">
        <v>980</v>
      </c>
      <c r="E1782" s="103">
        <v>1875</v>
      </c>
      <c r="F1782" s="102">
        <v>1</v>
      </c>
      <c r="G1782" s="208">
        <v>7.4999999999999997E-2</v>
      </c>
      <c r="H1782" s="102">
        <v>15</v>
      </c>
      <c r="I1782" s="103">
        <f t="shared" si="97"/>
        <v>1875</v>
      </c>
      <c r="J1782" s="103">
        <f t="shared" si="98"/>
        <v>1250</v>
      </c>
    </row>
    <row r="1783" spans="1:10">
      <c r="A1783" s="102"/>
      <c r="B1783" s="102"/>
      <c r="C1783" s="103">
        <v>40000</v>
      </c>
      <c r="D1783" s="104" t="s">
        <v>980</v>
      </c>
      <c r="E1783" s="103">
        <v>1500</v>
      </c>
      <c r="F1783" s="102">
        <v>18</v>
      </c>
      <c r="G1783" s="208">
        <v>7.4999999999999997E-2</v>
      </c>
      <c r="H1783" s="102">
        <v>15</v>
      </c>
      <c r="I1783" s="103">
        <f t="shared" si="97"/>
        <v>27000</v>
      </c>
      <c r="J1783" s="103">
        <f t="shared" si="98"/>
        <v>17999.999999999996</v>
      </c>
    </row>
    <row r="1784" spans="1:10">
      <c r="A1784" s="102"/>
      <c r="B1784" s="102"/>
      <c r="C1784" s="103">
        <v>30000</v>
      </c>
      <c r="D1784" s="104" t="s">
        <v>982</v>
      </c>
      <c r="E1784" s="103">
        <v>1125</v>
      </c>
      <c r="F1784" s="102">
        <v>7</v>
      </c>
      <c r="G1784" s="208">
        <v>7.4999999999999997E-2</v>
      </c>
      <c r="H1784" s="102">
        <v>15</v>
      </c>
      <c r="I1784" s="103">
        <f t="shared" si="97"/>
        <v>7875</v>
      </c>
      <c r="J1784" s="103">
        <f t="shared" si="98"/>
        <v>5249.9999999999991</v>
      </c>
    </row>
    <row r="1785" spans="1:10">
      <c r="A1785" s="102"/>
      <c r="B1785" s="102"/>
      <c r="C1785" s="103">
        <v>50000</v>
      </c>
      <c r="D1785" s="104" t="s">
        <v>985</v>
      </c>
      <c r="E1785" s="103">
        <v>5750</v>
      </c>
      <c r="F1785" s="102">
        <v>10</v>
      </c>
      <c r="G1785" s="208">
        <v>0.06</v>
      </c>
      <c r="H1785" s="102" t="s">
        <v>664</v>
      </c>
      <c r="I1785" s="103">
        <f t="shared" si="97"/>
        <v>7500</v>
      </c>
      <c r="J1785" s="103">
        <f t="shared" si="98"/>
        <v>4374.9999999999991</v>
      </c>
    </row>
    <row r="1786" spans="1:10">
      <c r="A1786" s="102"/>
      <c r="B1786" s="102"/>
      <c r="C1786" s="103">
        <v>30000</v>
      </c>
      <c r="D1786" s="104" t="s">
        <v>984</v>
      </c>
      <c r="E1786" s="103">
        <v>3450</v>
      </c>
      <c r="F1786" s="102">
        <v>10</v>
      </c>
      <c r="G1786" s="208">
        <v>0.06</v>
      </c>
      <c r="H1786" s="102" t="s">
        <v>664</v>
      </c>
      <c r="I1786" s="103">
        <f t="shared" si="97"/>
        <v>4500</v>
      </c>
      <c r="J1786" s="103">
        <f t="shared" si="98"/>
        <v>2625</v>
      </c>
    </row>
    <row r="1787" spans="1:10">
      <c r="A1787" s="102"/>
      <c r="B1787" s="102"/>
      <c r="C1787" s="103">
        <v>20000</v>
      </c>
      <c r="D1787" s="104" t="s">
        <v>985</v>
      </c>
      <c r="E1787" s="103">
        <v>750</v>
      </c>
      <c r="F1787" s="102">
        <v>1</v>
      </c>
      <c r="G1787" s="208">
        <v>7.4999999999999997E-2</v>
      </c>
      <c r="H1787" s="102">
        <v>15</v>
      </c>
      <c r="I1787" s="103">
        <f t="shared" si="97"/>
        <v>750</v>
      </c>
      <c r="J1787" s="103">
        <f t="shared" si="98"/>
        <v>499.99999999999994</v>
      </c>
    </row>
    <row r="1788" spans="1:10">
      <c r="A1788" s="102"/>
      <c r="B1788" s="102"/>
      <c r="C1788" s="103">
        <v>30000</v>
      </c>
      <c r="D1788" s="104" t="s">
        <v>1977</v>
      </c>
      <c r="E1788" s="103">
        <v>1125</v>
      </c>
      <c r="F1788" s="102">
        <v>5</v>
      </c>
      <c r="G1788" s="208">
        <v>7.4999999999999997E-2</v>
      </c>
      <c r="H1788" s="102">
        <v>15</v>
      </c>
      <c r="I1788" s="103">
        <f t="shared" si="97"/>
        <v>5625</v>
      </c>
      <c r="J1788" s="103">
        <f t="shared" si="98"/>
        <v>3749.9999999999995</v>
      </c>
    </row>
    <row r="1789" spans="1:10">
      <c r="A1789" s="102"/>
      <c r="B1789" s="102"/>
      <c r="C1789" s="103">
        <v>20000</v>
      </c>
      <c r="D1789" s="104" t="s">
        <v>1977</v>
      </c>
      <c r="E1789" s="103">
        <v>750</v>
      </c>
      <c r="F1789" s="102">
        <v>3</v>
      </c>
      <c r="G1789" s="208">
        <v>7.4999999999999997E-2</v>
      </c>
      <c r="H1789" s="102">
        <v>15</v>
      </c>
      <c r="I1789" s="103">
        <f t="shared" si="97"/>
        <v>2250</v>
      </c>
      <c r="J1789" s="103">
        <f t="shared" si="98"/>
        <v>1499.9999999999998</v>
      </c>
    </row>
    <row r="1790" spans="1:10">
      <c r="A1790" s="102"/>
      <c r="B1790" s="102"/>
      <c r="C1790" s="103">
        <v>50000</v>
      </c>
      <c r="D1790" s="104" t="s">
        <v>986</v>
      </c>
      <c r="E1790" s="103">
        <v>1875</v>
      </c>
      <c r="F1790" s="102">
        <v>6</v>
      </c>
      <c r="G1790" s="208">
        <v>7.4999999999999997E-2</v>
      </c>
      <c r="H1790" s="102">
        <v>15</v>
      </c>
      <c r="I1790" s="103">
        <f t="shared" si="97"/>
        <v>11250</v>
      </c>
      <c r="J1790" s="103">
        <f t="shared" si="98"/>
        <v>7500</v>
      </c>
    </row>
    <row r="1791" spans="1:10">
      <c r="A1791" s="102"/>
      <c r="B1791" s="102"/>
      <c r="C1791" s="103">
        <v>30000</v>
      </c>
      <c r="D1791" s="104" t="s">
        <v>987</v>
      </c>
      <c r="E1791" s="103">
        <v>1125</v>
      </c>
      <c r="F1791" s="102">
        <v>5</v>
      </c>
      <c r="G1791" s="208">
        <v>7.4999999999999997E-2</v>
      </c>
      <c r="H1791" s="102">
        <v>15</v>
      </c>
      <c r="I1791" s="103">
        <f t="shared" si="97"/>
        <v>5625</v>
      </c>
      <c r="J1791" s="103">
        <f t="shared" si="98"/>
        <v>3749.9999999999995</v>
      </c>
    </row>
    <row r="1792" spans="1:10">
      <c r="A1792" s="102">
        <v>240</v>
      </c>
      <c r="B1792" s="102" t="s">
        <v>989</v>
      </c>
      <c r="C1792" s="103">
        <v>20000</v>
      </c>
      <c r="D1792" s="104" t="s">
        <v>990</v>
      </c>
      <c r="E1792" s="103">
        <v>750</v>
      </c>
      <c r="F1792" s="102">
        <v>8</v>
      </c>
      <c r="G1792" s="208">
        <v>7.4999999999999997E-2</v>
      </c>
      <c r="H1792" s="102">
        <v>15</v>
      </c>
      <c r="I1792" s="103">
        <f t="shared" si="97"/>
        <v>6000</v>
      </c>
      <c r="J1792" s="103">
        <f t="shared" si="98"/>
        <v>3999.9999999999995</v>
      </c>
    </row>
    <row r="1793" spans="1:10">
      <c r="A1793" s="102"/>
      <c r="B1793" s="102"/>
      <c r="C1793" s="103">
        <v>10000</v>
      </c>
      <c r="D1793" s="104" t="s">
        <v>990</v>
      </c>
      <c r="E1793" s="103">
        <v>1150</v>
      </c>
      <c r="F1793" s="102">
        <v>10</v>
      </c>
      <c r="G1793" s="208">
        <v>0.06</v>
      </c>
      <c r="H1793" s="102" t="s">
        <v>664</v>
      </c>
      <c r="I1793" s="103">
        <f t="shared" si="97"/>
        <v>1500</v>
      </c>
      <c r="J1793" s="103">
        <f t="shared" si="98"/>
        <v>874.99999999999977</v>
      </c>
    </row>
    <row r="1794" spans="1:10">
      <c r="A1794" s="102"/>
      <c r="B1794" s="102"/>
      <c r="C1794" s="103">
        <v>10000</v>
      </c>
      <c r="D1794" s="104" t="s">
        <v>3709</v>
      </c>
      <c r="E1794" s="103">
        <v>1150</v>
      </c>
      <c r="F1794" s="102">
        <v>4</v>
      </c>
      <c r="G1794" s="208">
        <v>0.06</v>
      </c>
      <c r="H1794" s="102" t="s">
        <v>664</v>
      </c>
      <c r="I1794" s="103">
        <f t="shared" si="97"/>
        <v>600</v>
      </c>
      <c r="J1794" s="103">
        <f t="shared" si="98"/>
        <v>349.99999999999994</v>
      </c>
    </row>
    <row r="1795" spans="1:10">
      <c r="A1795" s="102"/>
      <c r="B1795" s="102"/>
      <c r="C1795" s="103">
        <v>10000</v>
      </c>
      <c r="D1795" s="104" t="s">
        <v>991</v>
      </c>
      <c r="E1795" s="103">
        <v>1150</v>
      </c>
      <c r="F1795" s="102">
        <v>10</v>
      </c>
      <c r="G1795" s="208">
        <v>0.06</v>
      </c>
      <c r="H1795" s="102" t="s">
        <v>664</v>
      </c>
      <c r="I1795" s="103">
        <f t="shared" si="97"/>
        <v>1500</v>
      </c>
      <c r="J1795" s="103">
        <f t="shared" si="98"/>
        <v>874.99999999999977</v>
      </c>
    </row>
    <row r="1796" spans="1:10">
      <c r="A1796" s="102">
        <v>241</v>
      </c>
      <c r="B1796" s="102" t="s">
        <v>992</v>
      </c>
      <c r="C1796" s="103">
        <v>30000</v>
      </c>
      <c r="D1796" s="104" t="s">
        <v>993</v>
      </c>
      <c r="E1796" s="103">
        <v>1125</v>
      </c>
      <c r="F1796" s="102">
        <v>17</v>
      </c>
      <c r="G1796" s="208">
        <v>7.4999999999999997E-2</v>
      </c>
      <c r="H1796" s="102">
        <v>15</v>
      </c>
      <c r="I1796" s="103">
        <f t="shared" si="97"/>
        <v>19125</v>
      </c>
      <c r="J1796" s="103">
        <f t="shared" si="98"/>
        <v>12749.999999999998</v>
      </c>
    </row>
    <row r="1797" spans="1:10">
      <c r="A1797" s="102"/>
      <c r="B1797" s="102"/>
      <c r="C1797" s="103">
        <v>20000</v>
      </c>
      <c r="D1797" s="104" t="s">
        <v>994</v>
      </c>
      <c r="E1797" s="103">
        <v>750</v>
      </c>
      <c r="F1797" s="102">
        <v>20</v>
      </c>
      <c r="G1797" s="208">
        <v>7.4999999999999997E-2</v>
      </c>
      <c r="H1797" s="102">
        <v>15</v>
      </c>
      <c r="I1797" s="103">
        <f t="shared" ref="I1797:I1860" si="99">IF(H1797="分期",C1797*G1797*2.5*F1797/10,C1797*G1797*H1797/30*F1797)</f>
        <v>15000</v>
      </c>
      <c r="J1797" s="103">
        <f t="shared" ref="J1797:J1860" si="100">IF(H1797="分期",C1797*(G1797-0.025)*2.5*F1797/10,C1797*(G1797-0.025)*H1797/30*F1797)</f>
        <v>9999.9999999999982</v>
      </c>
    </row>
    <row r="1798" spans="1:10">
      <c r="A1798" s="102"/>
      <c r="B1798" s="102"/>
      <c r="C1798" s="103">
        <v>25000</v>
      </c>
      <c r="D1798" s="104" t="s">
        <v>995</v>
      </c>
      <c r="E1798" s="103">
        <v>940</v>
      </c>
      <c r="F1798" s="102">
        <v>19</v>
      </c>
      <c r="G1798" s="208">
        <v>7.4999999999999997E-2</v>
      </c>
      <c r="H1798" s="102">
        <v>15</v>
      </c>
      <c r="I1798" s="103">
        <f t="shared" si="99"/>
        <v>17812.5</v>
      </c>
      <c r="J1798" s="103">
        <f t="shared" si="100"/>
        <v>11875</v>
      </c>
    </row>
    <row r="1799" spans="1:10">
      <c r="A1799" s="102"/>
      <c r="B1799" s="102"/>
      <c r="C1799" s="103">
        <v>35000</v>
      </c>
      <c r="D1799" s="114" t="s">
        <v>929</v>
      </c>
      <c r="E1799" s="103">
        <v>1315</v>
      </c>
      <c r="F1799" s="102">
        <v>14</v>
      </c>
      <c r="G1799" s="208">
        <v>7.4999999999999997E-2</v>
      </c>
      <c r="H1799" s="102">
        <v>15</v>
      </c>
      <c r="I1799" s="103">
        <f t="shared" si="99"/>
        <v>18375</v>
      </c>
      <c r="J1799" s="103">
        <f t="shared" si="100"/>
        <v>12249.999999999998</v>
      </c>
    </row>
    <row r="1800" spans="1:10">
      <c r="A1800" s="102"/>
      <c r="B1800" s="102"/>
      <c r="C1800" s="103">
        <v>23025</v>
      </c>
      <c r="D1800" s="114" t="s">
        <v>929</v>
      </c>
      <c r="E1800" s="103">
        <v>865</v>
      </c>
      <c r="F1800" s="102">
        <v>1</v>
      </c>
      <c r="G1800" s="208">
        <v>7.4999999999999997E-2</v>
      </c>
      <c r="H1800" s="102">
        <v>15</v>
      </c>
      <c r="I1800" s="103">
        <f t="shared" si="99"/>
        <v>863.4375</v>
      </c>
      <c r="J1800" s="103">
        <f t="shared" si="100"/>
        <v>575.625</v>
      </c>
    </row>
    <row r="1801" spans="1:10">
      <c r="A1801" s="102"/>
      <c r="B1801" s="102"/>
      <c r="C1801" s="103">
        <v>20000</v>
      </c>
      <c r="D1801" s="104" t="s">
        <v>997</v>
      </c>
      <c r="E1801" s="103">
        <v>2300</v>
      </c>
      <c r="F1801" s="102">
        <v>1</v>
      </c>
      <c r="G1801" s="208">
        <v>0.06</v>
      </c>
      <c r="H1801" s="102" t="s">
        <v>664</v>
      </c>
      <c r="I1801" s="103">
        <f t="shared" si="99"/>
        <v>300</v>
      </c>
      <c r="J1801" s="103">
        <f t="shared" si="100"/>
        <v>174.99999999999997</v>
      </c>
    </row>
    <row r="1802" spans="1:10">
      <c r="A1802" s="102"/>
      <c r="B1802" s="102"/>
      <c r="C1802" s="103">
        <v>10000</v>
      </c>
      <c r="D1802" s="104" t="s">
        <v>998</v>
      </c>
      <c r="E1802" s="103">
        <v>1150</v>
      </c>
      <c r="F1802" s="102">
        <v>9</v>
      </c>
      <c r="G1802" s="208">
        <v>0.06</v>
      </c>
      <c r="H1802" s="102" t="s">
        <v>664</v>
      </c>
      <c r="I1802" s="103">
        <f t="shared" si="99"/>
        <v>1350</v>
      </c>
      <c r="J1802" s="103">
        <f t="shared" si="100"/>
        <v>787.49999999999989</v>
      </c>
    </row>
    <row r="1803" spans="1:10">
      <c r="A1803" s="102"/>
      <c r="B1803" s="102"/>
      <c r="C1803" s="103">
        <v>10000</v>
      </c>
      <c r="D1803" s="104" t="s">
        <v>998</v>
      </c>
      <c r="E1803" s="103">
        <v>375</v>
      </c>
      <c r="F1803" s="102">
        <v>7</v>
      </c>
      <c r="G1803" s="208">
        <v>7.4999999999999997E-2</v>
      </c>
      <c r="H1803" s="102">
        <v>15</v>
      </c>
      <c r="I1803" s="103">
        <f t="shared" si="99"/>
        <v>2625</v>
      </c>
      <c r="J1803" s="103">
        <f t="shared" si="100"/>
        <v>1749.9999999999998</v>
      </c>
    </row>
    <row r="1804" spans="1:10">
      <c r="A1804" s="102"/>
      <c r="B1804" s="102"/>
      <c r="C1804" s="103">
        <v>15000</v>
      </c>
      <c r="D1804" s="104" t="s">
        <v>999</v>
      </c>
      <c r="E1804" s="103">
        <v>1750</v>
      </c>
      <c r="F1804" s="102">
        <v>10</v>
      </c>
      <c r="G1804" s="208">
        <v>0.06</v>
      </c>
      <c r="H1804" s="102" t="s">
        <v>664</v>
      </c>
      <c r="I1804" s="103">
        <f t="shared" si="99"/>
        <v>2250</v>
      </c>
      <c r="J1804" s="103">
        <f t="shared" si="100"/>
        <v>1312.5</v>
      </c>
    </row>
    <row r="1805" spans="1:10">
      <c r="A1805" s="102"/>
      <c r="B1805" s="102"/>
      <c r="C1805" s="103">
        <v>50000</v>
      </c>
      <c r="D1805" s="114" t="s">
        <v>930</v>
      </c>
      <c r="E1805" s="103">
        <v>5750</v>
      </c>
      <c r="F1805" s="102">
        <v>10</v>
      </c>
      <c r="G1805" s="208">
        <v>0.06</v>
      </c>
      <c r="H1805" s="102" t="s">
        <v>664</v>
      </c>
      <c r="I1805" s="103">
        <f t="shared" si="99"/>
        <v>7500</v>
      </c>
      <c r="J1805" s="103">
        <f t="shared" si="100"/>
        <v>4374.9999999999991</v>
      </c>
    </row>
    <row r="1806" spans="1:10">
      <c r="A1806" s="102"/>
      <c r="B1806" s="102"/>
      <c r="C1806" s="103">
        <v>10000</v>
      </c>
      <c r="D1806" s="104" t="s">
        <v>1001</v>
      </c>
      <c r="E1806" s="103">
        <v>1150</v>
      </c>
      <c r="F1806" s="102">
        <v>10</v>
      </c>
      <c r="G1806" s="208">
        <v>0.06</v>
      </c>
      <c r="H1806" s="102" t="s">
        <v>664</v>
      </c>
      <c r="I1806" s="103">
        <f t="shared" si="99"/>
        <v>1500</v>
      </c>
      <c r="J1806" s="103">
        <f t="shared" si="100"/>
        <v>874.99999999999977</v>
      </c>
    </row>
    <row r="1807" spans="1:10">
      <c r="A1807" s="102"/>
      <c r="B1807" s="102"/>
      <c r="C1807" s="103">
        <v>30000</v>
      </c>
      <c r="D1807" s="104" t="s">
        <v>688</v>
      </c>
      <c r="E1807" s="103">
        <v>1125</v>
      </c>
      <c r="F1807" s="102">
        <v>6</v>
      </c>
      <c r="G1807" s="208">
        <v>7.4999999999999997E-2</v>
      </c>
      <c r="H1807" s="102">
        <v>15</v>
      </c>
      <c r="I1807" s="103">
        <f t="shared" si="99"/>
        <v>6750</v>
      </c>
      <c r="J1807" s="103">
        <f t="shared" si="100"/>
        <v>4499.9999999999991</v>
      </c>
    </row>
    <row r="1808" spans="1:10">
      <c r="A1808" s="102">
        <v>242</v>
      </c>
      <c r="B1808" s="102" t="s">
        <v>1005</v>
      </c>
      <c r="C1808" s="103">
        <v>10000</v>
      </c>
      <c r="D1808" s="104" t="s">
        <v>1986</v>
      </c>
      <c r="E1808" s="103">
        <v>1150</v>
      </c>
      <c r="F1808" s="102">
        <v>10</v>
      </c>
      <c r="G1808" s="208">
        <v>0.06</v>
      </c>
      <c r="H1808" s="102" t="s">
        <v>664</v>
      </c>
      <c r="I1808" s="103">
        <f t="shared" si="99"/>
        <v>1500</v>
      </c>
      <c r="J1808" s="103">
        <f t="shared" si="100"/>
        <v>874.99999999999977</v>
      </c>
    </row>
    <row r="1809" spans="1:10">
      <c r="A1809" s="102"/>
      <c r="B1809" s="102"/>
      <c r="C1809" s="103">
        <v>40000</v>
      </c>
      <c r="D1809" s="104" t="s">
        <v>1986</v>
      </c>
      <c r="E1809" s="103">
        <v>1500</v>
      </c>
      <c r="F1809" s="102">
        <v>13</v>
      </c>
      <c r="G1809" s="208">
        <v>7.4999999999999997E-2</v>
      </c>
      <c r="H1809" s="102">
        <v>15</v>
      </c>
      <c r="I1809" s="103">
        <f t="shared" si="99"/>
        <v>19500</v>
      </c>
      <c r="J1809" s="103">
        <f t="shared" si="100"/>
        <v>12999.999999999998</v>
      </c>
    </row>
    <row r="1810" spans="1:10">
      <c r="A1810" s="102"/>
      <c r="B1810" s="102"/>
      <c r="C1810" s="103">
        <v>10000</v>
      </c>
      <c r="D1810" s="104" t="s">
        <v>1986</v>
      </c>
      <c r="E1810" s="103">
        <v>375</v>
      </c>
      <c r="F1810" s="102">
        <v>9</v>
      </c>
      <c r="G1810" s="208">
        <v>7.4999999999999997E-2</v>
      </c>
      <c r="H1810" s="102">
        <v>15</v>
      </c>
      <c r="I1810" s="103">
        <f t="shared" si="99"/>
        <v>3375</v>
      </c>
      <c r="J1810" s="103">
        <f t="shared" si="100"/>
        <v>2249.9999999999995</v>
      </c>
    </row>
    <row r="1811" spans="1:10">
      <c r="A1811" s="102"/>
      <c r="B1811" s="102"/>
      <c r="C1811" s="103">
        <v>20000</v>
      </c>
      <c r="D1811" s="104" t="s">
        <v>1006</v>
      </c>
      <c r="E1811" s="103">
        <v>2300</v>
      </c>
      <c r="F1811" s="102">
        <v>10</v>
      </c>
      <c r="G1811" s="208">
        <v>0.06</v>
      </c>
      <c r="H1811" s="102" t="s">
        <v>664</v>
      </c>
      <c r="I1811" s="103">
        <f t="shared" si="99"/>
        <v>3000</v>
      </c>
      <c r="J1811" s="103">
        <f t="shared" si="100"/>
        <v>1749.9999999999995</v>
      </c>
    </row>
    <row r="1812" spans="1:10">
      <c r="A1812" s="102"/>
      <c r="B1812" s="102"/>
      <c r="C1812" s="103">
        <v>20000</v>
      </c>
      <c r="D1812" s="104" t="s">
        <v>1006</v>
      </c>
      <c r="E1812" s="103">
        <v>750</v>
      </c>
      <c r="F1812" s="102">
        <v>16</v>
      </c>
      <c r="G1812" s="208">
        <v>7.4999999999999997E-2</v>
      </c>
      <c r="H1812" s="102">
        <v>15</v>
      </c>
      <c r="I1812" s="103">
        <f t="shared" si="99"/>
        <v>12000</v>
      </c>
      <c r="J1812" s="103">
        <f t="shared" si="100"/>
        <v>7999.9999999999991</v>
      </c>
    </row>
    <row r="1813" spans="1:10">
      <c r="A1813" s="102"/>
      <c r="B1813" s="102"/>
      <c r="C1813" s="103">
        <v>10000</v>
      </c>
      <c r="D1813" s="104" t="s">
        <v>1668</v>
      </c>
      <c r="E1813" s="103">
        <v>375</v>
      </c>
      <c r="F1813" s="102">
        <v>12</v>
      </c>
      <c r="G1813" s="208">
        <v>7.4999999999999997E-2</v>
      </c>
      <c r="H1813" s="102">
        <v>15</v>
      </c>
      <c r="I1813" s="103">
        <f t="shared" si="99"/>
        <v>4500</v>
      </c>
      <c r="J1813" s="103">
        <f t="shared" si="100"/>
        <v>2999.9999999999995</v>
      </c>
    </row>
    <row r="1814" spans="1:10">
      <c r="A1814" s="102"/>
      <c r="B1814" s="102"/>
      <c r="C1814" s="103">
        <v>20000</v>
      </c>
      <c r="D1814" s="104" t="s">
        <v>663</v>
      </c>
      <c r="E1814" s="103">
        <v>750</v>
      </c>
      <c r="F1814" s="102">
        <v>2</v>
      </c>
      <c r="G1814" s="208">
        <v>7.4999999999999997E-2</v>
      </c>
      <c r="H1814" s="102">
        <v>15</v>
      </c>
      <c r="I1814" s="103">
        <f t="shared" si="99"/>
        <v>1500</v>
      </c>
      <c r="J1814" s="103">
        <f t="shared" si="100"/>
        <v>999.99999999999989</v>
      </c>
    </row>
    <row r="1815" spans="1:10">
      <c r="A1815" s="102">
        <v>243</v>
      </c>
      <c r="B1815" s="102" t="s">
        <v>3106</v>
      </c>
      <c r="C1815" s="103">
        <v>10000</v>
      </c>
      <c r="D1815" s="104" t="s">
        <v>1986</v>
      </c>
      <c r="E1815" s="103">
        <v>1150</v>
      </c>
      <c r="F1815" s="102">
        <v>10</v>
      </c>
      <c r="G1815" s="208">
        <v>0.06</v>
      </c>
      <c r="H1815" s="102" t="s">
        <v>664</v>
      </c>
      <c r="I1815" s="103">
        <f t="shared" si="99"/>
        <v>1500</v>
      </c>
      <c r="J1815" s="103">
        <f t="shared" si="100"/>
        <v>874.99999999999977</v>
      </c>
    </row>
    <row r="1816" spans="1:10">
      <c r="A1816" s="102"/>
      <c r="B1816" s="102"/>
      <c r="C1816" s="103">
        <v>20000</v>
      </c>
      <c r="D1816" s="104" t="s">
        <v>1986</v>
      </c>
      <c r="E1816" s="103">
        <v>750</v>
      </c>
      <c r="F1816" s="102">
        <v>5</v>
      </c>
      <c r="G1816" s="208">
        <v>7.4999999999999997E-2</v>
      </c>
      <c r="H1816" s="102">
        <v>15</v>
      </c>
      <c r="I1816" s="103">
        <f t="shared" si="99"/>
        <v>3750</v>
      </c>
      <c r="J1816" s="103">
        <f t="shared" si="100"/>
        <v>2499.9999999999995</v>
      </c>
    </row>
    <row r="1817" spans="1:10">
      <c r="A1817" s="102"/>
      <c r="B1817" s="102"/>
      <c r="C1817" s="103">
        <v>10000</v>
      </c>
      <c r="D1817" s="104" t="s">
        <v>1988</v>
      </c>
      <c r="E1817" s="103">
        <v>1150</v>
      </c>
      <c r="F1817" s="102">
        <v>7</v>
      </c>
      <c r="G1817" s="208">
        <v>0.06</v>
      </c>
      <c r="H1817" s="102" t="s">
        <v>664</v>
      </c>
      <c r="I1817" s="103">
        <f t="shared" si="99"/>
        <v>1050</v>
      </c>
      <c r="J1817" s="103">
        <f t="shared" si="100"/>
        <v>612.49999999999989</v>
      </c>
    </row>
    <row r="1818" spans="1:10">
      <c r="A1818" s="102"/>
      <c r="B1818" s="102"/>
      <c r="C1818" s="103">
        <v>20000</v>
      </c>
      <c r="D1818" s="104" t="s">
        <v>1988</v>
      </c>
      <c r="E1818" s="103">
        <v>750</v>
      </c>
      <c r="F1818" s="102">
        <v>3</v>
      </c>
      <c r="G1818" s="208">
        <v>7.4999999999999997E-2</v>
      </c>
      <c r="H1818" s="102">
        <v>15</v>
      </c>
      <c r="I1818" s="103">
        <f t="shared" si="99"/>
        <v>2250</v>
      </c>
      <c r="J1818" s="103">
        <f t="shared" si="100"/>
        <v>1499.9999999999998</v>
      </c>
    </row>
    <row r="1819" spans="1:10">
      <c r="A1819" s="102"/>
      <c r="B1819" s="102"/>
      <c r="C1819" s="103">
        <v>10000</v>
      </c>
      <c r="D1819" s="104" t="s">
        <v>1711</v>
      </c>
      <c r="E1819" s="103">
        <v>1150</v>
      </c>
      <c r="F1819" s="102">
        <v>5</v>
      </c>
      <c r="G1819" s="208">
        <v>0.06</v>
      </c>
      <c r="H1819" s="102" t="s">
        <v>664</v>
      </c>
      <c r="I1819" s="103">
        <f t="shared" si="99"/>
        <v>750</v>
      </c>
      <c r="J1819" s="103">
        <f t="shared" si="100"/>
        <v>437.49999999999989</v>
      </c>
    </row>
    <row r="1820" spans="1:10">
      <c r="A1820" s="102">
        <v>244</v>
      </c>
      <c r="B1820" s="102" t="s">
        <v>3107</v>
      </c>
      <c r="C1820" s="103">
        <v>10000</v>
      </c>
      <c r="D1820" s="104" t="s">
        <v>1986</v>
      </c>
      <c r="E1820" s="103">
        <v>1150</v>
      </c>
      <c r="F1820" s="102">
        <v>8</v>
      </c>
      <c r="G1820" s="208">
        <v>0.06</v>
      </c>
      <c r="H1820" s="102" t="s">
        <v>664</v>
      </c>
      <c r="I1820" s="103">
        <f t="shared" si="99"/>
        <v>1200</v>
      </c>
      <c r="J1820" s="103">
        <f t="shared" si="100"/>
        <v>699.99999999999989</v>
      </c>
    </row>
    <row r="1821" spans="1:10">
      <c r="A1821" s="102"/>
      <c r="B1821" s="102"/>
      <c r="C1821" s="103">
        <v>20000</v>
      </c>
      <c r="D1821" s="104" t="s">
        <v>1986</v>
      </c>
      <c r="E1821" s="103">
        <v>750</v>
      </c>
      <c r="F1821" s="102">
        <v>4</v>
      </c>
      <c r="G1821" s="208">
        <v>7.4999999999999997E-2</v>
      </c>
      <c r="H1821" s="102">
        <v>15</v>
      </c>
      <c r="I1821" s="103">
        <f t="shared" si="99"/>
        <v>3000</v>
      </c>
      <c r="J1821" s="103">
        <f t="shared" si="100"/>
        <v>1999.9999999999998</v>
      </c>
    </row>
    <row r="1822" spans="1:10">
      <c r="A1822" s="102"/>
      <c r="B1822" s="102"/>
      <c r="C1822" s="103">
        <v>20000</v>
      </c>
      <c r="D1822" s="104" t="s">
        <v>2361</v>
      </c>
      <c r="E1822" s="103">
        <v>750</v>
      </c>
      <c r="F1822" s="102">
        <v>4</v>
      </c>
      <c r="G1822" s="208">
        <v>7.4999999999999997E-2</v>
      </c>
      <c r="H1822" s="102">
        <v>15</v>
      </c>
      <c r="I1822" s="103">
        <f t="shared" si="99"/>
        <v>3000</v>
      </c>
      <c r="J1822" s="103">
        <f t="shared" si="100"/>
        <v>1999.9999999999998</v>
      </c>
    </row>
    <row r="1823" spans="1:10">
      <c r="A1823" s="102"/>
      <c r="B1823" s="102"/>
      <c r="C1823" s="103">
        <v>20000</v>
      </c>
      <c r="D1823" s="104" t="s">
        <v>2361</v>
      </c>
      <c r="E1823" s="103">
        <v>2300</v>
      </c>
      <c r="F1823" s="102">
        <v>8</v>
      </c>
      <c r="G1823" s="208">
        <v>0.06</v>
      </c>
      <c r="H1823" s="102" t="s">
        <v>664</v>
      </c>
      <c r="I1823" s="103">
        <f t="shared" si="99"/>
        <v>2400</v>
      </c>
      <c r="J1823" s="103">
        <f t="shared" si="100"/>
        <v>1399.9999999999998</v>
      </c>
    </row>
    <row r="1824" spans="1:10">
      <c r="A1824" s="102"/>
      <c r="B1824" s="102"/>
      <c r="C1824" s="103">
        <v>20000</v>
      </c>
      <c r="D1824" s="104" t="s">
        <v>1519</v>
      </c>
      <c r="E1824" s="103">
        <v>750</v>
      </c>
      <c r="F1824" s="102">
        <v>1</v>
      </c>
      <c r="G1824" s="208">
        <v>7.4999999999999997E-2</v>
      </c>
      <c r="H1824" s="102">
        <v>15</v>
      </c>
      <c r="I1824" s="103">
        <f t="shared" si="99"/>
        <v>750</v>
      </c>
      <c r="J1824" s="103">
        <f t="shared" si="100"/>
        <v>499.99999999999994</v>
      </c>
    </row>
    <row r="1825" spans="1:10">
      <c r="A1825" s="102">
        <v>245</v>
      </c>
      <c r="B1825" s="102" t="s">
        <v>3108</v>
      </c>
      <c r="C1825" s="103">
        <v>10000</v>
      </c>
      <c r="D1825" s="104" t="s">
        <v>1986</v>
      </c>
      <c r="E1825" s="103">
        <v>1150</v>
      </c>
      <c r="F1825" s="102">
        <v>10</v>
      </c>
      <c r="G1825" s="208">
        <v>0.06</v>
      </c>
      <c r="H1825" s="102" t="s">
        <v>664</v>
      </c>
      <c r="I1825" s="103">
        <f t="shared" si="99"/>
        <v>1500</v>
      </c>
      <c r="J1825" s="103">
        <f t="shared" si="100"/>
        <v>874.99999999999977</v>
      </c>
    </row>
    <row r="1826" spans="1:10">
      <c r="A1826" s="102"/>
      <c r="B1826" s="102"/>
      <c r="C1826" s="103">
        <v>10000</v>
      </c>
      <c r="D1826" s="104" t="s">
        <v>1986</v>
      </c>
      <c r="E1826" s="103">
        <v>375</v>
      </c>
      <c r="F1826" s="102">
        <v>4</v>
      </c>
      <c r="G1826" s="208">
        <v>7.4999999999999997E-2</v>
      </c>
      <c r="H1826" s="102">
        <v>15</v>
      </c>
      <c r="I1826" s="103">
        <f t="shared" si="99"/>
        <v>1500</v>
      </c>
      <c r="J1826" s="103">
        <f t="shared" si="100"/>
        <v>999.99999999999989</v>
      </c>
    </row>
    <row r="1827" spans="1:10">
      <c r="A1827" s="102"/>
      <c r="B1827" s="102"/>
      <c r="C1827" s="103">
        <v>10000</v>
      </c>
      <c r="D1827" s="104" t="s">
        <v>1707</v>
      </c>
      <c r="E1827" s="103">
        <v>375</v>
      </c>
      <c r="F1827" s="102">
        <v>4</v>
      </c>
      <c r="G1827" s="208">
        <v>7.4999999999999997E-2</v>
      </c>
      <c r="H1827" s="102">
        <v>15</v>
      </c>
      <c r="I1827" s="103">
        <f t="shared" si="99"/>
        <v>1500</v>
      </c>
      <c r="J1827" s="103">
        <f t="shared" si="100"/>
        <v>999.99999999999989</v>
      </c>
    </row>
    <row r="1828" spans="1:10">
      <c r="A1828" s="102"/>
      <c r="B1828" s="102"/>
      <c r="C1828" s="103">
        <v>10000</v>
      </c>
      <c r="D1828" s="104" t="s">
        <v>1988</v>
      </c>
      <c r="E1828" s="103">
        <v>1150</v>
      </c>
      <c r="F1828" s="102">
        <v>5</v>
      </c>
      <c r="G1828" s="208">
        <v>0.06</v>
      </c>
      <c r="H1828" s="102" t="s">
        <v>664</v>
      </c>
      <c r="I1828" s="103">
        <f t="shared" si="99"/>
        <v>750</v>
      </c>
      <c r="J1828" s="103">
        <f t="shared" si="100"/>
        <v>437.49999999999989</v>
      </c>
    </row>
    <row r="1829" spans="1:10">
      <c r="A1829" s="102"/>
      <c r="B1829" s="102"/>
      <c r="C1829" s="103">
        <v>20000</v>
      </c>
      <c r="D1829" s="104" t="s">
        <v>1988</v>
      </c>
      <c r="E1829" s="103">
        <v>750</v>
      </c>
      <c r="F1829" s="102">
        <v>3</v>
      </c>
      <c r="G1829" s="208">
        <v>7.4999999999999997E-2</v>
      </c>
      <c r="H1829" s="102">
        <v>15</v>
      </c>
      <c r="I1829" s="103">
        <f t="shared" si="99"/>
        <v>2250</v>
      </c>
      <c r="J1829" s="103">
        <f t="shared" si="100"/>
        <v>1499.9999999999998</v>
      </c>
    </row>
    <row r="1830" spans="1:10">
      <c r="A1830" s="102"/>
      <c r="B1830" s="102"/>
      <c r="C1830" s="103">
        <v>10000</v>
      </c>
      <c r="D1830" s="104" t="s">
        <v>991</v>
      </c>
      <c r="E1830" s="103">
        <v>1150</v>
      </c>
      <c r="F1830" s="102">
        <v>3</v>
      </c>
      <c r="G1830" s="208">
        <v>0.06</v>
      </c>
      <c r="H1830" s="102" t="s">
        <v>664</v>
      </c>
      <c r="I1830" s="103">
        <f t="shared" si="99"/>
        <v>450</v>
      </c>
      <c r="J1830" s="103">
        <f t="shared" si="100"/>
        <v>262.49999999999994</v>
      </c>
    </row>
    <row r="1831" spans="1:10">
      <c r="A1831" s="102">
        <v>246</v>
      </c>
      <c r="B1831" s="102" t="s">
        <v>3109</v>
      </c>
      <c r="C1831" s="103">
        <v>10000</v>
      </c>
      <c r="D1831" s="104" t="s">
        <v>1986</v>
      </c>
      <c r="E1831" s="103">
        <v>375</v>
      </c>
      <c r="F1831" s="102">
        <v>4</v>
      </c>
      <c r="G1831" s="208">
        <v>7.4999999999999997E-2</v>
      </c>
      <c r="H1831" s="102">
        <v>15</v>
      </c>
      <c r="I1831" s="103">
        <f t="shared" si="99"/>
        <v>1500</v>
      </c>
      <c r="J1831" s="103">
        <f t="shared" si="100"/>
        <v>999.99999999999989</v>
      </c>
    </row>
    <row r="1832" spans="1:10">
      <c r="A1832" s="102"/>
      <c r="B1832" s="102"/>
      <c r="C1832" s="103">
        <v>10000</v>
      </c>
      <c r="D1832" s="104" t="s">
        <v>1986</v>
      </c>
      <c r="E1832" s="103">
        <v>1150</v>
      </c>
      <c r="F1832" s="102">
        <v>10</v>
      </c>
      <c r="G1832" s="208">
        <v>0.06</v>
      </c>
      <c r="H1832" s="102" t="s">
        <v>664</v>
      </c>
      <c r="I1832" s="103">
        <f t="shared" si="99"/>
        <v>1500</v>
      </c>
      <c r="J1832" s="103">
        <f t="shared" si="100"/>
        <v>874.99999999999977</v>
      </c>
    </row>
    <row r="1833" spans="1:10">
      <c r="A1833" s="102"/>
      <c r="B1833" s="102"/>
      <c r="C1833" s="103">
        <v>20000</v>
      </c>
      <c r="D1833" s="104" t="s">
        <v>1707</v>
      </c>
      <c r="E1833" s="103">
        <v>750</v>
      </c>
      <c r="F1833" s="102">
        <v>4</v>
      </c>
      <c r="G1833" s="208">
        <v>7.4999999999999997E-2</v>
      </c>
      <c r="H1833" s="102">
        <v>15</v>
      </c>
      <c r="I1833" s="103">
        <f t="shared" si="99"/>
        <v>3000</v>
      </c>
      <c r="J1833" s="103">
        <f t="shared" si="100"/>
        <v>1999.9999999999998</v>
      </c>
    </row>
    <row r="1834" spans="1:10">
      <c r="A1834" s="102"/>
      <c r="B1834" s="102"/>
      <c r="C1834" s="103">
        <v>10000</v>
      </c>
      <c r="D1834" s="104" t="s">
        <v>1707</v>
      </c>
      <c r="E1834" s="103">
        <v>1150</v>
      </c>
      <c r="F1834" s="102">
        <v>10</v>
      </c>
      <c r="G1834" s="208">
        <v>0.06</v>
      </c>
      <c r="H1834" s="102" t="s">
        <v>664</v>
      </c>
      <c r="I1834" s="103">
        <f t="shared" si="99"/>
        <v>1500</v>
      </c>
      <c r="J1834" s="103">
        <f t="shared" si="100"/>
        <v>874.99999999999977</v>
      </c>
    </row>
    <row r="1835" spans="1:10">
      <c r="A1835" s="102"/>
      <c r="B1835" s="102"/>
      <c r="C1835" s="103">
        <v>20000</v>
      </c>
      <c r="D1835" s="104" t="s">
        <v>2325</v>
      </c>
      <c r="E1835" s="103">
        <v>750</v>
      </c>
      <c r="F1835" s="102">
        <v>3</v>
      </c>
      <c r="G1835" s="208">
        <v>7.4999999999999997E-2</v>
      </c>
      <c r="H1835" s="102">
        <v>15</v>
      </c>
      <c r="I1835" s="103">
        <f t="shared" si="99"/>
        <v>2250</v>
      </c>
      <c r="J1835" s="103">
        <f t="shared" si="100"/>
        <v>1499.9999999999998</v>
      </c>
    </row>
    <row r="1836" spans="1:10">
      <c r="A1836" s="102"/>
      <c r="B1836" s="102"/>
      <c r="C1836" s="103">
        <v>10000</v>
      </c>
      <c r="D1836" s="104" t="s">
        <v>2325</v>
      </c>
      <c r="E1836" s="103">
        <v>1150</v>
      </c>
      <c r="F1836" s="102">
        <v>7</v>
      </c>
      <c r="G1836" s="208">
        <v>0.06</v>
      </c>
      <c r="H1836" s="102" t="s">
        <v>664</v>
      </c>
      <c r="I1836" s="103">
        <f t="shared" si="99"/>
        <v>1050</v>
      </c>
      <c r="J1836" s="103">
        <f t="shared" si="100"/>
        <v>612.49999999999989</v>
      </c>
    </row>
    <row r="1837" spans="1:10">
      <c r="A1837" s="102"/>
      <c r="B1837" s="102"/>
      <c r="C1837" s="103">
        <v>20000</v>
      </c>
      <c r="D1837" s="104" t="s">
        <v>3110</v>
      </c>
      <c r="E1837" s="103">
        <v>750</v>
      </c>
      <c r="F1837" s="102">
        <v>3</v>
      </c>
      <c r="G1837" s="208">
        <v>7.4999999999999997E-2</v>
      </c>
      <c r="H1837" s="102">
        <v>15</v>
      </c>
      <c r="I1837" s="103">
        <f t="shared" si="99"/>
        <v>2250</v>
      </c>
      <c r="J1837" s="103">
        <f t="shared" si="100"/>
        <v>1499.9999999999998</v>
      </c>
    </row>
    <row r="1838" spans="1:10">
      <c r="A1838" s="102"/>
      <c r="B1838" s="102"/>
      <c r="C1838" s="103">
        <v>20000</v>
      </c>
      <c r="D1838" s="104" t="s">
        <v>3111</v>
      </c>
      <c r="E1838" s="103">
        <v>2300</v>
      </c>
      <c r="F1838" s="102">
        <v>1</v>
      </c>
      <c r="G1838" s="208">
        <v>0.06</v>
      </c>
      <c r="H1838" s="102" t="s">
        <v>664</v>
      </c>
      <c r="I1838" s="103">
        <f t="shared" si="99"/>
        <v>300</v>
      </c>
      <c r="J1838" s="103">
        <f t="shared" si="100"/>
        <v>174.99999999999997</v>
      </c>
    </row>
    <row r="1839" spans="1:10">
      <c r="A1839" s="102">
        <v>247</v>
      </c>
      <c r="B1839" s="102" t="s">
        <v>3112</v>
      </c>
      <c r="C1839" s="103">
        <v>100000</v>
      </c>
      <c r="D1839" s="104" t="s">
        <v>2325</v>
      </c>
      <c r="E1839" s="103">
        <v>4875</v>
      </c>
      <c r="F1839" s="102">
        <v>18</v>
      </c>
      <c r="G1839" s="208">
        <v>7.4999999999999997E-2</v>
      </c>
      <c r="H1839" s="102">
        <v>15</v>
      </c>
      <c r="I1839" s="103">
        <f t="shared" si="99"/>
        <v>67500</v>
      </c>
      <c r="J1839" s="103">
        <f t="shared" si="100"/>
        <v>45000</v>
      </c>
    </row>
    <row r="1840" spans="1:10">
      <c r="A1840" s="102"/>
      <c r="B1840" s="102"/>
      <c r="C1840" s="103">
        <v>20000</v>
      </c>
      <c r="D1840" s="104" t="s">
        <v>981</v>
      </c>
      <c r="E1840" s="103">
        <v>1500</v>
      </c>
      <c r="F1840" s="102">
        <v>9</v>
      </c>
      <c r="G1840" s="208">
        <v>7.4999999999999997E-2</v>
      </c>
      <c r="H1840" s="102">
        <v>30</v>
      </c>
      <c r="I1840" s="103">
        <f t="shared" si="99"/>
        <v>13500</v>
      </c>
      <c r="J1840" s="103">
        <f t="shared" si="100"/>
        <v>8999.9999999999982</v>
      </c>
    </row>
    <row r="1841" spans="1:10">
      <c r="A1841" s="102"/>
      <c r="B1841" s="102"/>
      <c r="C1841" s="103">
        <v>20000</v>
      </c>
      <c r="D1841" s="104" t="s">
        <v>3705</v>
      </c>
      <c r="E1841" s="103">
        <v>750</v>
      </c>
      <c r="F1841" s="102">
        <v>13</v>
      </c>
      <c r="G1841" s="208">
        <v>7.4999999999999997E-2</v>
      </c>
      <c r="H1841" s="102">
        <v>15</v>
      </c>
      <c r="I1841" s="103">
        <f t="shared" si="99"/>
        <v>9750</v>
      </c>
      <c r="J1841" s="103">
        <f t="shared" si="100"/>
        <v>6499.9999999999991</v>
      </c>
    </row>
    <row r="1842" spans="1:10">
      <c r="A1842" s="102"/>
      <c r="B1842" s="102"/>
      <c r="C1842" s="103">
        <v>10000</v>
      </c>
      <c r="D1842" s="104" t="s">
        <v>976</v>
      </c>
      <c r="E1842" s="103">
        <v>375</v>
      </c>
      <c r="F1842" s="102">
        <v>10</v>
      </c>
      <c r="G1842" s="208">
        <v>7.4999999999999997E-2</v>
      </c>
      <c r="H1842" s="102">
        <v>15</v>
      </c>
      <c r="I1842" s="103">
        <f t="shared" si="99"/>
        <v>3750</v>
      </c>
      <c r="J1842" s="103">
        <f t="shared" si="100"/>
        <v>2499.9999999999995</v>
      </c>
    </row>
    <row r="1843" spans="1:10">
      <c r="A1843" s="102"/>
      <c r="B1843" s="102"/>
      <c r="C1843" s="103">
        <v>20000</v>
      </c>
      <c r="D1843" s="104" t="s">
        <v>3113</v>
      </c>
      <c r="E1843" s="103">
        <v>750</v>
      </c>
      <c r="F1843" s="102">
        <v>8</v>
      </c>
      <c r="G1843" s="208">
        <v>7.4999999999999997E-2</v>
      </c>
      <c r="H1843" s="102">
        <v>15</v>
      </c>
      <c r="I1843" s="103">
        <f t="shared" si="99"/>
        <v>6000</v>
      </c>
      <c r="J1843" s="103">
        <f t="shared" si="100"/>
        <v>3999.9999999999995</v>
      </c>
    </row>
    <row r="1844" spans="1:10">
      <c r="A1844" s="102">
        <v>248</v>
      </c>
      <c r="B1844" s="102" t="s">
        <v>3114</v>
      </c>
      <c r="C1844" s="103">
        <v>10000</v>
      </c>
      <c r="D1844" s="104" t="s">
        <v>3115</v>
      </c>
      <c r="E1844" s="103">
        <v>1150</v>
      </c>
      <c r="F1844" s="102">
        <v>10</v>
      </c>
      <c r="G1844" s="208">
        <v>0.06</v>
      </c>
      <c r="H1844" s="102" t="s">
        <v>664</v>
      </c>
      <c r="I1844" s="103">
        <f t="shared" si="99"/>
        <v>1500</v>
      </c>
      <c r="J1844" s="103">
        <f t="shared" si="100"/>
        <v>874.99999999999977</v>
      </c>
    </row>
    <row r="1845" spans="1:10">
      <c r="A1845" s="102"/>
      <c r="B1845" s="102"/>
      <c r="C1845" s="103">
        <v>10000</v>
      </c>
      <c r="D1845" s="104" t="s">
        <v>3115</v>
      </c>
      <c r="E1845" s="103">
        <v>375</v>
      </c>
      <c r="F1845" s="102">
        <v>6</v>
      </c>
      <c r="G1845" s="208">
        <v>7.4999999999999997E-2</v>
      </c>
      <c r="H1845" s="102">
        <v>15</v>
      </c>
      <c r="I1845" s="103">
        <f t="shared" si="99"/>
        <v>2250</v>
      </c>
      <c r="J1845" s="103">
        <f t="shared" si="100"/>
        <v>1499.9999999999998</v>
      </c>
    </row>
    <row r="1846" spans="1:10">
      <c r="A1846" s="102"/>
      <c r="B1846" s="102"/>
      <c r="C1846" s="103">
        <v>10000</v>
      </c>
      <c r="D1846" s="104" t="s">
        <v>3116</v>
      </c>
      <c r="E1846" s="103">
        <v>1150</v>
      </c>
      <c r="F1846" s="102">
        <v>3</v>
      </c>
      <c r="G1846" s="208">
        <v>0.06</v>
      </c>
      <c r="H1846" s="102" t="s">
        <v>664</v>
      </c>
      <c r="I1846" s="103">
        <f t="shared" si="99"/>
        <v>450</v>
      </c>
      <c r="J1846" s="103">
        <f t="shared" si="100"/>
        <v>262.49999999999994</v>
      </c>
    </row>
    <row r="1847" spans="1:10">
      <c r="A1847" s="102"/>
      <c r="B1847" s="102"/>
      <c r="C1847" s="103">
        <v>20000</v>
      </c>
      <c r="D1847" s="104" t="s">
        <v>973</v>
      </c>
      <c r="E1847" s="103">
        <v>750</v>
      </c>
      <c r="F1847" s="102">
        <v>1</v>
      </c>
      <c r="G1847" s="208">
        <v>7.4999999999999997E-2</v>
      </c>
      <c r="H1847" s="102">
        <v>15</v>
      </c>
      <c r="I1847" s="103">
        <f t="shared" si="99"/>
        <v>750</v>
      </c>
      <c r="J1847" s="103">
        <f t="shared" si="100"/>
        <v>499.99999999999994</v>
      </c>
    </row>
    <row r="1848" spans="1:10">
      <c r="A1848" s="102"/>
      <c r="B1848" s="102"/>
      <c r="C1848" s="103">
        <v>10000</v>
      </c>
      <c r="D1848" s="104" t="s">
        <v>1684</v>
      </c>
      <c r="E1848" s="103">
        <v>375</v>
      </c>
      <c r="F1848" s="102">
        <v>20</v>
      </c>
      <c r="G1848" s="208">
        <v>7.4999999999999997E-2</v>
      </c>
      <c r="H1848" s="102">
        <v>15</v>
      </c>
      <c r="I1848" s="103">
        <f t="shared" si="99"/>
        <v>7500</v>
      </c>
      <c r="J1848" s="103">
        <f t="shared" si="100"/>
        <v>4999.9999999999991</v>
      </c>
    </row>
    <row r="1849" spans="1:10">
      <c r="A1849" s="102"/>
      <c r="B1849" s="102"/>
      <c r="C1849" s="103">
        <v>10000</v>
      </c>
      <c r="D1849" s="104" t="s">
        <v>684</v>
      </c>
      <c r="E1849" s="103">
        <v>375</v>
      </c>
      <c r="F1849" s="102">
        <v>19</v>
      </c>
      <c r="G1849" s="208">
        <v>7.4999999999999997E-2</v>
      </c>
      <c r="H1849" s="102">
        <v>15</v>
      </c>
      <c r="I1849" s="103">
        <f t="shared" si="99"/>
        <v>7125</v>
      </c>
      <c r="J1849" s="103">
        <f t="shared" si="100"/>
        <v>4749.9999999999991</v>
      </c>
    </row>
    <row r="1850" spans="1:10">
      <c r="A1850" s="102"/>
      <c r="B1850" s="102"/>
      <c r="C1850" s="103">
        <v>10000</v>
      </c>
      <c r="D1850" s="104" t="s">
        <v>3117</v>
      </c>
      <c r="E1850" s="103">
        <v>375</v>
      </c>
      <c r="F1850" s="102">
        <v>4</v>
      </c>
      <c r="G1850" s="208">
        <v>7.4999999999999997E-2</v>
      </c>
      <c r="H1850" s="102">
        <v>15</v>
      </c>
      <c r="I1850" s="103">
        <f t="shared" si="99"/>
        <v>1500</v>
      </c>
      <c r="J1850" s="103">
        <f t="shared" si="100"/>
        <v>999.99999999999989</v>
      </c>
    </row>
    <row r="1851" spans="1:10">
      <c r="A1851" s="102">
        <v>249</v>
      </c>
      <c r="B1851" s="102" t="s">
        <v>3118</v>
      </c>
      <c r="C1851" s="103">
        <v>40000</v>
      </c>
      <c r="D1851" s="104" t="s">
        <v>2361</v>
      </c>
      <c r="E1851" s="103">
        <v>1500</v>
      </c>
      <c r="F1851" s="102">
        <v>4</v>
      </c>
      <c r="G1851" s="208">
        <v>7.4999999999999997E-2</v>
      </c>
      <c r="H1851" s="102">
        <v>15</v>
      </c>
      <c r="I1851" s="103">
        <f t="shared" si="99"/>
        <v>6000</v>
      </c>
      <c r="J1851" s="103">
        <f t="shared" si="100"/>
        <v>3999.9999999999995</v>
      </c>
    </row>
    <row r="1852" spans="1:10">
      <c r="A1852" s="102"/>
      <c r="B1852" s="102"/>
      <c r="C1852" s="103">
        <v>20000</v>
      </c>
      <c r="D1852" s="104" t="s">
        <v>2361</v>
      </c>
      <c r="E1852" s="103">
        <v>750</v>
      </c>
      <c r="F1852" s="102">
        <v>3</v>
      </c>
      <c r="G1852" s="208">
        <v>7.4999999999999997E-2</v>
      </c>
      <c r="H1852" s="102">
        <v>15</v>
      </c>
      <c r="I1852" s="103">
        <f t="shared" si="99"/>
        <v>2250</v>
      </c>
      <c r="J1852" s="103">
        <f t="shared" si="100"/>
        <v>1499.9999999999998</v>
      </c>
    </row>
    <row r="1853" spans="1:10">
      <c r="A1853" s="102"/>
      <c r="B1853" s="102"/>
      <c r="C1853" s="103">
        <v>20000</v>
      </c>
      <c r="D1853" s="104" t="s">
        <v>2361</v>
      </c>
      <c r="E1853" s="103">
        <v>2300</v>
      </c>
      <c r="F1853" s="102">
        <v>10</v>
      </c>
      <c r="G1853" s="208">
        <v>0.06</v>
      </c>
      <c r="H1853" s="102" t="s">
        <v>664</v>
      </c>
      <c r="I1853" s="103">
        <f t="shared" si="99"/>
        <v>3000</v>
      </c>
      <c r="J1853" s="103">
        <f t="shared" si="100"/>
        <v>1749.9999999999995</v>
      </c>
    </row>
    <row r="1854" spans="1:10">
      <c r="A1854" s="102"/>
      <c r="B1854" s="102"/>
      <c r="C1854" s="103">
        <v>20000</v>
      </c>
      <c r="D1854" s="104" t="s">
        <v>3119</v>
      </c>
      <c r="E1854" s="103">
        <v>2300</v>
      </c>
      <c r="F1854" s="102">
        <v>10</v>
      </c>
      <c r="G1854" s="208">
        <v>0.06</v>
      </c>
      <c r="H1854" s="102" t="s">
        <v>664</v>
      </c>
      <c r="I1854" s="103">
        <f t="shared" si="99"/>
        <v>3000</v>
      </c>
      <c r="J1854" s="103">
        <f t="shared" si="100"/>
        <v>1749.9999999999995</v>
      </c>
    </row>
    <row r="1855" spans="1:10">
      <c r="A1855" s="102">
        <v>250</v>
      </c>
      <c r="B1855" s="102" t="s">
        <v>3120</v>
      </c>
      <c r="C1855" s="103">
        <v>20000</v>
      </c>
      <c r="D1855" s="104" t="s">
        <v>1707</v>
      </c>
      <c r="E1855" s="103">
        <v>2300</v>
      </c>
      <c r="F1855" s="102">
        <v>10</v>
      </c>
      <c r="G1855" s="208">
        <v>0.06</v>
      </c>
      <c r="H1855" s="102" t="s">
        <v>664</v>
      </c>
      <c r="I1855" s="103">
        <f t="shared" si="99"/>
        <v>3000</v>
      </c>
      <c r="J1855" s="103">
        <f t="shared" si="100"/>
        <v>1749.9999999999995</v>
      </c>
    </row>
    <row r="1856" spans="1:10">
      <c r="A1856" s="102"/>
      <c r="B1856" s="102"/>
      <c r="C1856" s="103">
        <v>50000</v>
      </c>
      <c r="D1856" s="104" t="s">
        <v>1707</v>
      </c>
      <c r="E1856" s="103">
        <v>1875</v>
      </c>
      <c r="F1856" s="102">
        <v>5</v>
      </c>
      <c r="G1856" s="208">
        <v>7.4999999999999997E-2</v>
      </c>
      <c r="H1856" s="102">
        <v>15</v>
      </c>
      <c r="I1856" s="103">
        <f t="shared" si="99"/>
        <v>9375</v>
      </c>
      <c r="J1856" s="103">
        <f t="shared" si="100"/>
        <v>6250</v>
      </c>
    </row>
    <row r="1857" spans="1:10">
      <c r="A1857" s="102"/>
      <c r="B1857" s="102"/>
      <c r="C1857" s="103">
        <v>40000</v>
      </c>
      <c r="D1857" s="104" t="s">
        <v>1707</v>
      </c>
      <c r="E1857" s="103">
        <v>1500</v>
      </c>
      <c r="F1857" s="102">
        <v>3</v>
      </c>
      <c r="G1857" s="208">
        <v>7.4999999999999997E-2</v>
      </c>
      <c r="H1857" s="102">
        <v>15</v>
      </c>
      <c r="I1857" s="103">
        <f t="shared" si="99"/>
        <v>4500</v>
      </c>
      <c r="J1857" s="103">
        <f t="shared" si="100"/>
        <v>2999.9999999999995</v>
      </c>
    </row>
    <row r="1858" spans="1:10">
      <c r="A1858" s="102"/>
      <c r="B1858" s="102"/>
      <c r="C1858" s="103">
        <v>20000</v>
      </c>
      <c r="D1858" s="104" t="s">
        <v>1707</v>
      </c>
      <c r="E1858" s="103">
        <v>750</v>
      </c>
      <c r="F1858" s="102">
        <v>4</v>
      </c>
      <c r="G1858" s="208">
        <v>7.4999999999999997E-2</v>
      </c>
      <c r="H1858" s="102">
        <v>15</v>
      </c>
      <c r="I1858" s="103">
        <f t="shared" si="99"/>
        <v>3000</v>
      </c>
      <c r="J1858" s="103">
        <f t="shared" si="100"/>
        <v>1999.9999999999998</v>
      </c>
    </row>
    <row r="1859" spans="1:10">
      <c r="A1859" s="102"/>
      <c r="B1859" s="102"/>
      <c r="C1859" s="103">
        <v>20000</v>
      </c>
      <c r="D1859" s="104" t="s">
        <v>3116</v>
      </c>
      <c r="E1859" s="103">
        <v>2300</v>
      </c>
      <c r="F1859" s="102">
        <v>10</v>
      </c>
      <c r="G1859" s="208">
        <v>0.06</v>
      </c>
      <c r="H1859" s="102" t="s">
        <v>664</v>
      </c>
      <c r="I1859" s="103">
        <f t="shared" si="99"/>
        <v>3000</v>
      </c>
      <c r="J1859" s="103">
        <f t="shared" si="100"/>
        <v>1749.9999999999995</v>
      </c>
    </row>
    <row r="1860" spans="1:10">
      <c r="A1860" s="102"/>
      <c r="B1860" s="102"/>
      <c r="C1860" s="103">
        <v>20000</v>
      </c>
      <c r="D1860" s="104" t="s">
        <v>3121</v>
      </c>
      <c r="E1860" s="103">
        <v>2300</v>
      </c>
      <c r="F1860" s="102">
        <v>9</v>
      </c>
      <c r="G1860" s="208">
        <v>0.06</v>
      </c>
      <c r="H1860" s="102" t="s">
        <v>664</v>
      </c>
      <c r="I1860" s="103">
        <f t="shared" si="99"/>
        <v>2700</v>
      </c>
      <c r="J1860" s="103">
        <f t="shared" si="100"/>
        <v>1574.9999999999998</v>
      </c>
    </row>
    <row r="1861" spans="1:10">
      <c r="A1861" s="102"/>
      <c r="B1861" s="102"/>
      <c r="C1861" s="103">
        <v>10000</v>
      </c>
      <c r="D1861" s="104" t="s">
        <v>3121</v>
      </c>
      <c r="E1861" s="103">
        <v>1150</v>
      </c>
      <c r="F1861" s="102">
        <v>8</v>
      </c>
      <c r="G1861" s="208">
        <v>0.06</v>
      </c>
      <c r="H1861" s="102" t="s">
        <v>664</v>
      </c>
      <c r="I1861" s="103">
        <f t="shared" ref="I1861:I1906" si="101">IF(H1861="分期",C1861*G1861*2.5*F1861/10,C1861*G1861*H1861/30*F1861)</f>
        <v>1200</v>
      </c>
      <c r="J1861" s="103">
        <f t="shared" ref="J1861:J1906" si="102">IF(H1861="分期",C1861*(G1861-0.025)*2.5*F1861/10,C1861*(G1861-0.025)*H1861/30*F1861)</f>
        <v>699.99999999999989</v>
      </c>
    </row>
    <row r="1862" spans="1:10">
      <c r="A1862" s="102"/>
      <c r="B1862" s="102"/>
      <c r="C1862" s="103">
        <v>20000</v>
      </c>
      <c r="D1862" s="104" t="s">
        <v>656</v>
      </c>
      <c r="E1862" s="103">
        <v>2300</v>
      </c>
      <c r="F1862" s="102">
        <v>10</v>
      </c>
      <c r="G1862" s="208">
        <v>0.06</v>
      </c>
      <c r="H1862" s="102" t="s">
        <v>664</v>
      </c>
      <c r="I1862" s="103">
        <f t="shared" si="101"/>
        <v>3000</v>
      </c>
      <c r="J1862" s="103">
        <f t="shared" si="102"/>
        <v>1749.9999999999995</v>
      </c>
    </row>
    <row r="1863" spans="1:10">
      <c r="A1863" s="102"/>
      <c r="B1863" s="102"/>
      <c r="C1863" s="103">
        <v>10000</v>
      </c>
      <c r="D1863" s="104" t="s">
        <v>656</v>
      </c>
      <c r="E1863" s="103">
        <v>375</v>
      </c>
      <c r="F1863" s="102">
        <v>6</v>
      </c>
      <c r="G1863" s="208">
        <v>7.4999999999999997E-2</v>
      </c>
      <c r="H1863" s="102">
        <v>15</v>
      </c>
      <c r="I1863" s="103">
        <f t="shared" si="101"/>
        <v>2250</v>
      </c>
      <c r="J1863" s="103">
        <f t="shared" si="102"/>
        <v>1499.9999999999998</v>
      </c>
    </row>
    <row r="1864" spans="1:10">
      <c r="A1864" s="102"/>
      <c r="B1864" s="102"/>
      <c r="C1864" s="103">
        <v>20000</v>
      </c>
      <c r="D1864" s="104" t="s">
        <v>3122</v>
      </c>
      <c r="E1864" s="103">
        <v>2300</v>
      </c>
      <c r="F1864" s="102">
        <v>4</v>
      </c>
      <c r="G1864" s="208">
        <v>0.06</v>
      </c>
      <c r="H1864" s="102" t="s">
        <v>664</v>
      </c>
      <c r="I1864" s="103">
        <f t="shared" si="101"/>
        <v>1200</v>
      </c>
      <c r="J1864" s="103">
        <f t="shared" si="102"/>
        <v>699.99999999999989</v>
      </c>
    </row>
    <row r="1865" spans="1:10" s="99" customFormat="1">
      <c r="A1865" s="111">
        <v>251</v>
      </c>
      <c r="B1865" s="111" t="s">
        <v>3123</v>
      </c>
      <c r="C1865" s="115">
        <v>20000</v>
      </c>
      <c r="D1865" s="104">
        <v>1216</v>
      </c>
      <c r="E1865" s="115">
        <v>2300</v>
      </c>
      <c r="F1865" s="102">
        <v>10</v>
      </c>
      <c r="G1865" s="208">
        <v>0.06</v>
      </c>
      <c r="H1865" s="102" t="s">
        <v>664</v>
      </c>
      <c r="I1865" s="115">
        <f t="shared" si="101"/>
        <v>3000</v>
      </c>
      <c r="J1865" s="115">
        <f t="shared" si="102"/>
        <v>1749.9999999999995</v>
      </c>
    </row>
    <row r="1866" spans="1:10" s="99" customFormat="1">
      <c r="A1866" s="111"/>
      <c r="B1866" s="111"/>
      <c r="C1866" s="115">
        <v>10000</v>
      </c>
      <c r="D1866" s="104">
        <v>1216</v>
      </c>
      <c r="E1866" s="115">
        <v>375</v>
      </c>
      <c r="F1866" s="102">
        <v>17</v>
      </c>
      <c r="G1866" s="208">
        <v>7.4999999999999997E-2</v>
      </c>
      <c r="H1866" s="102">
        <v>15</v>
      </c>
      <c r="I1866" s="115">
        <f t="shared" si="101"/>
        <v>6375</v>
      </c>
      <c r="J1866" s="115">
        <f t="shared" si="102"/>
        <v>4249.9999999999991</v>
      </c>
    </row>
    <row r="1867" spans="1:10" s="99" customFormat="1">
      <c r="A1867" s="111"/>
      <c r="B1867" s="111"/>
      <c r="C1867" s="115">
        <v>20000</v>
      </c>
      <c r="D1867" s="104" t="s">
        <v>962</v>
      </c>
      <c r="E1867" s="115">
        <v>2300</v>
      </c>
      <c r="F1867" s="102">
        <v>10</v>
      </c>
      <c r="G1867" s="208">
        <v>0.06</v>
      </c>
      <c r="H1867" s="102" t="s">
        <v>664</v>
      </c>
      <c r="I1867" s="115">
        <f t="shared" si="101"/>
        <v>3000</v>
      </c>
      <c r="J1867" s="115">
        <f t="shared" si="102"/>
        <v>1749.9999999999995</v>
      </c>
    </row>
    <row r="1868" spans="1:10" s="99" customFormat="1">
      <c r="A1868" s="111"/>
      <c r="B1868" s="111"/>
      <c r="C1868" s="115">
        <v>10000</v>
      </c>
      <c r="D1868" s="129" t="s">
        <v>337</v>
      </c>
      <c r="E1868" s="115">
        <v>375</v>
      </c>
      <c r="F1868" s="102">
        <v>14</v>
      </c>
      <c r="G1868" s="208">
        <v>7.4999999999999997E-2</v>
      </c>
      <c r="H1868" s="102">
        <v>15</v>
      </c>
      <c r="I1868" s="115">
        <f t="shared" si="101"/>
        <v>5250</v>
      </c>
      <c r="J1868" s="115">
        <f t="shared" si="102"/>
        <v>3499.9999999999995</v>
      </c>
    </row>
    <row r="1869" spans="1:10" s="99" customFormat="1">
      <c r="A1869" s="111"/>
      <c r="B1869" s="111"/>
      <c r="C1869" s="115">
        <v>30000</v>
      </c>
      <c r="D1869" s="104" t="s">
        <v>1671</v>
      </c>
      <c r="E1869" s="115">
        <v>1125</v>
      </c>
      <c r="F1869" s="102">
        <v>21</v>
      </c>
      <c r="G1869" s="208">
        <v>7.4999999999999997E-2</v>
      </c>
      <c r="H1869" s="102">
        <v>15</v>
      </c>
      <c r="I1869" s="115">
        <f t="shared" si="101"/>
        <v>23625</v>
      </c>
      <c r="J1869" s="115">
        <f t="shared" si="102"/>
        <v>15749.999999999998</v>
      </c>
    </row>
    <row r="1870" spans="1:10" s="99" customFormat="1">
      <c r="A1870" s="111"/>
      <c r="B1870" s="111"/>
      <c r="C1870" s="115">
        <v>10000</v>
      </c>
      <c r="D1870" s="104" t="s">
        <v>962</v>
      </c>
      <c r="E1870" s="115">
        <v>375</v>
      </c>
      <c r="F1870" s="102">
        <v>4</v>
      </c>
      <c r="G1870" s="208">
        <v>7.4999999999999997E-2</v>
      </c>
      <c r="H1870" s="102">
        <v>15</v>
      </c>
      <c r="I1870" s="115">
        <f t="shared" si="101"/>
        <v>1500</v>
      </c>
      <c r="J1870" s="115">
        <f t="shared" si="102"/>
        <v>999.99999999999989</v>
      </c>
    </row>
    <row r="1871" spans="1:10" s="99" customFormat="1">
      <c r="A1871" s="111"/>
      <c r="B1871" s="111"/>
      <c r="C1871" s="115">
        <v>20000</v>
      </c>
      <c r="D1871" s="104" t="s">
        <v>1522</v>
      </c>
      <c r="E1871" s="115">
        <v>2300</v>
      </c>
      <c r="F1871" s="102">
        <v>10</v>
      </c>
      <c r="G1871" s="208">
        <v>0.06</v>
      </c>
      <c r="H1871" s="102" t="s">
        <v>664</v>
      </c>
      <c r="I1871" s="115">
        <f t="shared" si="101"/>
        <v>3000</v>
      </c>
      <c r="J1871" s="115">
        <f t="shared" si="102"/>
        <v>1749.9999999999995</v>
      </c>
    </row>
    <row r="1872" spans="1:10" s="99" customFormat="1">
      <c r="A1872" s="111"/>
      <c r="B1872" s="111"/>
      <c r="C1872" s="115">
        <v>10000</v>
      </c>
      <c r="D1872" s="129" t="s">
        <v>338</v>
      </c>
      <c r="E1872" s="115">
        <v>375</v>
      </c>
      <c r="F1872" s="102">
        <v>13</v>
      </c>
      <c r="G1872" s="208">
        <v>7.4999999999999997E-2</v>
      </c>
      <c r="H1872" s="102">
        <v>15</v>
      </c>
      <c r="I1872" s="115">
        <f t="shared" si="101"/>
        <v>4875</v>
      </c>
      <c r="J1872" s="115">
        <f t="shared" si="102"/>
        <v>3249.9999999999995</v>
      </c>
    </row>
    <row r="1873" spans="1:10" s="99" customFormat="1">
      <c r="A1873" s="111">
        <v>252</v>
      </c>
      <c r="B1873" s="111" t="s">
        <v>3126</v>
      </c>
      <c r="C1873" s="115">
        <v>20000</v>
      </c>
      <c r="D1873" s="104" t="s">
        <v>3127</v>
      </c>
      <c r="E1873" s="115">
        <v>2300</v>
      </c>
      <c r="F1873" s="102">
        <v>10</v>
      </c>
      <c r="G1873" s="208">
        <v>0.06</v>
      </c>
      <c r="H1873" s="102" t="s">
        <v>664</v>
      </c>
      <c r="I1873" s="115">
        <f t="shared" si="101"/>
        <v>3000</v>
      </c>
      <c r="J1873" s="115">
        <f t="shared" si="102"/>
        <v>1749.9999999999995</v>
      </c>
    </row>
    <row r="1874" spans="1:10" s="99" customFormat="1">
      <c r="A1874" s="111"/>
      <c r="B1874" s="111"/>
      <c r="C1874" s="115">
        <v>20000</v>
      </c>
      <c r="D1874" s="104" t="s">
        <v>3127</v>
      </c>
      <c r="E1874" s="115">
        <v>750</v>
      </c>
      <c r="F1874" s="102">
        <v>31</v>
      </c>
      <c r="G1874" s="208">
        <v>7.4999999999999997E-2</v>
      </c>
      <c r="H1874" s="102">
        <v>15</v>
      </c>
      <c r="I1874" s="115">
        <f t="shared" si="101"/>
        <v>23250</v>
      </c>
      <c r="J1874" s="115">
        <f t="shared" si="102"/>
        <v>15499.999999999998</v>
      </c>
    </row>
    <row r="1875" spans="1:10" s="99" customFormat="1">
      <c r="A1875" s="111"/>
      <c r="B1875" s="111"/>
      <c r="C1875" s="115">
        <v>10000</v>
      </c>
      <c r="D1875" s="104" t="s">
        <v>1008</v>
      </c>
      <c r="E1875" s="115">
        <v>1150</v>
      </c>
      <c r="F1875" s="102">
        <v>10</v>
      </c>
      <c r="G1875" s="208">
        <v>0.06</v>
      </c>
      <c r="H1875" s="102" t="s">
        <v>664</v>
      </c>
      <c r="I1875" s="115">
        <f t="shared" si="101"/>
        <v>1500</v>
      </c>
      <c r="J1875" s="115">
        <f t="shared" si="102"/>
        <v>874.99999999999977</v>
      </c>
    </row>
    <row r="1876" spans="1:10" s="99" customFormat="1">
      <c r="A1876" s="111"/>
      <c r="B1876" s="111"/>
      <c r="C1876" s="115">
        <v>20000</v>
      </c>
      <c r="D1876" s="104" t="s">
        <v>3128</v>
      </c>
      <c r="E1876" s="115">
        <v>2300</v>
      </c>
      <c r="F1876" s="102">
        <v>10</v>
      </c>
      <c r="G1876" s="208">
        <v>0.06</v>
      </c>
      <c r="H1876" s="102" t="s">
        <v>664</v>
      </c>
      <c r="I1876" s="115">
        <f t="shared" si="101"/>
        <v>3000</v>
      </c>
      <c r="J1876" s="115">
        <f t="shared" si="102"/>
        <v>1749.9999999999995</v>
      </c>
    </row>
    <row r="1877" spans="1:10" s="99" customFormat="1">
      <c r="A1877" s="111"/>
      <c r="B1877" s="111"/>
      <c r="C1877" s="115">
        <v>10000</v>
      </c>
      <c r="D1877" s="104" t="s">
        <v>3129</v>
      </c>
      <c r="E1877" s="115">
        <v>1150</v>
      </c>
      <c r="F1877" s="102">
        <v>10</v>
      </c>
      <c r="G1877" s="208">
        <v>0.06</v>
      </c>
      <c r="H1877" s="102" t="s">
        <v>664</v>
      </c>
      <c r="I1877" s="115">
        <f t="shared" si="101"/>
        <v>1500</v>
      </c>
      <c r="J1877" s="115">
        <f t="shared" si="102"/>
        <v>874.99999999999977</v>
      </c>
    </row>
    <row r="1878" spans="1:10" s="99" customFormat="1">
      <c r="A1878" s="111"/>
      <c r="B1878" s="111"/>
      <c r="C1878" s="115">
        <v>10000</v>
      </c>
      <c r="D1878" s="104" t="s">
        <v>648</v>
      </c>
      <c r="E1878" s="115">
        <v>1150</v>
      </c>
      <c r="F1878" s="102">
        <v>10</v>
      </c>
      <c r="G1878" s="208">
        <v>0.06</v>
      </c>
      <c r="H1878" s="102" t="s">
        <v>664</v>
      </c>
      <c r="I1878" s="115">
        <f t="shared" si="101"/>
        <v>1500</v>
      </c>
      <c r="J1878" s="115">
        <f t="shared" si="102"/>
        <v>874.99999999999977</v>
      </c>
    </row>
    <row r="1879" spans="1:10" s="99" customFormat="1">
      <c r="A1879" s="111"/>
      <c r="B1879" s="111"/>
      <c r="C1879" s="115">
        <v>10000</v>
      </c>
      <c r="D1879" s="104" t="s">
        <v>3130</v>
      </c>
      <c r="E1879" s="115">
        <v>1150</v>
      </c>
      <c r="F1879" s="102">
        <v>9</v>
      </c>
      <c r="G1879" s="208">
        <v>0.06</v>
      </c>
      <c r="H1879" s="102" t="s">
        <v>664</v>
      </c>
      <c r="I1879" s="115">
        <f t="shared" si="101"/>
        <v>1350</v>
      </c>
      <c r="J1879" s="115">
        <f t="shared" si="102"/>
        <v>787.49999999999989</v>
      </c>
    </row>
    <row r="1880" spans="1:10" s="99" customFormat="1">
      <c r="A1880" s="111"/>
      <c r="B1880" s="111"/>
      <c r="C1880" s="115">
        <v>10000</v>
      </c>
      <c r="D1880" s="104" t="s">
        <v>656</v>
      </c>
      <c r="E1880" s="115">
        <v>1150</v>
      </c>
      <c r="F1880" s="102">
        <v>10</v>
      </c>
      <c r="G1880" s="208">
        <v>0.06</v>
      </c>
      <c r="H1880" s="102" t="s">
        <v>664</v>
      </c>
      <c r="I1880" s="115">
        <f t="shared" si="101"/>
        <v>1500</v>
      </c>
      <c r="J1880" s="115">
        <f t="shared" si="102"/>
        <v>874.99999999999977</v>
      </c>
    </row>
    <row r="1881" spans="1:10" s="99" customFormat="1">
      <c r="A1881" s="111"/>
      <c r="B1881" s="111"/>
      <c r="C1881" s="115">
        <v>10000</v>
      </c>
      <c r="D1881" s="104" t="s">
        <v>1668</v>
      </c>
      <c r="E1881" s="115">
        <v>375</v>
      </c>
      <c r="F1881" s="102">
        <v>11</v>
      </c>
      <c r="G1881" s="208">
        <v>7.4999999999999997E-2</v>
      </c>
      <c r="H1881" s="102">
        <v>15</v>
      </c>
      <c r="I1881" s="115">
        <f t="shared" si="101"/>
        <v>4125</v>
      </c>
      <c r="J1881" s="115">
        <f t="shared" si="102"/>
        <v>2749.9999999999995</v>
      </c>
    </row>
    <row r="1882" spans="1:10" s="99" customFormat="1">
      <c r="A1882" s="111"/>
      <c r="B1882" s="111"/>
      <c r="C1882" s="115">
        <v>20000</v>
      </c>
      <c r="D1882" s="104" t="s">
        <v>3404</v>
      </c>
      <c r="E1882" s="115">
        <v>2300</v>
      </c>
      <c r="F1882" s="102">
        <v>10</v>
      </c>
      <c r="G1882" s="208">
        <v>0.06</v>
      </c>
      <c r="H1882" s="102" t="s">
        <v>664</v>
      </c>
      <c r="I1882" s="115">
        <f t="shared" si="101"/>
        <v>3000</v>
      </c>
      <c r="J1882" s="115">
        <f t="shared" si="102"/>
        <v>1749.9999999999995</v>
      </c>
    </row>
    <row r="1883" spans="1:10" s="99" customFormat="1">
      <c r="A1883" s="111"/>
      <c r="B1883" s="111"/>
      <c r="C1883" s="115">
        <v>20000</v>
      </c>
      <c r="D1883" s="104" t="s">
        <v>1715</v>
      </c>
      <c r="E1883" s="115">
        <v>2300</v>
      </c>
      <c r="F1883" s="102">
        <v>8</v>
      </c>
      <c r="G1883" s="208">
        <v>0.06</v>
      </c>
      <c r="H1883" s="102" t="s">
        <v>664</v>
      </c>
      <c r="I1883" s="115">
        <f t="shared" si="101"/>
        <v>2400</v>
      </c>
      <c r="J1883" s="115">
        <f t="shared" si="102"/>
        <v>1399.9999999999998</v>
      </c>
    </row>
    <row r="1884" spans="1:10" s="99" customFormat="1">
      <c r="A1884" s="111">
        <v>253</v>
      </c>
      <c r="B1884" s="111" t="s">
        <v>3131</v>
      </c>
      <c r="C1884" s="115">
        <v>15000</v>
      </c>
      <c r="D1884" s="104" t="s">
        <v>3404</v>
      </c>
      <c r="E1884" s="115">
        <v>565</v>
      </c>
      <c r="F1884" s="102">
        <v>3</v>
      </c>
      <c r="G1884" s="208">
        <v>7.4999999999999997E-2</v>
      </c>
      <c r="H1884" s="102">
        <v>15</v>
      </c>
      <c r="I1884" s="115">
        <f t="shared" si="101"/>
        <v>1687.5</v>
      </c>
      <c r="J1884" s="115">
        <f t="shared" si="102"/>
        <v>1124.9999999999998</v>
      </c>
    </row>
    <row r="1885" spans="1:10" s="99" customFormat="1">
      <c r="A1885" s="111"/>
      <c r="B1885" s="111"/>
      <c r="C1885" s="115">
        <v>30000</v>
      </c>
      <c r="D1885" s="104" t="s">
        <v>2328</v>
      </c>
      <c r="E1885" s="115">
        <v>1125</v>
      </c>
      <c r="F1885" s="102">
        <v>24</v>
      </c>
      <c r="G1885" s="208">
        <v>7.4999999999999997E-2</v>
      </c>
      <c r="H1885" s="102">
        <v>15</v>
      </c>
      <c r="I1885" s="115">
        <f t="shared" si="101"/>
        <v>27000</v>
      </c>
      <c r="J1885" s="115">
        <f t="shared" si="102"/>
        <v>17999.999999999996</v>
      </c>
    </row>
    <row r="1886" spans="1:10" s="99" customFormat="1">
      <c r="A1886" s="111"/>
      <c r="B1886" s="111"/>
      <c r="C1886" s="115">
        <v>30000</v>
      </c>
      <c r="D1886" s="104" t="s">
        <v>1525</v>
      </c>
      <c r="E1886" s="115">
        <v>1125</v>
      </c>
      <c r="F1886" s="102">
        <v>22</v>
      </c>
      <c r="G1886" s="208">
        <v>7.4999999999999997E-2</v>
      </c>
      <c r="H1886" s="102">
        <v>15</v>
      </c>
      <c r="I1886" s="115">
        <f t="shared" si="101"/>
        <v>24750</v>
      </c>
      <c r="J1886" s="115">
        <f t="shared" si="102"/>
        <v>16499.999999999996</v>
      </c>
    </row>
    <row r="1887" spans="1:10" s="99" customFormat="1">
      <c r="A1887" s="111"/>
      <c r="B1887" s="111"/>
      <c r="C1887" s="115">
        <v>15000</v>
      </c>
      <c r="D1887" s="104" t="s">
        <v>1525</v>
      </c>
      <c r="E1887" s="115">
        <v>1725</v>
      </c>
      <c r="F1887" s="102">
        <v>10</v>
      </c>
      <c r="G1887" s="208">
        <v>0.06</v>
      </c>
      <c r="H1887" s="102" t="s">
        <v>664</v>
      </c>
      <c r="I1887" s="115">
        <f t="shared" si="101"/>
        <v>2250</v>
      </c>
      <c r="J1887" s="115">
        <f t="shared" si="102"/>
        <v>1312.5</v>
      </c>
    </row>
    <row r="1888" spans="1:10" s="99" customFormat="1">
      <c r="A1888" s="111"/>
      <c r="B1888" s="111"/>
      <c r="C1888" s="115">
        <v>10000</v>
      </c>
      <c r="D1888" s="104" t="s">
        <v>3705</v>
      </c>
      <c r="E1888" s="115">
        <v>375</v>
      </c>
      <c r="F1888" s="102">
        <v>20</v>
      </c>
      <c r="G1888" s="208">
        <v>7.4999999999999997E-2</v>
      </c>
      <c r="H1888" s="102">
        <v>15</v>
      </c>
      <c r="I1888" s="115">
        <f t="shared" si="101"/>
        <v>7500</v>
      </c>
      <c r="J1888" s="115">
        <f t="shared" si="102"/>
        <v>4999.9999999999991</v>
      </c>
    </row>
    <row r="1889" spans="1:10" s="99" customFormat="1">
      <c r="A1889" s="111"/>
      <c r="B1889" s="111"/>
      <c r="C1889" s="115">
        <v>20000</v>
      </c>
      <c r="D1889" s="104" t="s">
        <v>3709</v>
      </c>
      <c r="E1889" s="115">
        <v>750</v>
      </c>
      <c r="F1889" s="102">
        <v>19</v>
      </c>
      <c r="G1889" s="208">
        <v>7.4999999999999997E-2</v>
      </c>
      <c r="H1889" s="102">
        <v>15</v>
      </c>
      <c r="I1889" s="115">
        <f t="shared" si="101"/>
        <v>14250</v>
      </c>
      <c r="J1889" s="115">
        <f t="shared" si="102"/>
        <v>9499.9999999999982</v>
      </c>
    </row>
    <row r="1890" spans="1:10" s="99" customFormat="1">
      <c r="A1890" s="111"/>
      <c r="B1890" s="111"/>
      <c r="C1890" s="115">
        <v>15000</v>
      </c>
      <c r="D1890" s="104" t="s">
        <v>997</v>
      </c>
      <c r="E1890" s="115">
        <v>1725</v>
      </c>
      <c r="F1890" s="102">
        <v>10</v>
      </c>
      <c r="G1890" s="208">
        <v>0.06</v>
      </c>
      <c r="H1890" s="102" t="s">
        <v>664</v>
      </c>
      <c r="I1890" s="115">
        <f t="shared" si="101"/>
        <v>2250</v>
      </c>
      <c r="J1890" s="115">
        <f t="shared" si="102"/>
        <v>1312.5</v>
      </c>
    </row>
    <row r="1891" spans="1:10" s="99" customFormat="1">
      <c r="A1891" s="111">
        <v>254</v>
      </c>
      <c r="B1891" s="111" t="s">
        <v>3132</v>
      </c>
      <c r="C1891" s="115">
        <v>50000</v>
      </c>
      <c r="D1891" s="104" t="s">
        <v>3133</v>
      </c>
      <c r="E1891" s="115">
        <v>1875</v>
      </c>
      <c r="F1891" s="102">
        <v>8</v>
      </c>
      <c r="G1891" s="208">
        <v>7.4999999999999997E-2</v>
      </c>
      <c r="H1891" s="102">
        <v>15</v>
      </c>
      <c r="I1891" s="115">
        <f t="shared" si="101"/>
        <v>15000</v>
      </c>
      <c r="J1891" s="115">
        <f t="shared" si="102"/>
        <v>10000</v>
      </c>
    </row>
    <row r="1892" spans="1:10" s="99" customFormat="1">
      <c r="A1892" s="111"/>
      <c r="B1892" s="111"/>
      <c r="C1892" s="115">
        <v>30000</v>
      </c>
      <c r="D1892" s="104" t="s">
        <v>3133</v>
      </c>
      <c r="E1892" s="115">
        <v>1125</v>
      </c>
      <c r="F1892" s="102">
        <v>6</v>
      </c>
      <c r="G1892" s="208">
        <v>7.4999999999999997E-2</v>
      </c>
      <c r="H1892" s="102">
        <v>15</v>
      </c>
      <c r="I1892" s="115">
        <f t="shared" si="101"/>
        <v>6750</v>
      </c>
      <c r="J1892" s="115">
        <f t="shared" si="102"/>
        <v>4499.9999999999991</v>
      </c>
    </row>
    <row r="1893" spans="1:10" s="99" customFormat="1">
      <c r="A1893" s="111"/>
      <c r="B1893" s="111"/>
      <c r="C1893" s="115">
        <v>10000</v>
      </c>
      <c r="D1893" s="104" t="s">
        <v>3133</v>
      </c>
      <c r="E1893" s="115">
        <v>375</v>
      </c>
      <c r="F1893" s="102">
        <v>4</v>
      </c>
      <c r="G1893" s="208">
        <v>7.4999999999999997E-2</v>
      </c>
      <c r="H1893" s="102">
        <v>15</v>
      </c>
      <c r="I1893" s="115">
        <f t="shared" si="101"/>
        <v>1500</v>
      </c>
      <c r="J1893" s="115">
        <f t="shared" si="102"/>
        <v>999.99999999999989</v>
      </c>
    </row>
    <row r="1894" spans="1:10" s="99" customFormat="1">
      <c r="A1894" s="111"/>
      <c r="B1894" s="111"/>
      <c r="C1894" s="115">
        <v>30000</v>
      </c>
      <c r="D1894" s="104" t="s">
        <v>3133</v>
      </c>
      <c r="E1894" s="115">
        <v>1125</v>
      </c>
      <c r="F1894" s="102">
        <v>16</v>
      </c>
      <c r="G1894" s="208">
        <v>7.4999999999999997E-2</v>
      </c>
      <c r="H1894" s="102">
        <v>15</v>
      </c>
      <c r="I1894" s="115">
        <f t="shared" si="101"/>
        <v>18000</v>
      </c>
      <c r="J1894" s="115">
        <f t="shared" si="102"/>
        <v>11999.999999999998</v>
      </c>
    </row>
    <row r="1895" spans="1:10" s="99" customFormat="1">
      <c r="A1895" s="111"/>
      <c r="B1895" s="111"/>
      <c r="C1895" s="115">
        <v>10000</v>
      </c>
      <c r="D1895" s="104" t="s">
        <v>1990</v>
      </c>
      <c r="E1895" s="115">
        <v>375</v>
      </c>
      <c r="F1895" s="102">
        <v>9</v>
      </c>
      <c r="G1895" s="208">
        <v>7.4999999999999997E-2</v>
      </c>
      <c r="H1895" s="102">
        <v>15</v>
      </c>
      <c r="I1895" s="115">
        <f t="shared" si="101"/>
        <v>3375</v>
      </c>
      <c r="J1895" s="115">
        <f t="shared" si="102"/>
        <v>2249.9999999999995</v>
      </c>
    </row>
    <row r="1896" spans="1:10" s="99" customFormat="1">
      <c r="A1896" s="111"/>
      <c r="B1896" s="111"/>
      <c r="C1896" s="115">
        <v>10000</v>
      </c>
      <c r="D1896" s="104" t="s">
        <v>3407</v>
      </c>
      <c r="E1896" s="115">
        <v>375</v>
      </c>
      <c r="F1896" s="102">
        <v>4</v>
      </c>
      <c r="G1896" s="208">
        <v>7.4999999999999997E-2</v>
      </c>
      <c r="H1896" s="102">
        <v>15</v>
      </c>
      <c r="I1896" s="115">
        <f t="shared" si="101"/>
        <v>1500</v>
      </c>
      <c r="J1896" s="115">
        <f t="shared" si="102"/>
        <v>999.99999999999989</v>
      </c>
    </row>
    <row r="1897" spans="1:10" s="99" customFormat="1">
      <c r="A1897" s="111"/>
      <c r="B1897" s="111"/>
      <c r="C1897" s="115">
        <v>10000</v>
      </c>
      <c r="D1897" s="104" t="s">
        <v>651</v>
      </c>
      <c r="E1897" s="115">
        <v>375</v>
      </c>
      <c r="F1897" s="102">
        <v>9</v>
      </c>
      <c r="G1897" s="208">
        <v>7.4999999999999997E-2</v>
      </c>
      <c r="H1897" s="102">
        <v>15</v>
      </c>
      <c r="I1897" s="115">
        <f t="shared" si="101"/>
        <v>3375</v>
      </c>
      <c r="J1897" s="115">
        <f t="shared" si="102"/>
        <v>2249.9999999999995</v>
      </c>
    </row>
    <row r="1898" spans="1:10" s="99" customFormat="1">
      <c r="A1898" s="111"/>
      <c r="B1898" s="111"/>
      <c r="C1898" s="115">
        <v>10000</v>
      </c>
      <c r="D1898" s="104" t="s">
        <v>1696</v>
      </c>
      <c r="E1898" s="115">
        <v>375</v>
      </c>
      <c r="F1898" s="102">
        <v>8</v>
      </c>
      <c r="G1898" s="208">
        <v>7.4999999999999997E-2</v>
      </c>
      <c r="H1898" s="102">
        <v>15</v>
      </c>
      <c r="I1898" s="115">
        <f t="shared" si="101"/>
        <v>3000</v>
      </c>
      <c r="J1898" s="115">
        <f t="shared" si="102"/>
        <v>1999.9999999999998</v>
      </c>
    </row>
    <row r="1899" spans="1:10" s="99" customFormat="1">
      <c r="A1899" s="111"/>
      <c r="B1899" s="111"/>
      <c r="C1899" s="115">
        <v>30000</v>
      </c>
      <c r="D1899" s="104" t="s">
        <v>1672</v>
      </c>
      <c r="E1899" s="115">
        <v>1125</v>
      </c>
      <c r="F1899" s="102">
        <v>9</v>
      </c>
      <c r="G1899" s="208">
        <v>7.4999999999999997E-2</v>
      </c>
      <c r="H1899" s="102">
        <v>15</v>
      </c>
      <c r="I1899" s="115">
        <f t="shared" si="101"/>
        <v>10125</v>
      </c>
      <c r="J1899" s="115">
        <f t="shared" si="102"/>
        <v>6749.9999999999991</v>
      </c>
    </row>
    <row r="1900" spans="1:10" s="99" customFormat="1">
      <c r="A1900" s="111"/>
      <c r="B1900" s="111"/>
      <c r="C1900" s="115">
        <v>10000</v>
      </c>
      <c r="D1900" s="104" t="s">
        <v>1976</v>
      </c>
      <c r="E1900" s="115">
        <v>375</v>
      </c>
      <c r="F1900" s="102">
        <v>8</v>
      </c>
      <c r="G1900" s="208">
        <v>7.4999999999999997E-2</v>
      </c>
      <c r="H1900" s="102">
        <v>15</v>
      </c>
      <c r="I1900" s="115">
        <f t="shared" si="101"/>
        <v>3000</v>
      </c>
      <c r="J1900" s="115">
        <f t="shared" si="102"/>
        <v>1999.9999999999998</v>
      </c>
    </row>
    <row r="1901" spans="1:10" s="99" customFormat="1">
      <c r="A1901" s="111"/>
      <c r="B1901" s="111"/>
      <c r="C1901" s="115">
        <v>10000</v>
      </c>
      <c r="D1901" s="104" t="s">
        <v>1984</v>
      </c>
      <c r="E1901" s="115">
        <v>375</v>
      </c>
      <c r="F1901" s="102">
        <v>4</v>
      </c>
      <c r="G1901" s="208">
        <v>7.4999999999999997E-2</v>
      </c>
      <c r="H1901" s="102">
        <v>15</v>
      </c>
      <c r="I1901" s="115">
        <f t="shared" si="101"/>
        <v>1500</v>
      </c>
      <c r="J1901" s="115">
        <f t="shared" si="102"/>
        <v>999.99999999999989</v>
      </c>
    </row>
    <row r="1902" spans="1:10" s="99" customFormat="1">
      <c r="A1902" s="111">
        <v>255</v>
      </c>
      <c r="B1902" s="111" t="s">
        <v>3136</v>
      </c>
      <c r="C1902" s="115">
        <v>30000</v>
      </c>
      <c r="D1902" s="129" t="s">
        <v>339</v>
      </c>
      <c r="E1902" s="115">
        <v>2250</v>
      </c>
      <c r="F1902" s="102">
        <v>1</v>
      </c>
      <c r="G1902" s="208">
        <f>E1902/(C1902*H1902/30)</f>
        <v>7.4999999999999997E-2</v>
      </c>
      <c r="H1902" s="102">
        <v>30</v>
      </c>
      <c r="I1902" s="115">
        <f t="shared" si="101"/>
        <v>2250</v>
      </c>
      <c r="J1902" s="115">
        <f t="shared" si="102"/>
        <v>1499.9999999999998</v>
      </c>
    </row>
    <row r="1903" spans="1:10" s="99" customFormat="1">
      <c r="A1903" s="111"/>
      <c r="B1903" s="111"/>
      <c r="C1903" s="115">
        <v>25000</v>
      </c>
      <c r="D1903" s="129" t="s">
        <v>339</v>
      </c>
      <c r="E1903" s="115">
        <v>1875</v>
      </c>
      <c r="F1903" s="102">
        <v>1</v>
      </c>
      <c r="G1903" s="208">
        <f>E1903/(C1903*H1903/30)</f>
        <v>7.4999999999999997E-2</v>
      </c>
      <c r="H1903" s="102">
        <v>30</v>
      </c>
      <c r="I1903" s="115">
        <f t="shared" si="101"/>
        <v>1875</v>
      </c>
      <c r="J1903" s="115">
        <f t="shared" si="102"/>
        <v>1250</v>
      </c>
    </row>
    <row r="1904" spans="1:10" s="99" customFormat="1">
      <c r="A1904" s="111"/>
      <c r="B1904" s="111"/>
      <c r="C1904" s="115">
        <v>20000</v>
      </c>
      <c r="D1904" s="129" t="s">
        <v>339</v>
      </c>
      <c r="E1904" s="115">
        <v>1500</v>
      </c>
      <c r="F1904" s="102">
        <v>1</v>
      </c>
      <c r="G1904" s="208">
        <f>E1904/(C1904*H1904/30)</f>
        <v>7.4999999999999997E-2</v>
      </c>
      <c r="H1904" s="102">
        <v>30</v>
      </c>
      <c r="I1904" s="115">
        <f t="shared" si="101"/>
        <v>1500</v>
      </c>
      <c r="J1904" s="115">
        <f t="shared" si="102"/>
        <v>999.99999999999989</v>
      </c>
    </row>
    <row r="1905" spans="1:10" s="99" customFormat="1">
      <c r="A1905" s="111"/>
      <c r="B1905" s="111"/>
      <c r="C1905" s="115">
        <v>10000</v>
      </c>
      <c r="D1905" s="129" t="s">
        <v>339</v>
      </c>
      <c r="E1905" s="115">
        <v>750</v>
      </c>
      <c r="F1905" s="102">
        <v>2</v>
      </c>
      <c r="G1905" s="208">
        <f>E1905/(C1905*H1905/30)</f>
        <v>7.4999999999999997E-2</v>
      </c>
      <c r="H1905" s="102">
        <v>30</v>
      </c>
      <c r="I1905" s="115">
        <f t="shared" si="101"/>
        <v>1500</v>
      </c>
      <c r="J1905" s="115">
        <f t="shared" si="102"/>
        <v>999.99999999999989</v>
      </c>
    </row>
    <row r="1906" spans="1:10" s="99" customFormat="1">
      <c r="A1906" s="111"/>
      <c r="B1906" s="111"/>
      <c r="C1906" s="115">
        <v>5000</v>
      </c>
      <c r="D1906" s="129" t="s">
        <v>339</v>
      </c>
      <c r="E1906" s="115">
        <v>375</v>
      </c>
      <c r="F1906" s="102">
        <v>1</v>
      </c>
      <c r="G1906" s="208">
        <f>E1906/(C1906*H1906/30)</f>
        <v>7.4999999999999997E-2</v>
      </c>
      <c r="H1906" s="102">
        <v>30</v>
      </c>
      <c r="I1906" s="115">
        <f t="shared" si="101"/>
        <v>375</v>
      </c>
      <c r="J1906" s="115">
        <f t="shared" si="102"/>
        <v>249.99999999999997</v>
      </c>
    </row>
    <row r="1907" spans="1:10" s="99" customFormat="1">
      <c r="A1907" s="111"/>
      <c r="B1907" s="111"/>
      <c r="C1907" s="115">
        <v>20000</v>
      </c>
      <c r="D1907" s="129" t="s">
        <v>340</v>
      </c>
      <c r="E1907" s="115">
        <v>6500</v>
      </c>
      <c r="F1907" s="102">
        <v>2</v>
      </c>
      <c r="G1907" s="208">
        <v>7.4999999999999997E-2</v>
      </c>
      <c r="H1907" s="130" t="s">
        <v>354</v>
      </c>
      <c r="I1907" s="131">
        <f>1500+1125</f>
        <v>2625</v>
      </c>
      <c r="J1907" s="115">
        <f>I1907/3*2</f>
        <v>1750</v>
      </c>
    </row>
    <row r="1908" spans="1:10" s="99" customFormat="1">
      <c r="A1908" s="111"/>
      <c r="B1908" s="111"/>
      <c r="C1908" s="115">
        <v>20000</v>
      </c>
      <c r="D1908" s="129" t="s">
        <v>341</v>
      </c>
      <c r="E1908" s="115">
        <v>6500</v>
      </c>
      <c r="F1908" s="102">
        <v>4</v>
      </c>
      <c r="G1908" s="208">
        <v>7.4999999999999997E-2</v>
      </c>
      <c r="H1908" s="130" t="s">
        <v>354</v>
      </c>
      <c r="I1908" s="115">
        <f>1500+1125+750+375</f>
        <v>3750</v>
      </c>
      <c r="J1908" s="115">
        <f>I1908/3*2</f>
        <v>2500</v>
      </c>
    </row>
    <row r="1909" spans="1:10" s="99" customFormat="1">
      <c r="A1909" s="111"/>
      <c r="B1909" s="111"/>
      <c r="C1909" s="115">
        <v>10000</v>
      </c>
      <c r="D1909" s="129" t="s">
        <v>342</v>
      </c>
      <c r="E1909" s="115">
        <v>5750</v>
      </c>
      <c r="F1909" s="102">
        <v>2</v>
      </c>
      <c r="G1909" s="208">
        <v>7.4999999999999997E-2</v>
      </c>
      <c r="H1909" s="130" t="s">
        <v>356</v>
      </c>
      <c r="I1909" s="115">
        <f>750+750</f>
        <v>1500</v>
      </c>
      <c r="J1909" s="115">
        <f>I1909/3*2</f>
        <v>1000</v>
      </c>
    </row>
    <row r="1910" spans="1:10" s="99" customFormat="1">
      <c r="A1910" s="111">
        <v>256</v>
      </c>
      <c r="B1910" s="111" t="s">
        <v>3141</v>
      </c>
      <c r="C1910" s="115">
        <v>20000</v>
      </c>
      <c r="D1910" s="129" t="s">
        <v>343</v>
      </c>
      <c r="E1910" s="115">
        <v>750</v>
      </c>
      <c r="F1910" s="102">
        <v>3</v>
      </c>
      <c r="G1910" s="208">
        <v>7.4999999999999997E-2</v>
      </c>
      <c r="H1910" s="102">
        <v>15</v>
      </c>
      <c r="I1910" s="115">
        <f>IF(H1910="分期",C1910*G1910*2.5*F1910/10,C1910*G1910*H1910/30*F1910)</f>
        <v>2250</v>
      </c>
      <c r="J1910" s="115">
        <f>IF(H1910="分期",C1910*(G1910-0.025)*2.5*F1910/10,C1910*(G1910-0.025)*H1910/30*F1910)</f>
        <v>1499.9999999999998</v>
      </c>
    </row>
    <row r="1911" spans="1:10" s="99" customFormat="1">
      <c r="A1911" s="111"/>
      <c r="B1911" s="111"/>
      <c r="C1911" s="115">
        <v>20000</v>
      </c>
      <c r="D1911" s="104" t="s">
        <v>3142</v>
      </c>
      <c r="E1911" s="115">
        <v>750</v>
      </c>
      <c r="F1911" s="102">
        <v>24</v>
      </c>
      <c r="G1911" s="208">
        <v>7.4999999999999997E-2</v>
      </c>
      <c r="H1911" s="102">
        <v>15</v>
      </c>
      <c r="I1911" s="115">
        <f>IF(H1911="分期",C1911*G1911*2.5*F1911/10,C1911*G1911*H1911/30*F1911)</f>
        <v>18000</v>
      </c>
      <c r="J1911" s="115">
        <f>IF(H1911="分期",C1911*(G1911-0.025)*2.5*F1911/10,C1911*(G1911-0.025)*H1911/30*F1911)</f>
        <v>11999.999999999998</v>
      </c>
    </row>
    <row r="1912" spans="1:10" s="99" customFormat="1">
      <c r="A1912" s="111"/>
      <c r="B1912" s="111"/>
      <c r="C1912" s="115">
        <v>20000</v>
      </c>
      <c r="D1912" s="104" t="s">
        <v>3705</v>
      </c>
      <c r="E1912" s="115">
        <v>2300</v>
      </c>
      <c r="F1912" s="102">
        <v>8</v>
      </c>
      <c r="G1912" s="208">
        <v>0.06</v>
      </c>
      <c r="H1912" s="102" t="s">
        <v>664</v>
      </c>
      <c r="I1912" s="115">
        <f>IF(H1912="分期",C1912*G1912*2.5*F1912/10,C1912*G1912*H1912/30*F1912)</f>
        <v>2400</v>
      </c>
      <c r="J1912" s="115">
        <f>IF(H1912="分期",C1912*(G1912-0.025)*2.5*F1912/10,C1912*(G1912-0.025)*H1912/30*F1912)</f>
        <v>1399.9999999999998</v>
      </c>
    </row>
    <row r="1913" spans="1:10" s="99" customFormat="1">
      <c r="A1913" s="111"/>
      <c r="B1913" s="111"/>
      <c r="C1913" s="115">
        <v>2000</v>
      </c>
      <c r="D1913" s="129" t="s">
        <v>344</v>
      </c>
      <c r="E1913" s="115">
        <v>1150</v>
      </c>
      <c r="F1913" s="102">
        <v>2</v>
      </c>
      <c r="G1913" s="208">
        <v>0.3</v>
      </c>
      <c r="H1913" s="130" t="s">
        <v>355</v>
      </c>
      <c r="I1913" s="115">
        <f>IF(H1913="分期-2期",C1913*G1913*2.5*F1913/10,C1913*G1913*H1913/30*F1913)</f>
        <v>300</v>
      </c>
      <c r="J1913" s="115">
        <f>IF(H1913="分期-2期",C1913*(G1913-0.025)*2.5*F1913/10,C1913*(G1913-0.025)*H1913/30*F1913)</f>
        <v>274.99999999999994</v>
      </c>
    </row>
    <row r="1914" spans="1:10" s="99" customFormat="1">
      <c r="A1914" s="111"/>
      <c r="B1914" s="111"/>
      <c r="C1914" s="115">
        <v>20000</v>
      </c>
      <c r="D1914" s="104" t="s">
        <v>960</v>
      </c>
      <c r="E1914" s="115">
        <v>750</v>
      </c>
      <c r="F1914" s="106">
        <v>22</v>
      </c>
      <c r="G1914" s="208">
        <v>7.4999999999999997E-2</v>
      </c>
      <c r="H1914" s="102">
        <v>15</v>
      </c>
      <c r="I1914" s="115">
        <f t="shared" ref="I1914:I1959" si="103">IF(H1914="分期",C1914*G1914*2.5*F1914/10,C1914*G1914*H1914/30*F1914)</f>
        <v>16500</v>
      </c>
      <c r="J1914" s="115">
        <f t="shared" ref="J1914:J1959" si="104">IF(H1914="分期",C1914*(G1914-0.025)*2.5*F1914/10,C1914*(G1914-0.025)*H1914/30*F1914)</f>
        <v>10999.999999999998</v>
      </c>
    </row>
    <row r="1915" spans="1:10" s="99" customFormat="1">
      <c r="A1915" s="111"/>
      <c r="B1915" s="111"/>
      <c r="C1915" s="115">
        <v>10000</v>
      </c>
      <c r="D1915" s="104" t="s">
        <v>2346</v>
      </c>
      <c r="E1915" s="115">
        <v>1150</v>
      </c>
      <c r="F1915" s="102">
        <v>8</v>
      </c>
      <c r="G1915" s="208">
        <v>0.06</v>
      </c>
      <c r="H1915" s="102" t="s">
        <v>664</v>
      </c>
      <c r="I1915" s="115">
        <f t="shared" si="103"/>
        <v>1200</v>
      </c>
      <c r="J1915" s="115">
        <f t="shared" si="104"/>
        <v>699.99999999999989</v>
      </c>
    </row>
    <row r="1916" spans="1:10" s="99" customFormat="1">
      <c r="A1916" s="111"/>
      <c r="B1916" s="111"/>
      <c r="C1916" s="115">
        <v>10000</v>
      </c>
      <c r="D1916" s="104" t="s">
        <v>3143</v>
      </c>
      <c r="E1916" s="115">
        <v>1150</v>
      </c>
      <c r="F1916" s="102">
        <v>10</v>
      </c>
      <c r="G1916" s="208">
        <v>0.06</v>
      </c>
      <c r="H1916" s="102" t="s">
        <v>664</v>
      </c>
      <c r="I1916" s="115">
        <f t="shared" si="103"/>
        <v>1500</v>
      </c>
      <c r="J1916" s="115">
        <f t="shared" si="104"/>
        <v>874.99999999999977</v>
      </c>
    </row>
    <row r="1917" spans="1:10" s="99" customFormat="1">
      <c r="A1917" s="111"/>
      <c r="B1917" s="111"/>
      <c r="C1917" s="115">
        <v>10000</v>
      </c>
      <c r="D1917" s="104" t="s">
        <v>2346</v>
      </c>
      <c r="E1917" s="115">
        <v>375</v>
      </c>
      <c r="F1917" s="102">
        <v>14</v>
      </c>
      <c r="G1917" s="208">
        <v>7.4999999999999997E-2</v>
      </c>
      <c r="H1917" s="102">
        <v>15</v>
      </c>
      <c r="I1917" s="115">
        <f t="shared" si="103"/>
        <v>5250</v>
      </c>
      <c r="J1917" s="115">
        <f t="shared" si="104"/>
        <v>3499.9999999999995</v>
      </c>
    </row>
    <row r="1918" spans="1:10" s="99" customFormat="1">
      <c r="A1918" s="111"/>
      <c r="B1918" s="111"/>
      <c r="C1918" s="115">
        <v>10000</v>
      </c>
      <c r="D1918" s="104" t="s">
        <v>1726</v>
      </c>
      <c r="E1918" s="115">
        <v>1150</v>
      </c>
      <c r="F1918" s="102">
        <v>10</v>
      </c>
      <c r="G1918" s="208">
        <v>0.06</v>
      </c>
      <c r="H1918" s="102" t="s">
        <v>664</v>
      </c>
      <c r="I1918" s="115">
        <f t="shared" si="103"/>
        <v>1500</v>
      </c>
      <c r="J1918" s="115">
        <f t="shared" si="104"/>
        <v>874.99999999999977</v>
      </c>
    </row>
    <row r="1919" spans="1:10" s="99" customFormat="1">
      <c r="A1919" s="111"/>
      <c r="B1919" s="111"/>
      <c r="C1919" s="115">
        <v>10000</v>
      </c>
      <c r="D1919" s="104" t="s">
        <v>3145</v>
      </c>
      <c r="E1919" s="115">
        <v>1150</v>
      </c>
      <c r="F1919" s="102">
        <v>10</v>
      </c>
      <c r="G1919" s="208">
        <v>0.06</v>
      </c>
      <c r="H1919" s="102" t="s">
        <v>664</v>
      </c>
      <c r="I1919" s="115">
        <f t="shared" si="103"/>
        <v>1500</v>
      </c>
      <c r="J1919" s="115">
        <f t="shared" si="104"/>
        <v>874.99999999999977</v>
      </c>
    </row>
    <row r="1920" spans="1:10" s="99" customFormat="1">
      <c r="A1920" s="111"/>
      <c r="B1920" s="111"/>
      <c r="C1920" s="115">
        <v>10000</v>
      </c>
      <c r="D1920" s="104" t="s">
        <v>972</v>
      </c>
      <c r="E1920" s="115">
        <v>375</v>
      </c>
      <c r="F1920" s="102">
        <v>2</v>
      </c>
      <c r="G1920" s="208">
        <v>7.4999999999999997E-2</v>
      </c>
      <c r="H1920" s="102">
        <v>15</v>
      </c>
      <c r="I1920" s="115">
        <f t="shared" si="103"/>
        <v>750</v>
      </c>
      <c r="J1920" s="115">
        <f t="shared" si="104"/>
        <v>499.99999999999994</v>
      </c>
    </row>
    <row r="1921" spans="1:10" s="99" customFormat="1">
      <c r="A1921" s="111">
        <v>257</v>
      </c>
      <c r="B1921" s="111" t="s">
        <v>3146</v>
      </c>
      <c r="C1921" s="115">
        <v>10000</v>
      </c>
      <c r="D1921" s="104" t="s">
        <v>2325</v>
      </c>
      <c r="E1921" s="115">
        <v>375</v>
      </c>
      <c r="F1921" s="102">
        <v>6</v>
      </c>
      <c r="G1921" s="208">
        <v>7.4999999999999997E-2</v>
      </c>
      <c r="H1921" s="102">
        <v>15</v>
      </c>
      <c r="I1921" s="115">
        <f t="shared" si="103"/>
        <v>2250</v>
      </c>
      <c r="J1921" s="115">
        <f t="shared" si="104"/>
        <v>1499.9999999999998</v>
      </c>
    </row>
    <row r="1922" spans="1:10" s="99" customFormat="1">
      <c r="A1922" s="111"/>
      <c r="B1922" s="111"/>
      <c r="C1922" s="115">
        <v>20000</v>
      </c>
      <c r="D1922" s="104" t="s">
        <v>3145</v>
      </c>
      <c r="E1922" s="115">
        <v>750</v>
      </c>
      <c r="F1922" s="102">
        <v>28</v>
      </c>
      <c r="G1922" s="208">
        <v>7.4999999999999997E-2</v>
      </c>
      <c r="H1922" s="102">
        <v>15</v>
      </c>
      <c r="I1922" s="115">
        <f t="shared" si="103"/>
        <v>21000</v>
      </c>
      <c r="J1922" s="115">
        <f t="shared" si="104"/>
        <v>13999.999999999998</v>
      </c>
    </row>
    <row r="1923" spans="1:10" s="99" customFormat="1">
      <c r="A1923" s="111"/>
      <c r="B1923" s="111"/>
      <c r="C1923" s="115">
        <v>10000</v>
      </c>
      <c r="D1923" s="104" t="s">
        <v>1684</v>
      </c>
      <c r="E1923" s="115">
        <v>1150</v>
      </c>
      <c r="F1923" s="102">
        <v>10</v>
      </c>
      <c r="G1923" s="208">
        <v>0.06</v>
      </c>
      <c r="H1923" s="102" t="s">
        <v>664</v>
      </c>
      <c r="I1923" s="115">
        <f t="shared" si="103"/>
        <v>1500</v>
      </c>
      <c r="J1923" s="115">
        <f t="shared" si="104"/>
        <v>874.99999999999977</v>
      </c>
    </row>
    <row r="1924" spans="1:10" s="99" customFormat="1">
      <c r="A1924" s="111">
        <v>258</v>
      </c>
      <c r="B1924" s="111" t="s">
        <v>3148</v>
      </c>
      <c r="C1924" s="115">
        <v>10000</v>
      </c>
      <c r="D1924" s="104" t="s">
        <v>2325</v>
      </c>
      <c r="E1924" s="115">
        <v>1150</v>
      </c>
      <c r="F1924" s="102">
        <v>10</v>
      </c>
      <c r="G1924" s="208">
        <v>0.06</v>
      </c>
      <c r="H1924" s="102" t="s">
        <v>664</v>
      </c>
      <c r="I1924" s="115">
        <f t="shared" si="103"/>
        <v>1500</v>
      </c>
      <c r="J1924" s="115">
        <f t="shared" si="104"/>
        <v>874.99999999999977</v>
      </c>
    </row>
    <row r="1925" spans="1:10" s="99" customFormat="1">
      <c r="A1925" s="111"/>
      <c r="B1925" s="111"/>
      <c r="C1925" s="115">
        <v>40000</v>
      </c>
      <c r="D1925" s="104" t="s">
        <v>2325</v>
      </c>
      <c r="E1925" s="115">
        <v>1500</v>
      </c>
      <c r="F1925" s="102">
        <v>22</v>
      </c>
      <c r="G1925" s="208">
        <v>7.4999999999999997E-2</v>
      </c>
      <c r="H1925" s="102">
        <v>15</v>
      </c>
      <c r="I1925" s="115">
        <f t="shared" si="103"/>
        <v>33000</v>
      </c>
      <c r="J1925" s="115">
        <f t="shared" si="104"/>
        <v>21999.999999999996</v>
      </c>
    </row>
    <row r="1926" spans="1:10" s="99" customFormat="1">
      <c r="A1926" s="111"/>
      <c r="B1926" s="111"/>
      <c r="C1926" s="115">
        <v>70000</v>
      </c>
      <c r="D1926" s="104" t="s">
        <v>3705</v>
      </c>
      <c r="E1926" s="115">
        <v>2625</v>
      </c>
      <c r="F1926" s="102">
        <v>1</v>
      </c>
      <c r="G1926" s="208">
        <v>7.4999999999999997E-2</v>
      </c>
      <c r="H1926" s="102">
        <v>15</v>
      </c>
      <c r="I1926" s="115">
        <f t="shared" si="103"/>
        <v>2625</v>
      </c>
      <c r="J1926" s="115">
        <f t="shared" si="104"/>
        <v>1749.9999999999998</v>
      </c>
    </row>
    <row r="1927" spans="1:10" s="99" customFormat="1">
      <c r="A1927" s="111"/>
      <c r="B1927" s="111"/>
      <c r="C1927" s="115">
        <v>30000</v>
      </c>
      <c r="D1927" s="104" t="s">
        <v>228</v>
      </c>
      <c r="E1927" s="115">
        <v>1125</v>
      </c>
      <c r="F1927" s="102">
        <v>12</v>
      </c>
      <c r="G1927" s="208">
        <v>7.4999999999999997E-2</v>
      </c>
      <c r="H1927" s="102">
        <v>15</v>
      </c>
      <c r="I1927" s="115">
        <f t="shared" si="103"/>
        <v>13500</v>
      </c>
      <c r="J1927" s="115">
        <f t="shared" si="104"/>
        <v>8999.9999999999982</v>
      </c>
    </row>
    <row r="1928" spans="1:10" s="99" customFormat="1">
      <c r="A1928" s="111"/>
      <c r="B1928" s="111"/>
      <c r="C1928" s="115">
        <v>30000</v>
      </c>
      <c r="D1928" s="104" t="s">
        <v>3150</v>
      </c>
      <c r="E1928" s="115">
        <v>1125</v>
      </c>
      <c r="F1928" s="102">
        <v>9</v>
      </c>
      <c r="G1928" s="208">
        <v>7.4999999999999997E-2</v>
      </c>
      <c r="H1928" s="102">
        <v>15</v>
      </c>
      <c r="I1928" s="115">
        <f t="shared" si="103"/>
        <v>10125</v>
      </c>
      <c r="J1928" s="115">
        <f t="shared" si="104"/>
        <v>6749.9999999999991</v>
      </c>
    </row>
    <row r="1929" spans="1:10" s="99" customFormat="1">
      <c r="A1929" s="111"/>
      <c r="B1929" s="111"/>
      <c r="C1929" s="115">
        <v>30000</v>
      </c>
      <c r="D1929" s="129" t="s">
        <v>1913</v>
      </c>
      <c r="E1929" s="115">
        <v>1125</v>
      </c>
      <c r="F1929" s="102">
        <v>5</v>
      </c>
      <c r="G1929" s="208">
        <v>7.4999999999999997E-2</v>
      </c>
      <c r="H1929" s="102">
        <v>15</v>
      </c>
      <c r="I1929" s="115">
        <f t="shared" si="103"/>
        <v>5625</v>
      </c>
      <c r="J1929" s="115">
        <f t="shared" si="104"/>
        <v>3749.9999999999995</v>
      </c>
    </row>
    <row r="1930" spans="1:10" s="99" customFormat="1">
      <c r="A1930" s="111"/>
      <c r="B1930" s="111"/>
      <c r="C1930" s="115">
        <v>20000</v>
      </c>
      <c r="D1930" s="104" t="s">
        <v>3152</v>
      </c>
      <c r="E1930" s="115">
        <v>750</v>
      </c>
      <c r="F1930" s="102">
        <v>8</v>
      </c>
      <c r="G1930" s="208">
        <v>7.4999999999999997E-2</v>
      </c>
      <c r="H1930" s="102">
        <v>15</v>
      </c>
      <c r="I1930" s="115">
        <f t="shared" si="103"/>
        <v>6000</v>
      </c>
      <c r="J1930" s="115">
        <f t="shared" si="104"/>
        <v>3999.9999999999995</v>
      </c>
    </row>
    <row r="1931" spans="1:10" s="99" customFormat="1">
      <c r="A1931" s="111"/>
      <c r="B1931" s="111"/>
      <c r="C1931" s="115">
        <v>30000</v>
      </c>
      <c r="D1931" s="104" t="s">
        <v>2334</v>
      </c>
      <c r="E1931" s="115">
        <v>1125</v>
      </c>
      <c r="F1931" s="102">
        <v>6</v>
      </c>
      <c r="G1931" s="208">
        <v>7.4999999999999997E-2</v>
      </c>
      <c r="H1931" s="102">
        <v>15</v>
      </c>
      <c r="I1931" s="115">
        <f t="shared" si="103"/>
        <v>6750</v>
      </c>
      <c r="J1931" s="115">
        <f t="shared" si="104"/>
        <v>4499.9999999999991</v>
      </c>
    </row>
    <row r="1932" spans="1:10" s="99" customFormat="1">
      <c r="A1932" s="111"/>
      <c r="B1932" s="111"/>
      <c r="C1932" s="115">
        <v>50000</v>
      </c>
      <c r="D1932" s="104" t="s">
        <v>1386</v>
      </c>
      <c r="E1932" s="115">
        <v>1875</v>
      </c>
      <c r="F1932" s="102">
        <v>7</v>
      </c>
      <c r="G1932" s="208">
        <v>7.4999999999999997E-2</v>
      </c>
      <c r="H1932" s="102">
        <v>15</v>
      </c>
      <c r="I1932" s="115">
        <f t="shared" si="103"/>
        <v>13125</v>
      </c>
      <c r="J1932" s="115">
        <f t="shared" si="104"/>
        <v>8750</v>
      </c>
    </row>
    <row r="1933" spans="1:10" s="99" customFormat="1">
      <c r="A1933" s="111"/>
      <c r="B1933" s="111"/>
      <c r="C1933" s="115">
        <v>40000</v>
      </c>
      <c r="D1933" s="104" t="s">
        <v>1386</v>
      </c>
      <c r="E1933" s="115">
        <v>1500</v>
      </c>
      <c r="F1933" s="102">
        <v>1</v>
      </c>
      <c r="G1933" s="208">
        <v>7.4999999999999997E-2</v>
      </c>
      <c r="H1933" s="102">
        <v>15</v>
      </c>
      <c r="I1933" s="115">
        <f t="shared" si="103"/>
        <v>1500</v>
      </c>
      <c r="J1933" s="115">
        <f t="shared" si="104"/>
        <v>999.99999999999989</v>
      </c>
    </row>
    <row r="1934" spans="1:10" s="99" customFormat="1">
      <c r="A1934" s="111"/>
      <c r="B1934" s="111"/>
      <c r="C1934" s="115">
        <v>20000</v>
      </c>
      <c r="D1934" s="129" t="s">
        <v>345</v>
      </c>
      <c r="E1934" s="115">
        <v>750</v>
      </c>
      <c r="F1934" s="102">
        <v>6</v>
      </c>
      <c r="G1934" s="208">
        <v>7.4999999999999997E-2</v>
      </c>
      <c r="H1934" s="102">
        <v>15</v>
      </c>
      <c r="I1934" s="115">
        <f t="shared" si="103"/>
        <v>4500</v>
      </c>
      <c r="J1934" s="115">
        <f t="shared" si="104"/>
        <v>2999.9999999999995</v>
      </c>
    </row>
    <row r="1935" spans="1:10" s="99" customFormat="1">
      <c r="A1935" s="111">
        <v>259</v>
      </c>
      <c r="B1935" s="111" t="s">
        <v>1796</v>
      </c>
      <c r="C1935" s="115">
        <v>20000</v>
      </c>
      <c r="D1935" s="104" t="s">
        <v>1727</v>
      </c>
      <c r="E1935" s="115">
        <v>2300</v>
      </c>
      <c r="F1935" s="102">
        <v>10</v>
      </c>
      <c r="G1935" s="208">
        <v>0.06</v>
      </c>
      <c r="H1935" s="102" t="s">
        <v>664</v>
      </c>
      <c r="I1935" s="115">
        <f t="shared" si="103"/>
        <v>3000</v>
      </c>
      <c r="J1935" s="115">
        <f t="shared" si="104"/>
        <v>1749.9999999999995</v>
      </c>
    </row>
    <row r="1936" spans="1:10" s="99" customFormat="1">
      <c r="A1936" s="111"/>
      <c r="B1936" s="111"/>
      <c r="C1936" s="115">
        <v>20000</v>
      </c>
      <c r="D1936" s="104" t="s">
        <v>3119</v>
      </c>
      <c r="E1936" s="115">
        <v>2300</v>
      </c>
      <c r="F1936" s="102">
        <v>10</v>
      </c>
      <c r="G1936" s="208">
        <v>0.06</v>
      </c>
      <c r="H1936" s="102" t="s">
        <v>664</v>
      </c>
      <c r="I1936" s="115">
        <f t="shared" si="103"/>
        <v>3000</v>
      </c>
      <c r="J1936" s="115">
        <f t="shared" si="104"/>
        <v>1749.9999999999995</v>
      </c>
    </row>
    <row r="1937" spans="1:10" s="99" customFormat="1">
      <c r="A1937" s="111"/>
      <c r="B1937" s="111"/>
      <c r="C1937" s="115">
        <v>20000</v>
      </c>
      <c r="D1937" s="104" t="s">
        <v>3153</v>
      </c>
      <c r="E1937" s="115">
        <v>750</v>
      </c>
      <c r="F1937" s="102">
        <v>11</v>
      </c>
      <c r="G1937" s="208">
        <v>7.4999999999999997E-2</v>
      </c>
      <c r="H1937" s="102">
        <v>15</v>
      </c>
      <c r="I1937" s="115">
        <f t="shared" si="103"/>
        <v>8250</v>
      </c>
      <c r="J1937" s="115">
        <f t="shared" si="104"/>
        <v>5499.9999999999991</v>
      </c>
    </row>
    <row r="1938" spans="1:10" s="99" customFormat="1">
      <c r="A1938" s="111"/>
      <c r="B1938" s="111"/>
      <c r="C1938" s="115">
        <v>20000</v>
      </c>
      <c r="D1938" s="104" t="s">
        <v>983</v>
      </c>
      <c r="E1938" s="115">
        <v>2300</v>
      </c>
      <c r="F1938" s="102">
        <v>10</v>
      </c>
      <c r="G1938" s="208">
        <v>0.06</v>
      </c>
      <c r="H1938" s="102" t="s">
        <v>664</v>
      </c>
      <c r="I1938" s="115">
        <f t="shared" si="103"/>
        <v>3000</v>
      </c>
      <c r="J1938" s="115">
        <f t="shared" si="104"/>
        <v>1749.9999999999995</v>
      </c>
    </row>
    <row r="1939" spans="1:10" s="99" customFormat="1">
      <c r="A1939" s="111"/>
      <c r="B1939" s="111"/>
      <c r="C1939" s="115">
        <v>20000</v>
      </c>
      <c r="D1939" s="104" t="s">
        <v>3154</v>
      </c>
      <c r="E1939" s="115">
        <v>2300</v>
      </c>
      <c r="F1939" s="102">
        <v>10</v>
      </c>
      <c r="G1939" s="208">
        <v>0.06</v>
      </c>
      <c r="H1939" s="102" t="s">
        <v>664</v>
      </c>
      <c r="I1939" s="115">
        <f t="shared" si="103"/>
        <v>3000</v>
      </c>
      <c r="J1939" s="115">
        <f t="shared" si="104"/>
        <v>1749.9999999999995</v>
      </c>
    </row>
    <row r="1940" spans="1:10" s="99" customFormat="1">
      <c r="A1940" s="111"/>
      <c r="B1940" s="111"/>
      <c r="C1940" s="115">
        <v>20000</v>
      </c>
      <c r="D1940" s="104" t="s">
        <v>3155</v>
      </c>
      <c r="E1940" s="115">
        <v>2300</v>
      </c>
      <c r="F1940" s="102">
        <v>5</v>
      </c>
      <c r="G1940" s="208">
        <v>0.06</v>
      </c>
      <c r="H1940" s="102" t="s">
        <v>664</v>
      </c>
      <c r="I1940" s="115">
        <f t="shared" si="103"/>
        <v>1500</v>
      </c>
      <c r="J1940" s="115">
        <f t="shared" si="104"/>
        <v>874.99999999999977</v>
      </c>
    </row>
    <row r="1941" spans="1:10" s="99" customFormat="1">
      <c r="A1941" s="111">
        <v>260</v>
      </c>
      <c r="B1941" s="111" t="s">
        <v>3157</v>
      </c>
      <c r="C1941" s="115">
        <v>10000</v>
      </c>
      <c r="D1941" s="104" t="s">
        <v>2328</v>
      </c>
      <c r="E1941" s="115">
        <v>1150</v>
      </c>
      <c r="F1941" s="102">
        <v>10</v>
      </c>
      <c r="G1941" s="208">
        <v>0.06</v>
      </c>
      <c r="H1941" s="102" t="s">
        <v>664</v>
      </c>
      <c r="I1941" s="115">
        <f t="shared" si="103"/>
        <v>1500</v>
      </c>
      <c r="J1941" s="115">
        <f t="shared" si="104"/>
        <v>874.99999999999977</v>
      </c>
    </row>
    <row r="1942" spans="1:10" s="99" customFormat="1">
      <c r="A1942" s="111"/>
      <c r="B1942" s="111"/>
      <c r="C1942" s="115">
        <v>10000</v>
      </c>
      <c r="D1942" s="104" t="s">
        <v>2328</v>
      </c>
      <c r="E1942" s="115">
        <v>375</v>
      </c>
      <c r="F1942" s="102">
        <v>12</v>
      </c>
      <c r="G1942" s="208">
        <v>7.4999999999999997E-2</v>
      </c>
      <c r="H1942" s="102">
        <v>15</v>
      </c>
      <c r="I1942" s="115">
        <f t="shared" si="103"/>
        <v>4500</v>
      </c>
      <c r="J1942" s="115">
        <f t="shared" si="104"/>
        <v>2999.9999999999995</v>
      </c>
    </row>
    <row r="1943" spans="1:10" s="99" customFormat="1">
      <c r="A1943" s="111"/>
      <c r="B1943" s="111"/>
      <c r="C1943" s="115">
        <v>10000</v>
      </c>
      <c r="D1943" s="104" t="s">
        <v>983</v>
      </c>
      <c r="E1943" s="115">
        <v>1150</v>
      </c>
      <c r="F1943" s="102">
        <v>10</v>
      </c>
      <c r="G1943" s="208">
        <v>0.06</v>
      </c>
      <c r="H1943" s="102" t="s">
        <v>664</v>
      </c>
      <c r="I1943" s="115">
        <f t="shared" si="103"/>
        <v>1500</v>
      </c>
      <c r="J1943" s="115">
        <f t="shared" si="104"/>
        <v>874.99999999999977</v>
      </c>
    </row>
    <row r="1944" spans="1:10" s="99" customFormat="1">
      <c r="A1944" s="111"/>
      <c r="B1944" s="111"/>
      <c r="C1944" s="115">
        <v>10000</v>
      </c>
      <c r="D1944" s="104" t="s">
        <v>3119</v>
      </c>
      <c r="E1944" s="115">
        <v>1150</v>
      </c>
      <c r="F1944" s="102">
        <v>10</v>
      </c>
      <c r="G1944" s="208">
        <v>0.06</v>
      </c>
      <c r="H1944" s="102" t="s">
        <v>664</v>
      </c>
      <c r="I1944" s="115">
        <f t="shared" si="103"/>
        <v>1500</v>
      </c>
      <c r="J1944" s="115">
        <f t="shared" si="104"/>
        <v>874.99999999999977</v>
      </c>
    </row>
    <row r="1945" spans="1:10" s="99" customFormat="1">
      <c r="A1945" s="111"/>
      <c r="B1945" s="111"/>
      <c r="C1945" s="115">
        <v>5000</v>
      </c>
      <c r="D1945" s="104" t="s">
        <v>3119</v>
      </c>
      <c r="E1945" s="115">
        <v>190</v>
      </c>
      <c r="F1945" s="102">
        <v>10</v>
      </c>
      <c r="G1945" s="208">
        <v>7.5999999999999998E-2</v>
      </c>
      <c r="H1945" s="102">
        <v>15</v>
      </c>
      <c r="I1945" s="115">
        <f t="shared" si="103"/>
        <v>1900</v>
      </c>
      <c r="J1945" s="115">
        <f t="shared" si="104"/>
        <v>1274.9999999999998</v>
      </c>
    </row>
    <row r="1946" spans="1:10" s="99" customFormat="1">
      <c r="A1946" s="111"/>
      <c r="B1946" s="111"/>
      <c r="C1946" s="115">
        <v>10000</v>
      </c>
      <c r="D1946" s="104" t="s">
        <v>3158</v>
      </c>
      <c r="E1946" s="115">
        <v>1150</v>
      </c>
      <c r="F1946" s="102">
        <v>10</v>
      </c>
      <c r="G1946" s="208">
        <v>0.06</v>
      </c>
      <c r="H1946" s="102" t="s">
        <v>664</v>
      </c>
      <c r="I1946" s="115">
        <f t="shared" si="103"/>
        <v>1500</v>
      </c>
      <c r="J1946" s="115">
        <f t="shared" si="104"/>
        <v>874.99999999999977</v>
      </c>
    </row>
    <row r="1947" spans="1:10" s="99" customFormat="1">
      <c r="A1947" s="111"/>
      <c r="B1947" s="111"/>
      <c r="C1947" s="115">
        <v>10000</v>
      </c>
      <c r="D1947" s="104" t="s">
        <v>3158</v>
      </c>
      <c r="E1947" s="115">
        <v>375</v>
      </c>
      <c r="F1947" s="102">
        <v>14</v>
      </c>
      <c r="G1947" s="208">
        <v>7.4999999999999997E-2</v>
      </c>
      <c r="H1947" s="102">
        <v>15</v>
      </c>
      <c r="I1947" s="115">
        <f t="shared" si="103"/>
        <v>5250</v>
      </c>
      <c r="J1947" s="115">
        <f t="shared" si="104"/>
        <v>3499.9999999999995</v>
      </c>
    </row>
    <row r="1948" spans="1:10" s="99" customFormat="1">
      <c r="A1948" s="111"/>
      <c r="B1948" s="111"/>
      <c r="C1948" s="115">
        <v>10000</v>
      </c>
      <c r="D1948" s="104" t="s">
        <v>2323</v>
      </c>
      <c r="E1948" s="115">
        <v>1150</v>
      </c>
      <c r="F1948" s="102">
        <v>10</v>
      </c>
      <c r="G1948" s="208">
        <v>0.06</v>
      </c>
      <c r="H1948" s="102" t="s">
        <v>664</v>
      </c>
      <c r="I1948" s="115">
        <f t="shared" si="103"/>
        <v>1500</v>
      </c>
      <c r="J1948" s="115">
        <f t="shared" si="104"/>
        <v>874.99999999999977</v>
      </c>
    </row>
    <row r="1949" spans="1:10" s="99" customFormat="1">
      <c r="A1949" s="111"/>
      <c r="B1949" s="111"/>
      <c r="C1949" s="115">
        <v>5000</v>
      </c>
      <c r="D1949" s="104" t="s">
        <v>2323</v>
      </c>
      <c r="E1949" s="115">
        <v>190</v>
      </c>
      <c r="F1949" s="102">
        <v>9</v>
      </c>
      <c r="G1949" s="208">
        <v>7.5999999999999998E-2</v>
      </c>
      <c r="H1949" s="102">
        <v>15</v>
      </c>
      <c r="I1949" s="115">
        <f t="shared" si="103"/>
        <v>1710</v>
      </c>
      <c r="J1949" s="115">
        <f t="shared" si="104"/>
        <v>1147.4999999999998</v>
      </c>
    </row>
    <row r="1950" spans="1:10" s="99" customFormat="1">
      <c r="A1950" s="111"/>
      <c r="B1950" s="111"/>
      <c r="C1950" s="115">
        <v>15000</v>
      </c>
      <c r="D1950" s="104" t="s">
        <v>254</v>
      </c>
      <c r="E1950" s="115">
        <v>1750</v>
      </c>
      <c r="F1950" s="102">
        <v>10</v>
      </c>
      <c r="G1950" s="208">
        <v>0.06</v>
      </c>
      <c r="H1950" s="102" t="s">
        <v>664</v>
      </c>
      <c r="I1950" s="115">
        <f t="shared" si="103"/>
        <v>2250</v>
      </c>
      <c r="J1950" s="115">
        <f t="shared" si="104"/>
        <v>1312.5</v>
      </c>
    </row>
    <row r="1951" spans="1:10" s="99" customFormat="1">
      <c r="A1951" s="111">
        <v>261</v>
      </c>
      <c r="B1951" s="111" t="s">
        <v>3159</v>
      </c>
      <c r="C1951" s="115">
        <v>70000</v>
      </c>
      <c r="D1951" s="104" t="s">
        <v>1988</v>
      </c>
      <c r="E1951" s="115">
        <v>5250</v>
      </c>
      <c r="F1951" s="102">
        <v>1</v>
      </c>
      <c r="G1951" s="208">
        <v>7.4999999999999997E-2</v>
      </c>
      <c r="H1951" s="102">
        <v>30</v>
      </c>
      <c r="I1951" s="115">
        <f t="shared" si="103"/>
        <v>5250</v>
      </c>
      <c r="J1951" s="115">
        <f t="shared" si="104"/>
        <v>3499.9999999999995</v>
      </c>
    </row>
    <row r="1952" spans="1:10" s="99" customFormat="1">
      <c r="A1952" s="111">
        <v>262</v>
      </c>
      <c r="B1952" s="111" t="s">
        <v>3160</v>
      </c>
      <c r="C1952" s="115">
        <v>10000</v>
      </c>
      <c r="D1952" s="104" t="s">
        <v>3161</v>
      </c>
      <c r="E1952" s="115">
        <v>1150</v>
      </c>
      <c r="F1952" s="102">
        <v>10</v>
      </c>
      <c r="G1952" s="208">
        <v>0.06</v>
      </c>
      <c r="H1952" s="102" t="s">
        <v>664</v>
      </c>
      <c r="I1952" s="115">
        <f t="shared" si="103"/>
        <v>1500</v>
      </c>
      <c r="J1952" s="115">
        <f t="shared" si="104"/>
        <v>874.99999999999977</v>
      </c>
    </row>
    <row r="1953" spans="1:10" s="99" customFormat="1">
      <c r="A1953" s="111"/>
      <c r="B1953" s="111"/>
      <c r="C1953" s="115">
        <v>50000</v>
      </c>
      <c r="D1953" s="104" t="s">
        <v>3161</v>
      </c>
      <c r="E1953" s="115">
        <v>1875</v>
      </c>
      <c r="F1953" s="102">
        <v>5</v>
      </c>
      <c r="G1953" s="208">
        <v>7.4999999999999997E-2</v>
      </c>
      <c r="H1953" s="102">
        <v>15</v>
      </c>
      <c r="I1953" s="115">
        <f t="shared" si="103"/>
        <v>9375</v>
      </c>
      <c r="J1953" s="115">
        <f t="shared" si="104"/>
        <v>6250</v>
      </c>
    </row>
    <row r="1954" spans="1:10" s="99" customFormat="1">
      <c r="A1954" s="111"/>
      <c r="B1954" s="111"/>
      <c r="C1954" s="115">
        <v>40000</v>
      </c>
      <c r="D1954" s="104" t="s">
        <v>3161</v>
      </c>
      <c r="E1954" s="115">
        <v>1500</v>
      </c>
      <c r="F1954" s="102">
        <v>4</v>
      </c>
      <c r="G1954" s="208">
        <v>7.4999999999999997E-2</v>
      </c>
      <c r="H1954" s="102">
        <v>15</v>
      </c>
      <c r="I1954" s="115">
        <f t="shared" si="103"/>
        <v>6000</v>
      </c>
      <c r="J1954" s="115">
        <f t="shared" si="104"/>
        <v>3999.9999999999995</v>
      </c>
    </row>
    <row r="1955" spans="1:10" s="99" customFormat="1">
      <c r="A1955" s="111"/>
      <c r="B1955" s="111"/>
      <c r="C1955" s="115">
        <v>30000</v>
      </c>
      <c r="D1955" s="104" t="s">
        <v>3161</v>
      </c>
      <c r="E1955" s="115">
        <v>1125</v>
      </c>
      <c r="F1955" s="102">
        <v>4</v>
      </c>
      <c r="G1955" s="208">
        <v>7.4999999999999997E-2</v>
      </c>
      <c r="H1955" s="102">
        <v>15</v>
      </c>
      <c r="I1955" s="115">
        <f t="shared" si="103"/>
        <v>4500</v>
      </c>
      <c r="J1955" s="115">
        <f t="shared" si="104"/>
        <v>2999.9999999999995</v>
      </c>
    </row>
    <row r="1956" spans="1:10" s="99" customFormat="1">
      <c r="A1956" s="111"/>
      <c r="B1956" s="111"/>
      <c r="C1956" s="115">
        <v>20000</v>
      </c>
      <c r="D1956" s="104" t="s">
        <v>3161</v>
      </c>
      <c r="E1956" s="115">
        <v>750</v>
      </c>
      <c r="F1956" s="102">
        <v>4</v>
      </c>
      <c r="G1956" s="208">
        <v>7.4999999999999997E-2</v>
      </c>
      <c r="H1956" s="102">
        <v>15</v>
      </c>
      <c r="I1956" s="115">
        <f t="shared" si="103"/>
        <v>3000</v>
      </c>
      <c r="J1956" s="115">
        <f t="shared" si="104"/>
        <v>1999.9999999999998</v>
      </c>
    </row>
    <row r="1957" spans="1:10" s="99" customFormat="1">
      <c r="A1957" s="111"/>
      <c r="B1957" s="111"/>
      <c r="C1957" s="115">
        <v>10000</v>
      </c>
      <c r="D1957" s="129" t="s">
        <v>346</v>
      </c>
      <c r="E1957" s="115">
        <v>1150</v>
      </c>
      <c r="F1957" s="102">
        <v>10</v>
      </c>
      <c r="G1957" s="208">
        <v>0.06</v>
      </c>
      <c r="H1957" s="102" t="s">
        <v>664</v>
      </c>
      <c r="I1957" s="115">
        <f t="shared" si="103"/>
        <v>1500</v>
      </c>
      <c r="J1957" s="115">
        <f t="shared" si="104"/>
        <v>874.99999999999977</v>
      </c>
    </row>
    <row r="1958" spans="1:10" s="99" customFormat="1">
      <c r="A1958" s="111"/>
      <c r="B1958" s="111"/>
      <c r="C1958" s="115">
        <v>10000</v>
      </c>
      <c r="D1958" s="104" t="s">
        <v>1003</v>
      </c>
      <c r="E1958" s="115">
        <v>1150</v>
      </c>
      <c r="F1958" s="102">
        <v>7</v>
      </c>
      <c r="G1958" s="208">
        <v>0.06</v>
      </c>
      <c r="H1958" s="102" t="s">
        <v>664</v>
      </c>
      <c r="I1958" s="115">
        <f t="shared" si="103"/>
        <v>1050</v>
      </c>
      <c r="J1958" s="115">
        <f t="shared" si="104"/>
        <v>612.49999999999989</v>
      </c>
    </row>
    <row r="1959" spans="1:10" s="99" customFormat="1">
      <c r="A1959" s="111"/>
      <c r="B1959" s="111"/>
      <c r="C1959" s="115">
        <v>10000</v>
      </c>
      <c r="D1959" s="129" t="s">
        <v>347</v>
      </c>
      <c r="E1959" s="115">
        <v>1150</v>
      </c>
      <c r="F1959" s="102">
        <v>10</v>
      </c>
      <c r="G1959" s="208">
        <v>0.06</v>
      </c>
      <c r="H1959" s="102" t="s">
        <v>664</v>
      </c>
      <c r="I1959" s="115">
        <f t="shared" si="103"/>
        <v>1500</v>
      </c>
      <c r="J1959" s="115">
        <f t="shared" si="104"/>
        <v>874.99999999999977</v>
      </c>
    </row>
    <row r="1960" spans="1:10" s="99" customFormat="1">
      <c r="A1960" s="111"/>
      <c r="B1960" s="111"/>
      <c r="C1960" s="115">
        <v>2000</v>
      </c>
      <c r="D1960" s="129" t="s">
        <v>348</v>
      </c>
      <c r="E1960" s="115">
        <v>1150</v>
      </c>
      <c r="F1960" s="102">
        <v>2</v>
      </c>
      <c r="G1960" s="208">
        <v>0.3</v>
      </c>
      <c r="H1960" s="130" t="s">
        <v>355</v>
      </c>
      <c r="I1960" s="115">
        <f>IF(H1960="分期-2期",C1960*G1960*2.5*F1960/10,C1960*G1960*H1960/30*F1960)</f>
        <v>300</v>
      </c>
      <c r="J1960" s="115">
        <f>IF(H1960="分期-2期",C1960*(G1960-0.025)*2.5*F1960/10,C1960*(G1960-0.025)*H1960/30*F1960)</f>
        <v>274.99999999999994</v>
      </c>
    </row>
    <row r="1961" spans="1:10" s="99" customFormat="1">
      <c r="A1961" s="111"/>
      <c r="B1961" s="111"/>
      <c r="C1961" s="115">
        <v>20000</v>
      </c>
      <c r="D1961" s="104" t="s">
        <v>3411</v>
      </c>
      <c r="E1961" s="115">
        <v>2300</v>
      </c>
      <c r="F1961" s="102">
        <v>8</v>
      </c>
      <c r="G1961" s="208">
        <v>0.06</v>
      </c>
      <c r="H1961" s="102" t="s">
        <v>664</v>
      </c>
      <c r="I1961" s="115">
        <f t="shared" ref="I1961:I2002" si="105">IF(H1961="分期",C1961*G1961*2.5*F1961/10,C1961*G1961*H1961/30*F1961)</f>
        <v>2400</v>
      </c>
      <c r="J1961" s="115">
        <f t="shared" ref="J1961:J2002" si="106">IF(H1961="分期",C1961*(G1961-0.025)*2.5*F1961/10,C1961*(G1961-0.025)*H1961/30*F1961)</f>
        <v>1399.9999999999998</v>
      </c>
    </row>
    <row r="1962" spans="1:10" s="99" customFormat="1">
      <c r="A1962" s="111">
        <v>263</v>
      </c>
      <c r="B1962" s="111" t="s">
        <v>3164</v>
      </c>
      <c r="C1962" s="115">
        <v>10000</v>
      </c>
      <c r="D1962" s="104" t="s">
        <v>1515</v>
      </c>
      <c r="E1962" s="115">
        <v>1150</v>
      </c>
      <c r="F1962" s="102">
        <v>10</v>
      </c>
      <c r="G1962" s="208">
        <v>0.06</v>
      </c>
      <c r="H1962" s="102" t="s">
        <v>664</v>
      </c>
      <c r="I1962" s="115">
        <f t="shared" si="105"/>
        <v>1500</v>
      </c>
      <c r="J1962" s="115">
        <f t="shared" si="106"/>
        <v>874.99999999999977</v>
      </c>
    </row>
    <row r="1963" spans="1:10" s="99" customFormat="1">
      <c r="A1963" s="111"/>
      <c r="B1963" s="111"/>
      <c r="C1963" s="115">
        <v>20000</v>
      </c>
      <c r="D1963" s="104" t="s">
        <v>1515</v>
      </c>
      <c r="E1963" s="115">
        <v>750</v>
      </c>
      <c r="F1963" s="102">
        <v>6</v>
      </c>
      <c r="G1963" s="208">
        <v>7.4999999999999997E-2</v>
      </c>
      <c r="H1963" s="102">
        <v>15</v>
      </c>
      <c r="I1963" s="115">
        <f t="shared" si="105"/>
        <v>4500</v>
      </c>
      <c r="J1963" s="115">
        <f t="shared" si="106"/>
        <v>2999.9999999999995</v>
      </c>
    </row>
    <row r="1964" spans="1:10" s="99" customFormat="1">
      <c r="A1964" s="111"/>
      <c r="B1964" s="111"/>
      <c r="C1964" s="115">
        <v>10000</v>
      </c>
      <c r="D1964" s="104" t="s">
        <v>1700</v>
      </c>
      <c r="E1964" s="115">
        <v>1150</v>
      </c>
      <c r="F1964" s="102">
        <v>5</v>
      </c>
      <c r="G1964" s="208">
        <v>0.06</v>
      </c>
      <c r="H1964" s="102" t="s">
        <v>664</v>
      </c>
      <c r="I1964" s="115">
        <f t="shared" si="105"/>
        <v>750</v>
      </c>
      <c r="J1964" s="115">
        <f t="shared" si="106"/>
        <v>437.49999999999989</v>
      </c>
    </row>
    <row r="1965" spans="1:10" s="99" customFormat="1">
      <c r="A1965" s="111">
        <v>264</v>
      </c>
      <c r="B1965" s="111" t="s">
        <v>3165</v>
      </c>
      <c r="C1965" s="115">
        <v>80000</v>
      </c>
      <c r="D1965" s="104" t="s">
        <v>3125</v>
      </c>
      <c r="E1965" s="115">
        <v>3000</v>
      </c>
      <c r="F1965" s="102">
        <v>2</v>
      </c>
      <c r="G1965" s="208">
        <v>7.4999999999999997E-2</v>
      </c>
      <c r="H1965" s="102">
        <v>15</v>
      </c>
      <c r="I1965" s="115">
        <f t="shared" si="105"/>
        <v>6000</v>
      </c>
      <c r="J1965" s="115">
        <f t="shared" si="106"/>
        <v>3999.9999999999995</v>
      </c>
    </row>
    <row r="1966" spans="1:10" s="99" customFormat="1">
      <c r="A1966" s="111"/>
      <c r="B1966" s="111"/>
      <c r="C1966" s="115">
        <v>70000</v>
      </c>
      <c r="D1966" s="104" t="s">
        <v>3125</v>
      </c>
      <c r="E1966" s="115">
        <v>2625</v>
      </c>
      <c r="F1966" s="102">
        <v>2</v>
      </c>
      <c r="G1966" s="208">
        <v>7.4999999999999997E-2</v>
      </c>
      <c r="H1966" s="102">
        <v>15</v>
      </c>
      <c r="I1966" s="115">
        <f t="shared" si="105"/>
        <v>5250</v>
      </c>
      <c r="J1966" s="115">
        <f t="shared" si="106"/>
        <v>3499.9999999999995</v>
      </c>
    </row>
    <row r="1967" spans="1:10" s="99" customFormat="1">
      <c r="A1967" s="111"/>
      <c r="B1967" s="111"/>
      <c r="C1967" s="115">
        <v>60000</v>
      </c>
      <c r="D1967" s="104" t="s">
        <v>3125</v>
      </c>
      <c r="E1967" s="115">
        <v>2250</v>
      </c>
      <c r="F1967" s="102">
        <v>21</v>
      </c>
      <c r="G1967" s="208">
        <v>7.4999999999999997E-2</v>
      </c>
      <c r="H1967" s="102">
        <v>15</v>
      </c>
      <c r="I1967" s="115">
        <f t="shared" si="105"/>
        <v>47250</v>
      </c>
      <c r="J1967" s="115">
        <f t="shared" si="106"/>
        <v>31499.999999999996</v>
      </c>
    </row>
    <row r="1968" spans="1:10" s="99" customFormat="1">
      <c r="A1968" s="111"/>
      <c r="B1968" s="111"/>
      <c r="C1968" s="115">
        <v>20000</v>
      </c>
      <c r="D1968" s="104" t="s">
        <v>3142</v>
      </c>
      <c r="E1968" s="115">
        <v>750</v>
      </c>
      <c r="F1968" s="102">
        <v>20</v>
      </c>
      <c r="G1968" s="208">
        <v>7.4999999999999997E-2</v>
      </c>
      <c r="H1968" s="102">
        <v>15</v>
      </c>
      <c r="I1968" s="115">
        <f t="shared" si="105"/>
        <v>15000</v>
      </c>
      <c r="J1968" s="115">
        <f t="shared" si="106"/>
        <v>9999.9999999999982</v>
      </c>
    </row>
    <row r="1969" spans="1:10" s="99" customFormat="1">
      <c r="A1969" s="111"/>
      <c r="B1969" s="111"/>
      <c r="C1969" s="115">
        <v>40000</v>
      </c>
      <c r="D1969" s="104" t="s">
        <v>1743</v>
      </c>
      <c r="E1969" s="115">
        <v>1500</v>
      </c>
      <c r="F1969" s="102">
        <v>21</v>
      </c>
      <c r="G1969" s="208">
        <v>7.4999999999999997E-2</v>
      </c>
      <c r="H1969" s="102">
        <v>15</v>
      </c>
      <c r="I1969" s="115">
        <f t="shared" si="105"/>
        <v>31500</v>
      </c>
      <c r="J1969" s="115">
        <f t="shared" si="106"/>
        <v>20999.999999999996</v>
      </c>
    </row>
    <row r="1970" spans="1:10" s="99" customFormat="1">
      <c r="A1970" s="111"/>
      <c r="B1970" s="111"/>
      <c r="C1970" s="115">
        <v>90000</v>
      </c>
      <c r="D1970" s="129" t="s">
        <v>62</v>
      </c>
      <c r="E1970" s="115">
        <v>3375</v>
      </c>
      <c r="F1970" s="102">
        <v>4</v>
      </c>
      <c r="G1970" s="208">
        <v>7.4999999999999997E-2</v>
      </c>
      <c r="H1970" s="102">
        <v>15</v>
      </c>
      <c r="I1970" s="115">
        <f t="shared" si="105"/>
        <v>13500</v>
      </c>
      <c r="J1970" s="115">
        <f t="shared" si="106"/>
        <v>9000</v>
      </c>
    </row>
    <row r="1971" spans="1:10" s="99" customFormat="1">
      <c r="A1971" s="111"/>
      <c r="B1971" s="111"/>
      <c r="C1971" s="115">
        <v>30000</v>
      </c>
      <c r="D1971" s="129" t="s">
        <v>62</v>
      </c>
      <c r="E1971" s="115">
        <v>1125</v>
      </c>
      <c r="F1971" s="102">
        <v>4</v>
      </c>
      <c r="G1971" s="208">
        <v>7.4999999999999997E-2</v>
      </c>
      <c r="H1971" s="102">
        <v>15</v>
      </c>
      <c r="I1971" s="115">
        <f t="shared" si="105"/>
        <v>4500</v>
      </c>
      <c r="J1971" s="115">
        <f t="shared" si="106"/>
        <v>2999.9999999999995</v>
      </c>
    </row>
    <row r="1972" spans="1:10" s="99" customFormat="1">
      <c r="A1972" s="111"/>
      <c r="B1972" s="111"/>
      <c r="C1972" s="115">
        <v>10000</v>
      </c>
      <c r="D1972" s="129" t="s">
        <v>349</v>
      </c>
      <c r="E1972" s="115">
        <v>375</v>
      </c>
      <c r="F1972" s="102">
        <v>2</v>
      </c>
      <c r="G1972" s="208">
        <v>7.4999999999999997E-2</v>
      </c>
      <c r="H1972" s="102">
        <v>15</v>
      </c>
      <c r="I1972" s="115">
        <f t="shared" si="105"/>
        <v>750</v>
      </c>
      <c r="J1972" s="115">
        <f t="shared" si="106"/>
        <v>499.99999999999994</v>
      </c>
    </row>
    <row r="1973" spans="1:10" s="99" customFormat="1">
      <c r="A1973" s="111">
        <v>265</v>
      </c>
      <c r="B1973" s="111" t="s">
        <v>3169</v>
      </c>
      <c r="C1973" s="115">
        <v>10000</v>
      </c>
      <c r="D1973" s="104" t="s">
        <v>3170</v>
      </c>
      <c r="E1973" s="115">
        <v>1150</v>
      </c>
      <c r="F1973" s="102">
        <v>10</v>
      </c>
      <c r="G1973" s="208">
        <v>0.06</v>
      </c>
      <c r="H1973" s="102" t="s">
        <v>664</v>
      </c>
      <c r="I1973" s="115">
        <f t="shared" si="105"/>
        <v>1500</v>
      </c>
      <c r="J1973" s="115">
        <f t="shared" si="106"/>
        <v>874.99999999999977</v>
      </c>
    </row>
    <row r="1974" spans="1:10" s="99" customFormat="1">
      <c r="A1974" s="111"/>
      <c r="B1974" s="111"/>
      <c r="C1974" s="115">
        <v>10000</v>
      </c>
      <c r="D1974" s="104" t="s">
        <v>3170</v>
      </c>
      <c r="E1974" s="115">
        <v>375</v>
      </c>
      <c r="F1974" s="102">
        <v>26</v>
      </c>
      <c r="G1974" s="208">
        <v>7.4999999999999997E-2</v>
      </c>
      <c r="H1974" s="102">
        <v>15</v>
      </c>
      <c r="I1974" s="115">
        <f t="shared" si="105"/>
        <v>9750</v>
      </c>
      <c r="J1974" s="115">
        <f t="shared" si="106"/>
        <v>6499.9999999999991</v>
      </c>
    </row>
    <row r="1975" spans="1:10" s="99" customFormat="1">
      <c r="A1975" s="111"/>
      <c r="B1975" s="111"/>
      <c r="C1975" s="115">
        <v>10000</v>
      </c>
      <c r="D1975" s="104" t="s">
        <v>653</v>
      </c>
      <c r="E1975" s="115">
        <v>375</v>
      </c>
      <c r="F1975" s="102">
        <v>21</v>
      </c>
      <c r="G1975" s="208">
        <v>7.4999999999999997E-2</v>
      </c>
      <c r="H1975" s="102">
        <v>15</v>
      </c>
      <c r="I1975" s="115">
        <f t="shared" si="105"/>
        <v>7875</v>
      </c>
      <c r="J1975" s="115">
        <f t="shared" si="106"/>
        <v>5249.9999999999991</v>
      </c>
    </row>
    <row r="1976" spans="1:10" s="99" customFormat="1">
      <c r="A1976" s="111"/>
      <c r="B1976" s="111"/>
      <c r="C1976" s="115">
        <v>10000</v>
      </c>
      <c r="D1976" s="104" t="s">
        <v>667</v>
      </c>
      <c r="E1976" s="115">
        <v>1150</v>
      </c>
      <c r="F1976" s="102">
        <v>10</v>
      </c>
      <c r="G1976" s="208">
        <v>0.06</v>
      </c>
      <c r="H1976" s="102" t="s">
        <v>664</v>
      </c>
      <c r="I1976" s="115">
        <f t="shared" si="105"/>
        <v>1500</v>
      </c>
      <c r="J1976" s="115">
        <f t="shared" si="106"/>
        <v>874.99999999999977</v>
      </c>
    </row>
    <row r="1977" spans="1:10" s="99" customFormat="1">
      <c r="A1977" s="111"/>
      <c r="B1977" s="111"/>
      <c r="C1977" s="115">
        <v>10000</v>
      </c>
      <c r="D1977" s="129" t="s">
        <v>350</v>
      </c>
      <c r="E1977" s="115">
        <v>375</v>
      </c>
      <c r="F1977" s="102">
        <v>19</v>
      </c>
      <c r="G1977" s="208">
        <v>7.4999999999999997E-2</v>
      </c>
      <c r="H1977" s="102">
        <v>15</v>
      </c>
      <c r="I1977" s="115">
        <f t="shared" si="105"/>
        <v>7125</v>
      </c>
      <c r="J1977" s="115">
        <f t="shared" si="106"/>
        <v>4749.9999999999991</v>
      </c>
    </row>
    <row r="1978" spans="1:10" s="99" customFormat="1">
      <c r="A1978" s="111">
        <v>266</v>
      </c>
      <c r="B1978" s="132" t="s">
        <v>351</v>
      </c>
      <c r="C1978" s="115">
        <v>10000</v>
      </c>
      <c r="D1978" s="104" t="s">
        <v>3170</v>
      </c>
      <c r="E1978" s="115">
        <v>1150</v>
      </c>
      <c r="F1978" s="102">
        <v>10</v>
      </c>
      <c r="G1978" s="208">
        <v>0.06</v>
      </c>
      <c r="H1978" s="102" t="s">
        <v>664</v>
      </c>
      <c r="I1978" s="115">
        <f t="shared" si="105"/>
        <v>1500</v>
      </c>
      <c r="J1978" s="115">
        <f t="shared" si="106"/>
        <v>874.99999999999977</v>
      </c>
    </row>
    <row r="1979" spans="1:10" s="99" customFormat="1">
      <c r="A1979" s="111"/>
      <c r="B1979" s="111"/>
      <c r="C1979" s="115">
        <v>20000</v>
      </c>
      <c r="D1979" s="104" t="s">
        <v>3170</v>
      </c>
      <c r="E1979" s="115">
        <v>750</v>
      </c>
      <c r="F1979" s="102">
        <v>1</v>
      </c>
      <c r="G1979" s="208">
        <v>7.4999999999999997E-2</v>
      </c>
      <c r="H1979" s="102">
        <v>15</v>
      </c>
      <c r="I1979" s="115">
        <f t="shared" si="105"/>
        <v>750</v>
      </c>
      <c r="J1979" s="115">
        <f t="shared" si="106"/>
        <v>499.99999999999994</v>
      </c>
    </row>
    <row r="1980" spans="1:10" s="99" customFormat="1">
      <c r="A1980" s="111"/>
      <c r="B1980" s="111"/>
      <c r="C1980" s="115">
        <v>10000</v>
      </c>
      <c r="D1980" s="104" t="s">
        <v>3170</v>
      </c>
      <c r="E1980" s="115">
        <v>375</v>
      </c>
      <c r="F1980" s="102">
        <v>1</v>
      </c>
      <c r="G1980" s="208">
        <v>7.4999999999999997E-2</v>
      </c>
      <c r="H1980" s="102">
        <v>15</v>
      </c>
      <c r="I1980" s="115">
        <f t="shared" si="105"/>
        <v>375</v>
      </c>
      <c r="J1980" s="115">
        <f t="shared" si="106"/>
        <v>249.99999999999997</v>
      </c>
    </row>
    <row r="1981" spans="1:10" s="99" customFormat="1">
      <c r="A1981" s="111"/>
      <c r="B1981" s="111"/>
      <c r="C1981" s="115">
        <v>10000</v>
      </c>
      <c r="D1981" s="129" t="s">
        <v>352</v>
      </c>
      <c r="E1981" s="115">
        <v>1150</v>
      </c>
      <c r="F1981" s="102">
        <v>10</v>
      </c>
      <c r="G1981" s="208">
        <v>0.06</v>
      </c>
      <c r="H1981" s="102" t="s">
        <v>664</v>
      </c>
      <c r="I1981" s="115">
        <f t="shared" si="105"/>
        <v>1500</v>
      </c>
      <c r="J1981" s="115">
        <f t="shared" si="106"/>
        <v>874.99999999999977</v>
      </c>
    </row>
    <row r="1982" spans="1:10" s="99" customFormat="1">
      <c r="A1982" s="111"/>
      <c r="B1982" s="111"/>
      <c r="C1982" s="115">
        <v>20000</v>
      </c>
      <c r="D1982" s="104" t="s">
        <v>3128</v>
      </c>
      <c r="E1982" s="115">
        <v>750</v>
      </c>
      <c r="F1982" s="102">
        <v>10</v>
      </c>
      <c r="G1982" s="208">
        <v>7.4999999999999997E-2</v>
      </c>
      <c r="H1982" s="102">
        <v>15</v>
      </c>
      <c r="I1982" s="115">
        <f t="shared" si="105"/>
        <v>7500</v>
      </c>
      <c r="J1982" s="115">
        <f t="shared" si="106"/>
        <v>4999.9999999999991</v>
      </c>
    </row>
    <row r="1983" spans="1:10" s="99" customFormat="1">
      <c r="A1983" s="111"/>
      <c r="B1983" s="111"/>
      <c r="C1983" s="115">
        <v>40000</v>
      </c>
      <c r="D1983" s="104" t="s">
        <v>1700</v>
      </c>
      <c r="E1983" s="115">
        <v>1500</v>
      </c>
      <c r="F1983" s="102">
        <v>2</v>
      </c>
      <c r="G1983" s="208">
        <v>7.4999999999999997E-2</v>
      </c>
      <c r="H1983" s="102">
        <v>15</v>
      </c>
      <c r="I1983" s="115">
        <f t="shared" si="105"/>
        <v>3000</v>
      </c>
      <c r="J1983" s="115">
        <f t="shared" si="106"/>
        <v>1999.9999999999998</v>
      </c>
    </row>
    <row r="1984" spans="1:10" s="99" customFormat="1">
      <c r="A1984" s="111"/>
      <c r="B1984" s="111"/>
      <c r="C1984" s="115">
        <v>30000</v>
      </c>
      <c r="D1984" s="104" t="s">
        <v>1700</v>
      </c>
      <c r="E1984" s="115">
        <v>1125</v>
      </c>
      <c r="F1984" s="102">
        <v>3</v>
      </c>
      <c r="G1984" s="208">
        <v>7.4999999999999997E-2</v>
      </c>
      <c r="H1984" s="102">
        <v>15</v>
      </c>
      <c r="I1984" s="115">
        <f t="shared" si="105"/>
        <v>3375</v>
      </c>
      <c r="J1984" s="115">
        <f t="shared" si="106"/>
        <v>2249.9999999999995</v>
      </c>
    </row>
    <row r="1985" spans="1:10" s="99" customFormat="1">
      <c r="A1985" s="111"/>
      <c r="B1985" s="111"/>
      <c r="C1985" s="115">
        <v>10000</v>
      </c>
      <c r="D1985" s="104" t="s">
        <v>1743</v>
      </c>
      <c r="E1985" s="115">
        <v>1150</v>
      </c>
      <c r="F1985" s="102">
        <v>10</v>
      </c>
      <c r="G1985" s="208">
        <v>0.06</v>
      </c>
      <c r="H1985" s="102" t="s">
        <v>664</v>
      </c>
      <c r="I1985" s="115">
        <f t="shared" si="105"/>
        <v>1500</v>
      </c>
      <c r="J1985" s="115">
        <f t="shared" si="106"/>
        <v>874.99999999999977</v>
      </c>
    </row>
    <row r="1986" spans="1:10" s="99" customFormat="1">
      <c r="A1986" s="111"/>
      <c r="B1986" s="111"/>
      <c r="C1986" s="115">
        <v>20000</v>
      </c>
      <c r="D1986" s="129" t="s">
        <v>353</v>
      </c>
      <c r="E1986" s="115">
        <v>750</v>
      </c>
      <c r="F1986" s="102">
        <v>5</v>
      </c>
      <c r="G1986" s="208">
        <v>7.4999999999999997E-2</v>
      </c>
      <c r="H1986" s="102">
        <v>15</v>
      </c>
      <c r="I1986" s="115">
        <f t="shared" si="105"/>
        <v>3750</v>
      </c>
      <c r="J1986" s="115">
        <f t="shared" si="106"/>
        <v>2499.9999999999995</v>
      </c>
    </row>
    <row r="1987" spans="1:10" s="99" customFormat="1">
      <c r="A1987" s="111"/>
      <c r="B1987" s="111"/>
      <c r="C1987" s="115">
        <v>10000</v>
      </c>
      <c r="D1987" s="104" t="s">
        <v>3402</v>
      </c>
      <c r="E1987" s="115">
        <v>1150</v>
      </c>
      <c r="F1987" s="102">
        <v>10</v>
      </c>
      <c r="G1987" s="208">
        <v>0.06</v>
      </c>
      <c r="H1987" s="102" t="s">
        <v>664</v>
      </c>
      <c r="I1987" s="115">
        <f t="shared" si="105"/>
        <v>1500</v>
      </c>
      <c r="J1987" s="115">
        <f t="shared" si="106"/>
        <v>874.99999999999977</v>
      </c>
    </row>
    <row r="1988" spans="1:10" s="99" customFormat="1">
      <c r="A1988" s="111"/>
      <c r="B1988" s="111"/>
      <c r="C1988" s="115">
        <v>10000</v>
      </c>
      <c r="D1988" s="104" t="s">
        <v>3173</v>
      </c>
      <c r="E1988" s="115">
        <v>1150</v>
      </c>
      <c r="F1988" s="102">
        <v>5</v>
      </c>
      <c r="G1988" s="208">
        <v>0.06</v>
      </c>
      <c r="H1988" s="102" t="s">
        <v>664</v>
      </c>
      <c r="I1988" s="115">
        <f t="shared" si="105"/>
        <v>750</v>
      </c>
      <c r="J1988" s="115">
        <f t="shared" si="106"/>
        <v>437.49999999999989</v>
      </c>
    </row>
    <row r="1989" spans="1:10" s="99" customFormat="1">
      <c r="A1989" s="111"/>
      <c r="B1989" s="111"/>
      <c r="C1989" s="115">
        <v>20000</v>
      </c>
      <c r="D1989" s="104" t="s">
        <v>1990</v>
      </c>
      <c r="E1989" s="115">
        <v>750</v>
      </c>
      <c r="F1989" s="102">
        <v>4</v>
      </c>
      <c r="G1989" s="208">
        <v>7.4999999999999997E-2</v>
      </c>
      <c r="H1989" s="102">
        <v>15</v>
      </c>
      <c r="I1989" s="115">
        <f t="shared" si="105"/>
        <v>3000</v>
      </c>
      <c r="J1989" s="115">
        <f t="shared" si="106"/>
        <v>1999.9999999999998</v>
      </c>
    </row>
    <row r="1990" spans="1:10" s="99" customFormat="1">
      <c r="A1990" s="111">
        <v>267</v>
      </c>
      <c r="B1990" s="111" t="s">
        <v>3174</v>
      </c>
      <c r="C1990" s="115">
        <v>20000</v>
      </c>
      <c r="D1990" s="104" t="s">
        <v>3111</v>
      </c>
      <c r="E1990" s="115">
        <v>2300</v>
      </c>
      <c r="F1990" s="102">
        <v>10</v>
      </c>
      <c r="G1990" s="208">
        <v>0.06</v>
      </c>
      <c r="H1990" s="102" t="s">
        <v>664</v>
      </c>
      <c r="I1990" s="115">
        <f t="shared" si="105"/>
        <v>3000</v>
      </c>
      <c r="J1990" s="115">
        <f t="shared" si="106"/>
        <v>1749.9999999999995</v>
      </c>
    </row>
    <row r="1991" spans="1:10" s="99" customFormat="1">
      <c r="A1991" s="111"/>
      <c r="B1991" s="111"/>
      <c r="C1991" s="115">
        <v>20000</v>
      </c>
      <c r="D1991" s="104" t="s">
        <v>3175</v>
      </c>
      <c r="E1991" s="115">
        <v>2300</v>
      </c>
      <c r="F1991" s="102">
        <v>10</v>
      </c>
      <c r="G1991" s="208">
        <v>0.06</v>
      </c>
      <c r="H1991" s="102" t="s">
        <v>664</v>
      </c>
      <c r="I1991" s="115">
        <f t="shared" si="105"/>
        <v>3000</v>
      </c>
      <c r="J1991" s="115">
        <f t="shared" si="106"/>
        <v>1749.9999999999995</v>
      </c>
    </row>
    <row r="1992" spans="1:10" s="99" customFormat="1">
      <c r="A1992" s="111">
        <v>268</v>
      </c>
      <c r="B1992" s="111" t="s">
        <v>3176</v>
      </c>
      <c r="C1992" s="115">
        <v>100000</v>
      </c>
      <c r="D1992" s="104" t="s">
        <v>3172</v>
      </c>
      <c r="E1992" s="115">
        <v>3750</v>
      </c>
      <c r="F1992" s="102">
        <v>1</v>
      </c>
      <c r="G1992" s="208">
        <v>7.4999999999999997E-2</v>
      </c>
      <c r="H1992" s="102">
        <v>15</v>
      </c>
      <c r="I1992" s="115">
        <f t="shared" si="105"/>
        <v>3750</v>
      </c>
      <c r="J1992" s="115">
        <f t="shared" si="106"/>
        <v>2500</v>
      </c>
    </row>
    <row r="1993" spans="1:10" s="99" customFormat="1">
      <c r="A1993" s="111"/>
      <c r="B1993" s="111"/>
      <c r="C1993" s="115">
        <v>90000</v>
      </c>
      <c r="D1993" s="104" t="s">
        <v>3172</v>
      </c>
      <c r="E1993" s="115">
        <v>3375</v>
      </c>
      <c r="F1993" s="102">
        <v>1</v>
      </c>
      <c r="G1993" s="208">
        <v>7.4999999999999997E-2</v>
      </c>
      <c r="H1993" s="102">
        <v>15</v>
      </c>
      <c r="I1993" s="115">
        <f t="shared" si="105"/>
        <v>3375</v>
      </c>
      <c r="J1993" s="115">
        <f t="shared" si="106"/>
        <v>2250</v>
      </c>
    </row>
    <row r="1994" spans="1:10" s="99" customFormat="1">
      <c r="A1994" s="111">
        <v>269</v>
      </c>
      <c r="B1994" s="111" t="s">
        <v>3177</v>
      </c>
      <c r="C1994" s="115">
        <v>20000</v>
      </c>
      <c r="D1994" s="104" t="s">
        <v>3178</v>
      </c>
      <c r="E1994" s="115">
        <v>750</v>
      </c>
      <c r="F1994" s="102">
        <v>15</v>
      </c>
      <c r="G1994" s="208">
        <v>7.4999999999999997E-2</v>
      </c>
      <c r="H1994" s="102">
        <v>15</v>
      </c>
      <c r="I1994" s="115">
        <f t="shared" si="105"/>
        <v>11250</v>
      </c>
      <c r="J1994" s="115">
        <f t="shared" si="106"/>
        <v>7499.9999999999991</v>
      </c>
    </row>
    <row r="1995" spans="1:10" s="99" customFormat="1">
      <c r="A1995" s="111"/>
      <c r="B1995" s="111"/>
      <c r="C1995" s="115">
        <v>20000</v>
      </c>
      <c r="D1995" s="104" t="s">
        <v>3153</v>
      </c>
      <c r="E1995" s="115">
        <v>750</v>
      </c>
      <c r="F1995" s="102">
        <v>24</v>
      </c>
      <c r="G1995" s="208">
        <v>7.4999999999999997E-2</v>
      </c>
      <c r="H1995" s="102">
        <v>15</v>
      </c>
      <c r="I1995" s="115">
        <f t="shared" si="105"/>
        <v>18000</v>
      </c>
      <c r="J1995" s="115">
        <f t="shared" si="106"/>
        <v>11999.999999999998</v>
      </c>
    </row>
    <row r="1996" spans="1:10" s="99" customFormat="1">
      <c r="A1996" s="111">
        <v>270</v>
      </c>
      <c r="B1996" s="111" t="s">
        <v>3180</v>
      </c>
      <c r="C1996" s="115">
        <v>10000</v>
      </c>
      <c r="D1996" s="104" t="s">
        <v>3181</v>
      </c>
      <c r="E1996" s="115">
        <v>1150</v>
      </c>
      <c r="F1996" s="102">
        <v>10</v>
      </c>
      <c r="G1996" s="208">
        <v>0.06</v>
      </c>
      <c r="H1996" s="102" t="s">
        <v>664</v>
      </c>
      <c r="I1996" s="115">
        <f t="shared" si="105"/>
        <v>1500</v>
      </c>
      <c r="J1996" s="115">
        <f t="shared" si="106"/>
        <v>874.99999999999977</v>
      </c>
    </row>
    <row r="1997" spans="1:10" s="99" customFormat="1">
      <c r="A1997" s="111"/>
      <c r="B1997" s="111"/>
      <c r="C1997" s="115">
        <v>25000</v>
      </c>
      <c r="D1997" s="104" t="s">
        <v>3116</v>
      </c>
      <c r="E1997" s="115">
        <v>940</v>
      </c>
      <c r="F1997" s="102">
        <v>13</v>
      </c>
      <c r="G1997" s="208">
        <v>7.4999999999999997E-2</v>
      </c>
      <c r="H1997" s="102">
        <v>15</v>
      </c>
      <c r="I1997" s="115">
        <f t="shared" si="105"/>
        <v>12187.5</v>
      </c>
      <c r="J1997" s="115">
        <f t="shared" si="106"/>
        <v>8125</v>
      </c>
    </row>
    <row r="1998" spans="1:10" s="99" customFormat="1">
      <c r="A1998" s="111"/>
      <c r="B1998" s="111"/>
      <c r="C1998" s="115">
        <v>20000</v>
      </c>
      <c r="D1998" s="104" t="s">
        <v>976</v>
      </c>
      <c r="E1998" s="115">
        <v>2300</v>
      </c>
      <c r="F1998" s="102">
        <v>10</v>
      </c>
      <c r="G1998" s="208">
        <v>0.06</v>
      </c>
      <c r="H1998" s="102" t="s">
        <v>664</v>
      </c>
      <c r="I1998" s="115">
        <f t="shared" si="105"/>
        <v>3000</v>
      </c>
      <c r="J1998" s="115">
        <f t="shared" si="106"/>
        <v>1749.9999999999995</v>
      </c>
    </row>
    <row r="1999" spans="1:10" s="99" customFormat="1">
      <c r="A1999" s="111"/>
      <c r="B1999" s="111"/>
      <c r="C1999" s="115">
        <v>25000</v>
      </c>
      <c r="D1999" s="104" t="s">
        <v>3182</v>
      </c>
      <c r="E1999" s="115">
        <v>940</v>
      </c>
      <c r="F1999" s="102">
        <v>8</v>
      </c>
      <c r="G1999" s="208">
        <v>7.4999999999999997E-2</v>
      </c>
      <c r="H1999" s="102">
        <v>15</v>
      </c>
      <c r="I1999" s="115">
        <f t="shared" si="105"/>
        <v>7500</v>
      </c>
      <c r="J1999" s="115">
        <f t="shared" si="106"/>
        <v>5000</v>
      </c>
    </row>
    <row r="2000" spans="1:10" s="99" customFormat="1">
      <c r="A2000" s="111"/>
      <c r="B2000" s="111"/>
      <c r="C2000" s="115">
        <v>20000</v>
      </c>
      <c r="D2000" s="104" t="s">
        <v>3183</v>
      </c>
      <c r="E2000" s="115">
        <v>2300</v>
      </c>
      <c r="F2000" s="102">
        <v>10</v>
      </c>
      <c r="G2000" s="208">
        <v>0.06</v>
      </c>
      <c r="H2000" s="102" t="s">
        <v>664</v>
      </c>
      <c r="I2000" s="115">
        <f t="shared" si="105"/>
        <v>3000</v>
      </c>
      <c r="J2000" s="115">
        <f t="shared" si="106"/>
        <v>1749.9999999999995</v>
      </c>
    </row>
    <row r="2001" spans="1:10" s="99" customFormat="1">
      <c r="A2001" s="111"/>
      <c r="B2001" s="111"/>
      <c r="C2001" s="115">
        <v>20000</v>
      </c>
      <c r="D2001" s="104" t="s">
        <v>3129</v>
      </c>
      <c r="E2001" s="115">
        <v>2300</v>
      </c>
      <c r="F2001" s="102">
        <v>10</v>
      </c>
      <c r="G2001" s="208">
        <v>0.06</v>
      </c>
      <c r="H2001" s="102" t="s">
        <v>664</v>
      </c>
      <c r="I2001" s="115">
        <f t="shared" si="105"/>
        <v>3000</v>
      </c>
      <c r="J2001" s="115">
        <f t="shared" si="106"/>
        <v>1749.9999999999995</v>
      </c>
    </row>
    <row r="2002" spans="1:10" s="99" customFormat="1">
      <c r="A2002" s="111"/>
      <c r="B2002" s="111"/>
      <c r="C2002" s="115">
        <v>25000</v>
      </c>
      <c r="D2002" s="104" t="s">
        <v>1688</v>
      </c>
      <c r="E2002" s="115">
        <v>2875</v>
      </c>
      <c r="F2002" s="102">
        <v>5</v>
      </c>
      <c r="G2002" s="208">
        <v>0.06</v>
      </c>
      <c r="H2002" s="102" t="s">
        <v>664</v>
      </c>
      <c r="I2002" s="115">
        <f t="shared" si="105"/>
        <v>1875</v>
      </c>
      <c r="J2002" s="115">
        <f t="shared" si="106"/>
        <v>1093.7499999999998</v>
      </c>
    </row>
    <row r="2003" spans="1:10" s="99" customFormat="1">
      <c r="A2003" s="111">
        <v>271</v>
      </c>
      <c r="B2003" s="111" t="s">
        <v>3184</v>
      </c>
      <c r="C2003" s="115">
        <v>10000</v>
      </c>
      <c r="D2003" s="104" t="s">
        <v>230</v>
      </c>
      <c r="E2003" s="115">
        <v>2690</v>
      </c>
      <c r="F2003" s="102">
        <v>4</v>
      </c>
      <c r="G2003" s="208">
        <v>7.5999999999999998E-2</v>
      </c>
      <c r="H2003" s="130" t="s">
        <v>354</v>
      </c>
      <c r="I2003" s="115">
        <f>IF(H2003="分期-4期",C2003*G2003*2.5*F2003/10,C2003*G2003*H2003/30*F2003)</f>
        <v>760</v>
      </c>
      <c r="J2003" s="115">
        <f>IF(H2003="分期-4期",C2003*(G2003-0.025)*2.5*F2003/10,C2003*(G2003-0.025)*H2003/30*F2003)</f>
        <v>509.99999999999989</v>
      </c>
    </row>
    <row r="2004" spans="1:10" s="99" customFormat="1">
      <c r="A2004" s="111"/>
      <c r="B2004" s="111"/>
      <c r="C2004" s="115">
        <v>10000</v>
      </c>
      <c r="D2004" s="104" t="s">
        <v>3185</v>
      </c>
      <c r="E2004" s="115">
        <v>375</v>
      </c>
      <c r="F2004" s="102">
        <v>7</v>
      </c>
      <c r="G2004" s="208">
        <v>7.4999999999999997E-2</v>
      </c>
      <c r="H2004" s="102">
        <v>15</v>
      </c>
      <c r="I2004" s="115">
        <f>IF(H2004="分期",C2004*G2004*2.5*F2004/10,C2004*G2004*H2004/30*F2004)</f>
        <v>2625</v>
      </c>
      <c r="J2004" s="115">
        <f>IF(H2004="分期",C2004*(G2004-0.025)*2.5*F2004/10,C2004*(G2004-0.025)*H2004/30*F2004)</f>
        <v>1749.9999999999998</v>
      </c>
    </row>
    <row r="2005" spans="1:10" s="99" customFormat="1">
      <c r="A2005" s="111"/>
      <c r="B2005" s="111"/>
      <c r="C2005" s="115">
        <v>10000</v>
      </c>
      <c r="D2005" s="104" t="s">
        <v>3153</v>
      </c>
      <c r="E2005" s="115">
        <v>375</v>
      </c>
      <c r="F2005" s="102">
        <v>4</v>
      </c>
      <c r="G2005" s="208">
        <v>7.4999999999999997E-2</v>
      </c>
      <c r="H2005" s="102">
        <v>15</v>
      </c>
      <c r="I2005" s="115">
        <f>IF(H2005="分期",C2005*G2005*2.5*F2005/10,C2005*G2005*H2005/30*F2005)</f>
        <v>1500</v>
      </c>
      <c r="J2005" s="115">
        <f>IF(H2005="分期",C2005*(G2005-0.025)*2.5*F2005/10,C2005*(G2005-0.025)*H2005/30*F2005)</f>
        <v>999.99999999999989</v>
      </c>
    </row>
    <row r="2006" spans="1:10" s="99" customFormat="1">
      <c r="A2006" s="111"/>
      <c r="B2006" s="111"/>
      <c r="C2006" s="115">
        <v>15000</v>
      </c>
      <c r="D2006" s="104" t="s">
        <v>982</v>
      </c>
      <c r="E2006" s="115">
        <v>565</v>
      </c>
      <c r="F2006" s="102">
        <v>4</v>
      </c>
      <c r="G2006" s="208">
        <v>7.4999999999999997E-2</v>
      </c>
      <c r="H2006" s="102">
        <v>15</v>
      </c>
      <c r="I2006" s="115">
        <f>IF(H2006="分期",C2006*G2006*2.5*F2006/10,C2006*G2006*H2006/30*F2006)</f>
        <v>2250</v>
      </c>
      <c r="J2006" s="115">
        <f>IF(H2006="分期",C2006*(G2006-0.025)*2.5*F2006/10,C2006*(G2006-0.025)*H2006/30*F2006)</f>
        <v>1499.9999999999998</v>
      </c>
    </row>
    <row r="2007" spans="1:10" s="99" customFormat="1">
      <c r="A2007" s="111"/>
      <c r="B2007" s="111"/>
      <c r="C2007" s="115">
        <v>15000</v>
      </c>
      <c r="D2007" s="104" t="s">
        <v>982</v>
      </c>
      <c r="E2007" s="115">
        <v>4030</v>
      </c>
      <c r="F2007" s="102">
        <v>4</v>
      </c>
      <c r="G2007" s="208">
        <v>7.4999999999999997E-2</v>
      </c>
      <c r="H2007" s="130" t="s">
        <v>354</v>
      </c>
      <c r="I2007" s="115">
        <f>IF(H2007="分期-4期",C2007*G2007*2.5*F2007/10,C2007*G2007*H2007/30*F2007)</f>
        <v>1125</v>
      </c>
      <c r="J2007" s="115">
        <f>IF(H2007="分期-4期",C2007*(G2007-0.025)*2.5*F2007/10,C2007*(G2007-0.025)*H2007/30*F2007)</f>
        <v>749.99999999999989</v>
      </c>
    </row>
    <row r="2008" spans="1:10" s="99" customFormat="1">
      <c r="A2008" s="111">
        <v>272</v>
      </c>
      <c r="B2008" s="111" t="s">
        <v>3186</v>
      </c>
      <c r="C2008" s="115">
        <v>10000</v>
      </c>
      <c r="D2008" s="104" t="s">
        <v>972</v>
      </c>
      <c r="E2008" s="115">
        <v>750</v>
      </c>
      <c r="F2008" s="102">
        <v>4</v>
      </c>
      <c r="G2008" s="208">
        <v>7.4999999999999997E-2</v>
      </c>
      <c r="H2008" s="102">
        <v>15</v>
      </c>
      <c r="I2008" s="115">
        <f t="shared" ref="I2008:I2071" si="107">IF(H2008="分期",C2008*G2008*2.5*F2008/10,C2008*G2008*H2008/30*F2008)</f>
        <v>1500</v>
      </c>
      <c r="J2008" s="115">
        <f t="shared" ref="J2008:J2071" si="108">IF(H2008="分期",C2008*(G2008-0.025)*2.5*F2008/10,C2008*(G2008-0.025)*H2008/30*F2008)</f>
        <v>999.99999999999989</v>
      </c>
    </row>
    <row r="2009" spans="1:10" s="99" customFormat="1">
      <c r="A2009" s="111"/>
      <c r="B2009" s="111"/>
      <c r="C2009" s="115">
        <v>10000</v>
      </c>
      <c r="D2009" s="104" t="s">
        <v>972</v>
      </c>
      <c r="E2009" s="115">
        <v>1150</v>
      </c>
      <c r="F2009" s="102">
        <v>10</v>
      </c>
      <c r="G2009" s="208">
        <v>0.06</v>
      </c>
      <c r="H2009" s="102" t="s">
        <v>664</v>
      </c>
      <c r="I2009" s="115">
        <f t="shared" si="107"/>
        <v>1500</v>
      </c>
      <c r="J2009" s="115">
        <f t="shared" si="108"/>
        <v>874.99999999999977</v>
      </c>
    </row>
    <row r="2010" spans="1:10" s="99" customFormat="1">
      <c r="A2010" s="111"/>
      <c r="B2010" s="111"/>
      <c r="C2010" s="115">
        <v>20000</v>
      </c>
      <c r="D2010" s="104" t="s">
        <v>3138</v>
      </c>
      <c r="E2010" s="115">
        <v>2300</v>
      </c>
      <c r="F2010" s="102">
        <v>10</v>
      </c>
      <c r="G2010" s="208">
        <v>0.06</v>
      </c>
      <c r="H2010" s="102" t="s">
        <v>664</v>
      </c>
      <c r="I2010" s="115">
        <f t="shared" si="107"/>
        <v>3000</v>
      </c>
      <c r="J2010" s="115">
        <f t="shared" si="108"/>
        <v>1749.9999999999995</v>
      </c>
    </row>
    <row r="2011" spans="1:10" s="99" customFormat="1">
      <c r="A2011" s="111"/>
      <c r="B2011" s="111"/>
      <c r="C2011" s="115">
        <v>20000</v>
      </c>
      <c r="D2011" s="129" t="s">
        <v>357</v>
      </c>
      <c r="E2011" s="115">
        <v>2300</v>
      </c>
      <c r="F2011" s="102">
        <v>10</v>
      </c>
      <c r="G2011" s="208">
        <v>0.06</v>
      </c>
      <c r="H2011" s="102" t="s">
        <v>664</v>
      </c>
      <c r="I2011" s="115">
        <f t="shared" si="107"/>
        <v>3000</v>
      </c>
      <c r="J2011" s="115">
        <f t="shared" si="108"/>
        <v>1749.9999999999995</v>
      </c>
    </row>
    <row r="2012" spans="1:10" s="99" customFormat="1">
      <c r="A2012" s="111"/>
      <c r="B2012" s="111"/>
      <c r="C2012" s="115">
        <v>20000</v>
      </c>
      <c r="D2012" s="104" t="s">
        <v>2322</v>
      </c>
      <c r="E2012" s="115">
        <v>2300</v>
      </c>
      <c r="F2012" s="102">
        <v>10</v>
      </c>
      <c r="G2012" s="208">
        <v>0.06</v>
      </c>
      <c r="H2012" s="102" t="s">
        <v>664</v>
      </c>
      <c r="I2012" s="115">
        <f t="shared" si="107"/>
        <v>3000</v>
      </c>
      <c r="J2012" s="115">
        <f t="shared" si="108"/>
        <v>1749.9999999999995</v>
      </c>
    </row>
    <row r="2013" spans="1:10" s="99" customFormat="1">
      <c r="A2013" s="111"/>
      <c r="B2013" s="111"/>
      <c r="C2013" s="115">
        <v>10000</v>
      </c>
      <c r="D2013" s="104" t="s">
        <v>3398</v>
      </c>
      <c r="E2013" s="115">
        <v>375</v>
      </c>
      <c r="F2013" s="102">
        <v>9</v>
      </c>
      <c r="G2013" s="208">
        <v>7.4999999999999997E-2</v>
      </c>
      <c r="H2013" s="102">
        <v>15</v>
      </c>
      <c r="I2013" s="115">
        <f t="shared" si="107"/>
        <v>3375</v>
      </c>
      <c r="J2013" s="115">
        <f t="shared" si="108"/>
        <v>2249.9999999999995</v>
      </c>
    </row>
    <row r="2014" spans="1:10" s="99" customFormat="1">
      <c r="A2014" s="111"/>
      <c r="B2014" s="111"/>
      <c r="C2014" s="115">
        <v>20000</v>
      </c>
      <c r="D2014" s="104" t="s">
        <v>1536</v>
      </c>
      <c r="E2014" s="115">
        <v>2300</v>
      </c>
      <c r="F2014" s="102">
        <v>10</v>
      </c>
      <c r="G2014" s="208">
        <v>0.06</v>
      </c>
      <c r="H2014" s="102" t="s">
        <v>664</v>
      </c>
      <c r="I2014" s="115">
        <f t="shared" si="107"/>
        <v>3000</v>
      </c>
      <c r="J2014" s="115">
        <f t="shared" si="108"/>
        <v>1749.9999999999995</v>
      </c>
    </row>
    <row r="2015" spans="1:10" s="99" customFormat="1">
      <c r="A2015" s="111"/>
      <c r="B2015" s="111"/>
      <c r="C2015" s="115">
        <v>20000</v>
      </c>
      <c r="D2015" s="104" t="s">
        <v>3411</v>
      </c>
      <c r="E2015" s="115">
        <v>2300</v>
      </c>
      <c r="F2015" s="102">
        <v>10</v>
      </c>
      <c r="G2015" s="208">
        <v>0.06</v>
      </c>
      <c r="H2015" s="102" t="s">
        <v>664</v>
      </c>
      <c r="I2015" s="115">
        <f t="shared" si="107"/>
        <v>3000</v>
      </c>
      <c r="J2015" s="115">
        <f t="shared" si="108"/>
        <v>1749.9999999999995</v>
      </c>
    </row>
    <row r="2016" spans="1:10" s="99" customFormat="1">
      <c r="A2016" s="111"/>
      <c r="B2016" s="111"/>
      <c r="C2016" s="115">
        <v>10000</v>
      </c>
      <c r="D2016" s="129" t="s">
        <v>1913</v>
      </c>
      <c r="E2016" s="115">
        <v>375</v>
      </c>
      <c r="F2016" s="102">
        <v>14</v>
      </c>
      <c r="G2016" s="208">
        <v>7.4999999999999997E-2</v>
      </c>
      <c r="H2016" s="102">
        <v>15</v>
      </c>
      <c r="I2016" s="115">
        <f t="shared" si="107"/>
        <v>5250</v>
      </c>
      <c r="J2016" s="115">
        <f t="shared" si="108"/>
        <v>3499.9999999999995</v>
      </c>
    </row>
    <row r="2017" spans="1:10" s="99" customFormat="1">
      <c r="A2017" s="111"/>
      <c r="B2017" s="111"/>
      <c r="C2017" s="115">
        <v>20000</v>
      </c>
      <c r="D2017" s="104" t="s">
        <v>1976</v>
      </c>
      <c r="E2017" s="115">
        <v>2300</v>
      </c>
      <c r="F2017" s="102">
        <v>10</v>
      </c>
      <c r="G2017" s="208">
        <v>0.06</v>
      </c>
      <c r="H2017" s="102" t="s">
        <v>664</v>
      </c>
      <c r="I2017" s="115">
        <f t="shared" si="107"/>
        <v>3000</v>
      </c>
      <c r="J2017" s="115">
        <f t="shared" si="108"/>
        <v>1749.9999999999995</v>
      </c>
    </row>
    <row r="2018" spans="1:10" s="99" customFormat="1">
      <c r="A2018" s="111"/>
      <c r="B2018" s="111"/>
      <c r="C2018" s="115">
        <v>20000</v>
      </c>
      <c r="D2018" s="104" t="s">
        <v>3134</v>
      </c>
      <c r="E2018" s="115">
        <v>750</v>
      </c>
      <c r="F2018" s="102">
        <v>15</v>
      </c>
      <c r="G2018" s="208">
        <v>7.4999999999999997E-2</v>
      </c>
      <c r="H2018" s="102">
        <v>15</v>
      </c>
      <c r="I2018" s="115">
        <f t="shared" si="107"/>
        <v>11250</v>
      </c>
      <c r="J2018" s="115">
        <f t="shared" si="108"/>
        <v>7499.9999999999991</v>
      </c>
    </row>
    <row r="2019" spans="1:10" s="99" customFormat="1">
      <c r="A2019" s="111"/>
      <c r="B2019" s="111"/>
      <c r="C2019" s="115">
        <v>10000</v>
      </c>
      <c r="D2019" s="104" t="s">
        <v>2325</v>
      </c>
      <c r="E2019" s="115">
        <v>375</v>
      </c>
      <c r="F2019" s="102">
        <v>7</v>
      </c>
      <c r="G2019" s="208">
        <v>7.4999999999999997E-2</v>
      </c>
      <c r="H2019" s="102">
        <v>15</v>
      </c>
      <c r="I2019" s="115">
        <f t="shared" si="107"/>
        <v>2625</v>
      </c>
      <c r="J2019" s="115">
        <f t="shared" si="108"/>
        <v>1749.9999999999998</v>
      </c>
    </row>
    <row r="2020" spans="1:10" s="99" customFormat="1">
      <c r="A2020" s="111"/>
      <c r="B2020" s="111"/>
      <c r="C2020" s="115">
        <v>20000</v>
      </c>
      <c r="D2020" s="104" t="s">
        <v>574</v>
      </c>
      <c r="E2020" s="115">
        <v>2300</v>
      </c>
      <c r="F2020" s="102">
        <v>10</v>
      </c>
      <c r="G2020" s="208">
        <v>0.06</v>
      </c>
      <c r="H2020" s="102" t="s">
        <v>664</v>
      </c>
      <c r="I2020" s="115">
        <f t="shared" si="107"/>
        <v>3000</v>
      </c>
      <c r="J2020" s="115">
        <f t="shared" si="108"/>
        <v>1749.9999999999995</v>
      </c>
    </row>
    <row r="2021" spans="1:10" s="99" customFormat="1">
      <c r="A2021" s="111">
        <v>273</v>
      </c>
      <c r="B2021" s="111" t="s">
        <v>3188</v>
      </c>
      <c r="C2021" s="115">
        <v>40000</v>
      </c>
      <c r="D2021" s="104" t="s">
        <v>1700</v>
      </c>
      <c r="E2021" s="115">
        <v>1500</v>
      </c>
      <c r="F2021" s="102">
        <v>14</v>
      </c>
      <c r="G2021" s="208">
        <v>7.4999999999999997E-2</v>
      </c>
      <c r="H2021" s="102">
        <v>15</v>
      </c>
      <c r="I2021" s="115">
        <f t="shared" si="107"/>
        <v>21000</v>
      </c>
      <c r="J2021" s="115">
        <f t="shared" si="108"/>
        <v>13999.999999999998</v>
      </c>
    </row>
    <row r="2022" spans="1:10" s="99" customFormat="1">
      <c r="A2022" s="111">
        <v>274</v>
      </c>
      <c r="B2022" s="111" t="s">
        <v>3189</v>
      </c>
      <c r="C2022" s="115">
        <v>30000</v>
      </c>
      <c r="D2022" s="104" t="s">
        <v>663</v>
      </c>
      <c r="E2022" s="115">
        <v>1125</v>
      </c>
      <c r="F2022" s="102">
        <v>25</v>
      </c>
      <c r="G2022" s="208">
        <v>7.4999999999999997E-2</v>
      </c>
      <c r="H2022" s="102">
        <v>15</v>
      </c>
      <c r="I2022" s="115">
        <f t="shared" si="107"/>
        <v>28125</v>
      </c>
      <c r="J2022" s="115">
        <f t="shared" si="108"/>
        <v>18749.999999999996</v>
      </c>
    </row>
    <row r="2023" spans="1:10" s="99" customFormat="1">
      <c r="A2023" s="111"/>
      <c r="B2023" s="111"/>
      <c r="C2023" s="115">
        <v>50000</v>
      </c>
      <c r="D2023" s="104" t="s">
        <v>3705</v>
      </c>
      <c r="E2023" s="115">
        <v>5750</v>
      </c>
      <c r="F2023" s="102">
        <v>10</v>
      </c>
      <c r="G2023" s="208">
        <v>0.06</v>
      </c>
      <c r="H2023" s="102" t="s">
        <v>664</v>
      </c>
      <c r="I2023" s="115">
        <f t="shared" si="107"/>
        <v>7500</v>
      </c>
      <c r="J2023" s="115">
        <f t="shared" si="108"/>
        <v>4374.9999999999991</v>
      </c>
    </row>
    <row r="2024" spans="1:10" s="99" customFormat="1">
      <c r="A2024" s="111"/>
      <c r="B2024" s="111"/>
      <c r="C2024" s="115">
        <v>50000</v>
      </c>
      <c r="D2024" s="104" t="s">
        <v>976</v>
      </c>
      <c r="E2024" s="115">
        <v>5750</v>
      </c>
      <c r="F2024" s="102">
        <v>6</v>
      </c>
      <c r="G2024" s="208">
        <v>0.06</v>
      </c>
      <c r="H2024" s="102" t="s">
        <v>664</v>
      </c>
      <c r="I2024" s="115">
        <f t="shared" si="107"/>
        <v>4500</v>
      </c>
      <c r="J2024" s="115">
        <f t="shared" si="108"/>
        <v>2624.9999999999991</v>
      </c>
    </row>
    <row r="2025" spans="1:10" s="99" customFormat="1">
      <c r="A2025" s="111"/>
      <c r="B2025" s="111"/>
      <c r="C2025" s="115">
        <v>30000</v>
      </c>
      <c r="D2025" s="104" t="s">
        <v>1536</v>
      </c>
      <c r="E2025" s="115">
        <v>3450</v>
      </c>
      <c r="F2025" s="102">
        <v>10</v>
      </c>
      <c r="G2025" s="208">
        <v>0.06</v>
      </c>
      <c r="H2025" s="102" t="s">
        <v>664</v>
      </c>
      <c r="I2025" s="115">
        <f t="shared" si="107"/>
        <v>4500</v>
      </c>
      <c r="J2025" s="115">
        <f t="shared" si="108"/>
        <v>2625</v>
      </c>
    </row>
    <row r="2026" spans="1:10" s="99" customFormat="1">
      <c r="A2026" s="111"/>
      <c r="B2026" s="111"/>
      <c r="C2026" s="115">
        <v>20000</v>
      </c>
      <c r="D2026" s="104" t="s">
        <v>2532</v>
      </c>
      <c r="E2026" s="115">
        <v>2300</v>
      </c>
      <c r="F2026" s="102">
        <v>2</v>
      </c>
      <c r="G2026" s="208">
        <v>0.06</v>
      </c>
      <c r="H2026" s="102" t="s">
        <v>664</v>
      </c>
      <c r="I2026" s="115">
        <f t="shared" si="107"/>
        <v>600</v>
      </c>
      <c r="J2026" s="115">
        <f t="shared" si="108"/>
        <v>349.99999999999994</v>
      </c>
    </row>
    <row r="2027" spans="1:10" s="99" customFormat="1">
      <c r="A2027" s="111">
        <v>275</v>
      </c>
      <c r="B2027" s="111" t="s">
        <v>412</v>
      </c>
      <c r="C2027" s="115">
        <v>10000</v>
      </c>
      <c r="D2027" s="104" t="s">
        <v>3705</v>
      </c>
      <c r="E2027" s="115">
        <v>1150</v>
      </c>
      <c r="F2027" s="102">
        <v>10</v>
      </c>
      <c r="G2027" s="208">
        <v>0.06</v>
      </c>
      <c r="H2027" s="102" t="s">
        <v>664</v>
      </c>
      <c r="I2027" s="115">
        <f t="shared" si="107"/>
        <v>1500</v>
      </c>
      <c r="J2027" s="115">
        <f t="shared" si="108"/>
        <v>874.99999999999977</v>
      </c>
    </row>
    <row r="2028" spans="1:10" s="99" customFormat="1">
      <c r="A2028" s="111"/>
      <c r="B2028" s="111"/>
      <c r="C2028" s="115">
        <v>20000</v>
      </c>
      <c r="D2028" s="104" t="s">
        <v>3705</v>
      </c>
      <c r="E2028" s="115">
        <v>750</v>
      </c>
      <c r="F2028" s="102">
        <v>20</v>
      </c>
      <c r="G2028" s="208">
        <v>7.4999999999999997E-2</v>
      </c>
      <c r="H2028" s="102">
        <v>15</v>
      </c>
      <c r="I2028" s="115">
        <f t="shared" si="107"/>
        <v>15000</v>
      </c>
      <c r="J2028" s="115">
        <f t="shared" si="108"/>
        <v>9999.9999999999982</v>
      </c>
    </row>
    <row r="2029" spans="1:10" s="99" customFormat="1">
      <c r="A2029" s="111"/>
      <c r="B2029" s="111"/>
      <c r="C2029" s="115">
        <v>10000</v>
      </c>
      <c r="D2029" s="104" t="s">
        <v>976</v>
      </c>
      <c r="E2029" s="115">
        <v>1150</v>
      </c>
      <c r="F2029" s="102">
        <v>10</v>
      </c>
      <c r="G2029" s="208">
        <v>0.06</v>
      </c>
      <c r="H2029" s="102" t="s">
        <v>664</v>
      </c>
      <c r="I2029" s="115">
        <f t="shared" si="107"/>
        <v>1500</v>
      </c>
      <c r="J2029" s="115">
        <f t="shared" si="108"/>
        <v>874.99999999999977</v>
      </c>
    </row>
    <row r="2030" spans="1:10" s="99" customFormat="1">
      <c r="A2030" s="111"/>
      <c r="B2030" s="111"/>
      <c r="C2030" s="115">
        <v>10000</v>
      </c>
      <c r="D2030" s="104" t="s">
        <v>413</v>
      </c>
      <c r="E2030" s="115">
        <v>1150</v>
      </c>
      <c r="F2030" s="102">
        <v>10</v>
      </c>
      <c r="G2030" s="208">
        <v>0.06</v>
      </c>
      <c r="H2030" s="102" t="s">
        <v>664</v>
      </c>
      <c r="I2030" s="115">
        <f t="shared" si="107"/>
        <v>1500</v>
      </c>
      <c r="J2030" s="115">
        <f t="shared" si="108"/>
        <v>874.99999999999977</v>
      </c>
    </row>
    <row r="2031" spans="1:10" s="99" customFormat="1">
      <c r="A2031" s="111"/>
      <c r="B2031" s="111"/>
      <c r="C2031" s="115">
        <v>10000</v>
      </c>
      <c r="D2031" s="104" t="s">
        <v>414</v>
      </c>
      <c r="E2031" s="115">
        <v>1150</v>
      </c>
      <c r="F2031" s="102">
        <v>10</v>
      </c>
      <c r="G2031" s="208">
        <v>0.06</v>
      </c>
      <c r="H2031" s="102" t="s">
        <v>664</v>
      </c>
      <c r="I2031" s="115">
        <f t="shared" si="107"/>
        <v>1500</v>
      </c>
      <c r="J2031" s="115">
        <f t="shared" si="108"/>
        <v>874.99999999999977</v>
      </c>
    </row>
    <row r="2032" spans="1:10" s="99" customFormat="1">
      <c r="A2032" s="111"/>
      <c r="B2032" s="111"/>
      <c r="C2032" s="115">
        <v>10000</v>
      </c>
      <c r="D2032" s="104" t="s">
        <v>985</v>
      </c>
      <c r="E2032" s="115">
        <v>1150</v>
      </c>
      <c r="F2032" s="102">
        <v>10</v>
      </c>
      <c r="G2032" s="208">
        <v>0.06</v>
      </c>
      <c r="H2032" s="102" t="s">
        <v>664</v>
      </c>
      <c r="I2032" s="115">
        <f t="shared" si="107"/>
        <v>1500</v>
      </c>
      <c r="J2032" s="115">
        <f t="shared" si="108"/>
        <v>874.99999999999977</v>
      </c>
    </row>
    <row r="2033" spans="1:10" s="99" customFormat="1">
      <c r="A2033" s="111"/>
      <c r="B2033" s="111"/>
      <c r="C2033" s="115">
        <v>10000</v>
      </c>
      <c r="D2033" s="104" t="s">
        <v>416</v>
      </c>
      <c r="E2033" s="115">
        <v>1150</v>
      </c>
      <c r="F2033" s="102">
        <v>10</v>
      </c>
      <c r="G2033" s="208">
        <v>0.06</v>
      </c>
      <c r="H2033" s="102" t="s">
        <v>664</v>
      </c>
      <c r="I2033" s="115">
        <f t="shared" si="107"/>
        <v>1500</v>
      </c>
      <c r="J2033" s="115">
        <f t="shared" si="108"/>
        <v>874.99999999999977</v>
      </c>
    </row>
    <row r="2034" spans="1:10" s="99" customFormat="1">
      <c r="A2034" s="111"/>
      <c r="B2034" s="111"/>
      <c r="C2034" s="115">
        <v>10000</v>
      </c>
      <c r="D2034" s="104" t="s">
        <v>417</v>
      </c>
      <c r="E2034" s="115">
        <v>1150</v>
      </c>
      <c r="F2034" s="102">
        <v>10</v>
      </c>
      <c r="G2034" s="208">
        <v>0.06</v>
      </c>
      <c r="H2034" s="102" t="s">
        <v>664</v>
      </c>
      <c r="I2034" s="115">
        <f t="shared" si="107"/>
        <v>1500</v>
      </c>
      <c r="J2034" s="115">
        <f t="shared" si="108"/>
        <v>874.99999999999977</v>
      </c>
    </row>
    <row r="2035" spans="1:10" s="99" customFormat="1">
      <c r="A2035" s="111"/>
      <c r="B2035" s="111"/>
      <c r="C2035" s="115">
        <v>10000</v>
      </c>
      <c r="D2035" s="104" t="s">
        <v>2323</v>
      </c>
      <c r="E2035" s="115">
        <v>1150</v>
      </c>
      <c r="F2035" s="102">
        <v>10</v>
      </c>
      <c r="G2035" s="208">
        <v>0.06</v>
      </c>
      <c r="H2035" s="102" t="s">
        <v>664</v>
      </c>
      <c r="I2035" s="115">
        <f t="shared" si="107"/>
        <v>1500</v>
      </c>
      <c r="J2035" s="115">
        <f t="shared" si="108"/>
        <v>874.99999999999977</v>
      </c>
    </row>
    <row r="2036" spans="1:10" s="99" customFormat="1">
      <c r="A2036" s="111"/>
      <c r="B2036" s="111"/>
      <c r="C2036" s="115">
        <v>5000</v>
      </c>
      <c r="D2036" s="104" t="s">
        <v>418</v>
      </c>
      <c r="E2036" s="115">
        <v>190</v>
      </c>
      <c r="F2036" s="102">
        <v>2</v>
      </c>
      <c r="G2036" s="208">
        <v>7.5999999999999998E-2</v>
      </c>
      <c r="H2036" s="102">
        <v>15</v>
      </c>
      <c r="I2036" s="115">
        <f t="shared" si="107"/>
        <v>380</v>
      </c>
      <c r="J2036" s="115">
        <f t="shared" si="108"/>
        <v>254.99999999999997</v>
      </c>
    </row>
    <row r="2037" spans="1:10" s="99" customFormat="1">
      <c r="A2037" s="111"/>
      <c r="B2037" s="111"/>
      <c r="C2037" s="115">
        <v>10000</v>
      </c>
      <c r="D2037" s="104" t="s">
        <v>419</v>
      </c>
      <c r="E2037" s="115">
        <v>1150</v>
      </c>
      <c r="F2037" s="102">
        <v>2</v>
      </c>
      <c r="G2037" s="208">
        <v>0.06</v>
      </c>
      <c r="H2037" s="102" t="s">
        <v>664</v>
      </c>
      <c r="I2037" s="115">
        <f t="shared" si="107"/>
        <v>300</v>
      </c>
      <c r="J2037" s="115">
        <f t="shared" si="108"/>
        <v>174.99999999999997</v>
      </c>
    </row>
    <row r="2038" spans="1:10" s="99" customFormat="1">
      <c r="A2038" s="111">
        <v>276</v>
      </c>
      <c r="B2038" s="111" t="s">
        <v>420</v>
      </c>
      <c r="C2038" s="115">
        <v>20000</v>
      </c>
      <c r="D2038" s="104" t="s">
        <v>3705</v>
      </c>
      <c r="E2038" s="115">
        <v>750</v>
      </c>
      <c r="F2038" s="102">
        <v>26</v>
      </c>
      <c r="G2038" s="208">
        <v>7.4999999999999997E-2</v>
      </c>
      <c r="H2038" s="102">
        <v>15</v>
      </c>
      <c r="I2038" s="115">
        <f t="shared" si="107"/>
        <v>19500</v>
      </c>
      <c r="J2038" s="115">
        <f t="shared" si="108"/>
        <v>12999.999999999998</v>
      </c>
    </row>
    <row r="2039" spans="1:10" s="99" customFormat="1">
      <c r="A2039" s="111"/>
      <c r="B2039" s="111"/>
      <c r="C2039" s="115">
        <v>10000</v>
      </c>
      <c r="D2039" s="104" t="s">
        <v>3705</v>
      </c>
      <c r="E2039" s="115">
        <v>1150</v>
      </c>
      <c r="F2039" s="102">
        <v>10</v>
      </c>
      <c r="G2039" s="208">
        <v>0.06</v>
      </c>
      <c r="H2039" s="102" t="s">
        <v>664</v>
      </c>
      <c r="I2039" s="115">
        <f t="shared" si="107"/>
        <v>1500</v>
      </c>
      <c r="J2039" s="115">
        <f t="shared" si="108"/>
        <v>874.99999999999977</v>
      </c>
    </row>
    <row r="2040" spans="1:10" s="99" customFormat="1">
      <c r="A2040" s="111"/>
      <c r="B2040" s="111"/>
      <c r="C2040" s="115">
        <v>10000</v>
      </c>
      <c r="D2040" s="104" t="s">
        <v>1685</v>
      </c>
      <c r="E2040" s="115">
        <v>1150</v>
      </c>
      <c r="F2040" s="102">
        <v>10</v>
      </c>
      <c r="G2040" s="208">
        <v>0.06</v>
      </c>
      <c r="H2040" s="102" t="s">
        <v>664</v>
      </c>
      <c r="I2040" s="115">
        <f t="shared" si="107"/>
        <v>1500</v>
      </c>
      <c r="J2040" s="115">
        <f t="shared" si="108"/>
        <v>874.99999999999977</v>
      </c>
    </row>
    <row r="2041" spans="1:10" s="99" customFormat="1">
      <c r="A2041" s="111"/>
      <c r="B2041" s="111"/>
      <c r="C2041" s="115">
        <v>10000</v>
      </c>
      <c r="D2041" s="104" t="s">
        <v>421</v>
      </c>
      <c r="E2041" s="115">
        <v>1150</v>
      </c>
      <c r="F2041" s="102">
        <v>7</v>
      </c>
      <c r="G2041" s="208">
        <v>0.06</v>
      </c>
      <c r="H2041" s="102" t="s">
        <v>664</v>
      </c>
      <c r="I2041" s="115">
        <f t="shared" si="107"/>
        <v>1050</v>
      </c>
      <c r="J2041" s="115">
        <f t="shared" si="108"/>
        <v>612.49999999999989</v>
      </c>
    </row>
    <row r="2042" spans="1:10" s="99" customFormat="1">
      <c r="A2042" s="111"/>
      <c r="B2042" s="111"/>
      <c r="C2042" s="115">
        <v>10000</v>
      </c>
      <c r="D2042" s="104" t="s">
        <v>422</v>
      </c>
      <c r="E2042" s="115">
        <v>1150</v>
      </c>
      <c r="F2042" s="102">
        <v>10</v>
      </c>
      <c r="G2042" s="208">
        <v>0.06</v>
      </c>
      <c r="H2042" s="102" t="s">
        <v>664</v>
      </c>
      <c r="I2042" s="115">
        <f t="shared" si="107"/>
        <v>1500</v>
      </c>
      <c r="J2042" s="115">
        <f t="shared" si="108"/>
        <v>874.99999999999977</v>
      </c>
    </row>
    <row r="2043" spans="1:10" s="99" customFormat="1">
      <c r="A2043" s="111"/>
      <c r="B2043" s="111"/>
      <c r="C2043" s="115">
        <v>10000</v>
      </c>
      <c r="D2043" s="104" t="s">
        <v>1683</v>
      </c>
      <c r="E2043" s="115">
        <v>1150</v>
      </c>
      <c r="F2043" s="102">
        <v>10</v>
      </c>
      <c r="G2043" s="208">
        <v>0.06</v>
      </c>
      <c r="H2043" s="102" t="s">
        <v>664</v>
      </c>
      <c r="I2043" s="115">
        <f t="shared" si="107"/>
        <v>1500</v>
      </c>
      <c r="J2043" s="115">
        <f t="shared" si="108"/>
        <v>874.99999999999977</v>
      </c>
    </row>
    <row r="2044" spans="1:10" s="99" customFormat="1">
      <c r="A2044" s="111"/>
      <c r="B2044" s="111"/>
      <c r="C2044" s="115">
        <v>10000</v>
      </c>
      <c r="D2044" s="104" t="s">
        <v>421</v>
      </c>
      <c r="E2044" s="115">
        <v>375</v>
      </c>
      <c r="F2044" s="102">
        <v>15</v>
      </c>
      <c r="G2044" s="208">
        <v>7.4999999999999997E-2</v>
      </c>
      <c r="H2044" s="102">
        <v>15</v>
      </c>
      <c r="I2044" s="115">
        <f t="shared" si="107"/>
        <v>5625</v>
      </c>
      <c r="J2044" s="115">
        <f t="shared" si="108"/>
        <v>3749.9999999999995</v>
      </c>
    </row>
    <row r="2045" spans="1:10" s="99" customFormat="1">
      <c r="A2045" s="111"/>
      <c r="B2045" s="111"/>
      <c r="C2045" s="115">
        <v>10000</v>
      </c>
      <c r="D2045" s="104" t="s">
        <v>423</v>
      </c>
      <c r="E2045" s="115">
        <v>1150</v>
      </c>
      <c r="F2045" s="102">
        <v>10</v>
      </c>
      <c r="G2045" s="208">
        <v>0.06</v>
      </c>
      <c r="H2045" s="102" t="s">
        <v>664</v>
      </c>
      <c r="I2045" s="115">
        <f t="shared" si="107"/>
        <v>1500</v>
      </c>
      <c r="J2045" s="115">
        <f t="shared" si="108"/>
        <v>874.99999999999977</v>
      </c>
    </row>
    <row r="2046" spans="1:10" s="99" customFormat="1">
      <c r="A2046" s="111">
        <v>277</v>
      </c>
      <c r="B2046" s="111" t="s">
        <v>424</v>
      </c>
      <c r="C2046" s="115">
        <v>20000</v>
      </c>
      <c r="D2046" s="104" t="s">
        <v>3709</v>
      </c>
      <c r="E2046" s="115">
        <v>2300</v>
      </c>
      <c r="F2046" s="102">
        <v>10</v>
      </c>
      <c r="G2046" s="208">
        <v>0.06</v>
      </c>
      <c r="H2046" s="102" t="s">
        <v>664</v>
      </c>
      <c r="I2046" s="115">
        <f t="shared" si="107"/>
        <v>3000</v>
      </c>
      <c r="J2046" s="115">
        <f t="shared" si="108"/>
        <v>1749.9999999999995</v>
      </c>
    </row>
    <row r="2047" spans="1:10" s="99" customFormat="1">
      <c r="A2047" s="111"/>
      <c r="B2047" s="111"/>
      <c r="C2047" s="115">
        <v>30000</v>
      </c>
      <c r="D2047" s="104" t="s">
        <v>3709</v>
      </c>
      <c r="E2047" s="115">
        <v>1125</v>
      </c>
      <c r="F2047" s="102">
        <v>25</v>
      </c>
      <c r="G2047" s="208">
        <v>7.4999999999999997E-2</v>
      </c>
      <c r="H2047" s="102">
        <v>15</v>
      </c>
      <c r="I2047" s="115">
        <f t="shared" si="107"/>
        <v>28125</v>
      </c>
      <c r="J2047" s="115">
        <f t="shared" si="108"/>
        <v>18749.999999999996</v>
      </c>
    </row>
    <row r="2048" spans="1:10" s="99" customFormat="1">
      <c r="A2048" s="111"/>
      <c r="B2048" s="111"/>
      <c r="C2048" s="115">
        <v>20000</v>
      </c>
      <c r="D2048" s="104" t="s">
        <v>982</v>
      </c>
      <c r="E2048" s="115">
        <v>750</v>
      </c>
      <c r="F2048" s="102">
        <v>23</v>
      </c>
      <c r="G2048" s="208">
        <v>7.4999999999999997E-2</v>
      </c>
      <c r="H2048" s="102">
        <v>15</v>
      </c>
      <c r="I2048" s="115">
        <f t="shared" si="107"/>
        <v>17250</v>
      </c>
      <c r="J2048" s="115">
        <f t="shared" si="108"/>
        <v>11499.999999999998</v>
      </c>
    </row>
    <row r="2049" spans="1:10" s="99" customFormat="1">
      <c r="A2049" s="111"/>
      <c r="B2049" s="111"/>
      <c r="C2049" s="115">
        <v>10000</v>
      </c>
      <c r="D2049" s="104" t="s">
        <v>425</v>
      </c>
      <c r="E2049" s="115">
        <v>1150</v>
      </c>
      <c r="F2049" s="102">
        <v>10</v>
      </c>
      <c r="G2049" s="208">
        <v>0.06</v>
      </c>
      <c r="H2049" s="102" t="s">
        <v>664</v>
      </c>
      <c r="I2049" s="115">
        <f t="shared" si="107"/>
        <v>1500</v>
      </c>
      <c r="J2049" s="115">
        <f t="shared" si="108"/>
        <v>874.99999999999977</v>
      </c>
    </row>
    <row r="2050" spans="1:10" s="99" customFormat="1">
      <c r="A2050" s="111"/>
      <c r="B2050" s="111"/>
      <c r="C2050" s="115">
        <v>20000</v>
      </c>
      <c r="D2050" s="104" t="s">
        <v>425</v>
      </c>
      <c r="E2050" s="115">
        <v>750</v>
      </c>
      <c r="F2050" s="102">
        <v>18</v>
      </c>
      <c r="G2050" s="208">
        <v>7.4999999999999997E-2</v>
      </c>
      <c r="H2050" s="102">
        <v>15</v>
      </c>
      <c r="I2050" s="115">
        <f t="shared" si="107"/>
        <v>13500</v>
      </c>
      <c r="J2050" s="115">
        <f t="shared" si="108"/>
        <v>8999.9999999999982</v>
      </c>
    </row>
    <row r="2051" spans="1:10" s="99" customFormat="1">
      <c r="A2051" s="111"/>
      <c r="B2051" s="111"/>
      <c r="C2051" s="115">
        <v>50000</v>
      </c>
      <c r="D2051" s="104" t="s">
        <v>648</v>
      </c>
      <c r="E2051" s="115">
        <v>1875</v>
      </c>
      <c r="F2051" s="102">
        <v>16</v>
      </c>
      <c r="G2051" s="208">
        <v>7.4999999999999997E-2</v>
      </c>
      <c r="H2051" s="102">
        <v>15</v>
      </c>
      <c r="I2051" s="115">
        <f t="shared" si="107"/>
        <v>30000</v>
      </c>
      <c r="J2051" s="115">
        <f t="shared" si="108"/>
        <v>20000</v>
      </c>
    </row>
    <row r="2052" spans="1:10" s="99" customFormat="1">
      <c r="A2052" s="111">
        <v>278</v>
      </c>
      <c r="B2052" s="111" t="s">
        <v>427</v>
      </c>
      <c r="C2052" s="115">
        <v>8000</v>
      </c>
      <c r="D2052" s="104" t="s">
        <v>428</v>
      </c>
      <c r="E2052" s="115">
        <v>240</v>
      </c>
      <c r="F2052" s="102">
        <v>5</v>
      </c>
      <c r="G2052" s="208">
        <v>0.03</v>
      </c>
      <c r="H2052" s="102">
        <v>30</v>
      </c>
      <c r="I2052" s="115">
        <f t="shared" si="107"/>
        <v>1200</v>
      </c>
      <c r="J2052" s="115">
        <f t="shared" si="108"/>
        <v>199.99999999999989</v>
      </c>
    </row>
    <row r="2053" spans="1:10" s="99" customFormat="1">
      <c r="A2053" s="111">
        <v>279</v>
      </c>
      <c r="B2053" s="111" t="s">
        <v>429</v>
      </c>
      <c r="C2053" s="115">
        <v>10000</v>
      </c>
      <c r="D2053" s="104" t="s">
        <v>428</v>
      </c>
      <c r="E2053" s="115">
        <v>1150</v>
      </c>
      <c r="F2053" s="102">
        <v>10</v>
      </c>
      <c r="G2053" s="208">
        <v>0.06</v>
      </c>
      <c r="H2053" s="102" t="s">
        <v>664</v>
      </c>
      <c r="I2053" s="115">
        <f t="shared" si="107"/>
        <v>1500</v>
      </c>
      <c r="J2053" s="115">
        <f t="shared" si="108"/>
        <v>874.99999999999977</v>
      </c>
    </row>
    <row r="2054" spans="1:10" s="99" customFormat="1">
      <c r="A2054" s="111"/>
      <c r="B2054" s="111"/>
      <c r="C2054" s="115">
        <v>30000</v>
      </c>
      <c r="D2054" s="104" t="s">
        <v>428</v>
      </c>
      <c r="E2054" s="115">
        <v>1125</v>
      </c>
      <c r="F2054" s="102">
        <v>4</v>
      </c>
      <c r="G2054" s="208">
        <v>7.4999999999999997E-2</v>
      </c>
      <c r="H2054" s="102">
        <v>15</v>
      </c>
      <c r="I2054" s="115">
        <f t="shared" si="107"/>
        <v>4500</v>
      </c>
      <c r="J2054" s="115">
        <f t="shared" si="108"/>
        <v>2999.9999999999995</v>
      </c>
    </row>
    <row r="2055" spans="1:10" s="99" customFormat="1">
      <c r="A2055" s="111"/>
      <c r="B2055" s="111"/>
      <c r="C2055" s="115">
        <v>10000</v>
      </c>
      <c r="D2055" s="104" t="s">
        <v>1982</v>
      </c>
      <c r="E2055" s="115">
        <v>1150</v>
      </c>
      <c r="F2055" s="102">
        <v>10</v>
      </c>
      <c r="G2055" s="208">
        <v>0.06</v>
      </c>
      <c r="H2055" s="102" t="s">
        <v>664</v>
      </c>
      <c r="I2055" s="115">
        <f t="shared" si="107"/>
        <v>1500</v>
      </c>
      <c r="J2055" s="115">
        <f t="shared" si="108"/>
        <v>874.99999999999977</v>
      </c>
    </row>
    <row r="2056" spans="1:10" s="99" customFormat="1">
      <c r="A2056" s="111"/>
      <c r="B2056" s="111"/>
      <c r="C2056" s="115">
        <v>20000</v>
      </c>
      <c r="D2056" s="104" t="s">
        <v>1982</v>
      </c>
      <c r="E2056" s="115">
        <v>750</v>
      </c>
      <c r="F2056" s="102">
        <v>8</v>
      </c>
      <c r="G2056" s="208">
        <v>7.4999999999999997E-2</v>
      </c>
      <c r="H2056" s="102">
        <v>15</v>
      </c>
      <c r="I2056" s="115">
        <f t="shared" si="107"/>
        <v>6000</v>
      </c>
      <c r="J2056" s="115">
        <f t="shared" si="108"/>
        <v>3999.9999999999995</v>
      </c>
    </row>
    <row r="2057" spans="1:10" s="99" customFormat="1">
      <c r="A2057" s="111"/>
      <c r="B2057" s="111"/>
      <c r="C2057" s="115">
        <v>10000</v>
      </c>
      <c r="D2057" s="104" t="s">
        <v>3143</v>
      </c>
      <c r="E2057" s="115">
        <v>1150</v>
      </c>
      <c r="F2057" s="102">
        <v>10</v>
      </c>
      <c r="G2057" s="208">
        <v>0.06</v>
      </c>
      <c r="H2057" s="102" t="s">
        <v>664</v>
      </c>
      <c r="I2057" s="115">
        <f t="shared" si="107"/>
        <v>1500</v>
      </c>
      <c r="J2057" s="115">
        <f t="shared" si="108"/>
        <v>874.99999999999977</v>
      </c>
    </row>
    <row r="2058" spans="1:10" s="99" customFormat="1">
      <c r="A2058" s="111"/>
      <c r="B2058" s="111"/>
      <c r="C2058" s="115">
        <v>10000</v>
      </c>
      <c r="D2058" s="104" t="s">
        <v>2323</v>
      </c>
      <c r="E2058" s="115">
        <v>1150</v>
      </c>
      <c r="F2058" s="102">
        <v>10</v>
      </c>
      <c r="G2058" s="208">
        <v>0.06</v>
      </c>
      <c r="H2058" s="102" t="s">
        <v>664</v>
      </c>
      <c r="I2058" s="115">
        <f t="shared" si="107"/>
        <v>1500</v>
      </c>
      <c r="J2058" s="115">
        <f t="shared" si="108"/>
        <v>874.99999999999977</v>
      </c>
    </row>
    <row r="2059" spans="1:10" s="99" customFormat="1">
      <c r="A2059" s="111"/>
      <c r="B2059" s="111"/>
      <c r="C2059" s="115">
        <v>20000</v>
      </c>
      <c r="D2059" s="104" t="s">
        <v>3149</v>
      </c>
      <c r="E2059" s="115">
        <v>750</v>
      </c>
      <c r="F2059" s="102">
        <v>9</v>
      </c>
      <c r="G2059" s="208">
        <v>7.4999999999999997E-2</v>
      </c>
      <c r="H2059" s="102">
        <v>15</v>
      </c>
      <c r="I2059" s="115">
        <f t="shared" si="107"/>
        <v>6750</v>
      </c>
      <c r="J2059" s="115">
        <f t="shared" si="108"/>
        <v>4499.9999999999991</v>
      </c>
    </row>
    <row r="2060" spans="1:10" s="99" customFormat="1">
      <c r="A2060" s="111"/>
      <c r="B2060" s="111"/>
      <c r="C2060" s="115">
        <v>20000</v>
      </c>
      <c r="D2060" s="104" t="s">
        <v>3143</v>
      </c>
      <c r="E2060" s="115">
        <v>750</v>
      </c>
      <c r="F2060" s="102">
        <v>12</v>
      </c>
      <c r="G2060" s="208">
        <v>7.4999999999999997E-2</v>
      </c>
      <c r="H2060" s="102">
        <v>15</v>
      </c>
      <c r="I2060" s="115">
        <f t="shared" si="107"/>
        <v>9000</v>
      </c>
      <c r="J2060" s="115">
        <f t="shared" si="108"/>
        <v>5999.9999999999991</v>
      </c>
    </row>
    <row r="2061" spans="1:10" s="99" customFormat="1">
      <c r="A2061" s="111"/>
      <c r="B2061" s="111"/>
      <c r="C2061" s="115">
        <v>35000</v>
      </c>
      <c r="D2061" s="129" t="s">
        <v>358</v>
      </c>
      <c r="E2061" s="115">
        <v>1315</v>
      </c>
      <c r="F2061" s="102">
        <v>4</v>
      </c>
      <c r="G2061" s="208">
        <v>7.4999999999999997E-2</v>
      </c>
      <c r="H2061" s="102">
        <v>15</v>
      </c>
      <c r="I2061" s="115">
        <f t="shared" si="107"/>
        <v>5250</v>
      </c>
      <c r="J2061" s="115">
        <f t="shared" si="108"/>
        <v>3499.9999999999995</v>
      </c>
    </row>
    <row r="2062" spans="1:10" s="99" customFormat="1">
      <c r="A2062" s="111"/>
      <c r="B2062" s="111"/>
      <c r="C2062" s="115">
        <v>15000</v>
      </c>
      <c r="D2062" s="104" t="s">
        <v>254</v>
      </c>
      <c r="E2062" s="115">
        <v>1750</v>
      </c>
      <c r="F2062" s="102">
        <v>7</v>
      </c>
      <c r="G2062" s="208">
        <v>0.06</v>
      </c>
      <c r="H2062" s="102" t="s">
        <v>664</v>
      </c>
      <c r="I2062" s="115">
        <f t="shared" si="107"/>
        <v>1575</v>
      </c>
      <c r="J2062" s="115">
        <f t="shared" si="108"/>
        <v>918.75</v>
      </c>
    </row>
    <row r="2063" spans="1:10" s="99" customFormat="1">
      <c r="A2063" s="111"/>
      <c r="B2063" s="111"/>
      <c r="C2063" s="115">
        <v>30000</v>
      </c>
      <c r="D2063" s="104" t="s">
        <v>254</v>
      </c>
      <c r="E2063" s="115">
        <v>1125</v>
      </c>
      <c r="F2063" s="102">
        <v>3</v>
      </c>
      <c r="G2063" s="208">
        <v>7.4999999999999997E-2</v>
      </c>
      <c r="H2063" s="102">
        <v>15</v>
      </c>
      <c r="I2063" s="115">
        <f t="shared" si="107"/>
        <v>3375</v>
      </c>
      <c r="J2063" s="115">
        <f t="shared" si="108"/>
        <v>2249.9999999999995</v>
      </c>
    </row>
    <row r="2064" spans="1:10" s="99" customFormat="1">
      <c r="A2064" s="111"/>
      <c r="B2064" s="111"/>
      <c r="C2064" s="115">
        <v>20000</v>
      </c>
      <c r="D2064" s="104" t="s">
        <v>430</v>
      </c>
      <c r="E2064" s="115">
        <v>2300</v>
      </c>
      <c r="F2064" s="102">
        <v>3</v>
      </c>
      <c r="G2064" s="208">
        <v>0.06</v>
      </c>
      <c r="H2064" s="102" t="s">
        <v>664</v>
      </c>
      <c r="I2064" s="115">
        <f t="shared" si="107"/>
        <v>900</v>
      </c>
      <c r="J2064" s="115">
        <f t="shared" si="108"/>
        <v>524.99999999999989</v>
      </c>
    </row>
    <row r="2065" spans="1:10" s="99" customFormat="1">
      <c r="A2065" s="111">
        <v>280</v>
      </c>
      <c r="B2065" s="111" t="s">
        <v>431</v>
      </c>
      <c r="C2065" s="115">
        <v>20000</v>
      </c>
      <c r="D2065" s="104" t="s">
        <v>988</v>
      </c>
      <c r="E2065" s="115">
        <v>2300</v>
      </c>
      <c r="F2065" s="102">
        <v>1</v>
      </c>
      <c r="G2065" s="208">
        <v>0.06</v>
      </c>
      <c r="H2065" s="102" t="s">
        <v>664</v>
      </c>
      <c r="I2065" s="115">
        <f t="shared" si="107"/>
        <v>300</v>
      </c>
      <c r="J2065" s="115">
        <f t="shared" si="108"/>
        <v>174.99999999999997</v>
      </c>
    </row>
    <row r="2066" spans="1:10" s="99" customFormat="1">
      <c r="A2066" s="111"/>
      <c r="B2066" s="111"/>
      <c r="C2066" s="115">
        <v>20000</v>
      </c>
      <c r="D2066" s="104" t="s">
        <v>988</v>
      </c>
      <c r="E2066" s="115">
        <v>750</v>
      </c>
      <c r="F2066" s="102">
        <v>1</v>
      </c>
      <c r="G2066" s="208">
        <v>7.4999999999999997E-2</v>
      </c>
      <c r="H2066" s="102">
        <v>15</v>
      </c>
      <c r="I2066" s="115">
        <f t="shared" si="107"/>
        <v>750</v>
      </c>
      <c r="J2066" s="115">
        <f t="shared" si="108"/>
        <v>499.99999999999994</v>
      </c>
    </row>
    <row r="2067" spans="1:10" s="99" customFormat="1">
      <c r="A2067" s="111">
        <v>281</v>
      </c>
      <c r="B2067" s="111" t="s">
        <v>432</v>
      </c>
      <c r="C2067" s="115">
        <v>20000</v>
      </c>
      <c r="D2067" s="104" t="s">
        <v>433</v>
      </c>
      <c r="E2067" s="115">
        <v>750</v>
      </c>
      <c r="F2067" s="102">
        <v>15</v>
      </c>
      <c r="G2067" s="208">
        <v>7.4999999999999997E-2</v>
      </c>
      <c r="H2067" s="102">
        <v>15</v>
      </c>
      <c r="I2067" s="115">
        <f t="shared" si="107"/>
        <v>11250</v>
      </c>
      <c r="J2067" s="115">
        <f t="shared" si="108"/>
        <v>7499.9999999999991</v>
      </c>
    </row>
    <row r="2068" spans="1:10" s="99" customFormat="1">
      <c r="A2068" s="111"/>
      <c r="B2068" s="111"/>
      <c r="C2068" s="115">
        <v>20000</v>
      </c>
      <c r="D2068" s="104" t="s">
        <v>433</v>
      </c>
      <c r="E2068" s="115">
        <v>2300</v>
      </c>
      <c r="F2068" s="102">
        <v>10</v>
      </c>
      <c r="G2068" s="208">
        <v>0.06</v>
      </c>
      <c r="H2068" s="102" t="s">
        <v>664</v>
      </c>
      <c r="I2068" s="115">
        <f t="shared" si="107"/>
        <v>3000</v>
      </c>
      <c r="J2068" s="115">
        <f t="shared" si="108"/>
        <v>1749.9999999999995</v>
      </c>
    </row>
    <row r="2069" spans="1:10" s="99" customFormat="1">
      <c r="A2069" s="111"/>
      <c r="B2069" s="111"/>
      <c r="C2069" s="115">
        <v>10000</v>
      </c>
      <c r="D2069" s="104" t="s">
        <v>3398</v>
      </c>
      <c r="E2069" s="115">
        <v>375</v>
      </c>
      <c r="F2069" s="102">
        <v>13</v>
      </c>
      <c r="G2069" s="208">
        <v>7.4999999999999997E-2</v>
      </c>
      <c r="H2069" s="102">
        <v>15</v>
      </c>
      <c r="I2069" s="115">
        <f t="shared" si="107"/>
        <v>4875</v>
      </c>
      <c r="J2069" s="115">
        <f t="shared" si="108"/>
        <v>3249.9999999999995</v>
      </c>
    </row>
    <row r="2070" spans="1:10" s="99" customFormat="1">
      <c r="A2070" s="111"/>
      <c r="B2070" s="111"/>
      <c r="C2070" s="115">
        <v>20000</v>
      </c>
      <c r="D2070" s="104" t="s">
        <v>1520</v>
      </c>
      <c r="E2070" s="115">
        <v>2300</v>
      </c>
      <c r="F2070" s="102">
        <v>10</v>
      </c>
      <c r="G2070" s="208">
        <v>0.06</v>
      </c>
      <c r="H2070" s="102" t="s">
        <v>664</v>
      </c>
      <c r="I2070" s="115">
        <f t="shared" si="107"/>
        <v>3000</v>
      </c>
      <c r="J2070" s="115">
        <f t="shared" si="108"/>
        <v>1749.9999999999995</v>
      </c>
    </row>
    <row r="2071" spans="1:10" s="99" customFormat="1">
      <c r="A2071" s="111"/>
      <c r="B2071" s="111"/>
      <c r="C2071" s="115">
        <v>30000</v>
      </c>
      <c r="D2071" s="104" t="s">
        <v>1535</v>
      </c>
      <c r="E2071" s="115">
        <v>1125</v>
      </c>
      <c r="F2071" s="102">
        <v>9</v>
      </c>
      <c r="G2071" s="208">
        <v>7.4999999999999997E-2</v>
      </c>
      <c r="H2071" s="102">
        <v>15</v>
      </c>
      <c r="I2071" s="115">
        <f t="shared" si="107"/>
        <v>10125</v>
      </c>
      <c r="J2071" s="115">
        <f t="shared" si="108"/>
        <v>6749.9999999999991</v>
      </c>
    </row>
    <row r="2072" spans="1:10" s="99" customFormat="1">
      <c r="A2072" s="111"/>
      <c r="B2072" s="111"/>
      <c r="C2072" s="115">
        <v>10000</v>
      </c>
      <c r="D2072" s="104" t="s">
        <v>434</v>
      </c>
      <c r="E2072" s="115">
        <v>1150</v>
      </c>
      <c r="F2072" s="102">
        <v>6</v>
      </c>
      <c r="G2072" s="208">
        <v>0.06</v>
      </c>
      <c r="H2072" s="102" t="s">
        <v>664</v>
      </c>
      <c r="I2072" s="115">
        <f t="shared" ref="I2072:I2135" si="109">IF(H2072="分期",C2072*G2072*2.5*F2072/10,C2072*G2072*H2072/30*F2072)</f>
        <v>900</v>
      </c>
      <c r="J2072" s="115">
        <f t="shared" ref="J2072:J2135" si="110">IF(H2072="分期",C2072*(G2072-0.025)*2.5*F2072/10,C2072*(G2072-0.025)*H2072/30*F2072)</f>
        <v>524.99999999999989</v>
      </c>
    </row>
    <row r="2073" spans="1:10" s="99" customFormat="1">
      <c r="A2073" s="111"/>
      <c r="B2073" s="111"/>
      <c r="C2073" s="115">
        <v>20000</v>
      </c>
      <c r="D2073" s="104" t="s">
        <v>1003</v>
      </c>
      <c r="E2073" s="115">
        <v>2300</v>
      </c>
      <c r="F2073" s="102">
        <v>10</v>
      </c>
      <c r="G2073" s="208">
        <v>0.06</v>
      </c>
      <c r="H2073" s="102" t="s">
        <v>664</v>
      </c>
      <c r="I2073" s="115">
        <f t="shared" si="109"/>
        <v>3000</v>
      </c>
      <c r="J2073" s="115">
        <f t="shared" si="110"/>
        <v>1749.9999999999995</v>
      </c>
    </row>
    <row r="2074" spans="1:10" s="99" customFormat="1">
      <c r="A2074" s="111"/>
      <c r="B2074" s="111"/>
      <c r="C2074" s="115">
        <v>20000</v>
      </c>
      <c r="D2074" s="104" t="s">
        <v>435</v>
      </c>
      <c r="E2074" s="115">
        <v>2300</v>
      </c>
      <c r="F2074" s="102">
        <v>10</v>
      </c>
      <c r="G2074" s="208">
        <v>0.06</v>
      </c>
      <c r="H2074" s="102" t="s">
        <v>664</v>
      </c>
      <c r="I2074" s="115">
        <f t="shared" si="109"/>
        <v>3000</v>
      </c>
      <c r="J2074" s="115">
        <f t="shared" si="110"/>
        <v>1749.9999999999995</v>
      </c>
    </row>
    <row r="2075" spans="1:10" s="99" customFormat="1">
      <c r="A2075" s="111"/>
      <c r="B2075" s="111"/>
      <c r="C2075" s="115">
        <v>20000</v>
      </c>
      <c r="D2075" s="104" t="s">
        <v>417</v>
      </c>
      <c r="E2075" s="115">
        <v>2300</v>
      </c>
      <c r="F2075" s="102">
        <v>3</v>
      </c>
      <c r="G2075" s="208">
        <v>0.06</v>
      </c>
      <c r="H2075" s="102" t="s">
        <v>664</v>
      </c>
      <c r="I2075" s="115">
        <f t="shared" si="109"/>
        <v>900</v>
      </c>
      <c r="J2075" s="115">
        <f t="shared" si="110"/>
        <v>524.99999999999989</v>
      </c>
    </row>
    <row r="2076" spans="1:10" s="99" customFormat="1">
      <c r="A2076" s="111">
        <v>282</v>
      </c>
      <c r="B2076" s="111" t="s">
        <v>436</v>
      </c>
      <c r="C2076" s="115">
        <v>25000</v>
      </c>
      <c r="D2076" s="104" t="s">
        <v>3153</v>
      </c>
      <c r="E2076" s="115">
        <v>940</v>
      </c>
      <c r="F2076" s="102">
        <v>2</v>
      </c>
      <c r="G2076" s="208">
        <v>7.4999999999999997E-2</v>
      </c>
      <c r="H2076" s="102">
        <v>15</v>
      </c>
      <c r="I2076" s="115">
        <f t="shared" si="109"/>
        <v>1875</v>
      </c>
      <c r="J2076" s="115">
        <f t="shared" si="110"/>
        <v>1250</v>
      </c>
    </row>
    <row r="2077" spans="1:10" s="99" customFormat="1">
      <c r="A2077" s="111"/>
      <c r="B2077" s="111"/>
      <c r="C2077" s="115">
        <v>15000</v>
      </c>
      <c r="D2077" s="104" t="s">
        <v>3153</v>
      </c>
      <c r="E2077" s="115">
        <v>565</v>
      </c>
      <c r="F2077" s="102">
        <v>8</v>
      </c>
      <c r="G2077" s="208">
        <v>7.4999999999999997E-2</v>
      </c>
      <c r="H2077" s="102">
        <v>15</v>
      </c>
      <c r="I2077" s="115">
        <f t="shared" si="109"/>
        <v>4500</v>
      </c>
      <c r="J2077" s="115">
        <f t="shared" si="110"/>
        <v>2999.9999999999995</v>
      </c>
    </row>
    <row r="2078" spans="1:10" s="99" customFormat="1">
      <c r="A2078" s="111"/>
      <c r="B2078" s="111"/>
      <c r="C2078" s="115">
        <v>103000</v>
      </c>
      <c r="D2078" s="104" t="s">
        <v>437</v>
      </c>
      <c r="E2078" s="115">
        <v>3865</v>
      </c>
      <c r="F2078" s="102">
        <v>2</v>
      </c>
      <c r="G2078" s="208">
        <v>7.4999999999999997E-2</v>
      </c>
      <c r="H2078" s="102">
        <v>15</v>
      </c>
      <c r="I2078" s="115">
        <f t="shared" si="109"/>
        <v>7725</v>
      </c>
      <c r="J2078" s="115">
        <f t="shared" si="110"/>
        <v>5150</v>
      </c>
    </row>
    <row r="2079" spans="1:10" s="99" customFormat="1">
      <c r="A2079" s="111"/>
      <c r="B2079" s="111"/>
      <c r="C2079" s="115">
        <v>100000</v>
      </c>
      <c r="D2079" s="104" t="s">
        <v>437</v>
      </c>
      <c r="E2079" s="115">
        <v>3750</v>
      </c>
      <c r="F2079" s="102">
        <v>14</v>
      </c>
      <c r="G2079" s="208">
        <v>7.4999999999999997E-2</v>
      </c>
      <c r="H2079" s="102">
        <v>15</v>
      </c>
      <c r="I2079" s="115">
        <f t="shared" si="109"/>
        <v>52500</v>
      </c>
      <c r="J2079" s="115">
        <f t="shared" si="110"/>
        <v>35000</v>
      </c>
    </row>
    <row r="2080" spans="1:10" s="99" customFormat="1">
      <c r="A2080" s="111"/>
      <c r="B2080" s="111"/>
      <c r="C2080" s="115">
        <v>5000</v>
      </c>
      <c r="D2080" s="129" t="s">
        <v>359</v>
      </c>
      <c r="E2080" s="115">
        <v>190</v>
      </c>
      <c r="F2080" s="102">
        <v>3</v>
      </c>
      <c r="G2080" s="208">
        <v>7.4999999999999997E-2</v>
      </c>
      <c r="H2080" s="102">
        <v>15</v>
      </c>
      <c r="I2080" s="115">
        <f t="shared" si="109"/>
        <v>562.5</v>
      </c>
      <c r="J2080" s="115">
        <f t="shared" si="110"/>
        <v>374.99999999999994</v>
      </c>
    </row>
    <row r="2081" spans="1:10" s="99" customFormat="1">
      <c r="A2081" s="111"/>
      <c r="B2081" s="111"/>
      <c r="C2081" s="115">
        <v>5000</v>
      </c>
      <c r="D2081" s="104" t="s">
        <v>1692</v>
      </c>
      <c r="E2081" s="115">
        <v>190</v>
      </c>
      <c r="F2081" s="102">
        <v>3</v>
      </c>
      <c r="G2081" s="208">
        <v>7.4999999999999997E-2</v>
      </c>
      <c r="H2081" s="102">
        <v>15</v>
      </c>
      <c r="I2081" s="115">
        <f t="shared" si="109"/>
        <v>562.5</v>
      </c>
      <c r="J2081" s="115">
        <f t="shared" si="110"/>
        <v>374.99999999999994</v>
      </c>
    </row>
    <row r="2082" spans="1:10" s="99" customFormat="1">
      <c r="A2082" s="111"/>
      <c r="B2082" s="111"/>
      <c r="C2082" s="115">
        <v>10000</v>
      </c>
      <c r="D2082" s="104" t="s">
        <v>1985</v>
      </c>
      <c r="E2082" s="115">
        <v>375</v>
      </c>
      <c r="F2082" s="102">
        <v>7</v>
      </c>
      <c r="G2082" s="208">
        <v>7.4999999999999997E-2</v>
      </c>
      <c r="H2082" s="102">
        <v>15</v>
      </c>
      <c r="I2082" s="115">
        <f t="shared" si="109"/>
        <v>2625</v>
      </c>
      <c r="J2082" s="115">
        <f t="shared" si="110"/>
        <v>1749.9999999999998</v>
      </c>
    </row>
    <row r="2083" spans="1:10" s="99" customFormat="1">
      <c r="A2083" s="111"/>
      <c r="B2083" s="111"/>
      <c r="C2083" s="115">
        <v>10000</v>
      </c>
      <c r="D2083" s="104" t="s">
        <v>987</v>
      </c>
      <c r="E2083" s="115">
        <v>375</v>
      </c>
      <c r="F2083" s="102">
        <v>3</v>
      </c>
      <c r="G2083" s="208">
        <v>7.4999999999999997E-2</v>
      </c>
      <c r="H2083" s="102">
        <v>15</v>
      </c>
      <c r="I2083" s="115">
        <f t="shared" si="109"/>
        <v>1125</v>
      </c>
      <c r="J2083" s="115">
        <f t="shared" si="110"/>
        <v>749.99999999999989</v>
      </c>
    </row>
    <row r="2084" spans="1:10" s="99" customFormat="1">
      <c r="A2084" s="111"/>
      <c r="B2084" s="111"/>
      <c r="C2084" s="115">
        <v>50000</v>
      </c>
      <c r="D2084" s="104" t="s">
        <v>1727</v>
      </c>
      <c r="E2084" s="115">
        <v>1875</v>
      </c>
      <c r="F2084" s="102">
        <v>5</v>
      </c>
      <c r="G2084" s="208">
        <v>7.4999999999999997E-2</v>
      </c>
      <c r="H2084" s="102">
        <v>15</v>
      </c>
      <c r="I2084" s="115">
        <f t="shared" si="109"/>
        <v>9375</v>
      </c>
      <c r="J2084" s="115">
        <f t="shared" si="110"/>
        <v>6250</v>
      </c>
    </row>
    <row r="2085" spans="1:10" s="99" customFormat="1">
      <c r="A2085" s="111"/>
      <c r="B2085" s="111"/>
      <c r="C2085" s="115">
        <v>20000</v>
      </c>
      <c r="D2085" s="104" t="s">
        <v>254</v>
      </c>
      <c r="E2085" s="115">
        <v>750</v>
      </c>
      <c r="F2085" s="102">
        <v>4</v>
      </c>
      <c r="G2085" s="208">
        <v>7.4999999999999997E-2</v>
      </c>
      <c r="H2085" s="102">
        <v>15</v>
      </c>
      <c r="I2085" s="115">
        <f t="shared" si="109"/>
        <v>3000</v>
      </c>
      <c r="J2085" s="115">
        <f t="shared" si="110"/>
        <v>1999.9999999999998</v>
      </c>
    </row>
    <row r="2086" spans="1:10" s="99" customFormat="1">
      <c r="A2086" s="111"/>
      <c r="B2086" s="111"/>
      <c r="C2086" s="115">
        <v>10000</v>
      </c>
      <c r="D2086" s="104" t="s">
        <v>2532</v>
      </c>
      <c r="E2086" s="115">
        <v>375</v>
      </c>
      <c r="F2086" s="102">
        <v>2</v>
      </c>
      <c r="G2086" s="208">
        <v>7.4999999999999997E-2</v>
      </c>
      <c r="H2086" s="102">
        <v>15</v>
      </c>
      <c r="I2086" s="115">
        <f t="shared" si="109"/>
        <v>750</v>
      </c>
      <c r="J2086" s="115">
        <f t="shared" si="110"/>
        <v>499.99999999999994</v>
      </c>
    </row>
    <row r="2087" spans="1:10" s="99" customFormat="1">
      <c r="A2087" s="111">
        <v>283</v>
      </c>
      <c r="B2087" s="111" t="s">
        <v>438</v>
      </c>
      <c r="C2087" s="115">
        <v>50000</v>
      </c>
      <c r="D2087" s="104" t="s">
        <v>1684</v>
      </c>
      <c r="E2087" s="115">
        <v>1875</v>
      </c>
      <c r="F2087" s="102">
        <v>2</v>
      </c>
      <c r="G2087" s="208">
        <v>7.4999999999999997E-2</v>
      </c>
      <c r="H2087" s="102">
        <v>15</v>
      </c>
      <c r="I2087" s="115">
        <f t="shared" si="109"/>
        <v>3750</v>
      </c>
      <c r="J2087" s="115">
        <f t="shared" si="110"/>
        <v>2500</v>
      </c>
    </row>
    <row r="2088" spans="1:10" s="99" customFormat="1">
      <c r="A2088" s="111"/>
      <c r="B2088" s="111"/>
      <c r="C2088" s="115">
        <v>40000</v>
      </c>
      <c r="D2088" s="104" t="s">
        <v>1684</v>
      </c>
      <c r="E2088" s="115">
        <v>1500</v>
      </c>
      <c r="F2088" s="102">
        <v>21</v>
      </c>
      <c r="G2088" s="208">
        <v>7.4999999999999997E-2</v>
      </c>
      <c r="H2088" s="102">
        <v>15</v>
      </c>
      <c r="I2088" s="115">
        <f t="shared" si="109"/>
        <v>31500</v>
      </c>
      <c r="J2088" s="115">
        <f t="shared" si="110"/>
        <v>20999.999999999996</v>
      </c>
    </row>
    <row r="2089" spans="1:10" s="99" customFormat="1">
      <c r="A2089" s="111"/>
      <c r="B2089" s="111"/>
      <c r="C2089" s="115">
        <v>25000</v>
      </c>
      <c r="D2089" s="129" t="s">
        <v>360</v>
      </c>
      <c r="E2089" s="115">
        <v>940</v>
      </c>
      <c r="F2089" s="102">
        <v>21</v>
      </c>
      <c r="G2089" s="208">
        <v>7.4999999999999997E-2</v>
      </c>
      <c r="H2089" s="102">
        <v>15</v>
      </c>
      <c r="I2089" s="115">
        <f t="shared" si="109"/>
        <v>19687.5</v>
      </c>
      <c r="J2089" s="115">
        <f t="shared" si="110"/>
        <v>13125</v>
      </c>
    </row>
    <row r="2090" spans="1:10" s="99" customFormat="1">
      <c r="A2090" s="111"/>
      <c r="B2090" s="111"/>
      <c r="C2090" s="115">
        <v>20000</v>
      </c>
      <c r="D2090" s="129" t="s">
        <v>360</v>
      </c>
      <c r="E2090" s="115">
        <v>750</v>
      </c>
      <c r="F2090" s="102">
        <v>3</v>
      </c>
      <c r="G2090" s="208">
        <v>7.4999999999999997E-2</v>
      </c>
      <c r="H2090" s="102">
        <v>15</v>
      </c>
      <c r="I2090" s="115">
        <f t="shared" si="109"/>
        <v>2250</v>
      </c>
      <c r="J2090" s="115">
        <f t="shared" si="110"/>
        <v>1499.9999999999998</v>
      </c>
    </row>
    <row r="2091" spans="1:10" s="99" customFormat="1">
      <c r="A2091" s="111"/>
      <c r="B2091" s="111"/>
      <c r="C2091" s="115">
        <v>35000</v>
      </c>
      <c r="D2091" s="129" t="s">
        <v>929</v>
      </c>
      <c r="E2091" s="115">
        <v>1315</v>
      </c>
      <c r="F2091" s="102">
        <v>9</v>
      </c>
      <c r="G2091" s="208">
        <v>7.4999999999999997E-2</v>
      </c>
      <c r="H2091" s="102">
        <v>15</v>
      </c>
      <c r="I2091" s="115">
        <f t="shared" si="109"/>
        <v>11812.5</v>
      </c>
      <c r="J2091" s="115">
        <f t="shared" si="110"/>
        <v>7874.9999999999991</v>
      </c>
    </row>
    <row r="2092" spans="1:10" s="99" customFormat="1">
      <c r="A2092" s="111"/>
      <c r="B2092" s="111"/>
      <c r="C2092" s="115">
        <v>20000</v>
      </c>
      <c r="D2092" s="129" t="s">
        <v>929</v>
      </c>
      <c r="E2092" s="115">
        <v>750</v>
      </c>
      <c r="F2092" s="102">
        <v>13</v>
      </c>
      <c r="G2092" s="208">
        <v>7.4999999999999997E-2</v>
      </c>
      <c r="H2092" s="102">
        <v>15</v>
      </c>
      <c r="I2092" s="115">
        <f t="shared" si="109"/>
        <v>9750</v>
      </c>
      <c r="J2092" s="115">
        <f t="shared" si="110"/>
        <v>6499.9999999999991</v>
      </c>
    </row>
    <row r="2093" spans="1:10" s="99" customFormat="1">
      <c r="A2093" s="111"/>
      <c r="B2093" s="111"/>
      <c r="C2093" s="115">
        <v>30000</v>
      </c>
      <c r="D2093" s="104" t="s">
        <v>1001</v>
      </c>
      <c r="E2093" s="115">
        <v>1125</v>
      </c>
      <c r="F2093" s="102">
        <v>20</v>
      </c>
      <c r="G2093" s="208">
        <v>7.4999999999999997E-2</v>
      </c>
      <c r="H2093" s="102">
        <v>15</v>
      </c>
      <c r="I2093" s="115">
        <f t="shared" si="109"/>
        <v>22500</v>
      </c>
      <c r="J2093" s="115">
        <f t="shared" si="110"/>
        <v>14999.999999999998</v>
      </c>
    </row>
    <row r="2094" spans="1:10" s="99" customFormat="1">
      <c r="A2094" s="111"/>
      <c r="B2094" s="111"/>
      <c r="C2094" s="115">
        <v>10000</v>
      </c>
      <c r="D2094" s="104" t="s">
        <v>983</v>
      </c>
      <c r="E2094" s="115">
        <v>375</v>
      </c>
      <c r="F2094" s="102">
        <v>3</v>
      </c>
      <c r="G2094" s="208">
        <v>7.4999999999999997E-2</v>
      </c>
      <c r="H2094" s="102">
        <v>15</v>
      </c>
      <c r="I2094" s="115">
        <f t="shared" si="109"/>
        <v>1125</v>
      </c>
      <c r="J2094" s="115">
        <f t="shared" si="110"/>
        <v>749.99999999999989</v>
      </c>
    </row>
    <row r="2095" spans="1:10" s="99" customFormat="1">
      <c r="A2095" s="111"/>
      <c r="B2095" s="111"/>
      <c r="C2095" s="115">
        <v>30000</v>
      </c>
      <c r="D2095" s="104" t="s">
        <v>960</v>
      </c>
      <c r="E2095" s="115">
        <v>1125</v>
      </c>
      <c r="F2095" s="102">
        <v>8</v>
      </c>
      <c r="G2095" s="208">
        <v>7.4999999999999997E-2</v>
      </c>
      <c r="H2095" s="102">
        <v>15</v>
      </c>
      <c r="I2095" s="115">
        <f t="shared" si="109"/>
        <v>9000</v>
      </c>
      <c r="J2095" s="115">
        <f t="shared" si="110"/>
        <v>5999.9999999999991</v>
      </c>
    </row>
    <row r="2096" spans="1:10" s="99" customFormat="1">
      <c r="A2096" s="111"/>
      <c r="B2096" s="111"/>
      <c r="C2096" s="115">
        <v>20000</v>
      </c>
      <c r="D2096" s="104" t="s">
        <v>960</v>
      </c>
      <c r="E2096" s="115">
        <v>750</v>
      </c>
      <c r="F2096" s="102">
        <v>3</v>
      </c>
      <c r="G2096" s="208">
        <v>7.4999999999999997E-2</v>
      </c>
      <c r="H2096" s="102">
        <v>15</v>
      </c>
      <c r="I2096" s="115">
        <f t="shared" si="109"/>
        <v>2250</v>
      </c>
      <c r="J2096" s="115">
        <f t="shared" si="110"/>
        <v>1499.9999999999998</v>
      </c>
    </row>
    <row r="2097" spans="1:10" s="99" customFormat="1">
      <c r="A2097" s="111"/>
      <c r="B2097" s="111"/>
      <c r="C2097" s="115">
        <v>10000</v>
      </c>
      <c r="D2097" s="104" t="s">
        <v>960</v>
      </c>
      <c r="E2097" s="115">
        <v>375</v>
      </c>
      <c r="F2097" s="102">
        <v>10</v>
      </c>
      <c r="G2097" s="208">
        <v>7.4999999999999997E-2</v>
      </c>
      <c r="H2097" s="102">
        <v>15</v>
      </c>
      <c r="I2097" s="115">
        <f t="shared" si="109"/>
        <v>3750</v>
      </c>
      <c r="J2097" s="115">
        <f t="shared" si="110"/>
        <v>2499.9999999999995</v>
      </c>
    </row>
    <row r="2098" spans="1:10" s="99" customFormat="1">
      <c r="A2098" s="111"/>
      <c r="B2098" s="111"/>
      <c r="C2098" s="115">
        <v>10000</v>
      </c>
      <c r="D2098" s="104" t="s">
        <v>1672</v>
      </c>
      <c r="E2098" s="115">
        <v>375</v>
      </c>
      <c r="F2098" s="102">
        <v>9</v>
      </c>
      <c r="G2098" s="208">
        <v>7.4999999999999997E-2</v>
      </c>
      <c r="H2098" s="102">
        <v>15</v>
      </c>
      <c r="I2098" s="115">
        <f t="shared" si="109"/>
        <v>3375</v>
      </c>
      <c r="J2098" s="115">
        <f t="shared" si="110"/>
        <v>2249.9999999999995</v>
      </c>
    </row>
    <row r="2099" spans="1:10" s="99" customFormat="1">
      <c r="A2099" s="111">
        <v>284</v>
      </c>
      <c r="B2099" s="111" t="s">
        <v>440</v>
      </c>
      <c r="C2099" s="115">
        <v>20000</v>
      </c>
      <c r="D2099" s="104" t="s">
        <v>3153</v>
      </c>
      <c r="E2099" s="115">
        <v>750</v>
      </c>
      <c r="F2099" s="102">
        <v>16</v>
      </c>
      <c r="G2099" s="208">
        <v>7.4999999999999997E-2</v>
      </c>
      <c r="H2099" s="102">
        <v>15</v>
      </c>
      <c r="I2099" s="115">
        <f t="shared" si="109"/>
        <v>12000</v>
      </c>
      <c r="J2099" s="115">
        <f t="shared" si="110"/>
        <v>7999.9999999999991</v>
      </c>
    </row>
    <row r="2100" spans="1:10" s="99" customFormat="1">
      <c r="A2100" s="111"/>
      <c r="B2100" s="111"/>
      <c r="C2100" s="115">
        <v>10000</v>
      </c>
      <c r="D2100" s="104" t="s">
        <v>3153</v>
      </c>
      <c r="E2100" s="115">
        <v>1150</v>
      </c>
      <c r="F2100" s="102">
        <v>10</v>
      </c>
      <c r="G2100" s="208">
        <v>0.06</v>
      </c>
      <c r="H2100" s="102" t="s">
        <v>664</v>
      </c>
      <c r="I2100" s="115">
        <f t="shared" si="109"/>
        <v>1500</v>
      </c>
      <c r="J2100" s="115">
        <f t="shared" si="110"/>
        <v>874.99999999999977</v>
      </c>
    </row>
    <row r="2101" spans="1:10" s="99" customFormat="1">
      <c r="A2101" s="111"/>
      <c r="B2101" s="111"/>
      <c r="C2101" s="115">
        <v>10000</v>
      </c>
      <c r="D2101" s="104" t="s">
        <v>1990</v>
      </c>
      <c r="E2101" s="115">
        <v>1150</v>
      </c>
      <c r="F2101" s="102">
        <v>10</v>
      </c>
      <c r="G2101" s="208">
        <v>0.06</v>
      </c>
      <c r="H2101" s="102" t="s">
        <v>664</v>
      </c>
      <c r="I2101" s="115">
        <f t="shared" si="109"/>
        <v>1500</v>
      </c>
      <c r="J2101" s="115">
        <f t="shared" si="110"/>
        <v>874.99999999999977</v>
      </c>
    </row>
    <row r="2102" spans="1:10" s="99" customFormat="1">
      <c r="A2102" s="111"/>
      <c r="B2102" s="111"/>
      <c r="C2102" s="115">
        <v>10000</v>
      </c>
      <c r="D2102" s="104" t="s">
        <v>1521</v>
      </c>
      <c r="E2102" s="115">
        <v>1150</v>
      </c>
      <c r="F2102" s="102">
        <v>7</v>
      </c>
      <c r="G2102" s="208">
        <v>0.06</v>
      </c>
      <c r="H2102" s="102" t="s">
        <v>664</v>
      </c>
      <c r="I2102" s="115">
        <f t="shared" si="109"/>
        <v>1050</v>
      </c>
      <c r="J2102" s="115">
        <f t="shared" si="110"/>
        <v>612.49999999999989</v>
      </c>
    </row>
    <row r="2103" spans="1:10" s="99" customFormat="1">
      <c r="A2103" s="111"/>
      <c r="B2103" s="111"/>
      <c r="C2103" s="115">
        <v>10000</v>
      </c>
      <c r="D2103" s="104" t="s">
        <v>441</v>
      </c>
      <c r="E2103" s="115">
        <v>1150</v>
      </c>
      <c r="F2103" s="102">
        <v>10</v>
      </c>
      <c r="G2103" s="208">
        <v>0.06</v>
      </c>
      <c r="H2103" s="102" t="s">
        <v>664</v>
      </c>
      <c r="I2103" s="115">
        <f t="shared" si="109"/>
        <v>1500</v>
      </c>
      <c r="J2103" s="115">
        <f t="shared" si="110"/>
        <v>874.99999999999977</v>
      </c>
    </row>
    <row r="2104" spans="1:10" s="99" customFormat="1">
      <c r="A2104" s="111"/>
      <c r="B2104" s="111"/>
      <c r="C2104" s="115">
        <v>20000</v>
      </c>
      <c r="D2104" s="104" t="s">
        <v>442</v>
      </c>
      <c r="E2104" s="115">
        <v>750</v>
      </c>
      <c r="F2104" s="102">
        <v>4</v>
      </c>
      <c r="G2104" s="208">
        <v>7.4999999999999997E-2</v>
      </c>
      <c r="H2104" s="102">
        <v>15</v>
      </c>
      <c r="I2104" s="115">
        <f t="shared" si="109"/>
        <v>3000</v>
      </c>
      <c r="J2104" s="115">
        <f t="shared" si="110"/>
        <v>1999.9999999999998</v>
      </c>
    </row>
    <row r="2105" spans="1:10" s="99" customFormat="1">
      <c r="A2105" s="111">
        <v>285</v>
      </c>
      <c r="B2105" s="111" t="s">
        <v>443</v>
      </c>
      <c r="C2105" s="115">
        <v>30000</v>
      </c>
      <c r="D2105" s="104" t="s">
        <v>3173</v>
      </c>
      <c r="E2105" s="115">
        <v>3450</v>
      </c>
      <c r="F2105" s="102">
        <v>10</v>
      </c>
      <c r="G2105" s="208">
        <v>0.06</v>
      </c>
      <c r="H2105" s="102" t="s">
        <v>664</v>
      </c>
      <c r="I2105" s="115">
        <f t="shared" si="109"/>
        <v>4500</v>
      </c>
      <c r="J2105" s="115">
        <f t="shared" si="110"/>
        <v>2625</v>
      </c>
    </row>
    <row r="2106" spans="1:10" s="99" customFormat="1">
      <c r="A2106" s="111"/>
      <c r="B2106" s="111"/>
      <c r="C2106" s="115">
        <v>20000</v>
      </c>
      <c r="D2106" s="104" t="s">
        <v>3173</v>
      </c>
      <c r="E2106" s="115">
        <v>750</v>
      </c>
      <c r="F2106" s="102">
        <v>8</v>
      </c>
      <c r="G2106" s="208">
        <v>7.4999999999999997E-2</v>
      </c>
      <c r="H2106" s="102">
        <v>15</v>
      </c>
      <c r="I2106" s="115">
        <f t="shared" si="109"/>
        <v>6000</v>
      </c>
      <c r="J2106" s="115">
        <f t="shared" si="110"/>
        <v>3999.9999999999995</v>
      </c>
    </row>
    <row r="2107" spans="1:10" s="99" customFormat="1">
      <c r="A2107" s="111"/>
      <c r="B2107" s="111"/>
      <c r="C2107" s="115">
        <v>20000</v>
      </c>
      <c r="D2107" s="104" t="s">
        <v>657</v>
      </c>
      <c r="E2107" s="115">
        <v>2300</v>
      </c>
      <c r="F2107" s="102">
        <v>10</v>
      </c>
      <c r="G2107" s="208">
        <v>0.06</v>
      </c>
      <c r="H2107" s="102" t="s">
        <v>664</v>
      </c>
      <c r="I2107" s="115">
        <f t="shared" si="109"/>
        <v>3000</v>
      </c>
      <c r="J2107" s="115">
        <f t="shared" si="110"/>
        <v>1749.9999999999995</v>
      </c>
    </row>
    <row r="2108" spans="1:10" s="99" customFormat="1">
      <c r="A2108" s="111"/>
      <c r="B2108" s="111"/>
      <c r="C2108" s="115">
        <v>20000</v>
      </c>
      <c r="D2108" s="129" t="s">
        <v>361</v>
      </c>
      <c r="E2108" s="115">
        <v>2300</v>
      </c>
      <c r="F2108" s="102">
        <v>10</v>
      </c>
      <c r="G2108" s="208">
        <v>0.06</v>
      </c>
      <c r="H2108" s="102" t="s">
        <v>664</v>
      </c>
      <c r="I2108" s="115">
        <f t="shared" si="109"/>
        <v>3000</v>
      </c>
      <c r="J2108" s="115">
        <f t="shared" si="110"/>
        <v>1749.9999999999995</v>
      </c>
    </row>
    <row r="2109" spans="1:10" s="99" customFormat="1">
      <c r="A2109" s="111"/>
      <c r="B2109" s="111"/>
      <c r="C2109" s="115">
        <v>20000</v>
      </c>
      <c r="D2109" s="104" t="s">
        <v>444</v>
      </c>
      <c r="E2109" s="115">
        <v>2300</v>
      </c>
      <c r="F2109" s="102">
        <v>10</v>
      </c>
      <c r="G2109" s="208">
        <v>0.06</v>
      </c>
      <c r="H2109" s="102" t="s">
        <v>664</v>
      </c>
      <c r="I2109" s="115">
        <f t="shared" si="109"/>
        <v>3000</v>
      </c>
      <c r="J2109" s="115">
        <f t="shared" si="110"/>
        <v>1749.9999999999995</v>
      </c>
    </row>
    <row r="2110" spans="1:10" s="99" customFormat="1">
      <c r="A2110" s="111"/>
      <c r="B2110" s="111"/>
      <c r="C2110" s="115">
        <v>20000</v>
      </c>
      <c r="D2110" s="104" t="s">
        <v>581</v>
      </c>
      <c r="E2110" s="115">
        <v>2300</v>
      </c>
      <c r="F2110" s="102">
        <v>10</v>
      </c>
      <c r="G2110" s="208">
        <v>0.06</v>
      </c>
      <c r="H2110" s="102" t="s">
        <v>664</v>
      </c>
      <c r="I2110" s="115">
        <f t="shared" si="109"/>
        <v>3000</v>
      </c>
      <c r="J2110" s="115">
        <f t="shared" si="110"/>
        <v>1749.9999999999995</v>
      </c>
    </row>
    <row r="2111" spans="1:10" s="99" customFormat="1">
      <c r="A2111" s="111"/>
      <c r="B2111" s="111"/>
      <c r="C2111" s="115">
        <v>20000</v>
      </c>
      <c r="D2111" s="104" t="s">
        <v>3407</v>
      </c>
      <c r="E2111" s="115">
        <v>750</v>
      </c>
      <c r="F2111" s="102">
        <v>12</v>
      </c>
      <c r="G2111" s="208">
        <v>7.4999999999999997E-2</v>
      </c>
      <c r="H2111" s="102">
        <v>15</v>
      </c>
      <c r="I2111" s="115">
        <f t="shared" si="109"/>
        <v>9000</v>
      </c>
      <c r="J2111" s="115">
        <f t="shared" si="110"/>
        <v>5999.9999999999991</v>
      </c>
    </row>
    <row r="2112" spans="1:10" s="99" customFormat="1">
      <c r="A2112" s="111"/>
      <c r="B2112" s="111"/>
      <c r="C2112" s="115">
        <v>20000</v>
      </c>
      <c r="D2112" s="104" t="s">
        <v>1683</v>
      </c>
      <c r="E2112" s="115">
        <v>750</v>
      </c>
      <c r="F2112" s="102">
        <v>5</v>
      </c>
      <c r="G2112" s="208">
        <v>7.4999999999999997E-2</v>
      </c>
      <c r="H2112" s="102">
        <v>15</v>
      </c>
      <c r="I2112" s="115">
        <f t="shared" si="109"/>
        <v>3750</v>
      </c>
      <c r="J2112" s="115">
        <f t="shared" si="110"/>
        <v>2499.9999999999995</v>
      </c>
    </row>
    <row r="2113" spans="1:10" s="99" customFormat="1">
      <c r="A2113" s="111"/>
      <c r="B2113" s="111"/>
      <c r="C2113" s="115">
        <v>20000</v>
      </c>
      <c r="D2113" s="104" t="s">
        <v>679</v>
      </c>
      <c r="E2113" s="115">
        <v>2300</v>
      </c>
      <c r="F2113" s="102">
        <v>4</v>
      </c>
      <c r="G2113" s="208">
        <v>0.06</v>
      </c>
      <c r="H2113" s="102" t="s">
        <v>664</v>
      </c>
      <c r="I2113" s="115">
        <f t="shared" si="109"/>
        <v>1200</v>
      </c>
      <c r="J2113" s="115">
        <f t="shared" si="110"/>
        <v>699.99999999999989</v>
      </c>
    </row>
    <row r="2114" spans="1:10" s="99" customFormat="1">
      <c r="A2114" s="111">
        <v>286</v>
      </c>
      <c r="B2114" s="111" t="s">
        <v>445</v>
      </c>
      <c r="C2114" s="115">
        <v>50000</v>
      </c>
      <c r="D2114" s="104" t="s">
        <v>1684</v>
      </c>
      <c r="E2114" s="115">
        <v>1875</v>
      </c>
      <c r="F2114" s="102">
        <v>1</v>
      </c>
      <c r="G2114" s="208">
        <v>7.4999999999999997E-2</v>
      </c>
      <c r="H2114" s="102">
        <v>15</v>
      </c>
      <c r="I2114" s="115">
        <f t="shared" si="109"/>
        <v>1875</v>
      </c>
      <c r="J2114" s="115">
        <f t="shared" si="110"/>
        <v>1250</v>
      </c>
    </row>
    <row r="2115" spans="1:10" s="99" customFormat="1">
      <c r="A2115" s="111"/>
      <c r="B2115" s="111"/>
      <c r="C2115" s="115">
        <v>60000</v>
      </c>
      <c r="D2115" s="104" t="s">
        <v>3154</v>
      </c>
      <c r="E2115" s="115">
        <v>2250</v>
      </c>
      <c r="F2115" s="102">
        <v>18</v>
      </c>
      <c r="G2115" s="208">
        <v>7.4999999999999997E-2</v>
      </c>
      <c r="H2115" s="102">
        <v>15</v>
      </c>
      <c r="I2115" s="115">
        <f t="shared" si="109"/>
        <v>40500</v>
      </c>
      <c r="J2115" s="115">
        <f t="shared" si="110"/>
        <v>26999.999999999996</v>
      </c>
    </row>
    <row r="2116" spans="1:10" s="99" customFormat="1">
      <c r="A2116" s="111"/>
      <c r="B2116" s="111"/>
      <c r="C2116" s="115">
        <v>30000</v>
      </c>
      <c r="D2116" s="104" t="s">
        <v>648</v>
      </c>
      <c r="E2116" s="115">
        <v>1125</v>
      </c>
      <c r="F2116" s="102">
        <v>12</v>
      </c>
      <c r="G2116" s="208">
        <v>7.4999999999999997E-2</v>
      </c>
      <c r="H2116" s="102">
        <v>15</v>
      </c>
      <c r="I2116" s="115">
        <f t="shared" si="109"/>
        <v>13500</v>
      </c>
      <c r="J2116" s="115">
        <f t="shared" si="110"/>
        <v>8999.9999999999982</v>
      </c>
    </row>
    <row r="2117" spans="1:10" s="99" customFormat="1">
      <c r="A2117" s="111"/>
      <c r="B2117" s="111"/>
      <c r="C2117" s="115">
        <v>30000</v>
      </c>
      <c r="D2117" s="104" t="s">
        <v>686</v>
      </c>
      <c r="E2117" s="115">
        <v>1125</v>
      </c>
      <c r="F2117" s="102">
        <v>9</v>
      </c>
      <c r="G2117" s="208">
        <v>7.4999999999999997E-2</v>
      </c>
      <c r="H2117" s="102">
        <v>15</v>
      </c>
      <c r="I2117" s="115">
        <f t="shared" si="109"/>
        <v>10125</v>
      </c>
      <c r="J2117" s="115">
        <f t="shared" si="110"/>
        <v>6749.9999999999991</v>
      </c>
    </row>
    <row r="2118" spans="1:10" s="99" customFormat="1">
      <c r="A2118" s="111"/>
      <c r="B2118" s="111"/>
      <c r="C2118" s="115">
        <v>30000</v>
      </c>
      <c r="D2118" s="104" t="s">
        <v>991</v>
      </c>
      <c r="E2118" s="115">
        <v>1125</v>
      </c>
      <c r="F2118" s="102">
        <v>2</v>
      </c>
      <c r="G2118" s="208">
        <v>7.4999999999999997E-2</v>
      </c>
      <c r="H2118" s="102">
        <v>15</v>
      </c>
      <c r="I2118" s="115">
        <f t="shared" si="109"/>
        <v>2250</v>
      </c>
      <c r="J2118" s="115">
        <f t="shared" si="110"/>
        <v>1499.9999999999998</v>
      </c>
    </row>
    <row r="2119" spans="1:10" s="99" customFormat="1">
      <c r="A2119" s="111"/>
      <c r="B2119" s="111"/>
      <c r="C2119" s="115">
        <v>10000</v>
      </c>
      <c r="D2119" s="104" t="s">
        <v>991</v>
      </c>
      <c r="E2119" s="115">
        <v>375</v>
      </c>
      <c r="F2119" s="102">
        <v>2</v>
      </c>
      <c r="G2119" s="208">
        <v>7.4999999999999997E-2</v>
      </c>
      <c r="H2119" s="102">
        <v>15</v>
      </c>
      <c r="I2119" s="115">
        <f t="shared" si="109"/>
        <v>750</v>
      </c>
      <c r="J2119" s="115">
        <f t="shared" si="110"/>
        <v>499.99999999999994</v>
      </c>
    </row>
    <row r="2120" spans="1:10" s="99" customFormat="1">
      <c r="A2120" s="111">
        <v>288</v>
      </c>
      <c r="B2120" s="111" t="s">
        <v>447</v>
      </c>
      <c r="C2120" s="115">
        <v>20000</v>
      </c>
      <c r="D2120" s="104" t="s">
        <v>582</v>
      </c>
      <c r="E2120" s="115">
        <v>2300</v>
      </c>
      <c r="F2120" s="102">
        <v>4</v>
      </c>
      <c r="G2120" s="208">
        <v>0.06</v>
      </c>
      <c r="H2120" s="102" t="s">
        <v>664</v>
      </c>
      <c r="I2120" s="115">
        <f t="shared" si="109"/>
        <v>1200</v>
      </c>
      <c r="J2120" s="115">
        <f t="shared" si="110"/>
        <v>699.99999999999989</v>
      </c>
    </row>
    <row r="2121" spans="1:10" s="99" customFormat="1">
      <c r="A2121" s="111">
        <v>289</v>
      </c>
      <c r="B2121" s="111" t="s">
        <v>448</v>
      </c>
      <c r="C2121" s="115">
        <v>20000</v>
      </c>
      <c r="D2121" s="104" t="s">
        <v>976</v>
      </c>
      <c r="E2121" s="115">
        <v>2300</v>
      </c>
      <c r="F2121" s="102">
        <v>10</v>
      </c>
      <c r="G2121" s="208">
        <v>0.06</v>
      </c>
      <c r="H2121" s="102" t="s">
        <v>664</v>
      </c>
      <c r="I2121" s="115">
        <f t="shared" si="109"/>
        <v>3000</v>
      </c>
      <c r="J2121" s="115">
        <f t="shared" si="110"/>
        <v>1749.9999999999995</v>
      </c>
    </row>
    <row r="2122" spans="1:10" s="99" customFormat="1">
      <c r="A2122" s="111"/>
      <c r="B2122" s="111"/>
      <c r="C2122" s="115">
        <v>30000</v>
      </c>
      <c r="D2122" s="104" t="s">
        <v>976</v>
      </c>
      <c r="E2122" s="115">
        <v>1125</v>
      </c>
      <c r="F2122" s="102">
        <v>5</v>
      </c>
      <c r="G2122" s="208">
        <v>7.4999999999999997E-2</v>
      </c>
      <c r="H2122" s="102">
        <v>15</v>
      </c>
      <c r="I2122" s="115">
        <f t="shared" si="109"/>
        <v>5625</v>
      </c>
      <c r="J2122" s="115">
        <f t="shared" si="110"/>
        <v>3749.9999999999995</v>
      </c>
    </row>
    <row r="2123" spans="1:10" s="99" customFormat="1">
      <c r="A2123" s="111"/>
      <c r="B2123" s="111"/>
      <c r="C2123" s="115">
        <v>30000</v>
      </c>
      <c r="D2123" s="104" t="s">
        <v>413</v>
      </c>
      <c r="E2123" s="115">
        <v>1125</v>
      </c>
      <c r="F2123" s="102">
        <v>20</v>
      </c>
      <c r="G2123" s="208">
        <v>7.4999999999999997E-2</v>
      </c>
      <c r="H2123" s="102">
        <v>15</v>
      </c>
      <c r="I2123" s="115">
        <f t="shared" si="109"/>
        <v>22500</v>
      </c>
      <c r="J2123" s="115">
        <f t="shared" si="110"/>
        <v>14999.999999999998</v>
      </c>
    </row>
    <row r="2124" spans="1:10" s="99" customFormat="1">
      <c r="A2124" s="111"/>
      <c r="B2124" s="111"/>
      <c r="C2124" s="115">
        <v>30000</v>
      </c>
      <c r="D2124" s="104" t="s">
        <v>1668</v>
      </c>
      <c r="E2124" s="115">
        <v>3450</v>
      </c>
      <c r="F2124" s="102">
        <v>10</v>
      </c>
      <c r="G2124" s="208">
        <v>0.06</v>
      </c>
      <c r="H2124" s="102" t="s">
        <v>664</v>
      </c>
      <c r="I2124" s="115">
        <f t="shared" si="109"/>
        <v>4500</v>
      </c>
      <c r="J2124" s="115">
        <f t="shared" si="110"/>
        <v>2625</v>
      </c>
    </row>
    <row r="2125" spans="1:10" s="99" customFormat="1">
      <c r="A2125" s="111"/>
      <c r="B2125" s="111"/>
      <c r="C2125" s="115">
        <v>30000</v>
      </c>
      <c r="D2125" s="129" t="s">
        <v>362</v>
      </c>
      <c r="E2125" s="115">
        <v>3450</v>
      </c>
      <c r="F2125" s="102">
        <v>10</v>
      </c>
      <c r="G2125" s="208">
        <v>0.06</v>
      </c>
      <c r="H2125" s="102" t="s">
        <v>664</v>
      </c>
      <c r="I2125" s="115">
        <f t="shared" si="109"/>
        <v>4500</v>
      </c>
      <c r="J2125" s="115">
        <f t="shared" si="110"/>
        <v>2625</v>
      </c>
    </row>
    <row r="2126" spans="1:10" s="99" customFormat="1">
      <c r="A2126" s="111"/>
      <c r="B2126" s="111"/>
      <c r="C2126" s="115">
        <v>30000</v>
      </c>
      <c r="D2126" s="104" t="s">
        <v>238</v>
      </c>
      <c r="E2126" s="115">
        <v>1125</v>
      </c>
      <c r="F2126" s="102">
        <v>17</v>
      </c>
      <c r="G2126" s="208">
        <v>7.4999999999999997E-2</v>
      </c>
      <c r="H2126" s="102">
        <v>15</v>
      </c>
      <c r="I2126" s="115">
        <f t="shared" si="109"/>
        <v>19125</v>
      </c>
      <c r="J2126" s="115">
        <f t="shared" si="110"/>
        <v>12749.999999999998</v>
      </c>
    </row>
    <row r="2127" spans="1:10" s="99" customFormat="1">
      <c r="A2127" s="111"/>
      <c r="B2127" s="111"/>
      <c r="C2127" s="115">
        <v>30000</v>
      </c>
      <c r="D2127" s="104" t="s">
        <v>421</v>
      </c>
      <c r="E2127" s="115">
        <v>3450</v>
      </c>
      <c r="F2127" s="102">
        <v>10</v>
      </c>
      <c r="G2127" s="208">
        <v>0.06</v>
      </c>
      <c r="H2127" s="102" t="s">
        <v>664</v>
      </c>
      <c r="I2127" s="115">
        <f t="shared" si="109"/>
        <v>4500</v>
      </c>
      <c r="J2127" s="115">
        <f t="shared" si="110"/>
        <v>2625</v>
      </c>
    </row>
    <row r="2128" spans="1:10" s="99" customFormat="1">
      <c r="A2128" s="111"/>
      <c r="B2128" s="111"/>
      <c r="C2128" s="115">
        <v>50000</v>
      </c>
      <c r="D2128" s="104" t="s">
        <v>1726</v>
      </c>
      <c r="E2128" s="115">
        <v>5750</v>
      </c>
      <c r="F2128" s="102">
        <v>10</v>
      </c>
      <c r="G2128" s="208">
        <v>0.06</v>
      </c>
      <c r="H2128" s="102" t="s">
        <v>664</v>
      </c>
      <c r="I2128" s="115">
        <f t="shared" si="109"/>
        <v>7500</v>
      </c>
      <c r="J2128" s="115">
        <f t="shared" si="110"/>
        <v>4374.9999999999991</v>
      </c>
    </row>
    <row r="2129" spans="1:10" s="99" customFormat="1">
      <c r="A2129" s="111"/>
      <c r="B2129" s="111"/>
      <c r="C2129" s="115">
        <v>50000</v>
      </c>
      <c r="D2129" s="104" t="s">
        <v>1988</v>
      </c>
      <c r="E2129" s="115">
        <v>5750</v>
      </c>
      <c r="F2129" s="102">
        <v>8</v>
      </c>
      <c r="G2129" s="208">
        <v>0.06</v>
      </c>
      <c r="H2129" s="102" t="s">
        <v>664</v>
      </c>
      <c r="I2129" s="115">
        <f t="shared" si="109"/>
        <v>6000</v>
      </c>
      <c r="J2129" s="115">
        <f t="shared" si="110"/>
        <v>3499.9999999999991</v>
      </c>
    </row>
    <row r="2130" spans="1:10" s="99" customFormat="1">
      <c r="A2130" s="111"/>
      <c r="B2130" s="111"/>
      <c r="C2130" s="115">
        <v>50000</v>
      </c>
      <c r="D2130" s="104" t="s">
        <v>3101</v>
      </c>
      <c r="E2130" s="115">
        <v>5750</v>
      </c>
      <c r="F2130" s="102">
        <v>5</v>
      </c>
      <c r="G2130" s="208">
        <v>0.06</v>
      </c>
      <c r="H2130" s="102" t="s">
        <v>664</v>
      </c>
      <c r="I2130" s="115">
        <f t="shared" si="109"/>
        <v>3750</v>
      </c>
      <c r="J2130" s="115">
        <f t="shared" si="110"/>
        <v>2187.4999999999995</v>
      </c>
    </row>
    <row r="2131" spans="1:10" s="99" customFormat="1">
      <c r="A2131" s="111">
        <v>290</v>
      </c>
      <c r="B2131" s="111" t="s">
        <v>451</v>
      </c>
      <c r="C2131" s="115">
        <v>10000</v>
      </c>
      <c r="D2131" s="104" t="s">
        <v>976</v>
      </c>
      <c r="E2131" s="115">
        <v>1150</v>
      </c>
      <c r="F2131" s="102">
        <v>10</v>
      </c>
      <c r="G2131" s="208">
        <v>0.06</v>
      </c>
      <c r="H2131" s="102" t="s">
        <v>664</v>
      </c>
      <c r="I2131" s="115">
        <f t="shared" si="109"/>
        <v>1500</v>
      </c>
      <c r="J2131" s="115">
        <f t="shared" si="110"/>
        <v>874.99999999999977</v>
      </c>
    </row>
    <row r="2132" spans="1:10" s="99" customFormat="1">
      <c r="A2132" s="111"/>
      <c r="B2132" s="111"/>
      <c r="C2132" s="115">
        <v>20000</v>
      </c>
      <c r="D2132" s="104" t="s">
        <v>976</v>
      </c>
      <c r="E2132" s="115">
        <v>750</v>
      </c>
      <c r="F2132" s="102">
        <v>23</v>
      </c>
      <c r="G2132" s="208">
        <v>7.4999999999999997E-2</v>
      </c>
      <c r="H2132" s="102">
        <v>15</v>
      </c>
      <c r="I2132" s="115">
        <f t="shared" si="109"/>
        <v>17250</v>
      </c>
      <c r="J2132" s="115">
        <f t="shared" si="110"/>
        <v>11499.999999999998</v>
      </c>
    </row>
    <row r="2133" spans="1:10" s="99" customFormat="1">
      <c r="A2133" s="111"/>
      <c r="B2133" s="111"/>
      <c r="C2133" s="115">
        <v>20000</v>
      </c>
      <c r="D2133" s="104" t="s">
        <v>2336</v>
      </c>
      <c r="E2133" s="115">
        <v>2300</v>
      </c>
      <c r="F2133" s="102">
        <v>8</v>
      </c>
      <c r="G2133" s="208">
        <v>0.06</v>
      </c>
      <c r="H2133" s="102" t="s">
        <v>664</v>
      </c>
      <c r="I2133" s="115">
        <f t="shared" si="109"/>
        <v>2400</v>
      </c>
      <c r="J2133" s="115">
        <f t="shared" si="110"/>
        <v>1399.9999999999998</v>
      </c>
    </row>
    <row r="2134" spans="1:10" s="99" customFormat="1">
      <c r="A2134" s="111"/>
      <c r="B2134" s="111"/>
      <c r="C2134" s="115">
        <v>10000</v>
      </c>
      <c r="D2134" s="104" t="s">
        <v>2322</v>
      </c>
      <c r="E2134" s="115">
        <v>1150</v>
      </c>
      <c r="F2134" s="102">
        <v>10</v>
      </c>
      <c r="G2134" s="208">
        <v>0.06</v>
      </c>
      <c r="H2134" s="102" t="s">
        <v>664</v>
      </c>
      <c r="I2134" s="115">
        <f t="shared" si="109"/>
        <v>1500</v>
      </c>
      <c r="J2134" s="115">
        <f t="shared" si="110"/>
        <v>874.99999999999977</v>
      </c>
    </row>
    <row r="2135" spans="1:10" s="99" customFormat="1">
      <c r="A2135" s="111"/>
      <c r="B2135" s="111"/>
      <c r="C2135" s="115">
        <v>10000</v>
      </c>
      <c r="D2135" s="104" t="s">
        <v>2356</v>
      </c>
      <c r="E2135" s="115">
        <v>1150</v>
      </c>
      <c r="F2135" s="102">
        <v>10</v>
      </c>
      <c r="G2135" s="208">
        <v>0.06</v>
      </c>
      <c r="H2135" s="102" t="s">
        <v>664</v>
      </c>
      <c r="I2135" s="115">
        <f t="shared" si="109"/>
        <v>1500</v>
      </c>
      <c r="J2135" s="115">
        <f t="shared" si="110"/>
        <v>874.99999999999977</v>
      </c>
    </row>
    <row r="2136" spans="1:10" s="99" customFormat="1">
      <c r="A2136" s="111"/>
      <c r="B2136" s="111"/>
      <c r="C2136" s="115">
        <v>20000</v>
      </c>
      <c r="D2136" s="104" t="s">
        <v>3156</v>
      </c>
      <c r="E2136" s="115">
        <v>2300</v>
      </c>
      <c r="F2136" s="102">
        <v>10</v>
      </c>
      <c r="G2136" s="208">
        <v>0.06</v>
      </c>
      <c r="H2136" s="102" t="s">
        <v>664</v>
      </c>
      <c r="I2136" s="115">
        <f t="shared" ref="I2136:I2199" si="111">IF(H2136="分期",C2136*G2136*2.5*F2136/10,C2136*G2136*H2136/30*F2136)</f>
        <v>3000</v>
      </c>
      <c r="J2136" s="115">
        <f t="shared" ref="J2136:J2199" si="112">IF(H2136="分期",C2136*(G2136-0.025)*2.5*F2136/10,C2136*(G2136-0.025)*H2136/30*F2136)</f>
        <v>1749.9999999999995</v>
      </c>
    </row>
    <row r="2137" spans="1:10" s="99" customFormat="1">
      <c r="A2137" s="111"/>
      <c r="B2137" s="111"/>
      <c r="C2137" s="115">
        <v>10000</v>
      </c>
      <c r="D2137" s="104" t="s">
        <v>434</v>
      </c>
      <c r="E2137" s="115">
        <v>1150</v>
      </c>
      <c r="F2137" s="102">
        <v>10</v>
      </c>
      <c r="G2137" s="208">
        <v>0.06</v>
      </c>
      <c r="H2137" s="102" t="s">
        <v>664</v>
      </c>
      <c r="I2137" s="115">
        <f t="shared" si="111"/>
        <v>1500</v>
      </c>
      <c r="J2137" s="115">
        <f t="shared" si="112"/>
        <v>874.99999999999977</v>
      </c>
    </row>
    <row r="2138" spans="1:10" s="99" customFormat="1">
      <c r="A2138" s="111"/>
      <c r="B2138" s="111"/>
      <c r="C2138" s="115">
        <v>20000</v>
      </c>
      <c r="D2138" s="104" t="s">
        <v>452</v>
      </c>
      <c r="E2138" s="115">
        <v>2300</v>
      </c>
      <c r="F2138" s="102">
        <v>10</v>
      </c>
      <c r="G2138" s="208">
        <v>0.06</v>
      </c>
      <c r="H2138" s="102" t="s">
        <v>664</v>
      </c>
      <c r="I2138" s="115">
        <f t="shared" si="111"/>
        <v>3000</v>
      </c>
      <c r="J2138" s="115">
        <f t="shared" si="112"/>
        <v>1749.9999999999995</v>
      </c>
    </row>
    <row r="2139" spans="1:10" s="99" customFormat="1">
      <c r="A2139" s="111"/>
      <c r="B2139" s="111"/>
      <c r="C2139" s="115">
        <v>10000</v>
      </c>
      <c r="D2139" s="104" t="s">
        <v>453</v>
      </c>
      <c r="E2139" s="115">
        <v>1150</v>
      </c>
      <c r="F2139" s="102">
        <v>10</v>
      </c>
      <c r="G2139" s="208">
        <v>0.06</v>
      </c>
      <c r="H2139" s="102" t="s">
        <v>664</v>
      </c>
      <c r="I2139" s="115">
        <f t="shared" si="111"/>
        <v>1500</v>
      </c>
      <c r="J2139" s="115">
        <f t="shared" si="112"/>
        <v>874.99999999999977</v>
      </c>
    </row>
    <row r="2140" spans="1:10" s="99" customFormat="1">
      <c r="A2140" s="111"/>
      <c r="B2140" s="111"/>
      <c r="C2140" s="115">
        <v>20000</v>
      </c>
      <c r="D2140" s="104" t="s">
        <v>1976</v>
      </c>
      <c r="E2140" s="115">
        <v>2300</v>
      </c>
      <c r="F2140" s="102">
        <v>10</v>
      </c>
      <c r="G2140" s="208">
        <v>0.06</v>
      </c>
      <c r="H2140" s="102" t="s">
        <v>664</v>
      </c>
      <c r="I2140" s="115">
        <f t="shared" si="111"/>
        <v>3000</v>
      </c>
      <c r="J2140" s="115">
        <f t="shared" si="112"/>
        <v>1749.9999999999995</v>
      </c>
    </row>
    <row r="2141" spans="1:10" s="99" customFormat="1">
      <c r="A2141" s="111"/>
      <c r="B2141" s="111"/>
      <c r="C2141" s="115">
        <v>10000</v>
      </c>
      <c r="D2141" s="104" t="s">
        <v>454</v>
      </c>
      <c r="E2141" s="115">
        <v>375</v>
      </c>
      <c r="F2141" s="102">
        <v>11</v>
      </c>
      <c r="G2141" s="208">
        <v>7.4999999999999997E-2</v>
      </c>
      <c r="H2141" s="102">
        <v>15</v>
      </c>
      <c r="I2141" s="115">
        <f t="shared" si="111"/>
        <v>4125</v>
      </c>
      <c r="J2141" s="115">
        <f t="shared" si="112"/>
        <v>2749.9999999999995</v>
      </c>
    </row>
    <row r="2142" spans="1:10" s="99" customFormat="1">
      <c r="A2142" s="111"/>
      <c r="B2142" s="111"/>
      <c r="C2142" s="115">
        <v>20000</v>
      </c>
      <c r="D2142" s="104" t="s">
        <v>3122</v>
      </c>
      <c r="E2142" s="115">
        <v>750</v>
      </c>
      <c r="F2142" s="102">
        <v>6</v>
      </c>
      <c r="G2142" s="208">
        <v>7.4999999999999997E-2</v>
      </c>
      <c r="H2142" s="102">
        <v>15</v>
      </c>
      <c r="I2142" s="115">
        <f t="shared" si="111"/>
        <v>4500</v>
      </c>
      <c r="J2142" s="115">
        <f t="shared" si="112"/>
        <v>2999.9999999999995</v>
      </c>
    </row>
    <row r="2143" spans="1:10" s="99" customFormat="1">
      <c r="A2143" s="111"/>
      <c r="B2143" s="111"/>
      <c r="C2143" s="115">
        <v>10000</v>
      </c>
      <c r="D2143" s="104" t="s">
        <v>2328</v>
      </c>
      <c r="E2143" s="115">
        <v>1150</v>
      </c>
      <c r="F2143" s="102">
        <v>10</v>
      </c>
      <c r="G2143" s="208">
        <v>0.06</v>
      </c>
      <c r="H2143" s="102" t="s">
        <v>664</v>
      </c>
      <c r="I2143" s="115">
        <f t="shared" si="111"/>
        <v>1500</v>
      </c>
      <c r="J2143" s="115">
        <f t="shared" si="112"/>
        <v>874.99999999999977</v>
      </c>
    </row>
    <row r="2144" spans="1:10" s="99" customFormat="1">
      <c r="A2144" s="111"/>
      <c r="B2144" s="111"/>
      <c r="C2144" s="115">
        <v>20000</v>
      </c>
      <c r="D2144" s="104" t="s">
        <v>254</v>
      </c>
      <c r="E2144" s="115">
        <v>2300</v>
      </c>
      <c r="F2144" s="102">
        <v>10</v>
      </c>
      <c r="G2144" s="208">
        <v>0.06</v>
      </c>
      <c r="H2144" s="102" t="s">
        <v>664</v>
      </c>
      <c r="I2144" s="115">
        <f t="shared" si="111"/>
        <v>3000</v>
      </c>
      <c r="J2144" s="115">
        <f t="shared" si="112"/>
        <v>1749.9999999999995</v>
      </c>
    </row>
    <row r="2145" spans="1:10" s="99" customFormat="1">
      <c r="A2145" s="111"/>
      <c r="B2145" s="111"/>
      <c r="C2145" s="115">
        <v>10000</v>
      </c>
      <c r="D2145" s="104" t="s">
        <v>972</v>
      </c>
      <c r="E2145" s="115">
        <v>1150</v>
      </c>
      <c r="F2145" s="102">
        <v>5</v>
      </c>
      <c r="G2145" s="208">
        <v>0.06</v>
      </c>
      <c r="H2145" s="102" t="s">
        <v>664</v>
      </c>
      <c r="I2145" s="115">
        <f t="shared" si="111"/>
        <v>750</v>
      </c>
      <c r="J2145" s="115">
        <f t="shared" si="112"/>
        <v>437.49999999999989</v>
      </c>
    </row>
    <row r="2146" spans="1:10" s="99" customFormat="1">
      <c r="A2146" s="111"/>
      <c r="B2146" s="111"/>
      <c r="C2146" s="115">
        <v>20000</v>
      </c>
      <c r="D2146" s="129" t="s">
        <v>363</v>
      </c>
      <c r="E2146" s="115">
        <v>2300</v>
      </c>
      <c r="F2146" s="102">
        <v>2</v>
      </c>
      <c r="G2146" s="208">
        <v>0.06</v>
      </c>
      <c r="H2146" s="102" t="s">
        <v>664</v>
      </c>
      <c r="I2146" s="115">
        <f t="shared" si="111"/>
        <v>600</v>
      </c>
      <c r="J2146" s="115">
        <f t="shared" si="112"/>
        <v>349.99999999999994</v>
      </c>
    </row>
    <row r="2147" spans="1:10" s="99" customFormat="1">
      <c r="A2147" s="111">
        <v>291</v>
      </c>
      <c r="B2147" s="132" t="s">
        <v>364</v>
      </c>
      <c r="C2147" s="115">
        <v>10000</v>
      </c>
      <c r="D2147" s="129" t="s">
        <v>365</v>
      </c>
      <c r="E2147" s="115">
        <v>375</v>
      </c>
      <c r="F2147" s="102">
        <v>5</v>
      </c>
      <c r="G2147" s="208">
        <v>7.4999999999999997E-2</v>
      </c>
      <c r="H2147" s="102">
        <v>15</v>
      </c>
      <c r="I2147" s="115">
        <f t="shared" si="111"/>
        <v>1875</v>
      </c>
      <c r="J2147" s="115">
        <f t="shared" si="112"/>
        <v>1249.9999999999998</v>
      </c>
    </row>
    <row r="2148" spans="1:10" s="99" customFormat="1">
      <c r="A2148" s="111"/>
      <c r="B2148" s="111"/>
      <c r="C2148" s="115">
        <v>10000</v>
      </c>
      <c r="D2148" s="129" t="s">
        <v>365</v>
      </c>
      <c r="E2148" s="115">
        <v>1150</v>
      </c>
      <c r="F2148" s="102">
        <v>10</v>
      </c>
      <c r="G2148" s="208">
        <v>0.06</v>
      </c>
      <c r="H2148" s="102" t="s">
        <v>664</v>
      </c>
      <c r="I2148" s="115">
        <f t="shared" si="111"/>
        <v>1500</v>
      </c>
      <c r="J2148" s="115">
        <f t="shared" si="112"/>
        <v>874.99999999999977</v>
      </c>
    </row>
    <row r="2149" spans="1:10" s="99" customFormat="1">
      <c r="A2149" s="111"/>
      <c r="B2149" s="111"/>
      <c r="C2149" s="115">
        <v>10000</v>
      </c>
      <c r="D2149" s="129" t="s">
        <v>366</v>
      </c>
      <c r="E2149" s="115">
        <v>1150</v>
      </c>
      <c r="F2149" s="102">
        <v>4</v>
      </c>
      <c r="G2149" s="208">
        <v>0.06</v>
      </c>
      <c r="H2149" s="102" t="s">
        <v>664</v>
      </c>
      <c r="I2149" s="115">
        <f t="shared" si="111"/>
        <v>600</v>
      </c>
      <c r="J2149" s="115">
        <f t="shared" si="112"/>
        <v>349.99999999999994</v>
      </c>
    </row>
    <row r="2150" spans="1:10" s="99" customFormat="1">
      <c r="A2150" s="111">
        <v>292</v>
      </c>
      <c r="B2150" s="111" t="s">
        <v>455</v>
      </c>
      <c r="C2150" s="115">
        <v>10000</v>
      </c>
      <c r="D2150" s="104" t="s">
        <v>1531</v>
      </c>
      <c r="E2150" s="115">
        <v>375</v>
      </c>
      <c r="F2150" s="102">
        <v>8</v>
      </c>
      <c r="G2150" s="208">
        <v>7.4999999999999997E-2</v>
      </c>
      <c r="H2150" s="102">
        <v>15</v>
      </c>
      <c r="I2150" s="115">
        <f t="shared" si="111"/>
        <v>3000</v>
      </c>
      <c r="J2150" s="115">
        <f t="shared" si="112"/>
        <v>1999.9999999999998</v>
      </c>
    </row>
    <row r="2151" spans="1:10" s="99" customFormat="1">
      <c r="A2151" s="111"/>
      <c r="B2151" s="111"/>
      <c r="C2151" s="115">
        <v>20000</v>
      </c>
      <c r="D2151" s="104" t="s">
        <v>1531</v>
      </c>
      <c r="E2151" s="115">
        <v>2300</v>
      </c>
      <c r="F2151" s="102">
        <v>10</v>
      </c>
      <c r="G2151" s="208">
        <v>0.06</v>
      </c>
      <c r="H2151" s="102" t="s">
        <v>664</v>
      </c>
      <c r="I2151" s="115">
        <f t="shared" si="111"/>
        <v>3000</v>
      </c>
      <c r="J2151" s="115">
        <f t="shared" si="112"/>
        <v>1749.9999999999995</v>
      </c>
    </row>
    <row r="2152" spans="1:10" s="99" customFormat="1">
      <c r="A2152" s="111"/>
      <c r="B2152" s="111"/>
      <c r="C2152" s="115">
        <v>20000</v>
      </c>
      <c r="D2152" s="104" t="s">
        <v>1534</v>
      </c>
      <c r="E2152" s="115">
        <v>2300</v>
      </c>
      <c r="F2152" s="102">
        <v>9</v>
      </c>
      <c r="G2152" s="208">
        <v>0.06</v>
      </c>
      <c r="H2152" s="102" t="s">
        <v>664</v>
      </c>
      <c r="I2152" s="115">
        <f t="shared" si="111"/>
        <v>2700</v>
      </c>
      <c r="J2152" s="115">
        <f t="shared" si="112"/>
        <v>1574.9999999999998</v>
      </c>
    </row>
    <row r="2153" spans="1:10" s="99" customFormat="1">
      <c r="A2153" s="111"/>
      <c r="B2153" s="111"/>
      <c r="C2153" s="115">
        <v>20000</v>
      </c>
      <c r="D2153" s="104" t="s">
        <v>456</v>
      </c>
      <c r="E2153" s="115">
        <v>2300</v>
      </c>
      <c r="F2153" s="102">
        <v>10</v>
      </c>
      <c r="G2153" s="208">
        <v>0.06</v>
      </c>
      <c r="H2153" s="102" t="s">
        <v>664</v>
      </c>
      <c r="I2153" s="115">
        <f t="shared" si="111"/>
        <v>3000</v>
      </c>
      <c r="J2153" s="115">
        <f t="shared" si="112"/>
        <v>1749.9999999999995</v>
      </c>
    </row>
    <row r="2154" spans="1:10" s="99" customFormat="1">
      <c r="A2154" s="111"/>
      <c r="B2154" s="111"/>
      <c r="C2154" s="115">
        <v>20000</v>
      </c>
      <c r="D2154" s="104" t="s">
        <v>426</v>
      </c>
      <c r="E2154" s="115">
        <v>750</v>
      </c>
      <c r="F2154" s="102">
        <v>3</v>
      </c>
      <c r="G2154" s="208">
        <v>7.4999999999999997E-2</v>
      </c>
      <c r="H2154" s="102">
        <v>15</v>
      </c>
      <c r="I2154" s="115">
        <f t="shared" si="111"/>
        <v>2250</v>
      </c>
      <c r="J2154" s="115">
        <f t="shared" si="112"/>
        <v>1499.9999999999998</v>
      </c>
    </row>
    <row r="2155" spans="1:10" s="99" customFormat="1">
      <c r="A2155" s="111"/>
      <c r="B2155" s="111"/>
      <c r="C2155" s="115">
        <v>20000</v>
      </c>
      <c r="D2155" s="104" t="s">
        <v>454</v>
      </c>
      <c r="E2155" s="115">
        <v>2300</v>
      </c>
      <c r="F2155" s="102">
        <v>10</v>
      </c>
      <c r="G2155" s="208">
        <v>0.06</v>
      </c>
      <c r="H2155" s="102" t="s">
        <v>664</v>
      </c>
      <c r="I2155" s="115">
        <f t="shared" si="111"/>
        <v>3000</v>
      </c>
      <c r="J2155" s="115">
        <f t="shared" si="112"/>
        <v>1749.9999999999995</v>
      </c>
    </row>
    <row r="2156" spans="1:10" s="99" customFormat="1">
      <c r="A2156" s="111"/>
      <c r="B2156" s="111"/>
      <c r="C2156" s="115">
        <v>20000</v>
      </c>
      <c r="D2156" s="104" t="s">
        <v>670</v>
      </c>
      <c r="E2156" s="115">
        <v>750</v>
      </c>
      <c r="F2156" s="102">
        <v>7</v>
      </c>
      <c r="G2156" s="208">
        <v>7.4999999999999997E-2</v>
      </c>
      <c r="H2156" s="102">
        <v>15</v>
      </c>
      <c r="I2156" s="115">
        <f t="shared" si="111"/>
        <v>5250</v>
      </c>
      <c r="J2156" s="115">
        <f t="shared" si="112"/>
        <v>3499.9999999999995</v>
      </c>
    </row>
    <row r="2157" spans="1:10" s="99" customFormat="1">
      <c r="A2157" s="111"/>
      <c r="B2157" s="111"/>
      <c r="C2157" s="115">
        <v>20000</v>
      </c>
      <c r="D2157" s="104" t="s">
        <v>3122</v>
      </c>
      <c r="E2157" s="115">
        <v>2300</v>
      </c>
      <c r="F2157" s="102">
        <v>10</v>
      </c>
      <c r="G2157" s="208">
        <v>0.06</v>
      </c>
      <c r="H2157" s="102" t="s">
        <v>664</v>
      </c>
      <c r="I2157" s="115">
        <f t="shared" si="111"/>
        <v>3000</v>
      </c>
      <c r="J2157" s="115">
        <f t="shared" si="112"/>
        <v>1749.9999999999995</v>
      </c>
    </row>
    <row r="2158" spans="1:10" s="99" customFormat="1">
      <c r="A2158" s="111"/>
      <c r="B2158" s="111"/>
      <c r="C2158" s="115">
        <v>10000</v>
      </c>
      <c r="D2158" s="104" t="s">
        <v>1711</v>
      </c>
      <c r="E2158" s="115">
        <v>375</v>
      </c>
      <c r="F2158" s="102">
        <v>3</v>
      </c>
      <c r="G2158" s="208">
        <v>7.4999999999999997E-2</v>
      </c>
      <c r="H2158" s="102">
        <v>15</v>
      </c>
      <c r="I2158" s="115">
        <f t="shared" si="111"/>
        <v>1125</v>
      </c>
      <c r="J2158" s="115">
        <f t="shared" si="112"/>
        <v>749.99999999999989</v>
      </c>
    </row>
    <row r="2159" spans="1:10" s="99" customFormat="1">
      <c r="A2159" s="111"/>
      <c r="B2159" s="111"/>
      <c r="C2159" s="115">
        <v>30000</v>
      </c>
      <c r="D2159" s="104" t="s">
        <v>663</v>
      </c>
      <c r="E2159" s="115">
        <v>3450</v>
      </c>
      <c r="F2159" s="102">
        <v>3</v>
      </c>
      <c r="G2159" s="208">
        <v>0.06</v>
      </c>
      <c r="H2159" s="102" t="s">
        <v>664</v>
      </c>
      <c r="I2159" s="115">
        <f t="shared" si="111"/>
        <v>1350</v>
      </c>
      <c r="J2159" s="115">
        <f t="shared" si="112"/>
        <v>787.5</v>
      </c>
    </row>
    <row r="2160" spans="1:10" s="99" customFormat="1">
      <c r="A2160" s="111">
        <v>293</v>
      </c>
      <c r="B2160" s="111" t="s">
        <v>457</v>
      </c>
      <c r="C2160" s="115">
        <v>10000</v>
      </c>
      <c r="D2160" s="104" t="s">
        <v>1531</v>
      </c>
      <c r="E2160" s="115">
        <v>1150</v>
      </c>
      <c r="F2160" s="102">
        <v>10</v>
      </c>
      <c r="G2160" s="208">
        <v>0.06</v>
      </c>
      <c r="H2160" s="102" t="s">
        <v>664</v>
      </c>
      <c r="I2160" s="115">
        <f t="shared" si="111"/>
        <v>1500</v>
      </c>
      <c r="J2160" s="115">
        <f t="shared" si="112"/>
        <v>874.99999999999977</v>
      </c>
    </row>
    <row r="2161" spans="1:10" s="99" customFormat="1">
      <c r="A2161" s="111"/>
      <c r="B2161" s="111"/>
      <c r="C2161" s="115">
        <v>10000</v>
      </c>
      <c r="D2161" s="104" t="s">
        <v>1531</v>
      </c>
      <c r="E2161" s="115">
        <v>375</v>
      </c>
      <c r="F2161" s="102">
        <v>21</v>
      </c>
      <c r="G2161" s="208">
        <v>7.4999999999999997E-2</v>
      </c>
      <c r="H2161" s="102">
        <v>15</v>
      </c>
      <c r="I2161" s="115">
        <f t="shared" si="111"/>
        <v>7875</v>
      </c>
      <c r="J2161" s="115">
        <f t="shared" si="112"/>
        <v>5249.9999999999991</v>
      </c>
    </row>
    <row r="2162" spans="1:10" s="99" customFormat="1">
      <c r="A2162" s="111"/>
      <c r="B2162" s="111"/>
      <c r="C2162" s="115">
        <v>10000</v>
      </c>
      <c r="D2162" s="104" t="s">
        <v>1982</v>
      </c>
      <c r="E2162" s="115">
        <v>1150</v>
      </c>
      <c r="F2162" s="102">
        <v>10</v>
      </c>
      <c r="G2162" s="208">
        <v>0.06</v>
      </c>
      <c r="H2162" s="102" t="s">
        <v>664</v>
      </c>
      <c r="I2162" s="115">
        <f t="shared" si="111"/>
        <v>1500</v>
      </c>
      <c r="J2162" s="115">
        <f t="shared" si="112"/>
        <v>874.99999999999977</v>
      </c>
    </row>
    <row r="2163" spans="1:10" s="99" customFormat="1">
      <c r="A2163" s="111"/>
      <c r="B2163" s="111"/>
      <c r="C2163" s="115">
        <v>10000</v>
      </c>
      <c r="D2163" s="104" t="s">
        <v>1985</v>
      </c>
      <c r="E2163" s="115">
        <v>1150</v>
      </c>
      <c r="F2163" s="102">
        <v>10</v>
      </c>
      <c r="G2163" s="208">
        <v>0.06</v>
      </c>
      <c r="H2163" s="102" t="s">
        <v>664</v>
      </c>
      <c r="I2163" s="115">
        <f t="shared" si="111"/>
        <v>1500</v>
      </c>
      <c r="J2163" s="115">
        <f t="shared" si="112"/>
        <v>874.99999999999977</v>
      </c>
    </row>
    <row r="2164" spans="1:10" s="99" customFormat="1">
      <c r="A2164" s="111"/>
      <c r="B2164" s="111"/>
      <c r="C2164" s="115">
        <v>10000</v>
      </c>
      <c r="D2164" s="104" t="s">
        <v>2356</v>
      </c>
      <c r="E2164" s="115">
        <v>1150</v>
      </c>
      <c r="F2164" s="102">
        <v>10</v>
      </c>
      <c r="G2164" s="208">
        <v>0.06</v>
      </c>
      <c r="H2164" s="102" t="s">
        <v>664</v>
      </c>
      <c r="I2164" s="115">
        <f t="shared" si="111"/>
        <v>1500</v>
      </c>
      <c r="J2164" s="115">
        <f t="shared" si="112"/>
        <v>874.99999999999977</v>
      </c>
    </row>
    <row r="2165" spans="1:10" s="99" customFormat="1">
      <c r="A2165" s="111"/>
      <c r="B2165" s="111"/>
      <c r="C2165" s="115">
        <v>10000</v>
      </c>
      <c r="D2165" s="104" t="s">
        <v>2333</v>
      </c>
      <c r="E2165" s="115">
        <v>1150</v>
      </c>
      <c r="F2165" s="102">
        <v>10</v>
      </c>
      <c r="G2165" s="208">
        <v>0.06</v>
      </c>
      <c r="H2165" s="102" t="s">
        <v>664</v>
      </c>
      <c r="I2165" s="115">
        <f t="shared" si="111"/>
        <v>1500</v>
      </c>
      <c r="J2165" s="115">
        <f t="shared" si="112"/>
        <v>874.99999999999977</v>
      </c>
    </row>
    <row r="2166" spans="1:10" s="99" customFormat="1">
      <c r="A2166" s="111"/>
      <c r="B2166" s="111"/>
      <c r="C2166" s="115">
        <v>10000</v>
      </c>
      <c r="D2166" s="104" t="s">
        <v>3140</v>
      </c>
      <c r="E2166" s="115">
        <v>375</v>
      </c>
      <c r="F2166" s="102">
        <v>14</v>
      </c>
      <c r="G2166" s="208">
        <v>7.4999999999999997E-2</v>
      </c>
      <c r="H2166" s="102">
        <v>15</v>
      </c>
      <c r="I2166" s="115">
        <f t="shared" si="111"/>
        <v>5250</v>
      </c>
      <c r="J2166" s="115">
        <f t="shared" si="112"/>
        <v>3499.9999999999995</v>
      </c>
    </row>
    <row r="2167" spans="1:10" s="99" customFormat="1">
      <c r="A2167" s="111"/>
      <c r="B2167" s="111"/>
      <c r="C2167" s="115">
        <v>10000</v>
      </c>
      <c r="D2167" s="104" t="s">
        <v>454</v>
      </c>
      <c r="E2167" s="115">
        <v>1150</v>
      </c>
      <c r="F2167" s="102">
        <v>10</v>
      </c>
      <c r="G2167" s="208">
        <v>0.06</v>
      </c>
      <c r="H2167" s="102" t="s">
        <v>664</v>
      </c>
      <c r="I2167" s="115">
        <f t="shared" si="111"/>
        <v>1500</v>
      </c>
      <c r="J2167" s="115">
        <f t="shared" si="112"/>
        <v>874.99999999999977</v>
      </c>
    </row>
    <row r="2168" spans="1:10" s="99" customFormat="1">
      <c r="A2168" s="111"/>
      <c r="B2168" s="111"/>
      <c r="C2168" s="115">
        <v>10000</v>
      </c>
      <c r="D2168" s="104" t="s">
        <v>1979</v>
      </c>
      <c r="E2168" s="115">
        <v>1150</v>
      </c>
      <c r="F2168" s="102">
        <v>7</v>
      </c>
      <c r="G2168" s="208">
        <v>0.06</v>
      </c>
      <c r="H2168" s="102" t="s">
        <v>664</v>
      </c>
      <c r="I2168" s="115">
        <f t="shared" si="111"/>
        <v>1050</v>
      </c>
      <c r="J2168" s="115">
        <f t="shared" si="112"/>
        <v>612.49999999999989</v>
      </c>
    </row>
    <row r="2169" spans="1:10" s="99" customFormat="1">
      <c r="A2169" s="111"/>
      <c r="B2169" s="111"/>
      <c r="C2169" s="115">
        <v>10000</v>
      </c>
      <c r="D2169" s="104" t="s">
        <v>3125</v>
      </c>
      <c r="E2169" s="115">
        <v>1150</v>
      </c>
      <c r="F2169" s="102">
        <v>5</v>
      </c>
      <c r="G2169" s="208">
        <v>0.06</v>
      </c>
      <c r="H2169" s="102" t="s">
        <v>664</v>
      </c>
      <c r="I2169" s="115">
        <f t="shared" si="111"/>
        <v>750</v>
      </c>
      <c r="J2169" s="115">
        <f t="shared" si="112"/>
        <v>437.49999999999989</v>
      </c>
    </row>
    <row r="2170" spans="1:10" s="99" customFormat="1">
      <c r="A2170" s="111">
        <v>294</v>
      </c>
      <c r="B2170" s="111" t="s">
        <v>458</v>
      </c>
      <c r="C2170" s="115">
        <v>20000</v>
      </c>
      <c r="D2170" s="104" t="s">
        <v>1531</v>
      </c>
      <c r="E2170" s="115">
        <v>2300</v>
      </c>
      <c r="F2170" s="102">
        <v>10</v>
      </c>
      <c r="G2170" s="208">
        <v>0.06</v>
      </c>
      <c r="H2170" s="102" t="s">
        <v>664</v>
      </c>
      <c r="I2170" s="115">
        <f t="shared" si="111"/>
        <v>3000</v>
      </c>
      <c r="J2170" s="115">
        <f t="shared" si="112"/>
        <v>1749.9999999999995</v>
      </c>
    </row>
    <row r="2171" spans="1:10" s="99" customFormat="1">
      <c r="A2171" s="111"/>
      <c r="B2171" s="111"/>
      <c r="C2171" s="115">
        <v>40000</v>
      </c>
      <c r="D2171" s="104" t="s">
        <v>1526</v>
      </c>
      <c r="E2171" s="115">
        <v>1500</v>
      </c>
      <c r="F2171" s="102">
        <v>9</v>
      </c>
      <c r="G2171" s="208">
        <v>7.4999999999999997E-2</v>
      </c>
      <c r="H2171" s="102">
        <v>15</v>
      </c>
      <c r="I2171" s="115">
        <f t="shared" si="111"/>
        <v>13500</v>
      </c>
      <c r="J2171" s="115">
        <f t="shared" si="112"/>
        <v>8999.9999999999982</v>
      </c>
    </row>
    <row r="2172" spans="1:10" s="99" customFormat="1">
      <c r="A2172" s="111"/>
      <c r="B2172" s="111"/>
      <c r="C2172" s="115">
        <v>30000</v>
      </c>
      <c r="D2172" s="104" t="s">
        <v>1001</v>
      </c>
      <c r="E2172" s="115">
        <v>1125</v>
      </c>
      <c r="F2172" s="102">
        <v>7</v>
      </c>
      <c r="G2172" s="208">
        <v>7.4999999999999997E-2</v>
      </c>
      <c r="H2172" s="102">
        <v>15</v>
      </c>
      <c r="I2172" s="115">
        <f t="shared" si="111"/>
        <v>7875</v>
      </c>
      <c r="J2172" s="115">
        <f t="shared" si="112"/>
        <v>5249.9999999999991</v>
      </c>
    </row>
    <row r="2173" spans="1:10" s="99" customFormat="1">
      <c r="A2173" s="111"/>
      <c r="B2173" s="111"/>
      <c r="C2173" s="115">
        <v>20000</v>
      </c>
      <c r="D2173" s="104" t="s">
        <v>1534</v>
      </c>
      <c r="E2173" s="115">
        <v>2300</v>
      </c>
      <c r="F2173" s="102">
        <v>10</v>
      </c>
      <c r="G2173" s="208">
        <v>0.06</v>
      </c>
      <c r="H2173" s="102" t="s">
        <v>664</v>
      </c>
      <c r="I2173" s="115">
        <f t="shared" si="111"/>
        <v>3000</v>
      </c>
      <c r="J2173" s="115">
        <f t="shared" si="112"/>
        <v>1749.9999999999995</v>
      </c>
    </row>
    <row r="2174" spans="1:10" s="99" customFormat="1">
      <c r="A2174" s="111"/>
      <c r="B2174" s="111"/>
      <c r="C2174" s="115">
        <v>20000</v>
      </c>
      <c r="D2174" s="104" t="s">
        <v>1688</v>
      </c>
      <c r="E2174" s="115">
        <v>2300</v>
      </c>
      <c r="F2174" s="102">
        <v>5</v>
      </c>
      <c r="G2174" s="208">
        <v>0.06</v>
      </c>
      <c r="H2174" s="102" t="s">
        <v>664</v>
      </c>
      <c r="I2174" s="115">
        <f t="shared" si="111"/>
        <v>1500</v>
      </c>
      <c r="J2174" s="115">
        <f t="shared" si="112"/>
        <v>874.99999999999977</v>
      </c>
    </row>
    <row r="2175" spans="1:10" s="99" customFormat="1">
      <c r="A2175" s="111">
        <v>295</v>
      </c>
      <c r="B2175" s="111" t="s">
        <v>459</v>
      </c>
      <c r="C2175" s="115">
        <v>10000</v>
      </c>
      <c r="D2175" s="104" t="s">
        <v>1532</v>
      </c>
      <c r="E2175" s="115">
        <v>1150</v>
      </c>
      <c r="F2175" s="102">
        <v>10</v>
      </c>
      <c r="G2175" s="208">
        <v>0.06</v>
      </c>
      <c r="H2175" s="102" t="s">
        <v>664</v>
      </c>
      <c r="I2175" s="115">
        <f t="shared" si="111"/>
        <v>1500</v>
      </c>
      <c r="J2175" s="115">
        <f t="shared" si="112"/>
        <v>874.99999999999977</v>
      </c>
    </row>
    <row r="2176" spans="1:10" s="99" customFormat="1">
      <c r="A2176" s="111"/>
      <c r="B2176" s="111"/>
      <c r="C2176" s="115">
        <v>20000</v>
      </c>
      <c r="D2176" s="104" t="s">
        <v>1532</v>
      </c>
      <c r="E2176" s="115">
        <v>750</v>
      </c>
      <c r="F2176" s="102">
        <v>16</v>
      </c>
      <c r="G2176" s="208">
        <v>7.4999999999999997E-2</v>
      </c>
      <c r="H2176" s="102">
        <v>15</v>
      </c>
      <c r="I2176" s="115">
        <f t="shared" si="111"/>
        <v>12000</v>
      </c>
      <c r="J2176" s="115">
        <f t="shared" si="112"/>
        <v>7999.9999999999991</v>
      </c>
    </row>
    <row r="2177" spans="1:10" s="99" customFormat="1">
      <c r="A2177" s="111"/>
      <c r="B2177" s="111"/>
      <c r="C2177" s="115">
        <v>10000</v>
      </c>
      <c r="D2177" s="104" t="s">
        <v>1981</v>
      </c>
      <c r="E2177" s="115">
        <v>1150</v>
      </c>
      <c r="F2177" s="102">
        <v>10</v>
      </c>
      <c r="G2177" s="208">
        <v>0.06</v>
      </c>
      <c r="H2177" s="102" t="s">
        <v>664</v>
      </c>
      <c r="I2177" s="115">
        <f t="shared" si="111"/>
        <v>1500</v>
      </c>
      <c r="J2177" s="115">
        <f t="shared" si="112"/>
        <v>874.99999999999977</v>
      </c>
    </row>
    <row r="2178" spans="1:10" s="99" customFormat="1">
      <c r="A2178" s="111"/>
      <c r="B2178" s="111"/>
      <c r="C2178" s="115">
        <v>10000</v>
      </c>
      <c r="D2178" s="129" t="s">
        <v>367</v>
      </c>
      <c r="E2178" s="115">
        <v>1150</v>
      </c>
      <c r="F2178" s="102">
        <v>10</v>
      </c>
      <c r="G2178" s="208">
        <v>0.06</v>
      </c>
      <c r="H2178" s="102" t="s">
        <v>664</v>
      </c>
      <c r="I2178" s="115">
        <f t="shared" si="111"/>
        <v>1500</v>
      </c>
      <c r="J2178" s="115">
        <f t="shared" si="112"/>
        <v>874.99999999999977</v>
      </c>
    </row>
    <row r="2179" spans="1:10" s="99" customFormat="1">
      <c r="A2179" s="111"/>
      <c r="B2179" s="111"/>
      <c r="C2179" s="115">
        <v>10000</v>
      </c>
      <c r="D2179" s="104" t="s">
        <v>3151</v>
      </c>
      <c r="E2179" s="115">
        <v>1150</v>
      </c>
      <c r="F2179" s="102">
        <v>10</v>
      </c>
      <c r="G2179" s="208">
        <v>0.06</v>
      </c>
      <c r="H2179" s="102" t="s">
        <v>664</v>
      </c>
      <c r="I2179" s="115">
        <f t="shared" si="111"/>
        <v>1500</v>
      </c>
      <c r="J2179" s="115">
        <f t="shared" si="112"/>
        <v>874.99999999999977</v>
      </c>
    </row>
    <row r="2180" spans="1:10" s="99" customFormat="1">
      <c r="A2180" s="111"/>
      <c r="B2180" s="111"/>
      <c r="C2180" s="115">
        <v>20000</v>
      </c>
      <c r="D2180" s="104" t="s">
        <v>1688</v>
      </c>
      <c r="E2180" s="115">
        <v>750</v>
      </c>
      <c r="F2180" s="102">
        <v>9</v>
      </c>
      <c r="G2180" s="208">
        <v>7.4999999999999997E-2</v>
      </c>
      <c r="H2180" s="102">
        <v>15</v>
      </c>
      <c r="I2180" s="115">
        <f t="shared" si="111"/>
        <v>6750</v>
      </c>
      <c r="J2180" s="115">
        <f t="shared" si="112"/>
        <v>4499.9999999999991</v>
      </c>
    </row>
    <row r="2181" spans="1:10" s="99" customFormat="1">
      <c r="A2181" s="111"/>
      <c r="B2181" s="111"/>
      <c r="C2181" s="115">
        <v>20000</v>
      </c>
      <c r="D2181" s="104" t="s">
        <v>3167</v>
      </c>
      <c r="E2181" s="115">
        <v>750</v>
      </c>
      <c r="F2181" s="102">
        <v>7</v>
      </c>
      <c r="G2181" s="208">
        <v>7.4999999999999997E-2</v>
      </c>
      <c r="H2181" s="102">
        <v>15</v>
      </c>
      <c r="I2181" s="115">
        <f t="shared" si="111"/>
        <v>5250</v>
      </c>
      <c r="J2181" s="115">
        <f t="shared" si="112"/>
        <v>3499.9999999999995</v>
      </c>
    </row>
    <row r="2182" spans="1:10" s="99" customFormat="1">
      <c r="A2182" s="111"/>
      <c r="B2182" s="111"/>
      <c r="C2182" s="115">
        <v>10000</v>
      </c>
      <c r="D2182" s="104" t="s">
        <v>3415</v>
      </c>
      <c r="E2182" s="115">
        <v>1150</v>
      </c>
      <c r="F2182" s="102">
        <v>6</v>
      </c>
      <c r="G2182" s="208">
        <v>0.06</v>
      </c>
      <c r="H2182" s="102" t="s">
        <v>664</v>
      </c>
      <c r="I2182" s="115">
        <f t="shared" si="111"/>
        <v>900</v>
      </c>
      <c r="J2182" s="115">
        <f t="shared" si="112"/>
        <v>524.99999999999989</v>
      </c>
    </row>
    <row r="2183" spans="1:10" s="99" customFormat="1">
      <c r="A2183" s="111"/>
      <c r="B2183" s="111"/>
      <c r="C2183" s="115">
        <v>20000</v>
      </c>
      <c r="D2183" s="104" t="s">
        <v>1702</v>
      </c>
      <c r="E2183" s="115">
        <v>750</v>
      </c>
      <c r="F2183" s="102">
        <v>1</v>
      </c>
      <c r="G2183" s="208">
        <v>7.4999999999999997E-2</v>
      </c>
      <c r="H2183" s="102">
        <v>15</v>
      </c>
      <c r="I2183" s="115">
        <f t="shared" si="111"/>
        <v>750</v>
      </c>
      <c r="J2183" s="115">
        <f t="shared" si="112"/>
        <v>499.99999999999994</v>
      </c>
    </row>
    <row r="2184" spans="1:10" s="99" customFormat="1">
      <c r="A2184" s="111"/>
      <c r="B2184" s="111"/>
      <c r="C2184" s="115">
        <v>10000</v>
      </c>
      <c r="D2184" s="104" t="s">
        <v>1702</v>
      </c>
      <c r="E2184" s="115">
        <v>375</v>
      </c>
      <c r="F2184" s="102">
        <v>1</v>
      </c>
      <c r="G2184" s="208">
        <v>7.4999999999999997E-2</v>
      </c>
      <c r="H2184" s="102">
        <v>15</v>
      </c>
      <c r="I2184" s="115">
        <f t="shared" si="111"/>
        <v>375</v>
      </c>
      <c r="J2184" s="115">
        <f t="shared" si="112"/>
        <v>249.99999999999997</v>
      </c>
    </row>
    <row r="2185" spans="1:10" s="99" customFormat="1">
      <c r="A2185" s="111"/>
      <c r="B2185" s="111"/>
      <c r="C2185" s="115">
        <v>30000</v>
      </c>
      <c r="D2185" s="104" t="s">
        <v>1702</v>
      </c>
      <c r="E2185" s="115">
        <v>1125</v>
      </c>
      <c r="F2185" s="102">
        <v>1</v>
      </c>
      <c r="G2185" s="208">
        <v>7.4999999999999997E-2</v>
      </c>
      <c r="H2185" s="102">
        <v>15</v>
      </c>
      <c r="I2185" s="115">
        <f t="shared" si="111"/>
        <v>1125</v>
      </c>
      <c r="J2185" s="115">
        <f t="shared" si="112"/>
        <v>749.99999999999989</v>
      </c>
    </row>
    <row r="2186" spans="1:10" s="99" customFormat="1">
      <c r="A2186" s="111"/>
      <c r="B2186" s="111"/>
      <c r="C2186" s="115">
        <v>5000</v>
      </c>
      <c r="D2186" s="104" t="s">
        <v>1702</v>
      </c>
      <c r="E2186" s="115">
        <v>190</v>
      </c>
      <c r="F2186" s="102">
        <v>1</v>
      </c>
      <c r="G2186" s="208">
        <v>7.4999999999999997E-2</v>
      </c>
      <c r="H2186" s="102">
        <v>15</v>
      </c>
      <c r="I2186" s="115">
        <f t="shared" si="111"/>
        <v>187.5</v>
      </c>
      <c r="J2186" s="115">
        <f t="shared" si="112"/>
        <v>124.99999999999999</v>
      </c>
    </row>
    <row r="2187" spans="1:10" s="99" customFormat="1">
      <c r="A2187" s="111"/>
      <c r="B2187" s="111"/>
      <c r="C2187" s="115">
        <v>19350</v>
      </c>
      <c r="D2187" s="104" t="s">
        <v>980</v>
      </c>
      <c r="E2187" s="115">
        <v>730</v>
      </c>
      <c r="F2187" s="102">
        <v>1</v>
      </c>
      <c r="G2187" s="208">
        <v>7.4999999999999997E-2</v>
      </c>
      <c r="H2187" s="102">
        <v>15</v>
      </c>
      <c r="I2187" s="115">
        <f t="shared" si="111"/>
        <v>725.625</v>
      </c>
      <c r="J2187" s="115">
        <f t="shared" si="112"/>
        <v>483.74999999999994</v>
      </c>
    </row>
    <row r="2188" spans="1:10" s="99" customFormat="1">
      <c r="A2188" s="111">
        <v>296</v>
      </c>
      <c r="B2188" s="111" t="s">
        <v>460</v>
      </c>
      <c r="C2188" s="115">
        <v>10000</v>
      </c>
      <c r="D2188" s="104" t="s">
        <v>583</v>
      </c>
      <c r="E2188" s="115">
        <v>1150</v>
      </c>
      <c r="F2188" s="102">
        <v>10</v>
      </c>
      <c r="G2188" s="208">
        <v>0.06</v>
      </c>
      <c r="H2188" s="102" t="s">
        <v>664</v>
      </c>
      <c r="I2188" s="115">
        <f t="shared" si="111"/>
        <v>1500</v>
      </c>
      <c r="J2188" s="115">
        <f t="shared" si="112"/>
        <v>874.99999999999977</v>
      </c>
    </row>
    <row r="2189" spans="1:10" s="99" customFormat="1">
      <c r="A2189" s="111"/>
      <c r="B2189" s="111"/>
      <c r="C2189" s="115">
        <v>10000</v>
      </c>
      <c r="D2189" s="104" t="s">
        <v>583</v>
      </c>
      <c r="E2189" s="115">
        <v>375</v>
      </c>
      <c r="F2189" s="102">
        <v>15</v>
      </c>
      <c r="G2189" s="208">
        <v>7.4999999999999997E-2</v>
      </c>
      <c r="H2189" s="102">
        <v>15</v>
      </c>
      <c r="I2189" s="115">
        <f t="shared" si="111"/>
        <v>5625</v>
      </c>
      <c r="J2189" s="115">
        <f t="shared" si="112"/>
        <v>3749.9999999999995</v>
      </c>
    </row>
    <row r="2190" spans="1:10" s="99" customFormat="1">
      <c r="A2190" s="111"/>
      <c r="B2190" s="111"/>
      <c r="C2190" s="115">
        <v>10000</v>
      </c>
      <c r="D2190" s="104" t="s">
        <v>461</v>
      </c>
      <c r="E2190" s="115">
        <v>1150</v>
      </c>
      <c r="F2190" s="102">
        <v>10</v>
      </c>
      <c r="G2190" s="208">
        <v>0.06</v>
      </c>
      <c r="H2190" s="102" t="s">
        <v>664</v>
      </c>
      <c r="I2190" s="115">
        <f t="shared" si="111"/>
        <v>1500</v>
      </c>
      <c r="J2190" s="115">
        <f t="shared" si="112"/>
        <v>874.99999999999977</v>
      </c>
    </row>
    <row r="2191" spans="1:10" s="99" customFormat="1">
      <c r="A2191" s="111"/>
      <c r="B2191" s="111"/>
      <c r="C2191" s="115">
        <v>10000</v>
      </c>
      <c r="D2191" s="129" t="s">
        <v>368</v>
      </c>
      <c r="E2191" s="115">
        <v>1150</v>
      </c>
      <c r="F2191" s="102">
        <v>10</v>
      </c>
      <c r="G2191" s="208">
        <v>0.06</v>
      </c>
      <c r="H2191" s="102" t="s">
        <v>664</v>
      </c>
      <c r="I2191" s="115">
        <f t="shared" si="111"/>
        <v>1500</v>
      </c>
      <c r="J2191" s="115">
        <f t="shared" si="112"/>
        <v>874.99999999999977</v>
      </c>
    </row>
    <row r="2192" spans="1:10" s="99" customFormat="1">
      <c r="A2192" s="111"/>
      <c r="B2192" s="111"/>
      <c r="C2192" s="115">
        <v>10000</v>
      </c>
      <c r="D2192" s="104" t="s">
        <v>1520</v>
      </c>
      <c r="E2192" s="115">
        <v>375</v>
      </c>
      <c r="F2192" s="102">
        <v>13</v>
      </c>
      <c r="G2192" s="208">
        <v>7.4999999999999997E-2</v>
      </c>
      <c r="H2192" s="102">
        <v>15</v>
      </c>
      <c r="I2192" s="115">
        <f t="shared" si="111"/>
        <v>4875</v>
      </c>
      <c r="J2192" s="115">
        <f t="shared" si="112"/>
        <v>3249.9999999999995</v>
      </c>
    </row>
    <row r="2193" spans="1:10" s="99" customFormat="1">
      <c r="A2193" s="111"/>
      <c r="B2193" s="111"/>
      <c r="C2193" s="115">
        <v>10000</v>
      </c>
      <c r="D2193" s="104" t="s">
        <v>441</v>
      </c>
      <c r="E2193" s="115">
        <v>1150</v>
      </c>
      <c r="F2193" s="102">
        <v>10</v>
      </c>
      <c r="G2193" s="208">
        <v>0.06</v>
      </c>
      <c r="H2193" s="102" t="s">
        <v>664</v>
      </c>
      <c r="I2193" s="115">
        <f t="shared" si="111"/>
        <v>1500</v>
      </c>
      <c r="J2193" s="115">
        <f t="shared" si="112"/>
        <v>874.99999999999977</v>
      </c>
    </row>
    <row r="2194" spans="1:10" s="99" customFormat="1">
      <c r="A2194" s="111"/>
      <c r="B2194" s="111"/>
      <c r="C2194" s="115">
        <v>10000</v>
      </c>
      <c r="D2194" s="104" t="s">
        <v>462</v>
      </c>
      <c r="E2194" s="115">
        <v>1150</v>
      </c>
      <c r="F2194" s="102">
        <v>2</v>
      </c>
      <c r="G2194" s="208">
        <v>0.06</v>
      </c>
      <c r="H2194" s="102" t="s">
        <v>664</v>
      </c>
      <c r="I2194" s="115">
        <f t="shared" si="111"/>
        <v>300</v>
      </c>
      <c r="J2194" s="115">
        <f t="shared" si="112"/>
        <v>174.99999999999997</v>
      </c>
    </row>
    <row r="2195" spans="1:10" s="99" customFormat="1">
      <c r="A2195" s="111"/>
      <c r="B2195" s="111"/>
      <c r="C2195" s="115">
        <v>10000</v>
      </c>
      <c r="D2195" s="104" t="s">
        <v>3143</v>
      </c>
      <c r="E2195" s="115">
        <v>1150</v>
      </c>
      <c r="F2195" s="102">
        <v>6</v>
      </c>
      <c r="G2195" s="208">
        <v>0.06</v>
      </c>
      <c r="H2195" s="102" t="s">
        <v>664</v>
      </c>
      <c r="I2195" s="115">
        <f t="shared" si="111"/>
        <v>900</v>
      </c>
      <c r="J2195" s="115">
        <f t="shared" si="112"/>
        <v>524.99999999999989</v>
      </c>
    </row>
    <row r="2196" spans="1:10" s="99" customFormat="1">
      <c r="A2196" s="111">
        <v>297</v>
      </c>
      <c r="B2196" s="111" t="s">
        <v>463</v>
      </c>
      <c r="C2196" s="115">
        <v>20000</v>
      </c>
      <c r="D2196" s="104" t="s">
        <v>583</v>
      </c>
      <c r="E2196" s="115">
        <v>2300</v>
      </c>
      <c r="F2196" s="102">
        <v>10</v>
      </c>
      <c r="G2196" s="208">
        <v>0.06</v>
      </c>
      <c r="H2196" s="102" t="s">
        <v>664</v>
      </c>
      <c r="I2196" s="115">
        <f t="shared" si="111"/>
        <v>3000</v>
      </c>
      <c r="J2196" s="115">
        <f t="shared" si="112"/>
        <v>1749.9999999999995</v>
      </c>
    </row>
    <row r="2197" spans="1:10" s="99" customFormat="1">
      <c r="A2197" s="111"/>
      <c r="B2197" s="111"/>
      <c r="C2197" s="115">
        <v>10000</v>
      </c>
      <c r="D2197" s="104" t="s">
        <v>583</v>
      </c>
      <c r="E2197" s="115">
        <v>375</v>
      </c>
      <c r="F2197" s="102">
        <v>13</v>
      </c>
      <c r="G2197" s="208">
        <v>7.4999999999999997E-2</v>
      </c>
      <c r="H2197" s="102">
        <v>15</v>
      </c>
      <c r="I2197" s="115">
        <f t="shared" si="111"/>
        <v>4875</v>
      </c>
      <c r="J2197" s="115">
        <f t="shared" si="112"/>
        <v>3249.9999999999995</v>
      </c>
    </row>
    <row r="2198" spans="1:10" s="99" customFormat="1">
      <c r="A2198" s="111"/>
      <c r="B2198" s="111"/>
      <c r="C2198" s="115">
        <v>20000</v>
      </c>
      <c r="D2198" s="104" t="s">
        <v>1722</v>
      </c>
      <c r="E2198" s="115">
        <v>2300</v>
      </c>
      <c r="F2198" s="102">
        <v>10</v>
      </c>
      <c r="G2198" s="208">
        <v>0.06</v>
      </c>
      <c r="H2198" s="102" t="s">
        <v>664</v>
      </c>
      <c r="I2198" s="115">
        <f t="shared" si="111"/>
        <v>3000</v>
      </c>
      <c r="J2198" s="115">
        <f t="shared" si="112"/>
        <v>1749.9999999999995</v>
      </c>
    </row>
    <row r="2199" spans="1:10" s="99" customFormat="1">
      <c r="A2199" s="111"/>
      <c r="B2199" s="111"/>
      <c r="C2199" s="115">
        <v>20000</v>
      </c>
      <c r="D2199" s="104" t="s">
        <v>1692</v>
      </c>
      <c r="E2199" s="115">
        <v>2300</v>
      </c>
      <c r="F2199" s="102">
        <v>10</v>
      </c>
      <c r="G2199" s="208">
        <v>0.06</v>
      </c>
      <c r="H2199" s="102" t="s">
        <v>664</v>
      </c>
      <c r="I2199" s="115">
        <f t="shared" si="111"/>
        <v>3000</v>
      </c>
      <c r="J2199" s="115">
        <f t="shared" si="112"/>
        <v>1749.9999999999995</v>
      </c>
    </row>
    <row r="2200" spans="1:10" s="99" customFormat="1">
      <c r="A2200" s="111"/>
      <c r="B2200" s="111"/>
      <c r="C2200" s="115">
        <v>10000</v>
      </c>
      <c r="D2200" s="104" t="s">
        <v>1722</v>
      </c>
      <c r="E2200" s="115">
        <v>375</v>
      </c>
      <c r="F2200" s="102">
        <v>12</v>
      </c>
      <c r="G2200" s="208">
        <v>7.4999999999999997E-2</v>
      </c>
      <c r="H2200" s="102">
        <v>15</v>
      </c>
      <c r="I2200" s="115">
        <f t="shared" ref="I2200:I2263" si="113">IF(H2200="分期",C2200*G2200*2.5*F2200/10,C2200*G2200*H2200/30*F2200)</f>
        <v>4500</v>
      </c>
      <c r="J2200" s="115">
        <f t="shared" ref="J2200:J2263" si="114">IF(H2200="分期",C2200*(G2200-0.025)*2.5*F2200/10,C2200*(G2200-0.025)*H2200/30*F2200)</f>
        <v>2999.9999999999995</v>
      </c>
    </row>
    <row r="2201" spans="1:10" s="99" customFormat="1">
      <c r="A2201" s="111">
        <v>298</v>
      </c>
      <c r="B2201" s="111" t="s">
        <v>464</v>
      </c>
      <c r="C2201" s="115">
        <v>10000</v>
      </c>
      <c r="D2201" s="104" t="s">
        <v>3121</v>
      </c>
      <c r="E2201" s="115">
        <v>375</v>
      </c>
      <c r="F2201" s="102">
        <v>2</v>
      </c>
      <c r="G2201" s="208">
        <v>7.4999999999999997E-2</v>
      </c>
      <c r="H2201" s="102">
        <v>15</v>
      </c>
      <c r="I2201" s="115">
        <f t="shared" si="113"/>
        <v>750</v>
      </c>
      <c r="J2201" s="115">
        <f t="shared" si="114"/>
        <v>499.99999999999994</v>
      </c>
    </row>
    <row r="2202" spans="1:10" s="99" customFormat="1">
      <c r="A2202" s="111"/>
      <c r="B2202" s="111"/>
      <c r="C2202" s="115">
        <v>10000</v>
      </c>
      <c r="D2202" s="104" t="s">
        <v>465</v>
      </c>
      <c r="E2202" s="115">
        <v>1150</v>
      </c>
      <c r="F2202" s="102">
        <v>4</v>
      </c>
      <c r="G2202" s="208">
        <v>0.06</v>
      </c>
      <c r="H2202" s="102" t="s">
        <v>664</v>
      </c>
      <c r="I2202" s="115">
        <f t="shared" si="113"/>
        <v>600</v>
      </c>
      <c r="J2202" s="115">
        <f t="shared" si="114"/>
        <v>349.99999999999994</v>
      </c>
    </row>
    <row r="2203" spans="1:10" s="99" customFormat="1">
      <c r="A2203" s="111">
        <v>299</v>
      </c>
      <c r="B2203" s="111" t="s">
        <v>466</v>
      </c>
      <c r="C2203" s="115">
        <v>20000</v>
      </c>
      <c r="D2203" s="104" t="s">
        <v>996</v>
      </c>
      <c r="E2203" s="115">
        <v>750</v>
      </c>
      <c r="F2203" s="102">
        <v>3</v>
      </c>
      <c r="G2203" s="208">
        <v>7.4999999999999997E-2</v>
      </c>
      <c r="H2203" s="102">
        <v>15</v>
      </c>
      <c r="I2203" s="115">
        <f t="shared" si="113"/>
        <v>2250</v>
      </c>
      <c r="J2203" s="115">
        <f t="shared" si="114"/>
        <v>1499.9999999999998</v>
      </c>
    </row>
    <row r="2204" spans="1:10" s="99" customFormat="1">
      <c r="A2204" s="111"/>
      <c r="B2204" s="111"/>
      <c r="C2204" s="115">
        <v>10000</v>
      </c>
      <c r="D2204" s="104" t="s">
        <v>996</v>
      </c>
      <c r="E2204" s="115">
        <v>375</v>
      </c>
      <c r="F2204" s="102">
        <v>2</v>
      </c>
      <c r="G2204" s="208">
        <v>7.4999999999999997E-2</v>
      </c>
      <c r="H2204" s="102">
        <v>15</v>
      </c>
      <c r="I2204" s="115">
        <f t="shared" si="113"/>
        <v>750</v>
      </c>
      <c r="J2204" s="115">
        <f t="shared" si="114"/>
        <v>499.99999999999994</v>
      </c>
    </row>
    <row r="2205" spans="1:10" s="99" customFormat="1">
      <c r="A2205" s="111"/>
      <c r="B2205" s="111"/>
      <c r="C2205" s="115">
        <v>180000</v>
      </c>
      <c r="D2205" s="104" t="s">
        <v>960</v>
      </c>
      <c r="E2205" s="115">
        <v>6750</v>
      </c>
      <c r="F2205" s="102">
        <v>9</v>
      </c>
      <c r="G2205" s="208">
        <v>7.4999999999999997E-2</v>
      </c>
      <c r="H2205" s="102">
        <v>15</v>
      </c>
      <c r="I2205" s="115">
        <f t="shared" si="113"/>
        <v>60750</v>
      </c>
      <c r="J2205" s="115">
        <f t="shared" si="114"/>
        <v>40500</v>
      </c>
    </row>
    <row r="2206" spans="1:10" s="99" customFormat="1">
      <c r="A2206" s="111"/>
      <c r="B2206" s="111"/>
      <c r="C2206" s="115">
        <v>50000</v>
      </c>
      <c r="D2206" s="104" t="s">
        <v>680</v>
      </c>
      <c r="E2206" s="115">
        <v>1875</v>
      </c>
      <c r="F2206" s="102">
        <v>8</v>
      </c>
      <c r="G2206" s="208">
        <v>7.4999999999999997E-2</v>
      </c>
      <c r="H2206" s="102">
        <v>15</v>
      </c>
      <c r="I2206" s="115">
        <f t="shared" si="113"/>
        <v>15000</v>
      </c>
      <c r="J2206" s="115">
        <f t="shared" si="114"/>
        <v>10000</v>
      </c>
    </row>
    <row r="2207" spans="1:10" s="99" customFormat="1">
      <c r="A2207" s="111"/>
      <c r="B2207" s="111"/>
      <c r="C2207" s="115">
        <v>50000</v>
      </c>
      <c r="D2207" s="104" t="s">
        <v>228</v>
      </c>
      <c r="E2207" s="115">
        <v>1875</v>
      </c>
      <c r="F2207" s="102">
        <v>7</v>
      </c>
      <c r="G2207" s="208">
        <v>7.4999999999999997E-2</v>
      </c>
      <c r="H2207" s="102">
        <v>15</v>
      </c>
      <c r="I2207" s="115">
        <f t="shared" si="113"/>
        <v>13125</v>
      </c>
      <c r="J2207" s="115">
        <f t="shared" si="114"/>
        <v>8750</v>
      </c>
    </row>
    <row r="2208" spans="1:10" s="99" customFormat="1">
      <c r="A2208" s="111"/>
      <c r="B2208" s="111"/>
      <c r="C2208" s="115">
        <v>40000</v>
      </c>
      <c r="D2208" s="104" t="s">
        <v>1523</v>
      </c>
      <c r="E2208" s="115">
        <v>1500</v>
      </c>
      <c r="F2208" s="102">
        <v>1</v>
      </c>
      <c r="G2208" s="208">
        <v>7.4999999999999997E-2</v>
      </c>
      <c r="H2208" s="102">
        <v>15</v>
      </c>
      <c r="I2208" s="115">
        <f t="shared" si="113"/>
        <v>1500</v>
      </c>
      <c r="J2208" s="115">
        <f t="shared" si="114"/>
        <v>999.99999999999989</v>
      </c>
    </row>
    <row r="2209" spans="1:10" s="99" customFormat="1">
      <c r="A2209" s="111"/>
      <c r="B2209" s="111"/>
      <c r="C2209" s="115">
        <v>30000</v>
      </c>
      <c r="D2209" s="104" t="s">
        <v>1710</v>
      </c>
      <c r="E2209" s="115">
        <v>1125</v>
      </c>
      <c r="F2209" s="102">
        <v>2</v>
      </c>
      <c r="G2209" s="208">
        <v>7.4999999999999997E-2</v>
      </c>
      <c r="H2209" s="102">
        <v>15</v>
      </c>
      <c r="I2209" s="115">
        <f t="shared" si="113"/>
        <v>2250</v>
      </c>
      <c r="J2209" s="115">
        <f t="shared" si="114"/>
        <v>1499.9999999999998</v>
      </c>
    </row>
    <row r="2210" spans="1:10" s="99" customFormat="1">
      <c r="A2210" s="111"/>
      <c r="B2210" s="111"/>
      <c r="C2210" s="115">
        <v>10000</v>
      </c>
      <c r="D2210" s="104" t="s">
        <v>1786</v>
      </c>
      <c r="E2210" s="115">
        <v>1150</v>
      </c>
      <c r="F2210" s="102">
        <v>2</v>
      </c>
      <c r="G2210" s="208">
        <v>0.06</v>
      </c>
      <c r="H2210" s="102" t="s">
        <v>664</v>
      </c>
      <c r="I2210" s="115">
        <f t="shared" si="113"/>
        <v>300</v>
      </c>
      <c r="J2210" s="115">
        <f t="shared" si="114"/>
        <v>174.99999999999997</v>
      </c>
    </row>
    <row r="2211" spans="1:10" s="99" customFormat="1">
      <c r="A2211" s="111"/>
      <c r="B2211" s="111"/>
      <c r="C2211" s="115">
        <v>10000</v>
      </c>
      <c r="D2211" s="104" t="s">
        <v>1786</v>
      </c>
      <c r="E2211" s="115">
        <v>375</v>
      </c>
      <c r="F2211" s="102">
        <v>1</v>
      </c>
      <c r="G2211" s="208">
        <v>7.4999999999999997E-2</v>
      </c>
      <c r="H2211" s="102">
        <v>15</v>
      </c>
      <c r="I2211" s="115">
        <f t="shared" si="113"/>
        <v>375</v>
      </c>
      <c r="J2211" s="115">
        <f t="shared" si="114"/>
        <v>249.99999999999997</v>
      </c>
    </row>
    <row r="2212" spans="1:10" s="99" customFormat="1">
      <c r="A2212" s="111">
        <v>300</v>
      </c>
      <c r="B2212" s="111" t="s">
        <v>468</v>
      </c>
      <c r="C2212" s="115">
        <v>20000</v>
      </c>
      <c r="D2212" s="104" t="s">
        <v>960</v>
      </c>
      <c r="E2212" s="115">
        <v>750</v>
      </c>
      <c r="F2212" s="102">
        <v>6</v>
      </c>
      <c r="G2212" s="208">
        <v>7.4999999999999997E-2</v>
      </c>
      <c r="H2212" s="102">
        <v>15</v>
      </c>
      <c r="I2212" s="115">
        <f t="shared" si="113"/>
        <v>4500</v>
      </c>
      <c r="J2212" s="115">
        <f t="shared" si="114"/>
        <v>2999.9999999999995</v>
      </c>
    </row>
    <row r="2213" spans="1:10" s="99" customFormat="1">
      <c r="A2213" s="111"/>
      <c r="B2213" s="111"/>
      <c r="C2213" s="115">
        <v>10000</v>
      </c>
      <c r="D2213" s="104" t="s">
        <v>960</v>
      </c>
      <c r="E2213" s="115">
        <v>1150</v>
      </c>
      <c r="F2213" s="102">
        <v>10</v>
      </c>
      <c r="G2213" s="208">
        <v>7.4999999999999997E-2</v>
      </c>
      <c r="H2213" s="102">
        <v>15</v>
      </c>
      <c r="I2213" s="115">
        <f t="shared" si="113"/>
        <v>3750</v>
      </c>
      <c r="J2213" s="115">
        <f t="shared" si="114"/>
        <v>2499.9999999999995</v>
      </c>
    </row>
    <row r="2214" spans="1:10" s="99" customFormat="1">
      <c r="A2214" s="111"/>
      <c r="B2214" s="111"/>
      <c r="C2214" s="115">
        <v>10000</v>
      </c>
      <c r="D2214" s="104" t="s">
        <v>667</v>
      </c>
      <c r="E2214" s="115">
        <v>375</v>
      </c>
      <c r="F2214" s="102">
        <v>4</v>
      </c>
      <c r="G2214" s="208">
        <v>7.4999999999999997E-2</v>
      </c>
      <c r="H2214" s="102">
        <v>15</v>
      </c>
      <c r="I2214" s="115">
        <f t="shared" si="113"/>
        <v>1500</v>
      </c>
      <c r="J2214" s="115">
        <f t="shared" si="114"/>
        <v>999.99999999999989</v>
      </c>
    </row>
    <row r="2215" spans="1:10" s="99" customFormat="1">
      <c r="A2215" s="111"/>
      <c r="B2215" s="111"/>
      <c r="C2215" s="115">
        <v>10000</v>
      </c>
      <c r="D2215" s="104" t="s">
        <v>3113</v>
      </c>
      <c r="E2215" s="115">
        <v>375</v>
      </c>
      <c r="F2215" s="102">
        <v>4</v>
      </c>
      <c r="G2215" s="208">
        <v>7.4999999999999997E-2</v>
      </c>
      <c r="H2215" s="102">
        <v>15</v>
      </c>
      <c r="I2215" s="115">
        <f t="shared" si="113"/>
        <v>1500</v>
      </c>
      <c r="J2215" s="115">
        <f t="shared" si="114"/>
        <v>999.99999999999989</v>
      </c>
    </row>
    <row r="2216" spans="1:10" s="99" customFormat="1">
      <c r="A2216" s="111"/>
      <c r="B2216" s="111"/>
      <c r="C2216" s="115">
        <v>10000</v>
      </c>
      <c r="D2216" s="104" t="s">
        <v>1520</v>
      </c>
      <c r="E2216" s="115">
        <v>375</v>
      </c>
      <c r="F2216" s="102">
        <v>4</v>
      </c>
      <c r="G2216" s="208">
        <v>7.4999999999999997E-2</v>
      </c>
      <c r="H2216" s="102">
        <v>15</v>
      </c>
      <c r="I2216" s="115">
        <f t="shared" si="113"/>
        <v>1500</v>
      </c>
      <c r="J2216" s="115">
        <f t="shared" si="114"/>
        <v>999.99999999999989</v>
      </c>
    </row>
    <row r="2217" spans="1:10" s="99" customFormat="1">
      <c r="A2217" s="111"/>
      <c r="B2217" s="111"/>
      <c r="C2217" s="115">
        <v>10000</v>
      </c>
      <c r="D2217" s="104" t="s">
        <v>413</v>
      </c>
      <c r="E2217" s="115">
        <v>375</v>
      </c>
      <c r="F2217" s="102">
        <v>4</v>
      </c>
      <c r="G2217" s="208">
        <v>7.4999999999999997E-2</v>
      </c>
      <c r="H2217" s="102">
        <v>15</v>
      </c>
      <c r="I2217" s="115">
        <f t="shared" si="113"/>
        <v>1500</v>
      </c>
      <c r="J2217" s="115">
        <f t="shared" si="114"/>
        <v>999.99999999999989</v>
      </c>
    </row>
    <row r="2218" spans="1:10" s="99" customFormat="1">
      <c r="A2218" s="111"/>
      <c r="B2218" s="111"/>
      <c r="C2218" s="115">
        <v>10000</v>
      </c>
      <c r="D2218" s="104" t="s">
        <v>1686</v>
      </c>
      <c r="E2218" s="115">
        <v>1150</v>
      </c>
      <c r="F2218" s="102">
        <v>3</v>
      </c>
      <c r="G2218" s="208">
        <v>0.06</v>
      </c>
      <c r="H2218" s="102" t="s">
        <v>664</v>
      </c>
      <c r="I2218" s="115">
        <f t="shared" si="113"/>
        <v>450</v>
      </c>
      <c r="J2218" s="115">
        <f t="shared" si="114"/>
        <v>262.49999999999994</v>
      </c>
    </row>
    <row r="2219" spans="1:10" s="99" customFormat="1">
      <c r="A2219" s="111">
        <v>301</v>
      </c>
      <c r="B2219" s="111" t="s">
        <v>469</v>
      </c>
      <c r="C2219" s="115">
        <v>20000</v>
      </c>
      <c r="D2219" s="104" t="s">
        <v>998</v>
      </c>
      <c r="E2219" s="115">
        <v>2300</v>
      </c>
      <c r="F2219" s="102">
        <v>10</v>
      </c>
      <c r="G2219" s="208">
        <v>0.06</v>
      </c>
      <c r="H2219" s="102" t="s">
        <v>664</v>
      </c>
      <c r="I2219" s="115">
        <f t="shared" si="113"/>
        <v>3000</v>
      </c>
      <c r="J2219" s="115">
        <f t="shared" si="114"/>
        <v>1749.9999999999995</v>
      </c>
    </row>
    <row r="2220" spans="1:10" s="99" customFormat="1">
      <c r="A2220" s="111"/>
      <c r="B2220" s="111"/>
      <c r="C2220" s="115">
        <v>20000</v>
      </c>
      <c r="D2220" s="104" t="s">
        <v>1534</v>
      </c>
      <c r="E2220" s="115">
        <v>2300</v>
      </c>
      <c r="F2220" s="102">
        <v>10</v>
      </c>
      <c r="G2220" s="208">
        <v>0.06</v>
      </c>
      <c r="H2220" s="102" t="s">
        <v>664</v>
      </c>
      <c r="I2220" s="115">
        <f t="shared" si="113"/>
        <v>3000</v>
      </c>
      <c r="J2220" s="115">
        <f t="shared" si="114"/>
        <v>1749.9999999999995</v>
      </c>
    </row>
    <row r="2221" spans="1:10" s="99" customFormat="1">
      <c r="A2221" s="111"/>
      <c r="B2221" s="111"/>
      <c r="C2221" s="115">
        <v>20000</v>
      </c>
      <c r="D2221" s="104" t="s">
        <v>416</v>
      </c>
      <c r="E2221" s="115">
        <v>2300</v>
      </c>
      <c r="F2221" s="102">
        <v>6</v>
      </c>
      <c r="G2221" s="208">
        <v>0.06</v>
      </c>
      <c r="H2221" s="102" t="s">
        <v>664</v>
      </c>
      <c r="I2221" s="115">
        <f t="shared" si="113"/>
        <v>1800</v>
      </c>
      <c r="J2221" s="115">
        <f t="shared" si="114"/>
        <v>1049.9999999999998</v>
      </c>
    </row>
    <row r="2222" spans="1:10" s="99" customFormat="1">
      <c r="A2222" s="111"/>
      <c r="B2222" s="111"/>
      <c r="C2222" s="115">
        <v>20000</v>
      </c>
      <c r="D2222" s="104" t="s">
        <v>3149</v>
      </c>
      <c r="E2222" s="115">
        <v>2300</v>
      </c>
      <c r="F2222" s="102">
        <v>7</v>
      </c>
      <c r="G2222" s="208">
        <v>0.06</v>
      </c>
      <c r="H2222" s="102" t="s">
        <v>664</v>
      </c>
      <c r="I2222" s="115">
        <f t="shared" si="113"/>
        <v>2100</v>
      </c>
      <c r="J2222" s="115">
        <f t="shared" si="114"/>
        <v>1224.9999999999998</v>
      </c>
    </row>
    <row r="2223" spans="1:10" s="99" customFormat="1">
      <c r="A2223" s="111">
        <v>302</v>
      </c>
      <c r="B2223" s="111" t="s">
        <v>470</v>
      </c>
      <c r="C2223" s="115">
        <v>30000</v>
      </c>
      <c r="D2223" s="104" t="s">
        <v>3150</v>
      </c>
      <c r="E2223" s="115">
        <v>3450</v>
      </c>
      <c r="F2223" s="102">
        <v>10</v>
      </c>
      <c r="G2223" s="208">
        <v>0.06</v>
      </c>
      <c r="H2223" s="102" t="s">
        <v>664</v>
      </c>
      <c r="I2223" s="115">
        <f t="shared" si="113"/>
        <v>4500</v>
      </c>
      <c r="J2223" s="115">
        <f t="shared" si="114"/>
        <v>2625</v>
      </c>
    </row>
    <row r="2224" spans="1:10" s="99" customFormat="1">
      <c r="A2224" s="111"/>
      <c r="B2224" s="111"/>
      <c r="C2224" s="115">
        <v>50000</v>
      </c>
      <c r="D2224" s="104" t="s">
        <v>471</v>
      </c>
      <c r="E2224" s="115">
        <v>1875</v>
      </c>
      <c r="F2224" s="102">
        <v>9</v>
      </c>
      <c r="G2224" s="208">
        <v>7.4999999999999997E-2</v>
      </c>
      <c r="H2224" s="102">
        <v>15</v>
      </c>
      <c r="I2224" s="115">
        <f t="shared" si="113"/>
        <v>16875</v>
      </c>
      <c r="J2224" s="115">
        <f t="shared" si="114"/>
        <v>11250</v>
      </c>
    </row>
    <row r="2225" spans="1:10" s="99" customFormat="1">
      <c r="A2225" s="111"/>
      <c r="B2225" s="111"/>
      <c r="C2225" s="115">
        <v>40000</v>
      </c>
      <c r="D2225" s="104" t="s">
        <v>2120</v>
      </c>
      <c r="E2225" s="115">
        <v>1500</v>
      </c>
      <c r="F2225" s="102">
        <v>7</v>
      </c>
      <c r="G2225" s="208">
        <v>7.4999999999999997E-2</v>
      </c>
      <c r="H2225" s="102">
        <v>15</v>
      </c>
      <c r="I2225" s="115">
        <f t="shared" si="113"/>
        <v>10500</v>
      </c>
      <c r="J2225" s="115">
        <f t="shared" si="114"/>
        <v>6999.9999999999991</v>
      </c>
    </row>
    <row r="2226" spans="1:10" s="99" customFormat="1">
      <c r="A2226" s="111"/>
      <c r="B2226" s="111"/>
      <c r="C2226" s="115">
        <v>20000</v>
      </c>
      <c r="D2226" s="104" t="s">
        <v>235</v>
      </c>
      <c r="E2226" s="115">
        <v>2300</v>
      </c>
      <c r="F2226" s="102">
        <v>10</v>
      </c>
      <c r="G2226" s="208">
        <v>0.06</v>
      </c>
      <c r="H2226" s="102" t="s">
        <v>664</v>
      </c>
      <c r="I2226" s="115">
        <f t="shared" si="113"/>
        <v>3000</v>
      </c>
      <c r="J2226" s="115">
        <f t="shared" si="114"/>
        <v>1749.9999999999995</v>
      </c>
    </row>
    <row r="2227" spans="1:10" s="99" customFormat="1">
      <c r="A2227" s="111"/>
      <c r="B2227" s="111"/>
      <c r="C2227" s="115">
        <v>10000</v>
      </c>
      <c r="D2227" s="104" t="s">
        <v>439</v>
      </c>
      <c r="E2227" s="115">
        <v>1150</v>
      </c>
      <c r="F2227" s="102">
        <v>10</v>
      </c>
      <c r="G2227" s="208">
        <v>0.06</v>
      </c>
      <c r="H2227" s="102" t="s">
        <v>664</v>
      </c>
      <c r="I2227" s="115">
        <f t="shared" si="113"/>
        <v>1500</v>
      </c>
      <c r="J2227" s="115">
        <f t="shared" si="114"/>
        <v>874.99999999999977</v>
      </c>
    </row>
    <row r="2228" spans="1:10" s="99" customFormat="1">
      <c r="A2228" s="111"/>
      <c r="B2228" s="111"/>
      <c r="C2228" s="115">
        <v>10000</v>
      </c>
      <c r="D2228" s="104" t="s">
        <v>1960</v>
      </c>
      <c r="E2228" s="115">
        <v>1150</v>
      </c>
      <c r="F2228" s="102">
        <v>7</v>
      </c>
      <c r="G2228" s="208">
        <v>0.06</v>
      </c>
      <c r="H2228" s="102" t="s">
        <v>664</v>
      </c>
      <c r="I2228" s="115">
        <f t="shared" si="113"/>
        <v>1050</v>
      </c>
      <c r="J2228" s="115">
        <f t="shared" si="114"/>
        <v>612.49999999999989</v>
      </c>
    </row>
    <row r="2229" spans="1:10" s="99" customFormat="1">
      <c r="A2229" s="111"/>
      <c r="B2229" s="111"/>
      <c r="C2229" s="115">
        <v>30000</v>
      </c>
      <c r="D2229" s="104" t="s">
        <v>1960</v>
      </c>
      <c r="E2229" s="115">
        <v>1125</v>
      </c>
      <c r="F2229" s="102">
        <v>4</v>
      </c>
      <c r="G2229" s="208">
        <v>7.4999999999999997E-2</v>
      </c>
      <c r="H2229" s="102">
        <v>15</v>
      </c>
      <c r="I2229" s="115">
        <f t="shared" si="113"/>
        <v>4500</v>
      </c>
      <c r="J2229" s="115">
        <f t="shared" si="114"/>
        <v>2999.9999999999995</v>
      </c>
    </row>
    <row r="2230" spans="1:10" s="99" customFormat="1">
      <c r="A2230" s="111">
        <v>303</v>
      </c>
      <c r="B2230" s="111" t="s">
        <v>3394</v>
      </c>
      <c r="C2230" s="115">
        <v>10000</v>
      </c>
      <c r="D2230" s="104" t="s">
        <v>3395</v>
      </c>
      <c r="E2230" s="115">
        <v>1150</v>
      </c>
      <c r="F2230" s="102">
        <v>8</v>
      </c>
      <c r="G2230" s="208">
        <v>0.06</v>
      </c>
      <c r="H2230" s="102" t="s">
        <v>664</v>
      </c>
      <c r="I2230" s="115">
        <f t="shared" si="113"/>
        <v>1200</v>
      </c>
      <c r="J2230" s="115">
        <f t="shared" si="114"/>
        <v>699.99999999999989</v>
      </c>
    </row>
    <row r="2231" spans="1:10" s="99" customFormat="1">
      <c r="A2231" s="111"/>
      <c r="B2231" s="111"/>
      <c r="C2231" s="115">
        <v>80000</v>
      </c>
      <c r="D2231" s="104" t="s">
        <v>3395</v>
      </c>
      <c r="E2231" s="115">
        <v>3000</v>
      </c>
      <c r="F2231" s="102">
        <v>4</v>
      </c>
      <c r="G2231" s="208">
        <v>7.4999999999999997E-2</v>
      </c>
      <c r="H2231" s="102">
        <v>15</v>
      </c>
      <c r="I2231" s="115">
        <f t="shared" si="113"/>
        <v>12000</v>
      </c>
      <c r="J2231" s="115">
        <f t="shared" si="114"/>
        <v>7999.9999999999991</v>
      </c>
    </row>
    <row r="2232" spans="1:10" s="99" customFormat="1">
      <c r="A2232" s="111"/>
      <c r="B2232" s="111"/>
      <c r="C2232" s="115">
        <v>15000</v>
      </c>
      <c r="D2232" s="104" t="s">
        <v>243</v>
      </c>
      <c r="E2232" s="115">
        <v>1750</v>
      </c>
      <c r="F2232" s="102">
        <v>4</v>
      </c>
      <c r="G2232" s="208">
        <v>0.06</v>
      </c>
      <c r="H2232" s="102" t="s">
        <v>664</v>
      </c>
      <c r="I2232" s="115">
        <f t="shared" si="113"/>
        <v>900</v>
      </c>
      <c r="J2232" s="115">
        <f t="shared" si="114"/>
        <v>525</v>
      </c>
    </row>
    <row r="2233" spans="1:10" s="99" customFormat="1">
      <c r="A2233" s="111"/>
      <c r="B2233" s="111"/>
      <c r="C2233" s="115">
        <v>100000</v>
      </c>
      <c r="D2233" s="129" t="s">
        <v>369</v>
      </c>
      <c r="E2233" s="115">
        <v>3750</v>
      </c>
      <c r="F2233" s="102">
        <v>1</v>
      </c>
      <c r="G2233" s="208">
        <v>7.4999999999999997E-2</v>
      </c>
      <c r="H2233" s="102">
        <v>15</v>
      </c>
      <c r="I2233" s="115">
        <f t="shared" si="113"/>
        <v>3750</v>
      </c>
      <c r="J2233" s="115">
        <f t="shared" si="114"/>
        <v>2500</v>
      </c>
    </row>
    <row r="2234" spans="1:10" s="99" customFormat="1">
      <c r="A2234" s="111"/>
      <c r="B2234" s="111"/>
      <c r="C2234" s="115">
        <v>10000</v>
      </c>
      <c r="D2234" s="104" t="s">
        <v>3167</v>
      </c>
      <c r="E2234" s="115">
        <v>1150</v>
      </c>
      <c r="F2234" s="102">
        <v>10</v>
      </c>
      <c r="G2234" s="208">
        <v>0.06</v>
      </c>
      <c r="H2234" s="102" t="s">
        <v>664</v>
      </c>
      <c r="I2234" s="115">
        <f t="shared" si="113"/>
        <v>1500</v>
      </c>
      <c r="J2234" s="115">
        <f t="shared" si="114"/>
        <v>874.99999999999977</v>
      </c>
    </row>
    <row r="2235" spans="1:10" s="99" customFormat="1">
      <c r="A2235" s="111"/>
      <c r="B2235" s="111"/>
      <c r="C2235" s="115">
        <v>10000</v>
      </c>
      <c r="D2235" s="104" t="s">
        <v>268</v>
      </c>
      <c r="E2235" s="115">
        <v>375</v>
      </c>
      <c r="F2235" s="102">
        <v>17</v>
      </c>
      <c r="G2235" s="208">
        <v>7.4999999999999997E-2</v>
      </c>
      <c r="H2235" s="102">
        <v>15</v>
      </c>
      <c r="I2235" s="115">
        <f t="shared" si="113"/>
        <v>6375</v>
      </c>
      <c r="J2235" s="115">
        <f t="shared" si="114"/>
        <v>4249.9999999999991</v>
      </c>
    </row>
    <row r="2236" spans="1:10" s="99" customFormat="1">
      <c r="A2236" s="111"/>
      <c r="B2236" s="111"/>
      <c r="C2236" s="115">
        <v>30000</v>
      </c>
      <c r="D2236" s="104" t="s">
        <v>233</v>
      </c>
      <c r="E2236" s="115">
        <v>1125</v>
      </c>
      <c r="F2236" s="102">
        <v>10</v>
      </c>
      <c r="G2236" s="208">
        <v>7.4999999999999997E-2</v>
      </c>
      <c r="H2236" s="102">
        <v>15</v>
      </c>
      <c r="I2236" s="115">
        <f t="shared" si="113"/>
        <v>11250</v>
      </c>
      <c r="J2236" s="115">
        <f t="shared" si="114"/>
        <v>7499.9999999999991</v>
      </c>
    </row>
    <row r="2237" spans="1:10" s="99" customFormat="1">
      <c r="A2237" s="111"/>
      <c r="B2237" s="111"/>
      <c r="C2237" s="115">
        <v>20000</v>
      </c>
      <c r="D2237" s="104" t="s">
        <v>3396</v>
      </c>
      <c r="E2237" s="115">
        <v>750</v>
      </c>
      <c r="F2237" s="102">
        <v>6</v>
      </c>
      <c r="G2237" s="208">
        <v>7.4999999999999997E-2</v>
      </c>
      <c r="H2237" s="102">
        <v>15</v>
      </c>
      <c r="I2237" s="115">
        <f t="shared" si="113"/>
        <v>4500</v>
      </c>
      <c r="J2237" s="115">
        <f t="shared" si="114"/>
        <v>2999.9999999999995</v>
      </c>
    </row>
    <row r="2238" spans="1:10" s="99" customFormat="1">
      <c r="A2238" s="111"/>
      <c r="B2238" s="111"/>
      <c r="C2238" s="115">
        <v>30000</v>
      </c>
      <c r="D2238" s="104" t="s">
        <v>262</v>
      </c>
      <c r="E2238" s="115">
        <v>1125</v>
      </c>
      <c r="F2238" s="102">
        <v>6</v>
      </c>
      <c r="G2238" s="208">
        <v>7.4999999999999997E-2</v>
      </c>
      <c r="H2238" s="102">
        <v>15</v>
      </c>
      <c r="I2238" s="115">
        <f t="shared" si="113"/>
        <v>6750</v>
      </c>
      <c r="J2238" s="115">
        <f t="shared" si="114"/>
        <v>4499.9999999999991</v>
      </c>
    </row>
    <row r="2239" spans="1:10" s="99" customFormat="1">
      <c r="A2239" s="111"/>
      <c r="B2239" s="111"/>
      <c r="C2239" s="115">
        <v>40000</v>
      </c>
      <c r="D2239" s="104" t="s">
        <v>417</v>
      </c>
      <c r="E2239" s="115">
        <v>1500</v>
      </c>
      <c r="F2239" s="102">
        <v>5</v>
      </c>
      <c r="G2239" s="208">
        <v>7.4999999999999997E-2</v>
      </c>
      <c r="H2239" s="102">
        <v>15</v>
      </c>
      <c r="I2239" s="115">
        <f t="shared" si="113"/>
        <v>7500</v>
      </c>
      <c r="J2239" s="115">
        <f t="shared" si="114"/>
        <v>4999.9999999999991</v>
      </c>
    </row>
    <row r="2240" spans="1:10" s="99" customFormat="1">
      <c r="A2240" s="111"/>
      <c r="B2240" s="111"/>
      <c r="C2240" s="115">
        <v>15000</v>
      </c>
      <c r="D2240" s="104" t="s">
        <v>446</v>
      </c>
      <c r="E2240" s="115">
        <v>1750</v>
      </c>
      <c r="F2240" s="102">
        <v>4</v>
      </c>
      <c r="G2240" s="208">
        <v>0.06</v>
      </c>
      <c r="H2240" s="102" t="s">
        <v>664</v>
      </c>
      <c r="I2240" s="115">
        <f t="shared" si="113"/>
        <v>900</v>
      </c>
      <c r="J2240" s="115">
        <f t="shared" si="114"/>
        <v>525</v>
      </c>
    </row>
    <row r="2241" spans="1:10" s="99" customFormat="1">
      <c r="A2241" s="111">
        <v>304</v>
      </c>
      <c r="B2241" s="111" t="s">
        <v>3397</v>
      </c>
      <c r="C2241" s="115">
        <v>20000</v>
      </c>
      <c r="D2241" s="104" t="s">
        <v>3395</v>
      </c>
      <c r="E2241" s="115">
        <v>750</v>
      </c>
      <c r="F2241" s="102">
        <v>2</v>
      </c>
      <c r="G2241" s="208">
        <v>7.4999999999999997E-2</v>
      </c>
      <c r="H2241" s="102">
        <v>15</v>
      </c>
      <c r="I2241" s="115">
        <f t="shared" si="113"/>
        <v>1500</v>
      </c>
      <c r="J2241" s="115">
        <f t="shared" si="114"/>
        <v>999.99999999999989</v>
      </c>
    </row>
    <row r="2242" spans="1:10" s="99" customFormat="1">
      <c r="A2242" s="111"/>
      <c r="B2242" s="111"/>
      <c r="C2242" s="115">
        <v>20000</v>
      </c>
      <c r="D2242" s="104" t="s">
        <v>3398</v>
      </c>
      <c r="E2242" s="115">
        <v>750</v>
      </c>
      <c r="F2242" s="102">
        <v>2</v>
      </c>
      <c r="G2242" s="208">
        <v>7.4999999999999997E-2</v>
      </c>
      <c r="H2242" s="102">
        <v>15</v>
      </c>
      <c r="I2242" s="115">
        <f t="shared" si="113"/>
        <v>1500</v>
      </c>
      <c r="J2242" s="115">
        <f t="shared" si="114"/>
        <v>999.99999999999989</v>
      </c>
    </row>
    <row r="2243" spans="1:10" s="99" customFormat="1">
      <c r="A2243" s="111"/>
      <c r="B2243" s="111"/>
      <c r="C2243" s="115">
        <v>20000</v>
      </c>
      <c r="D2243" s="104" t="s">
        <v>999</v>
      </c>
      <c r="E2243" s="115">
        <v>750</v>
      </c>
      <c r="F2243" s="102">
        <v>2</v>
      </c>
      <c r="G2243" s="208">
        <v>7.4999999999999997E-2</v>
      </c>
      <c r="H2243" s="102">
        <v>15</v>
      </c>
      <c r="I2243" s="115">
        <f t="shared" si="113"/>
        <v>1500</v>
      </c>
      <c r="J2243" s="115">
        <f t="shared" si="114"/>
        <v>999.99999999999989</v>
      </c>
    </row>
    <row r="2244" spans="1:10" s="99" customFormat="1">
      <c r="A2244" s="111"/>
      <c r="B2244" s="111"/>
      <c r="C2244" s="115">
        <v>40000</v>
      </c>
      <c r="D2244" s="104" t="s">
        <v>1685</v>
      </c>
      <c r="E2244" s="115">
        <v>1500</v>
      </c>
      <c r="F2244" s="102">
        <v>1</v>
      </c>
      <c r="G2244" s="208">
        <v>7.4999999999999997E-2</v>
      </c>
      <c r="H2244" s="102">
        <v>15</v>
      </c>
      <c r="I2244" s="115">
        <f t="shared" si="113"/>
        <v>1500</v>
      </c>
      <c r="J2244" s="115">
        <f t="shared" si="114"/>
        <v>999.99999999999989</v>
      </c>
    </row>
    <row r="2245" spans="1:10" s="99" customFormat="1">
      <c r="A2245" s="111"/>
      <c r="B2245" s="111"/>
      <c r="C2245" s="115">
        <v>15000</v>
      </c>
      <c r="D2245" s="104" t="s">
        <v>1000</v>
      </c>
      <c r="E2245" s="115">
        <v>565</v>
      </c>
      <c r="F2245" s="102">
        <v>16</v>
      </c>
      <c r="G2245" s="208">
        <v>7.4999999999999997E-2</v>
      </c>
      <c r="H2245" s="102">
        <v>15</v>
      </c>
      <c r="I2245" s="115">
        <f t="shared" si="113"/>
        <v>9000</v>
      </c>
      <c r="J2245" s="115">
        <f t="shared" si="114"/>
        <v>5999.9999999999991</v>
      </c>
    </row>
    <row r="2246" spans="1:10" s="99" customFormat="1">
      <c r="A2246" s="111"/>
      <c r="B2246" s="111"/>
      <c r="C2246" s="115">
        <v>150000</v>
      </c>
      <c r="D2246" s="104" t="s">
        <v>413</v>
      </c>
      <c r="E2246" s="115">
        <v>5625</v>
      </c>
      <c r="F2246" s="102">
        <v>16</v>
      </c>
      <c r="G2246" s="208">
        <v>7.4999999999999997E-2</v>
      </c>
      <c r="H2246" s="102">
        <v>15</v>
      </c>
      <c r="I2246" s="115">
        <f t="shared" si="113"/>
        <v>90000</v>
      </c>
      <c r="J2246" s="115">
        <f t="shared" si="114"/>
        <v>59999.999999999993</v>
      </c>
    </row>
    <row r="2247" spans="1:10" s="99" customFormat="1">
      <c r="A2247" s="111"/>
      <c r="B2247" s="111"/>
      <c r="C2247" s="115">
        <v>25000</v>
      </c>
      <c r="D2247" s="104" t="s">
        <v>1001</v>
      </c>
      <c r="E2247" s="115">
        <v>940</v>
      </c>
      <c r="F2247" s="102">
        <v>16</v>
      </c>
      <c r="G2247" s="208">
        <v>7.4999999999999997E-2</v>
      </c>
      <c r="H2247" s="102">
        <v>15</v>
      </c>
      <c r="I2247" s="115">
        <f t="shared" si="113"/>
        <v>15000</v>
      </c>
      <c r="J2247" s="115">
        <f t="shared" si="114"/>
        <v>10000</v>
      </c>
    </row>
    <row r="2248" spans="1:10" s="99" customFormat="1">
      <c r="A2248" s="111"/>
      <c r="B2248" s="111"/>
      <c r="C2248" s="115">
        <v>20000</v>
      </c>
      <c r="D2248" s="104" t="s">
        <v>416</v>
      </c>
      <c r="E2248" s="115">
        <v>750</v>
      </c>
      <c r="F2248" s="102">
        <v>10</v>
      </c>
      <c r="G2248" s="208">
        <v>7.4999999999999997E-2</v>
      </c>
      <c r="H2248" s="102">
        <v>15</v>
      </c>
      <c r="I2248" s="115">
        <f t="shared" si="113"/>
        <v>7500</v>
      </c>
      <c r="J2248" s="115">
        <f t="shared" si="114"/>
        <v>4999.9999999999991</v>
      </c>
    </row>
    <row r="2249" spans="1:10" s="99" customFormat="1">
      <c r="A2249" s="111"/>
      <c r="B2249" s="111"/>
      <c r="C2249" s="115">
        <v>40000</v>
      </c>
      <c r="D2249" s="104" t="s">
        <v>3399</v>
      </c>
      <c r="E2249" s="115">
        <v>1500</v>
      </c>
      <c r="F2249" s="102">
        <v>4</v>
      </c>
      <c r="G2249" s="208">
        <v>7.4999999999999997E-2</v>
      </c>
      <c r="H2249" s="102">
        <v>15</v>
      </c>
      <c r="I2249" s="115">
        <f t="shared" si="113"/>
        <v>6000</v>
      </c>
      <c r="J2249" s="115">
        <f t="shared" si="114"/>
        <v>3999.9999999999995</v>
      </c>
    </row>
    <row r="2250" spans="1:10" s="99" customFormat="1">
      <c r="A2250" s="111"/>
      <c r="B2250" s="111"/>
      <c r="C2250" s="115">
        <v>15000</v>
      </c>
      <c r="D2250" s="104" t="s">
        <v>1977</v>
      </c>
      <c r="E2250" s="115">
        <v>565</v>
      </c>
      <c r="F2250" s="102">
        <v>4</v>
      </c>
      <c r="G2250" s="208">
        <v>7.4999999999999997E-2</v>
      </c>
      <c r="H2250" s="102">
        <v>15</v>
      </c>
      <c r="I2250" s="115">
        <f t="shared" si="113"/>
        <v>2250</v>
      </c>
      <c r="J2250" s="115">
        <f t="shared" si="114"/>
        <v>1499.9999999999998</v>
      </c>
    </row>
    <row r="2251" spans="1:10" s="99" customFormat="1">
      <c r="A2251" s="111">
        <v>305</v>
      </c>
      <c r="B2251" s="111" t="s">
        <v>3400</v>
      </c>
      <c r="C2251" s="115">
        <v>55000</v>
      </c>
      <c r="D2251" s="104" t="s">
        <v>3395</v>
      </c>
      <c r="E2251" s="115">
        <v>1650</v>
      </c>
      <c r="F2251" s="102">
        <v>21</v>
      </c>
      <c r="G2251" s="208">
        <v>7.4999999999999997E-2</v>
      </c>
      <c r="H2251" s="102">
        <v>15</v>
      </c>
      <c r="I2251" s="115">
        <f t="shared" si="113"/>
        <v>43312.5</v>
      </c>
      <c r="J2251" s="115">
        <f t="shared" si="114"/>
        <v>28874.999999999996</v>
      </c>
    </row>
    <row r="2252" spans="1:10" s="99" customFormat="1">
      <c r="A2252" s="111"/>
      <c r="B2252" s="111"/>
      <c r="C2252" s="115">
        <v>20000</v>
      </c>
      <c r="D2252" s="104" t="s">
        <v>425</v>
      </c>
      <c r="E2252" s="115">
        <v>600</v>
      </c>
      <c r="F2252" s="102">
        <v>17</v>
      </c>
      <c r="G2252" s="208">
        <v>0.06</v>
      </c>
      <c r="H2252" s="102">
        <v>15</v>
      </c>
      <c r="I2252" s="115">
        <f t="shared" si="113"/>
        <v>10200</v>
      </c>
      <c r="J2252" s="115">
        <f t="shared" si="114"/>
        <v>5949.9999999999991</v>
      </c>
    </row>
    <row r="2253" spans="1:10" s="99" customFormat="1">
      <c r="A2253" s="111"/>
      <c r="B2253" s="111"/>
      <c r="C2253" s="115">
        <v>10000</v>
      </c>
      <c r="D2253" s="104" t="s">
        <v>3168</v>
      </c>
      <c r="E2253" s="115">
        <v>375</v>
      </c>
      <c r="F2253" s="102">
        <v>7</v>
      </c>
      <c r="G2253" s="208">
        <v>7.4999999999999997E-2</v>
      </c>
      <c r="H2253" s="102">
        <v>15</v>
      </c>
      <c r="I2253" s="115">
        <f t="shared" si="113"/>
        <v>2625</v>
      </c>
      <c r="J2253" s="115">
        <f t="shared" si="114"/>
        <v>1749.9999999999998</v>
      </c>
    </row>
    <row r="2254" spans="1:10" s="99" customFormat="1">
      <c r="A2254" s="111"/>
      <c r="B2254" s="111"/>
      <c r="C2254" s="115">
        <v>10000</v>
      </c>
      <c r="D2254" s="104" t="s">
        <v>254</v>
      </c>
      <c r="E2254" s="115">
        <v>1150</v>
      </c>
      <c r="F2254" s="102">
        <v>7</v>
      </c>
      <c r="G2254" s="208">
        <v>0.06</v>
      </c>
      <c r="H2254" s="102" t="s">
        <v>664</v>
      </c>
      <c r="I2254" s="115">
        <f t="shared" si="113"/>
        <v>1050</v>
      </c>
      <c r="J2254" s="115">
        <f t="shared" si="114"/>
        <v>612.49999999999989</v>
      </c>
    </row>
    <row r="2255" spans="1:10" s="99" customFormat="1">
      <c r="A2255" s="111"/>
      <c r="B2255" s="111"/>
      <c r="C2255" s="115">
        <v>10000</v>
      </c>
      <c r="D2255" s="104" t="s">
        <v>254</v>
      </c>
      <c r="E2255" s="115">
        <v>375</v>
      </c>
      <c r="F2255" s="102">
        <v>4</v>
      </c>
      <c r="G2255" s="208">
        <v>7.4999999999999997E-2</v>
      </c>
      <c r="H2255" s="102">
        <v>15</v>
      </c>
      <c r="I2255" s="115">
        <f t="shared" si="113"/>
        <v>1500</v>
      </c>
      <c r="J2255" s="115">
        <f t="shared" si="114"/>
        <v>999.99999999999989</v>
      </c>
    </row>
    <row r="2256" spans="1:10" s="99" customFormat="1">
      <c r="A2256" s="111">
        <v>306</v>
      </c>
      <c r="B2256" s="111" t="s">
        <v>3401</v>
      </c>
      <c r="C2256" s="115">
        <v>20000</v>
      </c>
      <c r="D2256" s="104" t="s">
        <v>3402</v>
      </c>
      <c r="E2256" s="115">
        <v>750</v>
      </c>
      <c r="F2256" s="102">
        <v>4</v>
      </c>
      <c r="G2256" s="208">
        <v>7.4999999999999997E-2</v>
      </c>
      <c r="H2256" s="102">
        <v>15</v>
      </c>
      <c r="I2256" s="115">
        <f t="shared" si="113"/>
        <v>3000</v>
      </c>
      <c r="J2256" s="115">
        <f t="shared" si="114"/>
        <v>1999.9999999999998</v>
      </c>
    </row>
    <row r="2257" spans="1:10" s="99" customFormat="1">
      <c r="A2257" s="111"/>
      <c r="B2257" s="111"/>
      <c r="C2257" s="115">
        <v>10000</v>
      </c>
      <c r="D2257" s="104" t="s">
        <v>467</v>
      </c>
      <c r="E2257" s="115">
        <v>1150</v>
      </c>
      <c r="F2257" s="102">
        <v>1</v>
      </c>
      <c r="G2257" s="208">
        <v>0.06</v>
      </c>
      <c r="H2257" s="102" t="s">
        <v>664</v>
      </c>
      <c r="I2257" s="115">
        <f t="shared" si="113"/>
        <v>150</v>
      </c>
      <c r="J2257" s="115">
        <f t="shared" si="114"/>
        <v>87.499999999999986</v>
      </c>
    </row>
    <row r="2258" spans="1:10" s="99" customFormat="1">
      <c r="A2258" s="111"/>
      <c r="B2258" s="111"/>
      <c r="C2258" s="115">
        <v>10000</v>
      </c>
      <c r="D2258" s="104" t="s">
        <v>467</v>
      </c>
      <c r="E2258" s="115">
        <v>375</v>
      </c>
      <c r="F2258" s="102">
        <v>1</v>
      </c>
      <c r="G2258" s="208">
        <v>7.4999999999999997E-2</v>
      </c>
      <c r="H2258" s="102">
        <v>15</v>
      </c>
      <c r="I2258" s="115">
        <f t="shared" si="113"/>
        <v>375</v>
      </c>
      <c r="J2258" s="115">
        <f t="shared" si="114"/>
        <v>249.99999999999997</v>
      </c>
    </row>
    <row r="2259" spans="1:10" s="99" customFormat="1">
      <c r="A2259" s="111">
        <v>307</v>
      </c>
      <c r="B2259" s="111" t="s">
        <v>3403</v>
      </c>
      <c r="C2259" s="115">
        <v>10000</v>
      </c>
      <c r="D2259" s="104" t="s">
        <v>1519</v>
      </c>
      <c r="E2259" s="115">
        <v>1150</v>
      </c>
      <c r="F2259" s="102">
        <v>10</v>
      </c>
      <c r="G2259" s="208">
        <v>0.06</v>
      </c>
      <c r="H2259" s="102" t="s">
        <v>664</v>
      </c>
      <c r="I2259" s="115">
        <f t="shared" si="113"/>
        <v>1500</v>
      </c>
      <c r="J2259" s="115">
        <f t="shared" si="114"/>
        <v>874.99999999999977</v>
      </c>
    </row>
    <row r="2260" spans="1:10" s="99" customFormat="1">
      <c r="A2260" s="111"/>
      <c r="B2260" s="111"/>
      <c r="C2260" s="115">
        <v>10000</v>
      </c>
      <c r="D2260" s="104" t="s">
        <v>1519</v>
      </c>
      <c r="E2260" s="115">
        <v>375</v>
      </c>
      <c r="F2260" s="102">
        <v>21</v>
      </c>
      <c r="G2260" s="208">
        <v>7.4999999999999997E-2</v>
      </c>
      <c r="H2260" s="102">
        <v>15</v>
      </c>
      <c r="I2260" s="115">
        <f t="shared" si="113"/>
        <v>7875</v>
      </c>
      <c r="J2260" s="115">
        <f t="shared" si="114"/>
        <v>5249.9999999999991</v>
      </c>
    </row>
    <row r="2261" spans="1:10" s="99" customFormat="1">
      <c r="A2261" s="111"/>
      <c r="B2261" s="111"/>
      <c r="C2261" s="115">
        <v>10000</v>
      </c>
      <c r="D2261" s="104" t="s">
        <v>266</v>
      </c>
      <c r="E2261" s="115">
        <v>1150</v>
      </c>
      <c r="F2261" s="102">
        <v>10</v>
      </c>
      <c r="G2261" s="208">
        <v>0.06</v>
      </c>
      <c r="H2261" s="102" t="s">
        <v>664</v>
      </c>
      <c r="I2261" s="115">
        <f t="shared" si="113"/>
        <v>1500</v>
      </c>
      <c r="J2261" s="115">
        <f t="shared" si="114"/>
        <v>874.99999999999977</v>
      </c>
    </row>
    <row r="2262" spans="1:10" s="99" customFormat="1">
      <c r="A2262" s="111"/>
      <c r="B2262" s="111"/>
      <c r="C2262" s="115">
        <v>10000</v>
      </c>
      <c r="D2262" s="104" t="s">
        <v>3179</v>
      </c>
      <c r="E2262" s="115">
        <v>1150</v>
      </c>
      <c r="F2262" s="102">
        <v>10</v>
      </c>
      <c r="G2262" s="208">
        <v>0.06</v>
      </c>
      <c r="H2262" s="102" t="s">
        <v>664</v>
      </c>
      <c r="I2262" s="115">
        <f t="shared" si="113"/>
        <v>1500</v>
      </c>
      <c r="J2262" s="115">
        <f t="shared" si="114"/>
        <v>874.99999999999977</v>
      </c>
    </row>
    <row r="2263" spans="1:10" s="99" customFormat="1">
      <c r="A2263" s="111"/>
      <c r="B2263" s="111"/>
      <c r="C2263" s="115">
        <v>10000</v>
      </c>
      <c r="D2263" s="104" t="s">
        <v>444</v>
      </c>
      <c r="E2263" s="115">
        <v>375</v>
      </c>
      <c r="F2263" s="102">
        <v>13</v>
      </c>
      <c r="G2263" s="208">
        <v>7.4999999999999997E-2</v>
      </c>
      <c r="H2263" s="102">
        <v>15</v>
      </c>
      <c r="I2263" s="115">
        <f t="shared" si="113"/>
        <v>4875</v>
      </c>
      <c r="J2263" s="115">
        <f t="shared" si="114"/>
        <v>3249.9999999999995</v>
      </c>
    </row>
    <row r="2264" spans="1:10" s="99" customFormat="1">
      <c r="A2264" s="111"/>
      <c r="B2264" s="111"/>
      <c r="C2264" s="115">
        <v>10000</v>
      </c>
      <c r="D2264" s="104" t="s">
        <v>1673</v>
      </c>
      <c r="E2264" s="115">
        <v>1150</v>
      </c>
      <c r="F2264" s="102">
        <v>10</v>
      </c>
      <c r="G2264" s="208">
        <v>0.06</v>
      </c>
      <c r="H2264" s="102" t="s">
        <v>664</v>
      </c>
      <c r="I2264" s="115">
        <f t="shared" ref="I2264:I2307" si="115">IF(H2264="分期",C2264*G2264*2.5*F2264/10,C2264*G2264*H2264/30*F2264)</f>
        <v>1500</v>
      </c>
      <c r="J2264" s="115">
        <f t="shared" ref="J2264:J2307" si="116">IF(H2264="分期",C2264*(G2264-0.025)*2.5*F2264/10,C2264*(G2264-0.025)*H2264/30*F2264)</f>
        <v>874.99999999999977</v>
      </c>
    </row>
    <row r="2265" spans="1:10" s="99" customFormat="1">
      <c r="A2265" s="111"/>
      <c r="B2265" s="111"/>
      <c r="C2265" s="115">
        <v>10000</v>
      </c>
      <c r="D2265" s="104" t="s">
        <v>1672</v>
      </c>
      <c r="E2265" s="115">
        <v>1150</v>
      </c>
      <c r="F2265" s="102">
        <v>10</v>
      </c>
      <c r="G2265" s="208">
        <v>0.06</v>
      </c>
      <c r="H2265" s="102" t="s">
        <v>664</v>
      </c>
      <c r="I2265" s="115">
        <f t="shared" si="115"/>
        <v>1500</v>
      </c>
      <c r="J2265" s="115">
        <f t="shared" si="116"/>
        <v>874.99999999999977</v>
      </c>
    </row>
    <row r="2266" spans="1:10" s="99" customFormat="1">
      <c r="A2266" s="111"/>
      <c r="B2266" s="111"/>
      <c r="C2266" s="115">
        <v>10000</v>
      </c>
      <c r="D2266" s="104" t="s">
        <v>990</v>
      </c>
      <c r="E2266" s="115">
        <v>1150</v>
      </c>
      <c r="F2266" s="102">
        <v>10</v>
      </c>
      <c r="G2266" s="208">
        <v>0.06</v>
      </c>
      <c r="H2266" s="102" t="s">
        <v>664</v>
      </c>
      <c r="I2266" s="115">
        <f t="shared" si="115"/>
        <v>1500</v>
      </c>
      <c r="J2266" s="115">
        <f t="shared" si="116"/>
        <v>874.99999999999977</v>
      </c>
    </row>
    <row r="2267" spans="1:10" s="99" customFormat="1">
      <c r="A2267" s="111"/>
      <c r="B2267" s="111"/>
      <c r="C2267" s="115">
        <v>10000</v>
      </c>
      <c r="D2267" s="104" t="s">
        <v>3404</v>
      </c>
      <c r="E2267" s="115">
        <v>1150</v>
      </c>
      <c r="F2267" s="102">
        <v>10</v>
      </c>
      <c r="G2267" s="208">
        <v>0.06</v>
      </c>
      <c r="H2267" s="102" t="s">
        <v>664</v>
      </c>
      <c r="I2267" s="115">
        <f t="shared" si="115"/>
        <v>1500</v>
      </c>
      <c r="J2267" s="115">
        <f t="shared" si="116"/>
        <v>874.99999999999977</v>
      </c>
    </row>
    <row r="2268" spans="1:10" s="99" customFormat="1">
      <c r="A2268" s="111"/>
      <c r="B2268" s="111"/>
      <c r="C2268" s="115">
        <v>10000</v>
      </c>
      <c r="D2268" s="104" t="s">
        <v>663</v>
      </c>
      <c r="E2268" s="115">
        <v>1150</v>
      </c>
      <c r="F2268" s="102">
        <v>5</v>
      </c>
      <c r="G2268" s="208">
        <v>0.06</v>
      </c>
      <c r="H2268" s="102" t="s">
        <v>664</v>
      </c>
      <c r="I2268" s="115">
        <f t="shared" si="115"/>
        <v>750</v>
      </c>
      <c r="J2268" s="115">
        <f t="shared" si="116"/>
        <v>437.49999999999989</v>
      </c>
    </row>
    <row r="2269" spans="1:10" s="99" customFormat="1">
      <c r="A2269" s="111"/>
      <c r="B2269" s="111"/>
      <c r="C2269" s="115">
        <v>20000</v>
      </c>
      <c r="D2269" s="129" t="s">
        <v>370</v>
      </c>
      <c r="E2269" s="115">
        <v>2300</v>
      </c>
      <c r="F2269" s="102">
        <v>8</v>
      </c>
      <c r="G2269" s="208">
        <v>0.06</v>
      </c>
      <c r="H2269" s="102" t="s">
        <v>664</v>
      </c>
      <c r="I2269" s="115">
        <f t="shared" si="115"/>
        <v>2400</v>
      </c>
      <c r="J2269" s="115">
        <f t="shared" si="116"/>
        <v>1399.9999999999998</v>
      </c>
    </row>
    <row r="2270" spans="1:10" s="99" customFormat="1">
      <c r="A2270" s="111">
        <v>308</v>
      </c>
      <c r="B2270" s="111" t="s">
        <v>3405</v>
      </c>
      <c r="C2270" s="115">
        <v>10000</v>
      </c>
      <c r="D2270" s="104" t="s">
        <v>1990</v>
      </c>
      <c r="E2270" s="115">
        <v>1150</v>
      </c>
      <c r="F2270" s="102">
        <v>10</v>
      </c>
      <c r="G2270" s="208">
        <v>0.06</v>
      </c>
      <c r="H2270" s="102" t="s">
        <v>664</v>
      </c>
      <c r="I2270" s="115">
        <f t="shared" si="115"/>
        <v>1500</v>
      </c>
      <c r="J2270" s="115">
        <f t="shared" si="116"/>
        <v>874.99999999999977</v>
      </c>
    </row>
    <row r="2271" spans="1:10" s="99" customFormat="1">
      <c r="A2271" s="111"/>
      <c r="B2271" s="111"/>
      <c r="C2271" s="115">
        <v>10000</v>
      </c>
      <c r="D2271" s="104" t="s">
        <v>1990</v>
      </c>
      <c r="E2271" s="115">
        <v>375</v>
      </c>
      <c r="F2271" s="102">
        <v>12</v>
      </c>
      <c r="G2271" s="208">
        <v>7.4999999999999997E-2</v>
      </c>
      <c r="H2271" s="102">
        <v>15</v>
      </c>
      <c r="I2271" s="115">
        <f t="shared" si="115"/>
        <v>4500</v>
      </c>
      <c r="J2271" s="115">
        <f t="shared" si="116"/>
        <v>2999.9999999999995</v>
      </c>
    </row>
    <row r="2272" spans="1:10" s="99" customFormat="1">
      <c r="A2272" s="111"/>
      <c r="B2272" s="111"/>
      <c r="C2272" s="115">
        <v>10000</v>
      </c>
      <c r="D2272" s="104" t="s">
        <v>3406</v>
      </c>
      <c r="E2272" s="115">
        <v>375</v>
      </c>
      <c r="F2272" s="102">
        <v>9</v>
      </c>
      <c r="G2272" s="208">
        <v>7.4999999999999997E-2</v>
      </c>
      <c r="H2272" s="102">
        <v>15</v>
      </c>
      <c r="I2272" s="115">
        <f t="shared" si="115"/>
        <v>3375</v>
      </c>
      <c r="J2272" s="115">
        <f t="shared" si="116"/>
        <v>2249.9999999999995</v>
      </c>
    </row>
    <row r="2273" spans="1:10" s="99" customFormat="1">
      <c r="A2273" s="111"/>
      <c r="B2273" s="111"/>
      <c r="C2273" s="115">
        <v>10000</v>
      </c>
      <c r="D2273" s="104" t="s">
        <v>1003</v>
      </c>
      <c r="E2273" s="115">
        <v>1150</v>
      </c>
      <c r="F2273" s="102">
        <v>10</v>
      </c>
      <c r="G2273" s="208">
        <v>0.06</v>
      </c>
      <c r="H2273" s="102" t="s">
        <v>664</v>
      </c>
      <c r="I2273" s="115">
        <f t="shared" si="115"/>
        <v>1500</v>
      </c>
      <c r="J2273" s="115">
        <f t="shared" si="116"/>
        <v>874.99999999999977</v>
      </c>
    </row>
    <row r="2274" spans="1:10" s="99" customFormat="1">
      <c r="A2274" s="111"/>
      <c r="B2274" s="111"/>
      <c r="C2274" s="115">
        <v>50000</v>
      </c>
      <c r="D2274" s="104" t="s">
        <v>3407</v>
      </c>
      <c r="E2274" s="115">
        <v>1875</v>
      </c>
      <c r="F2274" s="102">
        <v>7</v>
      </c>
      <c r="G2274" s="208">
        <v>7.4999999999999997E-2</v>
      </c>
      <c r="H2274" s="102">
        <v>15</v>
      </c>
      <c r="I2274" s="115">
        <f t="shared" si="115"/>
        <v>13125</v>
      </c>
      <c r="J2274" s="115">
        <f t="shared" si="116"/>
        <v>8750</v>
      </c>
    </row>
    <row r="2275" spans="1:10" s="99" customFormat="1">
      <c r="A2275" s="111"/>
      <c r="B2275" s="111"/>
      <c r="C2275" s="115">
        <v>50000</v>
      </c>
      <c r="D2275" s="104" t="s">
        <v>236</v>
      </c>
      <c r="E2275" s="115">
        <v>1875</v>
      </c>
      <c r="F2275" s="102">
        <v>7</v>
      </c>
      <c r="G2275" s="208">
        <v>7.4999999999999997E-2</v>
      </c>
      <c r="H2275" s="102">
        <v>15</v>
      </c>
      <c r="I2275" s="115">
        <f t="shared" si="115"/>
        <v>13125</v>
      </c>
      <c r="J2275" s="115">
        <f t="shared" si="116"/>
        <v>8750</v>
      </c>
    </row>
    <row r="2276" spans="1:10" s="99" customFormat="1">
      <c r="A2276" s="111"/>
      <c r="B2276" s="111"/>
      <c r="C2276" s="115">
        <v>10000</v>
      </c>
      <c r="D2276" s="104" t="s">
        <v>963</v>
      </c>
      <c r="E2276" s="115">
        <v>1150</v>
      </c>
      <c r="F2276" s="102">
        <v>9</v>
      </c>
      <c r="G2276" s="208">
        <v>0.06</v>
      </c>
      <c r="H2276" s="102" t="s">
        <v>664</v>
      </c>
      <c r="I2276" s="115">
        <f t="shared" si="115"/>
        <v>1350</v>
      </c>
      <c r="J2276" s="115">
        <f t="shared" si="116"/>
        <v>787.49999999999989</v>
      </c>
    </row>
    <row r="2277" spans="1:10" s="99" customFormat="1">
      <c r="A2277" s="111"/>
      <c r="B2277" s="111"/>
      <c r="C2277" s="115">
        <v>50000</v>
      </c>
      <c r="D2277" s="104" t="s">
        <v>416</v>
      </c>
      <c r="E2277" s="115">
        <v>1875</v>
      </c>
      <c r="F2277" s="102">
        <v>6</v>
      </c>
      <c r="G2277" s="208">
        <v>7.4999999999999997E-2</v>
      </c>
      <c r="H2277" s="102">
        <v>15</v>
      </c>
      <c r="I2277" s="115">
        <f t="shared" si="115"/>
        <v>11250</v>
      </c>
      <c r="J2277" s="115">
        <f t="shared" si="116"/>
        <v>7500</v>
      </c>
    </row>
    <row r="2278" spans="1:10" s="99" customFormat="1">
      <c r="A2278" s="111">
        <v>309</v>
      </c>
      <c r="B2278" s="111" t="s">
        <v>3408</v>
      </c>
      <c r="C2278" s="115">
        <v>50000</v>
      </c>
      <c r="D2278" s="104" t="s">
        <v>1520</v>
      </c>
      <c r="E2278" s="115">
        <v>1875</v>
      </c>
      <c r="F2278" s="102">
        <v>11</v>
      </c>
      <c r="G2278" s="208">
        <v>7.4999999999999997E-2</v>
      </c>
      <c r="H2278" s="102">
        <v>15</v>
      </c>
      <c r="I2278" s="115">
        <f t="shared" si="115"/>
        <v>20625</v>
      </c>
      <c r="J2278" s="115">
        <f t="shared" si="116"/>
        <v>13750</v>
      </c>
    </row>
    <row r="2279" spans="1:10" s="99" customFormat="1">
      <c r="A2279" s="111"/>
      <c r="B2279" s="111"/>
      <c r="C2279" s="115">
        <v>30000</v>
      </c>
      <c r="D2279" s="104" t="s">
        <v>274</v>
      </c>
      <c r="E2279" s="115">
        <v>1125</v>
      </c>
      <c r="F2279" s="102">
        <v>9</v>
      </c>
      <c r="G2279" s="208">
        <v>7.4999999999999997E-2</v>
      </c>
      <c r="H2279" s="102">
        <v>15</v>
      </c>
      <c r="I2279" s="115">
        <f t="shared" si="115"/>
        <v>10125</v>
      </c>
      <c r="J2279" s="115">
        <f t="shared" si="116"/>
        <v>6749.9999999999991</v>
      </c>
    </row>
    <row r="2280" spans="1:10" s="99" customFormat="1">
      <c r="A2280" s="111">
        <v>310</v>
      </c>
      <c r="B2280" s="111" t="s">
        <v>3409</v>
      </c>
      <c r="C2280" s="115">
        <v>10000</v>
      </c>
      <c r="D2280" s="104" t="s">
        <v>1000</v>
      </c>
      <c r="E2280" s="115">
        <v>1150</v>
      </c>
      <c r="F2280" s="102">
        <v>6</v>
      </c>
      <c r="G2280" s="208">
        <v>0.06</v>
      </c>
      <c r="H2280" s="102" t="s">
        <v>664</v>
      </c>
      <c r="I2280" s="115">
        <f t="shared" si="115"/>
        <v>900</v>
      </c>
      <c r="J2280" s="115">
        <f t="shared" si="116"/>
        <v>524.99999999999989</v>
      </c>
    </row>
    <row r="2281" spans="1:10" s="99" customFormat="1">
      <c r="A2281" s="111"/>
      <c r="B2281" s="111"/>
      <c r="C2281" s="115">
        <v>20000</v>
      </c>
      <c r="D2281" s="104" t="s">
        <v>1000</v>
      </c>
      <c r="E2281" s="115">
        <v>750</v>
      </c>
      <c r="F2281" s="102">
        <v>3</v>
      </c>
      <c r="G2281" s="208">
        <v>7.4999999999999997E-2</v>
      </c>
      <c r="H2281" s="102">
        <v>15</v>
      </c>
      <c r="I2281" s="115">
        <f t="shared" si="115"/>
        <v>2250</v>
      </c>
      <c r="J2281" s="115">
        <f t="shared" si="116"/>
        <v>1499.9999999999998</v>
      </c>
    </row>
    <row r="2282" spans="1:10" s="99" customFormat="1">
      <c r="A2282" s="111">
        <v>311</v>
      </c>
      <c r="B2282" s="111" t="s">
        <v>3410</v>
      </c>
      <c r="C2282" s="115">
        <v>20000</v>
      </c>
      <c r="D2282" s="104" t="s">
        <v>1000</v>
      </c>
      <c r="E2282" s="115">
        <v>750</v>
      </c>
      <c r="F2282" s="102">
        <v>8</v>
      </c>
      <c r="G2282" s="208">
        <v>7.4999999999999997E-2</v>
      </c>
      <c r="H2282" s="102">
        <v>15</v>
      </c>
      <c r="I2282" s="115">
        <f t="shared" si="115"/>
        <v>6000</v>
      </c>
      <c r="J2282" s="115">
        <f t="shared" si="116"/>
        <v>3999.9999999999995</v>
      </c>
    </row>
    <row r="2283" spans="1:10" s="99" customFormat="1">
      <c r="A2283" s="111"/>
      <c r="B2283" s="111"/>
      <c r="C2283" s="115">
        <v>20000</v>
      </c>
      <c r="D2283" s="104" t="s">
        <v>1000</v>
      </c>
      <c r="E2283" s="115">
        <v>2300</v>
      </c>
      <c r="F2283" s="102">
        <v>10</v>
      </c>
      <c r="G2283" s="208">
        <v>0.06</v>
      </c>
      <c r="H2283" s="102" t="s">
        <v>664</v>
      </c>
      <c r="I2283" s="115">
        <f t="shared" si="115"/>
        <v>3000</v>
      </c>
      <c r="J2283" s="115">
        <f t="shared" si="116"/>
        <v>1749.9999999999995</v>
      </c>
    </row>
    <row r="2284" spans="1:10" s="99" customFormat="1">
      <c r="A2284" s="111"/>
      <c r="B2284" s="111"/>
      <c r="C2284" s="115">
        <v>20000</v>
      </c>
      <c r="D2284" s="129" t="s">
        <v>371</v>
      </c>
      <c r="E2284" s="115">
        <v>750</v>
      </c>
      <c r="F2284" s="102">
        <v>3</v>
      </c>
      <c r="G2284" s="208">
        <v>7.4999999999999997E-2</v>
      </c>
      <c r="H2284" s="102">
        <v>15</v>
      </c>
      <c r="I2284" s="115">
        <f t="shared" si="115"/>
        <v>2250</v>
      </c>
      <c r="J2284" s="115">
        <f t="shared" si="116"/>
        <v>1499.9999999999998</v>
      </c>
    </row>
    <row r="2285" spans="1:10" s="99" customFormat="1">
      <c r="A2285" s="111"/>
      <c r="B2285" s="111"/>
      <c r="C2285" s="115">
        <v>20000</v>
      </c>
      <c r="D2285" s="104" t="s">
        <v>2610</v>
      </c>
      <c r="E2285" s="115">
        <v>2300</v>
      </c>
      <c r="F2285" s="102">
        <v>10</v>
      </c>
      <c r="G2285" s="208">
        <v>0.06</v>
      </c>
      <c r="H2285" s="102" t="s">
        <v>664</v>
      </c>
      <c r="I2285" s="115">
        <f t="shared" si="115"/>
        <v>3000</v>
      </c>
      <c r="J2285" s="115">
        <f t="shared" si="116"/>
        <v>1749.9999999999995</v>
      </c>
    </row>
    <row r="2286" spans="1:10" s="99" customFormat="1">
      <c r="A2286" s="111"/>
      <c r="B2286" s="111"/>
      <c r="C2286" s="115">
        <v>20000</v>
      </c>
      <c r="D2286" s="104" t="s">
        <v>2610</v>
      </c>
      <c r="E2286" s="115">
        <v>750</v>
      </c>
      <c r="F2286" s="102">
        <v>6</v>
      </c>
      <c r="G2286" s="208">
        <v>7.4999999999999997E-2</v>
      </c>
      <c r="H2286" s="102">
        <v>15</v>
      </c>
      <c r="I2286" s="115">
        <f t="shared" si="115"/>
        <v>4500</v>
      </c>
      <c r="J2286" s="115">
        <f t="shared" si="116"/>
        <v>2999.9999999999995</v>
      </c>
    </row>
    <row r="2287" spans="1:10" s="99" customFormat="1">
      <c r="A2287" s="111"/>
      <c r="B2287" s="111"/>
      <c r="C2287" s="115">
        <v>20000</v>
      </c>
      <c r="D2287" s="104" t="s">
        <v>3412</v>
      </c>
      <c r="E2287" s="115">
        <v>2300</v>
      </c>
      <c r="F2287" s="102">
        <v>6</v>
      </c>
      <c r="G2287" s="208">
        <v>0.06</v>
      </c>
      <c r="H2287" s="102" t="s">
        <v>664</v>
      </c>
      <c r="I2287" s="115">
        <f t="shared" si="115"/>
        <v>1800</v>
      </c>
      <c r="J2287" s="115">
        <f t="shared" si="116"/>
        <v>1049.9999999999998</v>
      </c>
    </row>
    <row r="2288" spans="1:10" s="99" customFormat="1">
      <c r="A2288" s="111"/>
      <c r="B2288" s="111"/>
      <c r="C2288" s="115">
        <v>20000</v>
      </c>
      <c r="D2288" s="104" t="s">
        <v>1987</v>
      </c>
      <c r="E2288" s="115">
        <v>2300</v>
      </c>
      <c r="F2288" s="102">
        <v>9</v>
      </c>
      <c r="G2288" s="208">
        <v>0.06</v>
      </c>
      <c r="H2288" s="102" t="s">
        <v>664</v>
      </c>
      <c r="I2288" s="115">
        <f t="shared" si="115"/>
        <v>2700</v>
      </c>
      <c r="J2288" s="115">
        <f t="shared" si="116"/>
        <v>1574.9999999999998</v>
      </c>
    </row>
    <row r="2289" spans="1:10" s="99" customFormat="1">
      <c r="A2289" s="111">
        <v>312</v>
      </c>
      <c r="B2289" s="111" t="s">
        <v>3413</v>
      </c>
      <c r="C2289" s="115">
        <v>20000</v>
      </c>
      <c r="D2289" s="104" t="s">
        <v>654</v>
      </c>
      <c r="E2289" s="115">
        <v>750</v>
      </c>
      <c r="F2289" s="102">
        <v>20</v>
      </c>
      <c r="G2289" s="208">
        <v>7.4999999999999997E-2</v>
      </c>
      <c r="H2289" s="102">
        <v>15</v>
      </c>
      <c r="I2289" s="115">
        <f t="shared" si="115"/>
        <v>15000</v>
      </c>
      <c r="J2289" s="115">
        <f t="shared" si="116"/>
        <v>9999.9999999999982</v>
      </c>
    </row>
    <row r="2290" spans="1:10" s="99" customFormat="1">
      <c r="A2290" s="111"/>
      <c r="B2290" s="111"/>
      <c r="C2290" s="115">
        <v>10000</v>
      </c>
      <c r="D2290" s="104" t="s">
        <v>654</v>
      </c>
      <c r="E2290" s="115">
        <v>1150</v>
      </c>
      <c r="F2290" s="102">
        <v>10</v>
      </c>
      <c r="G2290" s="208">
        <v>0.06</v>
      </c>
      <c r="H2290" s="102" t="s">
        <v>664</v>
      </c>
      <c r="I2290" s="115">
        <f t="shared" si="115"/>
        <v>1500</v>
      </c>
      <c r="J2290" s="115">
        <f t="shared" si="116"/>
        <v>874.99999999999977</v>
      </c>
    </row>
    <row r="2291" spans="1:10" s="99" customFormat="1">
      <c r="A2291" s="111"/>
      <c r="B2291" s="111"/>
      <c r="C2291" s="115">
        <v>20000</v>
      </c>
      <c r="D2291" s="104" t="s">
        <v>688</v>
      </c>
      <c r="E2291" s="115">
        <v>750</v>
      </c>
      <c r="F2291" s="102">
        <v>15</v>
      </c>
      <c r="G2291" s="208">
        <v>7.4999999999999997E-2</v>
      </c>
      <c r="H2291" s="102">
        <v>15</v>
      </c>
      <c r="I2291" s="115">
        <f t="shared" si="115"/>
        <v>11250</v>
      </c>
      <c r="J2291" s="115">
        <f t="shared" si="116"/>
        <v>7499.9999999999991</v>
      </c>
    </row>
    <row r="2292" spans="1:10" s="99" customFormat="1">
      <c r="A2292" s="111"/>
      <c r="B2292" s="111"/>
      <c r="C2292" s="115">
        <v>30000</v>
      </c>
      <c r="D2292" s="104" t="s">
        <v>3124</v>
      </c>
      <c r="E2292" s="115">
        <v>1125</v>
      </c>
      <c r="F2292" s="102">
        <v>11</v>
      </c>
      <c r="G2292" s="208">
        <v>7.4999999999999997E-2</v>
      </c>
      <c r="H2292" s="102">
        <v>15</v>
      </c>
      <c r="I2292" s="115">
        <f t="shared" si="115"/>
        <v>12375</v>
      </c>
      <c r="J2292" s="115">
        <f t="shared" si="116"/>
        <v>8249.9999999999982</v>
      </c>
    </row>
    <row r="2293" spans="1:10" s="99" customFormat="1">
      <c r="A2293" s="111">
        <v>313</v>
      </c>
      <c r="B2293" s="111" t="s">
        <v>3414</v>
      </c>
      <c r="C2293" s="115">
        <v>50000</v>
      </c>
      <c r="D2293" s="104" t="s">
        <v>243</v>
      </c>
      <c r="E2293" s="115">
        <v>1875</v>
      </c>
      <c r="F2293" s="102">
        <v>7</v>
      </c>
      <c r="G2293" s="208">
        <v>7.4999999999999997E-2</v>
      </c>
      <c r="H2293" s="102">
        <v>15</v>
      </c>
      <c r="I2293" s="115">
        <f t="shared" si="115"/>
        <v>13125</v>
      </c>
      <c r="J2293" s="115">
        <f t="shared" si="116"/>
        <v>8750</v>
      </c>
    </row>
    <row r="2294" spans="1:10" s="99" customFormat="1">
      <c r="A2294" s="111"/>
      <c r="B2294" s="111"/>
      <c r="C2294" s="115">
        <v>20000</v>
      </c>
      <c r="D2294" s="104" t="s">
        <v>1006</v>
      </c>
      <c r="E2294" s="115">
        <v>2300</v>
      </c>
      <c r="F2294" s="102">
        <v>7</v>
      </c>
      <c r="G2294" s="208">
        <v>0.06</v>
      </c>
      <c r="H2294" s="102" t="s">
        <v>664</v>
      </c>
      <c r="I2294" s="115">
        <f t="shared" si="115"/>
        <v>2100</v>
      </c>
      <c r="J2294" s="115">
        <f t="shared" si="116"/>
        <v>1224.9999999999998</v>
      </c>
    </row>
    <row r="2295" spans="1:10" s="99" customFormat="1">
      <c r="A2295" s="111"/>
      <c r="B2295" s="111"/>
      <c r="C2295" s="115">
        <v>30000</v>
      </c>
      <c r="D2295" s="104" t="s">
        <v>1725</v>
      </c>
      <c r="E2295" s="115">
        <v>3450</v>
      </c>
      <c r="F2295" s="102">
        <v>10</v>
      </c>
      <c r="G2295" s="208">
        <v>0.06</v>
      </c>
      <c r="H2295" s="102" t="s">
        <v>664</v>
      </c>
      <c r="I2295" s="115">
        <f t="shared" si="115"/>
        <v>4500</v>
      </c>
      <c r="J2295" s="115">
        <f t="shared" si="116"/>
        <v>2625</v>
      </c>
    </row>
    <row r="2296" spans="1:10" s="99" customFormat="1">
      <c r="A2296" s="111"/>
      <c r="B2296" s="111"/>
      <c r="C2296" s="115">
        <v>10000</v>
      </c>
      <c r="D2296" s="104" t="s">
        <v>3151</v>
      </c>
      <c r="E2296" s="115">
        <v>1150</v>
      </c>
      <c r="F2296" s="102">
        <v>6</v>
      </c>
      <c r="G2296" s="208">
        <v>0.06</v>
      </c>
      <c r="H2296" s="102" t="s">
        <v>664</v>
      </c>
      <c r="I2296" s="115">
        <f t="shared" si="115"/>
        <v>900</v>
      </c>
      <c r="J2296" s="115">
        <f t="shared" si="116"/>
        <v>524.99999999999989</v>
      </c>
    </row>
    <row r="2297" spans="1:10" s="99" customFormat="1">
      <c r="A2297" s="111"/>
      <c r="B2297" s="111"/>
      <c r="C2297" s="115">
        <v>15000</v>
      </c>
      <c r="D2297" s="104" t="s">
        <v>3415</v>
      </c>
      <c r="E2297" s="115">
        <v>1750</v>
      </c>
      <c r="F2297" s="102">
        <v>10</v>
      </c>
      <c r="G2297" s="208">
        <v>0.06</v>
      </c>
      <c r="H2297" s="102" t="s">
        <v>664</v>
      </c>
      <c r="I2297" s="115">
        <f t="shared" si="115"/>
        <v>2250</v>
      </c>
      <c r="J2297" s="115">
        <f t="shared" si="116"/>
        <v>1312.5</v>
      </c>
    </row>
    <row r="2298" spans="1:10" s="99" customFormat="1">
      <c r="A2298" s="111"/>
      <c r="B2298" s="111"/>
      <c r="C2298" s="115">
        <v>60000</v>
      </c>
      <c r="D2298" s="104" t="s">
        <v>3151</v>
      </c>
      <c r="E2298" s="115">
        <v>2250</v>
      </c>
      <c r="F2298" s="102">
        <v>13</v>
      </c>
      <c r="G2298" s="208">
        <v>7.4999999999999997E-2</v>
      </c>
      <c r="H2298" s="102">
        <v>15</v>
      </c>
      <c r="I2298" s="115">
        <f t="shared" si="115"/>
        <v>29250</v>
      </c>
      <c r="J2298" s="115">
        <f t="shared" si="116"/>
        <v>19499.999999999996</v>
      </c>
    </row>
    <row r="2299" spans="1:10" s="99" customFormat="1">
      <c r="A2299" s="111"/>
      <c r="B2299" s="111"/>
      <c r="C2299" s="115">
        <v>30000</v>
      </c>
      <c r="D2299" s="104" t="s">
        <v>3416</v>
      </c>
      <c r="E2299" s="115">
        <v>3450</v>
      </c>
      <c r="F2299" s="102">
        <v>10</v>
      </c>
      <c r="G2299" s="208">
        <v>0.06</v>
      </c>
      <c r="H2299" s="102" t="s">
        <v>664</v>
      </c>
      <c r="I2299" s="115">
        <f t="shared" si="115"/>
        <v>4500</v>
      </c>
      <c r="J2299" s="115">
        <f t="shared" si="116"/>
        <v>2625</v>
      </c>
    </row>
    <row r="2300" spans="1:10" s="99" customFormat="1">
      <c r="A2300" s="111"/>
      <c r="B2300" s="111"/>
      <c r="C2300" s="115">
        <v>15000</v>
      </c>
      <c r="D2300" s="104" t="s">
        <v>993</v>
      </c>
      <c r="E2300" s="115">
        <v>1750</v>
      </c>
      <c r="F2300" s="102">
        <v>10</v>
      </c>
      <c r="G2300" s="208">
        <v>0.06</v>
      </c>
      <c r="H2300" s="102" t="s">
        <v>664</v>
      </c>
      <c r="I2300" s="115">
        <f t="shared" si="115"/>
        <v>2250</v>
      </c>
      <c r="J2300" s="115">
        <f t="shared" si="116"/>
        <v>1312.5</v>
      </c>
    </row>
    <row r="2301" spans="1:10" s="99" customFormat="1">
      <c r="A2301" s="111"/>
      <c r="B2301" s="111"/>
      <c r="C2301" s="115">
        <v>30000</v>
      </c>
      <c r="D2301" s="104" t="s">
        <v>3404</v>
      </c>
      <c r="E2301" s="115">
        <v>3450</v>
      </c>
      <c r="F2301" s="102">
        <v>10</v>
      </c>
      <c r="G2301" s="208">
        <v>0.06</v>
      </c>
      <c r="H2301" s="102" t="s">
        <v>664</v>
      </c>
      <c r="I2301" s="115">
        <f t="shared" si="115"/>
        <v>4500</v>
      </c>
      <c r="J2301" s="115">
        <f t="shared" si="116"/>
        <v>2625</v>
      </c>
    </row>
    <row r="2302" spans="1:10" s="99" customFormat="1">
      <c r="A2302" s="111"/>
      <c r="B2302" s="111"/>
      <c r="C2302" s="115">
        <v>30000</v>
      </c>
      <c r="D2302" s="104" t="s">
        <v>3417</v>
      </c>
      <c r="E2302" s="115">
        <v>3450</v>
      </c>
      <c r="F2302" s="102">
        <v>10</v>
      </c>
      <c r="G2302" s="208">
        <v>0.06</v>
      </c>
      <c r="H2302" s="102" t="s">
        <v>664</v>
      </c>
      <c r="I2302" s="115">
        <f t="shared" si="115"/>
        <v>4500</v>
      </c>
      <c r="J2302" s="115">
        <f t="shared" si="116"/>
        <v>2625</v>
      </c>
    </row>
    <row r="2303" spans="1:10" s="99" customFormat="1">
      <c r="A2303" s="111"/>
      <c r="B2303" s="111"/>
      <c r="C2303" s="115">
        <v>10000</v>
      </c>
      <c r="D2303" s="104" t="s">
        <v>489</v>
      </c>
      <c r="E2303" s="115">
        <v>1150</v>
      </c>
      <c r="F2303" s="102">
        <v>7</v>
      </c>
      <c r="G2303" s="208">
        <v>0.06</v>
      </c>
      <c r="H2303" s="102" t="s">
        <v>664</v>
      </c>
      <c r="I2303" s="115">
        <f t="shared" si="115"/>
        <v>1050</v>
      </c>
      <c r="J2303" s="115">
        <f t="shared" si="116"/>
        <v>612.49999999999989</v>
      </c>
    </row>
    <row r="2304" spans="1:10" s="99" customFormat="1">
      <c r="A2304" s="111"/>
      <c r="B2304" s="111"/>
      <c r="C2304" s="115">
        <v>20000</v>
      </c>
      <c r="D2304" s="104" t="s">
        <v>1732</v>
      </c>
      <c r="E2304" s="115">
        <v>2300</v>
      </c>
      <c r="F2304" s="102">
        <v>3</v>
      </c>
      <c r="G2304" s="208">
        <v>0.06</v>
      </c>
      <c r="H2304" s="102" t="s">
        <v>664</v>
      </c>
      <c r="I2304" s="115">
        <f t="shared" si="115"/>
        <v>900</v>
      </c>
      <c r="J2304" s="115">
        <f t="shared" si="116"/>
        <v>524.99999999999989</v>
      </c>
    </row>
    <row r="2305" spans="1:10" s="99" customFormat="1">
      <c r="A2305" s="111">
        <v>314</v>
      </c>
      <c r="B2305" s="111" t="s">
        <v>3418</v>
      </c>
      <c r="C2305" s="115">
        <v>50000</v>
      </c>
      <c r="D2305" s="104" t="s">
        <v>1533</v>
      </c>
      <c r="E2305" s="115">
        <v>1875</v>
      </c>
      <c r="F2305" s="102">
        <v>15</v>
      </c>
      <c r="G2305" s="208">
        <v>7.4999999999999997E-2</v>
      </c>
      <c r="H2305" s="102">
        <v>15</v>
      </c>
      <c r="I2305" s="115">
        <f t="shared" si="115"/>
        <v>28125</v>
      </c>
      <c r="J2305" s="115">
        <f t="shared" si="116"/>
        <v>18750</v>
      </c>
    </row>
    <row r="2306" spans="1:10" s="99" customFormat="1">
      <c r="A2306" s="111"/>
      <c r="B2306" s="111"/>
      <c r="C2306" s="115">
        <v>20000</v>
      </c>
      <c r="D2306" s="104" t="s">
        <v>3154</v>
      </c>
      <c r="E2306" s="115">
        <v>750</v>
      </c>
      <c r="F2306" s="102">
        <v>1</v>
      </c>
      <c r="G2306" s="208">
        <v>7.4999999999999997E-2</v>
      </c>
      <c r="H2306" s="102">
        <v>15</v>
      </c>
      <c r="I2306" s="115">
        <f t="shared" si="115"/>
        <v>750</v>
      </c>
      <c r="J2306" s="115">
        <f t="shared" si="116"/>
        <v>499.99999999999994</v>
      </c>
    </row>
    <row r="2307" spans="1:10" s="99" customFormat="1">
      <c r="A2307" s="111"/>
      <c r="B2307" s="111"/>
      <c r="C2307" s="115">
        <v>10000</v>
      </c>
      <c r="D2307" s="104" t="s">
        <v>682</v>
      </c>
      <c r="E2307" s="115">
        <v>1150</v>
      </c>
      <c r="F2307" s="102">
        <v>7</v>
      </c>
      <c r="G2307" s="208">
        <v>0.06</v>
      </c>
      <c r="H2307" s="102" t="s">
        <v>664</v>
      </c>
      <c r="I2307" s="115">
        <f t="shared" si="115"/>
        <v>1050</v>
      </c>
      <c r="J2307" s="115">
        <f t="shared" si="116"/>
        <v>612.49999999999989</v>
      </c>
    </row>
    <row r="2308" spans="1:10" s="99" customFormat="1">
      <c r="A2308" s="111"/>
      <c r="B2308" s="111"/>
      <c r="C2308" s="115">
        <v>2000</v>
      </c>
      <c r="D2308" s="104" t="s">
        <v>985</v>
      </c>
      <c r="E2308" s="115">
        <v>1150</v>
      </c>
      <c r="F2308" s="102">
        <v>2</v>
      </c>
      <c r="G2308" s="208">
        <v>0.3</v>
      </c>
      <c r="H2308" s="130" t="s">
        <v>355</v>
      </c>
      <c r="I2308" s="115">
        <f>IF(H2308="分期-2期",C2308*G2308*2.5*F2308/10,C2308*G2308*H2308/30*F2308)</f>
        <v>300</v>
      </c>
      <c r="J2308" s="115">
        <f>IF(H2308="分期-2期",C2308*(G2308-0.025)*2.5*F2308/10,C2308*(G2308-0.025)*H2308/30*F2308)</f>
        <v>274.99999999999994</v>
      </c>
    </row>
    <row r="2309" spans="1:10" s="99" customFormat="1">
      <c r="A2309" s="111"/>
      <c r="B2309" s="111"/>
      <c r="C2309" s="115">
        <v>10000</v>
      </c>
      <c r="D2309" s="104" t="s">
        <v>1714</v>
      </c>
      <c r="E2309" s="115">
        <v>1150</v>
      </c>
      <c r="F2309" s="102">
        <v>10</v>
      </c>
      <c r="G2309" s="208">
        <v>0.06</v>
      </c>
      <c r="H2309" s="102" t="s">
        <v>664</v>
      </c>
      <c r="I2309" s="115">
        <f t="shared" ref="I2309:I2316" si="117">IF(H2309="分期",C2309*G2309*2.5*F2309/10,C2309*G2309*H2309/30*F2309)</f>
        <v>1500</v>
      </c>
      <c r="J2309" s="115">
        <f t="shared" ref="J2309:J2316" si="118">IF(H2309="分期",C2309*(G2309-0.025)*2.5*F2309/10,C2309*(G2309-0.025)*H2309/30*F2309)</f>
        <v>874.99999999999977</v>
      </c>
    </row>
    <row r="2310" spans="1:10" s="99" customFormat="1">
      <c r="A2310" s="111"/>
      <c r="B2310" s="111"/>
      <c r="C2310" s="115">
        <v>10000</v>
      </c>
      <c r="D2310" s="104" t="s">
        <v>1714</v>
      </c>
      <c r="E2310" s="115">
        <v>375</v>
      </c>
      <c r="F2310" s="102">
        <v>8</v>
      </c>
      <c r="G2310" s="208">
        <v>7.4999999999999997E-2</v>
      </c>
      <c r="H2310" s="102">
        <v>15</v>
      </c>
      <c r="I2310" s="115">
        <f t="shared" si="117"/>
        <v>3000</v>
      </c>
      <c r="J2310" s="115">
        <f t="shared" si="118"/>
        <v>1999.9999999999998</v>
      </c>
    </row>
    <row r="2311" spans="1:10" s="99" customFormat="1">
      <c r="A2311" s="111"/>
      <c r="B2311" s="111"/>
      <c r="C2311" s="115">
        <v>50000</v>
      </c>
      <c r="D2311" s="104" t="s">
        <v>2622</v>
      </c>
      <c r="E2311" s="115">
        <v>1875</v>
      </c>
      <c r="F2311" s="102">
        <v>7</v>
      </c>
      <c r="G2311" s="208">
        <v>7.4999999999999997E-2</v>
      </c>
      <c r="H2311" s="102">
        <v>15</v>
      </c>
      <c r="I2311" s="115">
        <f t="shared" si="117"/>
        <v>13125</v>
      </c>
      <c r="J2311" s="115">
        <f t="shared" si="118"/>
        <v>8750</v>
      </c>
    </row>
    <row r="2312" spans="1:10" s="99" customFormat="1">
      <c r="A2312" s="111"/>
      <c r="B2312" s="111"/>
      <c r="C2312" s="115">
        <v>10000</v>
      </c>
      <c r="D2312" s="104" t="s">
        <v>1976</v>
      </c>
      <c r="E2312" s="115">
        <v>1150</v>
      </c>
      <c r="F2312" s="102">
        <v>10</v>
      </c>
      <c r="G2312" s="208">
        <v>0.06</v>
      </c>
      <c r="H2312" s="102" t="s">
        <v>664</v>
      </c>
      <c r="I2312" s="115">
        <f t="shared" si="117"/>
        <v>1500</v>
      </c>
      <c r="J2312" s="115">
        <f t="shared" si="118"/>
        <v>874.99999999999977</v>
      </c>
    </row>
    <row r="2313" spans="1:10" s="99" customFormat="1">
      <c r="A2313" s="111"/>
      <c r="B2313" s="111"/>
      <c r="C2313" s="115">
        <v>10000</v>
      </c>
      <c r="D2313" s="104" t="s">
        <v>1717</v>
      </c>
      <c r="E2313" s="115">
        <v>1150</v>
      </c>
      <c r="F2313" s="102">
        <v>1</v>
      </c>
      <c r="G2313" s="208">
        <v>0.06</v>
      </c>
      <c r="H2313" s="102" t="s">
        <v>664</v>
      </c>
      <c r="I2313" s="115">
        <f t="shared" si="117"/>
        <v>150</v>
      </c>
      <c r="J2313" s="115">
        <f t="shared" si="118"/>
        <v>87.499999999999986</v>
      </c>
    </row>
    <row r="2314" spans="1:10" s="99" customFormat="1">
      <c r="A2314" s="111">
        <v>315</v>
      </c>
      <c r="B2314" s="111" t="s">
        <v>3419</v>
      </c>
      <c r="C2314" s="115">
        <v>10000</v>
      </c>
      <c r="D2314" s="104" t="s">
        <v>1533</v>
      </c>
      <c r="E2314" s="115">
        <v>375</v>
      </c>
      <c r="F2314" s="102">
        <v>18</v>
      </c>
      <c r="G2314" s="208">
        <v>7.4999999999999997E-2</v>
      </c>
      <c r="H2314" s="102">
        <v>15</v>
      </c>
      <c r="I2314" s="115">
        <f t="shared" si="117"/>
        <v>6750</v>
      </c>
      <c r="J2314" s="115">
        <f t="shared" si="118"/>
        <v>4499.9999999999991</v>
      </c>
    </row>
    <row r="2315" spans="1:10" s="99" customFormat="1">
      <c r="A2315" s="111"/>
      <c r="B2315" s="111"/>
      <c r="C2315" s="115">
        <v>10000</v>
      </c>
      <c r="D2315" s="104" t="s">
        <v>1533</v>
      </c>
      <c r="E2315" s="115">
        <v>1150</v>
      </c>
      <c r="F2315" s="102">
        <v>10</v>
      </c>
      <c r="G2315" s="208">
        <v>0.06</v>
      </c>
      <c r="H2315" s="102" t="s">
        <v>664</v>
      </c>
      <c r="I2315" s="115">
        <f t="shared" si="117"/>
        <v>1500</v>
      </c>
      <c r="J2315" s="115">
        <f t="shared" si="118"/>
        <v>874.99999999999977</v>
      </c>
    </row>
    <row r="2316" spans="1:10" s="99" customFormat="1">
      <c r="A2316" s="111"/>
      <c r="B2316" s="111"/>
      <c r="C2316" s="115">
        <v>20000</v>
      </c>
      <c r="D2316" s="104" t="s">
        <v>1002</v>
      </c>
      <c r="E2316" s="115">
        <v>750</v>
      </c>
      <c r="F2316" s="102">
        <v>5</v>
      </c>
      <c r="G2316" s="208">
        <v>7.4999999999999997E-2</v>
      </c>
      <c r="H2316" s="102">
        <v>15</v>
      </c>
      <c r="I2316" s="115">
        <f t="shared" si="117"/>
        <v>3750</v>
      </c>
      <c r="J2316" s="115">
        <f t="shared" si="118"/>
        <v>2499.9999999999995</v>
      </c>
    </row>
    <row r="2317" spans="1:10" s="99" customFormat="1">
      <c r="A2317" s="111"/>
      <c r="B2317" s="111"/>
      <c r="C2317" s="115">
        <v>2000</v>
      </c>
      <c r="D2317" s="104" t="s">
        <v>985</v>
      </c>
      <c r="E2317" s="115">
        <v>1150</v>
      </c>
      <c r="F2317" s="102">
        <v>2</v>
      </c>
      <c r="G2317" s="208">
        <v>0.3</v>
      </c>
      <c r="H2317" s="130" t="s">
        <v>355</v>
      </c>
      <c r="I2317" s="115">
        <f>IF(H2317="分期-2期",C2317*G2317*2.5*F2317/10,C2317*G2317*H2317/30*F2317)</f>
        <v>300</v>
      </c>
      <c r="J2317" s="115">
        <f>IF(H2317="分期-2期",C2317*(G2317-0.025)*2.5*F2317/10,C2317*(G2317-0.025)*H2317/30*F2317)</f>
        <v>274.99999999999994</v>
      </c>
    </row>
    <row r="2318" spans="1:10" s="99" customFormat="1">
      <c r="A2318" s="111"/>
      <c r="B2318" s="111"/>
      <c r="C2318" s="115">
        <v>20000</v>
      </c>
      <c r="D2318" s="104" t="s">
        <v>441</v>
      </c>
      <c r="E2318" s="115">
        <v>2300</v>
      </c>
      <c r="F2318" s="102">
        <v>7</v>
      </c>
      <c r="G2318" s="208">
        <v>0.06</v>
      </c>
      <c r="H2318" s="102" t="s">
        <v>664</v>
      </c>
      <c r="I2318" s="115">
        <f t="shared" ref="I2318:I2381" si="119">IF(H2318="分期",C2318*G2318*2.5*F2318/10,C2318*G2318*H2318/30*F2318)</f>
        <v>2100</v>
      </c>
      <c r="J2318" s="115">
        <f t="shared" ref="J2318:J2381" si="120">IF(H2318="分期",C2318*(G2318-0.025)*2.5*F2318/10,C2318*(G2318-0.025)*H2318/30*F2318)</f>
        <v>1224.9999999999998</v>
      </c>
    </row>
    <row r="2319" spans="1:10" s="99" customFormat="1">
      <c r="A2319" s="111"/>
      <c r="B2319" s="111"/>
      <c r="C2319" s="115">
        <v>10000</v>
      </c>
      <c r="D2319" s="104" t="s">
        <v>984</v>
      </c>
      <c r="E2319" s="115">
        <v>1150</v>
      </c>
      <c r="F2319" s="102">
        <v>8</v>
      </c>
      <c r="G2319" s="208">
        <v>0.06</v>
      </c>
      <c r="H2319" s="102" t="s">
        <v>664</v>
      </c>
      <c r="I2319" s="115">
        <f t="shared" si="119"/>
        <v>1200</v>
      </c>
      <c r="J2319" s="115">
        <f t="shared" si="120"/>
        <v>699.99999999999989</v>
      </c>
    </row>
    <row r="2320" spans="1:10" s="99" customFormat="1">
      <c r="A2320" s="111"/>
      <c r="B2320" s="111"/>
      <c r="C2320" s="115">
        <v>20000</v>
      </c>
      <c r="D2320" s="104" t="s">
        <v>3158</v>
      </c>
      <c r="E2320" s="115">
        <v>2300</v>
      </c>
      <c r="F2320" s="102">
        <v>10</v>
      </c>
      <c r="G2320" s="208">
        <v>0.06</v>
      </c>
      <c r="H2320" s="102" t="s">
        <v>664</v>
      </c>
      <c r="I2320" s="115">
        <f t="shared" si="119"/>
        <v>3000</v>
      </c>
      <c r="J2320" s="115">
        <f t="shared" si="120"/>
        <v>1749.9999999999995</v>
      </c>
    </row>
    <row r="2321" spans="1:10" s="99" customFormat="1">
      <c r="A2321" s="111"/>
      <c r="B2321" s="111"/>
      <c r="C2321" s="115">
        <v>20000</v>
      </c>
      <c r="D2321" s="104" t="s">
        <v>454</v>
      </c>
      <c r="E2321" s="115">
        <v>2300</v>
      </c>
      <c r="F2321" s="102">
        <v>10</v>
      </c>
      <c r="G2321" s="208">
        <v>0.06</v>
      </c>
      <c r="H2321" s="102" t="s">
        <v>664</v>
      </c>
      <c r="I2321" s="115">
        <f t="shared" si="119"/>
        <v>3000</v>
      </c>
      <c r="J2321" s="115">
        <f t="shared" si="120"/>
        <v>1749.9999999999995</v>
      </c>
    </row>
    <row r="2322" spans="1:10" s="99" customFormat="1">
      <c r="A2322" s="111"/>
      <c r="B2322" s="111"/>
      <c r="C2322" s="115">
        <v>20000</v>
      </c>
      <c r="D2322" s="104" t="s">
        <v>985</v>
      </c>
      <c r="E2322" s="115">
        <v>750</v>
      </c>
      <c r="F2322" s="102">
        <v>13</v>
      </c>
      <c r="G2322" s="208">
        <v>7.4999999999999997E-2</v>
      </c>
      <c r="H2322" s="102">
        <v>15</v>
      </c>
      <c r="I2322" s="115">
        <f t="shared" si="119"/>
        <v>9750</v>
      </c>
      <c r="J2322" s="115">
        <f t="shared" si="120"/>
        <v>6499.9999999999991</v>
      </c>
    </row>
    <row r="2323" spans="1:10" s="99" customFormat="1">
      <c r="A2323" s="111"/>
      <c r="B2323" s="111"/>
      <c r="C2323" s="115">
        <v>20000</v>
      </c>
      <c r="D2323" s="104" t="s">
        <v>2121</v>
      </c>
      <c r="E2323" s="115">
        <v>750</v>
      </c>
      <c r="F2323" s="102">
        <v>13</v>
      </c>
      <c r="G2323" s="208">
        <v>7.4999999999999997E-2</v>
      </c>
      <c r="H2323" s="102">
        <v>15</v>
      </c>
      <c r="I2323" s="115">
        <f t="shared" si="119"/>
        <v>9750</v>
      </c>
      <c r="J2323" s="115">
        <f t="shared" si="120"/>
        <v>6499.9999999999991</v>
      </c>
    </row>
    <row r="2324" spans="1:10" s="99" customFormat="1">
      <c r="A2324" s="111"/>
      <c r="B2324" s="111"/>
      <c r="C2324" s="115">
        <v>20000</v>
      </c>
      <c r="D2324" s="104" t="s">
        <v>3122</v>
      </c>
      <c r="E2324" s="115">
        <v>2300</v>
      </c>
      <c r="F2324" s="102">
        <v>10</v>
      </c>
      <c r="G2324" s="208">
        <v>0.06</v>
      </c>
      <c r="H2324" s="102" t="s">
        <v>664</v>
      </c>
      <c r="I2324" s="115">
        <f t="shared" si="119"/>
        <v>3000</v>
      </c>
      <c r="J2324" s="115">
        <f t="shared" si="120"/>
        <v>1749.9999999999995</v>
      </c>
    </row>
    <row r="2325" spans="1:10" s="99" customFormat="1">
      <c r="A2325" s="111"/>
      <c r="B2325" s="111"/>
      <c r="C2325" s="115">
        <v>20000</v>
      </c>
      <c r="D2325" s="104" t="s">
        <v>1727</v>
      </c>
      <c r="E2325" s="115">
        <v>750</v>
      </c>
      <c r="F2325" s="102">
        <v>5</v>
      </c>
      <c r="G2325" s="208">
        <v>7.4999999999999997E-2</v>
      </c>
      <c r="H2325" s="102">
        <v>15</v>
      </c>
      <c r="I2325" s="115">
        <f t="shared" si="119"/>
        <v>3750</v>
      </c>
      <c r="J2325" s="115">
        <f t="shared" si="120"/>
        <v>2499.9999999999995</v>
      </c>
    </row>
    <row r="2326" spans="1:10" s="99" customFormat="1">
      <c r="A2326" s="111"/>
      <c r="B2326" s="111"/>
      <c r="C2326" s="115">
        <v>10000</v>
      </c>
      <c r="D2326" s="104" t="s">
        <v>3175</v>
      </c>
      <c r="E2326" s="115">
        <v>1150</v>
      </c>
      <c r="F2326" s="102">
        <v>2</v>
      </c>
      <c r="G2326" s="208">
        <v>0.06</v>
      </c>
      <c r="H2326" s="102" t="s">
        <v>664</v>
      </c>
      <c r="I2326" s="115">
        <f t="shared" si="119"/>
        <v>300</v>
      </c>
      <c r="J2326" s="115">
        <f t="shared" si="120"/>
        <v>174.99999999999997</v>
      </c>
    </row>
    <row r="2327" spans="1:10" s="99" customFormat="1">
      <c r="A2327" s="111">
        <v>316</v>
      </c>
      <c r="B2327" s="132" t="s">
        <v>372</v>
      </c>
      <c r="C2327" s="115">
        <v>20000</v>
      </c>
      <c r="D2327" s="104" t="s">
        <v>1981</v>
      </c>
      <c r="E2327" s="115">
        <v>750</v>
      </c>
      <c r="F2327" s="102">
        <v>12</v>
      </c>
      <c r="G2327" s="208">
        <v>7.4999999999999997E-2</v>
      </c>
      <c r="H2327" s="102">
        <v>15</v>
      </c>
      <c r="I2327" s="115">
        <f t="shared" si="119"/>
        <v>9000</v>
      </c>
      <c r="J2327" s="115">
        <f t="shared" si="120"/>
        <v>5999.9999999999991</v>
      </c>
    </row>
    <row r="2328" spans="1:10" s="99" customFormat="1">
      <c r="A2328" s="111"/>
      <c r="B2328" s="111"/>
      <c r="C2328" s="115">
        <v>10000</v>
      </c>
      <c r="D2328" s="104" t="s">
        <v>1981</v>
      </c>
      <c r="E2328" s="115">
        <v>1150</v>
      </c>
      <c r="F2328" s="102">
        <v>10</v>
      </c>
      <c r="G2328" s="208">
        <v>0.06</v>
      </c>
      <c r="H2328" s="102" t="s">
        <v>664</v>
      </c>
      <c r="I2328" s="115">
        <f t="shared" si="119"/>
        <v>1500</v>
      </c>
      <c r="J2328" s="115">
        <f t="shared" si="120"/>
        <v>874.99999999999977</v>
      </c>
    </row>
    <row r="2329" spans="1:10" s="99" customFormat="1">
      <c r="A2329" s="111"/>
      <c r="B2329" s="111"/>
      <c r="C2329" s="115">
        <v>10000</v>
      </c>
      <c r="D2329" s="104" t="s">
        <v>442</v>
      </c>
      <c r="E2329" s="115">
        <v>1150</v>
      </c>
      <c r="F2329" s="102">
        <v>10</v>
      </c>
      <c r="G2329" s="208">
        <v>0.06</v>
      </c>
      <c r="H2329" s="102" t="s">
        <v>664</v>
      </c>
      <c r="I2329" s="115">
        <f t="shared" si="119"/>
        <v>1500</v>
      </c>
      <c r="J2329" s="115">
        <f t="shared" si="120"/>
        <v>874.99999999999977</v>
      </c>
    </row>
    <row r="2330" spans="1:10" s="99" customFormat="1">
      <c r="A2330" s="111"/>
      <c r="B2330" s="111"/>
      <c r="C2330" s="115">
        <v>10000</v>
      </c>
      <c r="D2330" s="104" t="s">
        <v>422</v>
      </c>
      <c r="E2330" s="115">
        <v>1150</v>
      </c>
      <c r="F2330" s="102">
        <v>10</v>
      </c>
      <c r="G2330" s="208">
        <v>0.06</v>
      </c>
      <c r="H2330" s="102" t="s">
        <v>664</v>
      </c>
      <c r="I2330" s="115">
        <f t="shared" si="119"/>
        <v>1500</v>
      </c>
      <c r="J2330" s="115">
        <f t="shared" si="120"/>
        <v>874.99999999999977</v>
      </c>
    </row>
    <row r="2331" spans="1:10" s="99" customFormat="1">
      <c r="A2331" s="111"/>
      <c r="B2331" s="111"/>
      <c r="C2331" s="115">
        <v>10000</v>
      </c>
      <c r="D2331" s="104" t="s">
        <v>3125</v>
      </c>
      <c r="E2331" s="115">
        <v>1150</v>
      </c>
      <c r="F2331" s="102">
        <v>10</v>
      </c>
      <c r="G2331" s="208">
        <v>0.06</v>
      </c>
      <c r="H2331" s="102" t="s">
        <v>664</v>
      </c>
      <c r="I2331" s="115">
        <f t="shared" si="119"/>
        <v>1500</v>
      </c>
      <c r="J2331" s="115">
        <f t="shared" si="120"/>
        <v>874.99999999999977</v>
      </c>
    </row>
    <row r="2332" spans="1:10" s="99" customFormat="1">
      <c r="A2332" s="111"/>
      <c r="B2332" s="111"/>
      <c r="C2332" s="115">
        <v>30000</v>
      </c>
      <c r="D2332" s="104" t="s">
        <v>3125</v>
      </c>
      <c r="E2332" s="115">
        <v>1125</v>
      </c>
      <c r="F2332" s="102">
        <v>4</v>
      </c>
      <c r="G2332" s="208">
        <v>7.4999999999999997E-2</v>
      </c>
      <c r="H2332" s="102">
        <v>15</v>
      </c>
      <c r="I2332" s="115">
        <f t="shared" si="119"/>
        <v>4500</v>
      </c>
      <c r="J2332" s="115">
        <f t="shared" si="120"/>
        <v>2999.9999999999995</v>
      </c>
    </row>
    <row r="2333" spans="1:10" s="99" customFormat="1">
      <c r="A2333" s="111">
        <v>317</v>
      </c>
      <c r="B2333" s="111" t="s">
        <v>3420</v>
      </c>
      <c r="C2333" s="115">
        <v>30000</v>
      </c>
      <c r="D2333" s="104" t="s">
        <v>461</v>
      </c>
      <c r="E2333" s="115">
        <v>1125</v>
      </c>
      <c r="F2333" s="102">
        <v>14</v>
      </c>
      <c r="G2333" s="208">
        <v>7.4999999999999997E-2</v>
      </c>
      <c r="H2333" s="102">
        <v>15</v>
      </c>
      <c r="I2333" s="115">
        <f t="shared" si="119"/>
        <v>15750</v>
      </c>
      <c r="J2333" s="115">
        <f t="shared" si="120"/>
        <v>10499.999999999998</v>
      </c>
    </row>
    <row r="2334" spans="1:10" s="99" customFormat="1">
      <c r="A2334" s="111">
        <v>318</v>
      </c>
      <c r="B2334" s="111" t="s">
        <v>3421</v>
      </c>
      <c r="C2334" s="115">
        <v>50000</v>
      </c>
      <c r="D2334" s="104" t="s">
        <v>461</v>
      </c>
      <c r="E2334" s="115">
        <v>5750</v>
      </c>
      <c r="F2334" s="102">
        <v>10</v>
      </c>
      <c r="G2334" s="208">
        <v>0.06</v>
      </c>
      <c r="H2334" s="102" t="s">
        <v>664</v>
      </c>
      <c r="I2334" s="115">
        <f t="shared" si="119"/>
        <v>7500</v>
      </c>
      <c r="J2334" s="115">
        <f t="shared" si="120"/>
        <v>4374.9999999999991</v>
      </c>
    </row>
    <row r="2335" spans="1:10" s="99" customFormat="1">
      <c r="A2335" s="111"/>
      <c r="B2335" s="111"/>
      <c r="C2335" s="115">
        <v>50000</v>
      </c>
      <c r="D2335" s="104" t="s">
        <v>651</v>
      </c>
      <c r="E2335" s="115">
        <v>5750</v>
      </c>
      <c r="F2335" s="102">
        <v>10</v>
      </c>
      <c r="G2335" s="208">
        <v>0.06</v>
      </c>
      <c r="H2335" s="102" t="s">
        <v>664</v>
      </c>
      <c r="I2335" s="115">
        <f t="shared" si="119"/>
        <v>7500</v>
      </c>
      <c r="J2335" s="115">
        <f t="shared" si="120"/>
        <v>4374.9999999999991</v>
      </c>
    </row>
    <row r="2336" spans="1:10" s="99" customFormat="1">
      <c r="A2336" s="111"/>
      <c r="B2336" s="111"/>
      <c r="C2336" s="115">
        <v>50000</v>
      </c>
      <c r="D2336" s="129" t="s">
        <v>373</v>
      </c>
      <c r="E2336" s="115">
        <v>5750</v>
      </c>
      <c r="F2336" s="102">
        <v>10</v>
      </c>
      <c r="G2336" s="208">
        <v>0.06</v>
      </c>
      <c r="H2336" s="102" t="s">
        <v>664</v>
      </c>
      <c r="I2336" s="115">
        <f t="shared" si="119"/>
        <v>7500</v>
      </c>
      <c r="J2336" s="115">
        <f t="shared" si="120"/>
        <v>4374.9999999999991</v>
      </c>
    </row>
    <row r="2337" spans="1:10" s="99" customFormat="1">
      <c r="A2337" s="111"/>
      <c r="B2337" s="111"/>
      <c r="C2337" s="115">
        <v>50000</v>
      </c>
      <c r="D2337" s="104" t="s">
        <v>422</v>
      </c>
      <c r="E2337" s="115">
        <v>5750</v>
      </c>
      <c r="F2337" s="102">
        <v>10</v>
      </c>
      <c r="G2337" s="208">
        <v>0.06</v>
      </c>
      <c r="H2337" s="102" t="s">
        <v>664</v>
      </c>
      <c r="I2337" s="115">
        <f t="shared" si="119"/>
        <v>7500</v>
      </c>
      <c r="J2337" s="115">
        <f t="shared" si="120"/>
        <v>4374.9999999999991</v>
      </c>
    </row>
    <row r="2338" spans="1:10" s="99" customFormat="1">
      <c r="A2338" s="111"/>
      <c r="B2338" s="111"/>
      <c r="C2338" s="115">
        <v>50000</v>
      </c>
      <c r="D2338" s="129" t="s">
        <v>374</v>
      </c>
      <c r="E2338" s="115">
        <v>5750</v>
      </c>
      <c r="F2338" s="102">
        <v>10</v>
      </c>
      <c r="G2338" s="208">
        <v>0.06</v>
      </c>
      <c r="H2338" s="102" t="s">
        <v>664</v>
      </c>
      <c r="I2338" s="115">
        <f t="shared" si="119"/>
        <v>7500</v>
      </c>
      <c r="J2338" s="115">
        <f t="shared" si="120"/>
        <v>4374.9999999999991</v>
      </c>
    </row>
    <row r="2339" spans="1:10" s="99" customFormat="1">
      <c r="A2339" s="111">
        <v>319</v>
      </c>
      <c r="B2339" s="111" t="s">
        <v>3422</v>
      </c>
      <c r="C2339" s="115">
        <v>50000</v>
      </c>
      <c r="D2339" s="104" t="s">
        <v>461</v>
      </c>
      <c r="E2339" s="115">
        <v>1875</v>
      </c>
      <c r="F2339" s="102">
        <v>7</v>
      </c>
      <c r="G2339" s="208">
        <v>7.4999999999999997E-2</v>
      </c>
      <c r="H2339" s="102">
        <v>15</v>
      </c>
      <c r="I2339" s="115">
        <f t="shared" si="119"/>
        <v>13125</v>
      </c>
      <c r="J2339" s="115">
        <f t="shared" si="120"/>
        <v>8750</v>
      </c>
    </row>
    <row r="2340" spans="1:10" s="99" customFormat="1">
      <c r="A2340" s="111">
        <v>320</v>
      </c>
      <c r="B2340" s="111" t="s">
        <v>3423</v>
      </c>
      <c r="C2340" s="115">
        <v>20000</v>
      </c>
      <c r="D2340" s="104" t="s">
        <v>266</v>
      </c>
      <c r="E2340" s="115">
        <v>2300</v>
      </c>
      <c r="F2340" s="102">
        <v>10</v>
      </c>
      <c r="G2340" s="208">
        <v>0.06</v>
      </c>
      <c r="H2340" s="102" t="s">
        <v>664</v>
      </c>
      <c r="I2340" s="115">
        <f t="shared" si="119"/>
        <v>3000</v>
      </c>
      <c r="J2340" s="115">
        <f t="shared" si="120"/>
        <v>1749.9999999999995</v>
      </c>
    </row>
    <row r="2341" spans="1:10" s="99" customFormat="1">
      <c r="A2341" s="111"/>
      <c r="B2341" s="111"/>
      <c r="C2341" s="115">
        <v>10000</v>
      </c>
      <c r="D2341" s="104" t="s">
        <v>3129</v>
      </c>
      <c r="E2341" s="115">
        <v>375</v>
      </c>
      <c r="F2341" s="102">
        <v>13</v>
      </c>
      <c r="G2341" s="208">
        <v>7.4999999999999997E-2</v>
      </c>
      <c r="H2341" s="102">
        <v>15</v>
      </c>
      <c r="I2341" s="115">
        <f t="shared" si="119"/>
        <v>4875</v>
      </c>
      <c r="J2341" s="115">
        <f t="shared" si="120"/>
        <v>3249.9999999999995</v>
      </c>
    </row>
    <row r="2342" spans="1:10" s="99" customFormat="1">
      <c r="A2342" s="111"/>
      <c r="B2342" s="111"/>
      <c r="C2342" s="115">
        <v>20000</v>
      </c>
      <c r="D2342" s="104" t="s">
        <v>1521</v>
      </c>
      <c r="E2342" s="115">
        <v>2300</v>
      </c>
      <c r="F2342" s="102">
        <v>10</v>
      </c>
      <c r="G2342" s="208">
        <v>0.06</v>
      </c>
      <c r="H2342" s="102" t="s">
        <v>664</v>
      </c>
      <c r="I2342" s="115">
        <f t="shared" si="119"/>
        <v>3000</v>
      </c>
      <c r="J2342" s="115">
        <f t="shared" si="120"/>
        <v>1749.9999999999995</v>
      </c>
    </row>
    <row r="2343" spans="1:10" s="99" customFormat="1">
      <c r="A2343" s="111"/>
      <c r="B2343" s="111"/>
      <c r="C2343" s="115">
        <v>20000</v>
      </c>
      <c r="D2343" s="104" t="s">
        <v>251</v>
      </c>
      <c r="E2343" s="115">
        <v>2300</v>
      </c>
      <c r="F2343" s="102">
        <v>7</v>
      </c>
      <c r="G2343" s="208">
        <v>0.06</v>
      </c>
      <c r="H2343" s="102" t="s">
        <v>664</v>
      </c>
      <c r="I2343" s="115">
        <f t="shared" si="119"/>
        <v>2100</v>
      </c>
      <c r="J2343" s="115">
        <f t="shared" si="120"/>
        <v>1224.9999999999998</v>
      </c>
    </row>
    <row r="2344" spans="1:10" s="99" customFormat="1">
      <c r="A2344" s="111"/>
      <c r="B2344" s="111"/>
      <c r="C2344" s="115">
        <v>20000</v>
      </c>
      <c r="D2344" s="104" t="s">
        <v>454</v>
      </c>
      <c r="E2344" s="115">
        <v>2300</v>
      </c>
      <c r="F2344" s="102">
        <v>10</v>
      </c>
      <c r="G2344" s="208">
        <v>0.06</v>
      </c>
      <c r="H2344" s="102" t="s">
        <v>664</v>
      </c>
      <c r="I2344" s="115">
        <f t="shared" si="119"/>
        <v>3000</v>
      </c>
      <c r="J2344" s="115">
        <f t="shared" si="120"/>
        <v>1749.9999999999995</v>
      </c>
    </row>
    <row r="2345" spans="1:10" s="99" customFormat="1">
      <c r="A2345" s="111"/>
      <c r="B2345" s="111"/>
      <c r="C2345" s="115">
        <v>20000</v>
      </c>
      <c r="D2345" s="104" t="s">
        <v>1976</v>
      </c>
      <c r="E2345" s="115">
        <v>2300</v>
      </c>
      <c r="F2345" s="102">
        <v>7</v>
      </c>
      <c r="G2345" s="208">
        <v>0.06</v>
      </c>
      <c r="H2345" s="102" t="s">
        <v>664</v>
      </c>
      <c r="I2345" s="115">
        <f t="shared" si="119"/>
        <v>2100</v>
      </c>
      <c r="J2345" s="115">
        <f t="shared" si="120"/>
        <v>1224.9999999999998</v>
      </c>
    </row>
    <row r="2346" spans="1:10" s="99" customFormat="1">
      <c r="A2346" s="111"/>
      <c r="B2346" s="111"/>
      <c r="C2346" s="115">
        <v>40000</v>
      </c>
      <c r="D2346" s="104" t="s">
        <v>991</v>
      </c>
      <c r="E2346" s="115">
        <v>4600</v>
      </c>
      <c r="F2346" s="102">
        <v>10</v>
      </c>
      <c r="G2346" s="208">
        <v>0.06</v>
      </c>
      <c r="H2346" s="102" t="s">
        <v>664</v>
      </c>
      <c r="I2346" s="115">
        <f t="shared" si="119"/>
        <v>6000</v>
      </c>
      <c r="J2346" s="115">
        <f t="shared" si="120"/>
        <v>3499.9999999999991</v>
      </c>
    </row>
    <row r="2347" spans="1:10" s="99" customFormat="1">
      <c r="A2347" s="111"/>
      <c r="B2347" s="111"/>
      <c r="C2347" s="115">
        <v>40000</v>
      </c>
      <c r="D2347" s="104" t="s">
        <v>995</v>
      </c>
      <c r="E2347" s="115">
        <v>4600</v>
      </c>
      <c r="F2347" s="102">
        <v>6</v>
      </c>
      <c r="G2347" s="208">
        <v>0.06</v>
      </c>
      <c r="H2347" s="102" t="s">
        <v>664</v>
      </c>
      <c r="I2347" s="115">
        <f t="shared" si="119"/>
        <v>3600</v>
      </c>
      <c r="J2347" s="115">
        <f t="shared" si="120"/>
        <v>2099.9999999999995</v>
      </c>
    </row>
    <row r="2348" spans="1:10" s="99" customFormat="1">
      <c r="A2348" s="111">
        <v>321</v>
      </c>
      <c r="B2348" s="111" t="s">
        <v>2321</v>
      </c>
      <c r="C2348" s="115">
        <v>90000</v>
      </c>
      <c r="D2348" s="104" t="s">
        <v>2322</v>
      </c>
      <c r="E2348" s="115">
        <v>3375</v>
      </c>
      <c r="F2348" s="102">
        <v>15</v>
      </c>
      <c r="G2348" s="208">
        <v>7.4999999999999997E-2</v>
      </c>
      <c r="H2348" s="102">
        <v>15</v>
      </c>
      <c r="I2348" s="115">
        <f t="shared" si="119"/>
        <v>50625</v>
      </c>
      <c r="J2348" s="115">
        <f t="shared" si="120"/>
        <v>33750</v>
      </c>
    </row>
    <row r="2349" spans="1:10" s="99" customFormat="1">
      <c r="A2349" s="111"/>
      <c r="B2349" s="111"/>
      <c r="C2349" s="115">
        <v>50000</v>
      </c>
      <c r="D2349" s="104" t="s">
        <v>467</v>
      </c>
      <c r="E2349" s="115">
        <v>1875</v>
      </c>
      <c r="F2349" s="102">
        <v>4</v>
      </c>
      <c r="G2349" s="208">
        <v>7.4999999999999997E-2</v>
      </c>
      <c r="H2349" s="102">
        <v>15</v>
      </c>
      <c r="I2349" s="115">
        <f t="shared" si="119"/>
        <v>7500</v>
      </c>
      <c r="J2349" s="115">
        <f t="shared" si="120"/>
        <v>5000</v>
      </c>
    </row>
    <row r="2350" spans="1:10" s="99" customFormat="1">
      <c r="A2350" s="111"/>
      <c r="B2350" s="111"/>
      <c r="C2350" s="115">
        <v>30000</v>
      </c>
      <c r="D2350" s="104" t="s">
        <v>2196</v>
      </c>
      <c r="E2350" s="115">
        <v>1125</v>
      </c>
      <c r="F2350" s="102">
        <v>1</v>
      </c>
      <c r="G2350" s="208">
        <v>7.4999999999999997E-2</v>
      </c>
      <c r="H2350" s="102">
        <v>15</v>
      </c>
      <c r="I2350" s="115">
        <f t="shared" si="119"/>
        <v>1125</v>
      </c>
      <c r="J2350" s="115">
        <f t="shared" si="120"/>
        <v>749.99999999999989</v>
      </c>
    </row>
    <row r="2351" spans="1:10" s="99" customFormat="1">
      <c r="A2351" s="111"/>
      <c r="B2351" s="111"/>
      <c r="C2351" s="115">
        <v>30000</v>
      </c>
      <c r="D2351" s="104" t="s">
        <v>686</v>
      </c>
      <c r="E2351" s="115">
        <v>1125</v>
      </c>
      <c r="F2351" s="102">
        <v>9</v>
      </c>
      <c r="G2351" s="208">
        <v>7.4999999999999997E-2</v>
      </c>
      <c r="H2351" s="102">
        <v>15</v>
      </c>
      <c r="I2351" s="115">
        <f t="shared" si="119"/>
        <v>10125</v>
      </c>
      <c r="J2351" s="115">
        <f t="shared" si="120"/>
        <v>6749.9999999999991</v>
      </c>
    </row>
    <row r="2352" spans="1:10" s="99" customFormat="1">
      <c r="A2352" s="111"/>
      <c r="B2352" s="111"/>
      <c r="C2352" s="115">
        <v>30000</v>
      </c>
      <c r="D2352" s="104" t="s">
        <v>687</v>
      </c>
      <c r="E2352" s="115">
        <v>3450</v>
      </c>
      <c r="F2352" s="102">
        <v>10</v>
      </c>
      <c r="G2352" s="208">
        <v>0.06</v>
      </c>
      <c r="H2352" s="102" t="s">
        <v>664</v>
      </c>
      <c r="I2352" s="115">
        <f t="shared" si="119"/>
        <v>4500</v>
      </c>
      <c r="J2352" s="115">
        <f t="shared" si="120"/>
        <v>2625</v>
      </c>
    </row>
    <row r="2353" spans="1:10" s="99" customFormat="1">
      <c r="A2353" s="111">
        <v>322</v>
      </c>
      <c r="B2353" s="111" t="s">
        <v>2324</v>
      </c>
      <c r="C2353" s="115">
        <v>20000</v>
      </c>
      <c r="D2353" s="104" t="s">
        <v>1714</v>
      </c>
      <c r="E2353" s="115">
        <v>750</v>
      </c>
      <c r="F2353" s="102">
        <v>5</v>
      </c>
      <c r="G2353" s="208">
        <v>7.4999999999999997E-2</v>
      </c>
      <c r="H2353" s="102">
        <v>15</v>
      </c>
      <c r="I2353" s="115">
        <f t="shared" si="119"/>
        <v>3750</v>
      </c>
      <c r="J2353" s="115">
        <f t="shared" si="120"/>
        <v>2499.9999999999995</v>
      </c>
    </row>
    <row r="2354" spans="1:10" s="99" customFormat="1">
      <c r="A2354" s="111"/>
      <c r="B2354" s="111"/>
      <c r="C2354" s="115">
        <v>20000</v>
      </c>
      <c r="D2354" s="104" t="s">
        <v>251</v>
      </c>
      <c r="E2354" s="115">
        <v>750</v>
      </c>
      <c r="F2354" s="102">
        <v>3</v>
      </c>
      <c r="G2354" s="208">
        <v>7.4999999999999997E-2</v>
      </c>
      <c r="H2354" s="102">
        <v>15</v>
      </c>
      <c r="I2354" s="115">
        <f t="shared" si="119"/>
        <v>2250</v>
      </c>
      <c r="J2354" s="115">
        <f t="shared" si="120"/>
        <v>1499.9999999999998</v>
      </c>
    </row>
    <row r="2355" spans="1:10" s="99" customFormat="1">
      <c r="A2355" s="111"/>
      <c r="B2355" s="111"/>
      <c r="C2355" s="115">
        <v>100000</v>
      </c>
      <c r="D2355" s="104" t="s">
        <v>2325</v>
      </c>
      <c r="E2355" s="115">
        <v>3750</v>
      </c>
      <c r="F2355" s="102">
        <v>5</v>
      </c>
      <c r="G2355" s="208">
        <v>7.4999999999999997E-2</v>
      </c>
      <c r="H2355" s="102">
        <v>15</v>
      </c>
      <c r="I2355" s="115">
        <f t="shared" si="119"/>
        <v>18750</v>
      </c>
      <c r="J2355" s="115">
        <f t="shared" si="120"/>
        <v>12500</v>
      </c>
    </row>
    <row r="2356" spans="1:10" s="99" customFormat="1">
      <c r="A2356" s="111"/>
      <c r="B2356" s="111"/>
      <c r="C2356" s="115">
        <v>30000</v>
      </c>
      <c r="D2356" s="104" t="s">
        <v>489</v>
      </c>
      <c r="E2356" s="115">
        <v>1125</v>
      </c>
      <c r="F2356" s="102">
        <v>3</v>
      </c>
      <c r="G2356" s="208">
        <v>7.4999999999999997E-2</v>
      </c>
      <c r="H2356" s="102">
        <v>15</v>
      </c>
      <c r="I2356" s="115">
        <f t="shared" si="119"/>
        <v>3375</v>
      </c>
      <c r="J2356" s="115">
        <f t="shared" si="120"/>
        <v>2249.9999999999995</v>
      </c>
    </row>
    <row r="2357" spans="1:10" s="99" customFormat="1">
      <c r="A2357" s="111"/>
      <c r="B2357" s="111"/>
      <c r="C2357" s="115">
        <v>10000</v>
      </c>
      <c r="D2357" s="104" t="s">
        <v>489</v>
      </c>
      <c r="E2357" s="115">
        <v>1150</v>
      </c>
      <c r="F2357" s="102">
        <v>7</v>
      </c>
      <c r="G2357" s="208">
        <v>0.06</v>
      </c>
      <c r="H2357" s="102" t="s">
        <v>664</v>
      </c>
      <c r="I2357" s="115">
        <f t="shared" si="119"/>
        <v>1050</v>
      </c>
      <c r="J2357" s="115">
        <f t="shared" si="120"/>
        <v>612.49999999999989</v>
      </c>
    </row>
    <row r="2358" spans="1:10" s="99" customFormat="1">
      <c r="A2358" s="111">
        <v>323</v>
      </c>
      <c r="B2358" s="111" t="s">
        <v>2326</v>
      </c>
      <c r="C2358" s="115">
        <v>20000</v>
      </c>
      <c r="D2358" s="104" t="s">
        <v>684</v>
      </c>
      <c r="E2358" s="115">
        <v>750</v>
      </c>
      <c r="F2358" s="102">
        <v>12</v>
      </c>
      <c r="G2358" s="208">
        <v>7.4999999999999997E-2</v>
      </c>
      <c r="H2358" s="102">
        <v>15</v>
      </c>
      <c r="I2358" s="115">
        <f t="shared" si="119"/>
        <v>9000</v>
      </c>
      <c r="J2358" s="115">
        <f t="shared" si="120"/>
        <v>5999.9999999999991</v>
      </c>
    </row>
    <row r="2359" spans="1:10" s="99" customFormat="1">
      <c r="A2359" s="111"/>
      <c r="B2359" s="111"/>
      <c r="C2359" s="115">
        <v>20000</v>
      </c>
      <c r="D2359" s="104" t="s">
        <v>684</v>
      </c>
      <c r="E2359" s="115">
        <v>2300</v>
      </c>
      <c r="F2359" s="102">
        <v>10</v>
      </c>
      <c r="G2359" s="208">
        <v>0.06</v>
      </c>
      <c r="H2359" s="102" t="s">
        <v>664</v>
      </c>
      <c r="I2359" s="115">
        <f t="shared" si="119"/>
        <v>3000</v>
      </c>
      <c r="J2359" s="115">
        <f t="shared" si="120"/>
        <v>1749.9999999999995</v>
      </c>
    </row>
    <row r="2360" spans="1:10" s="99" customFormat="1">
      <c r="A2360" s="111"/>
      <c r="B2360" s="111"/>
      <c r="C2360" s="115">
        <v>20000</v>
      </c>
      <c r="D2360" s="104" t="s">
        <v>1517</v>
      </c>
      <c r="E2360" s="115">
        <v>2300</v>
      </c>
      <c r="F2360" s="102">
        <v>10</v>
      </c>
      <c r="G2360" s="208">
        <v>0.06</v>
      </c>
      <c r="H2360" s="102" t="s">
        <v>664</v>
      </c>
      <c r="I2360" s="115">
        <f t="shared" si="119"/>
        <v>3000</v>
      </c>
      <c r="J2360" s="115">
        <f t="shared" si="120"/>
        <v>1749.9999999999995</v>
      </c>
    </row>
    <row r="2361" spans="1:10" s="99" customFormat="1">
      <c r="A2361" s="111"/>
      <c r="B2361" s="111"/>
      <c r="C2361" s="115">
        <v>20000</v>
      </c>
      <c r="D2361" s="104" t="s">
        <v>417</v>
      </c>
      <c r="E2361" s="115">
        <v>2300</v>
      </c>
      <c r="F2361" s="102">
        <v>9</v>
      </c>
      <c r="G2361" s="208">
        <v>0.06</v>
      </c>
      <c r="H2361" s="102" t="s">
        <v>664</v>
      </c>
      <c r="I2361" s="115">
        <f t="shared" si="119"/>
        <v>2700</v>
      </c>
      <c r="J2361" s="115">
        <f t="shared" si="120"/>
        <v>1574.9999999999998</v>
      </c>
    </row>
    <row r="2362" spans="1:10" s="99" customFormat="1">
      <c r="A2362" s="111"/>
      <c r="B2362" s="111"/>
      <c r="C2362" s="115">
        <v>10000</v>
      </c>
      <c r="D2362" s="104" t="s">
        <v>2327</v>
      </c>
      <c r="E2362" s="115">
        <v>375</v>
      </c>
      <c r="F2362" s="102">
        <v>3</v>
      </c>
      <c r="G2362" s="208">
        <v>7.4999999999999997E-2</v>
      </c>
      <c r="H2362" s="102">
        <v>15</v>
      </c>
      <c r="I2362" s="115">
        <f t="shared" si="119"/>
        <v>1125</v>
      </c>
      <c r="J2362" s="115">
        <f t="shared" si="120"/>
        <v>749.99999999999989</v>
      </c>
    </row>
    <row r="2363" spans="1:10" s="99" customFormat="1">
      <c r="A2363" s="111"/>
      <c r="B2363" s="111"/>
      <c r="C2363" s="115">
        <v>20000</v>
      </c>
      <c r="D2363" s="104" t="s">
        <v>2328</v>
      </c>
      <c r="E2363" s="115">
        <v>2300</v>
      </c>
      <c r="F2363" s="102">
        <v>10</v>
      </c>
      <c r="G2363" s="208">
        <v>0.06</v>
      </c>
      <c r="H2363" s="102" t="s">
        <v>664</v>
      </c>
      <c r="I2363" s="115">
        <f t="shared" si="119"/>
        <v>3000</v>
      </c>
      <c r="J2363" s="115">
        <f t="shared" si="120"/>
        <v>1749.9999999999995</v>
      </c>
    </row>
    <row r="2364" spans="1:10" s="99" customFormat="1">
      <c r="A2364" s="111"/>
      <c r="B2364" s="111"/>
      <c r="C2364" s="115">
        <v>10000</v>
      </c>
      <c r="D2364" s="104" t="s">
        <v>2328</v>
      </c>
      <c r="E2364" s="115">
        <v>375</v>
      </c>
      <c r="F2364" s="102">
        <v>5</v>
      </c>
      <c r="G2364" s="208">
        <v>7.4999999999999997E-2</v>
      </c>
      <c r="H2364" s="102">
        <v>15</v>
      </c>
      <c r="I2364" s="115">
        <f t="shared" si="119"/>
        <v>1875</v>
      </c>
      <c r="J2364" s="115">
        <f t="shared" si="120"/>
        <v>1249.9999999999998</v>
      </c>
    </row>
    <row r="2365" spans="1:10" s="99" customFormat="1">
      <c r="A2365" s="111"/>
      <c r="B2365" s="111"/>
      <c r="C2365" s="115">
        <v>20000</v>
      </c>
      <c r="D2365" s="104" t="s">
        <v>3161</v>
      </c>
      <c r="E2365" s="115">
        <v>750</v>
      </c>
      <c r="F2365" s="102">
        <v>5</v>
      </c>
      <c r="G2365" s="208">
        <v>7.4999999999999997E-2</v>
      </c>
      <c r="H2365" s="102">
        <v>15</v>
      </c>
      <c r="I2365" s="115">
        <f t="shared" si="119"/>
        <v>3750</v>
      </c>
      <c r="J2365" s="115">
        <f t="shared" si="120"/>
        <v>2499.9999999999995</v>
      </c>
    </row>
    <row r="2366" spans="1:10" s="99" customFormat="1">
      <c r="A2366" s="111"/>
      <c r="B2366" s="111"/>
      <c r="C2366" s="115">
        <v>20000</v>
      </c>
      <c r="D2366" s="104" t="s">
        <v>430</v>
      </c>
      <c r="E2366" s="115">
        <v>750</v>
      </c>
      <c r="F2366" s="102">
        <v>3</v>
      </c>
      <c r="G2366" s="208">
        <v>7.4999999999999997E-2</v>
      </c>
      <c r="H2366" s="102">
        <v>15</v>
      </c>
      <c r="I2366" s="115">
        <f t="shared" si="119"/>
        <v>2250</v>
      </c>
      <c r="J2366" s="115">
        <f t="shared" si="120"/>
        <v>1499.9999999999998</v>
      </c>
    </row>
    <row r="2367" spans="1:10" s="99" customFormat="1">
      <c r="A2367" s="111"/>
      <c r="B2367" s="111"/>
      <c r="C2367" s="115">
        <v>20000</v>
      </c>
      <c r="D2367" s="104" t="s">
        <v>3175</v>
      </c>
      <c r="E2367" s="115">
        <v>2300</v>
      </c>
      <c r="F2367" s="102">
        <v>3</v>
      </c>
      <c r="G2367" s="208">
        <v>0.06</v>
      </c>
      <c r="H2367" s="102" t="s">
        <v>664</v>
      </c>
      <c r="I2367" s="115">
        <f t="shared" si="119"/>
        <v>900</v>
      </c>
      <c r="J2367" s="115">
        <f t="shared" si="120"/>
        <v>524.99999999999989</v>
      </c>
    </row>
    <row r="2368" spans="1:10" s="99" customFormat="1">
      <c r="A2368" s="111">
        <v>324</v>
      </c>
      <c r="B2368" s="111" t="s">
        <v>2329</v>
      </c>
      <c r="C2368" s="115">
        <v>20000</v>
      </c>
      <c r="D2368" s="104" t="s">
        <v>1985</v>
      </c>
      <c r="E2368" s="115">
        <v>750</v>
      </c>
      <c r="F2368" s="102">
        <v>18</v>
      </c>
      <c r="G2368" s="208">
        <v>7.4999999999999997E-2</v>
      </c>
      <c r="H2368" s="102">
        <v>15</v>
      </c>
      <c r="I2368" s="115">
        <f t="shared" si="119"/>
        <v>13500</v>
      </c>
      <c r="J2368" s="115">
        <f t="shared" si="120"/>
        <v>8999.9999999999982</v>
      </c>
    </row>
    <row r="2369" spans="1:10" s="99" customFormat="1">
      <c r="A2369" s="111"/>
      <c r="B2369" s="111"/>
      <c r="C2369" s="115">
        <v>10000</v>
      </c>
      <c r="D2369" s="104" t="s">
        <v>577</v>
      </c>
      <c r="E2369" s="115">
        <v>1150</v>
      </c>
      <c r="F2369" s="102">
        <v>8</v>
      </c>
      <c r="G2369" s="208">
        <v>0.06</v>
      </c>
      <c r="H2369" s="102" t="s">
        <v>664</v>
      </c>
      <c r="I2369" s="115">
        <f t="shared" si="119"/>
        <v>1200</v>
      </c>
      <c r="J2369" s="115">
        <f t="shared" si="120"/>
        <v>699.99999999999989</v>
      </c>
    </row>
    <row r="2370" spans="1:10" s="99" customFormat="1">
      <c r="A2370" s="111">
        <v>325</v>
      </c>
      <c r="B2370" s="111" t="s">
        <v>2330</v>
      </c>
      <c r="C2370" s="115">
        <v>20000</v>
      </c>
      <c r="D2370" s="104" t="s">
        <v>1695</v>
      </c>
      <c r="E2370" s="115">
        <v>750</v>
      </c>
      <c r="F2370" s="102">
        <v>12</v>
      </c>
      <c r="G2370" s="208">
        <v>7.4999999999999997E-2</v>
      </c>
      <c r="H2370" s="102">
        <v>15</v>
      </c>
      <c r="I2370" s="115">
        <f t="shared" si="119"/>
        <v>9000</v>
      </c>
      <c r="J2370" s="115">
        <f t="shared" si="120"/>
        <v>5999.9999999999991</v>
      </c>
    </row>
    <row r="2371" spans="1:10" s="99" customFormat="1">
      <c r="A2371" s="111"/>
      <c r="B2371" s="111"/>
      <c r="C2371" s="115">
        <v>10000</v>
      </c>
      <c r="D2371" s="104" t="s">
        <v>1695</v>
      </c>
      <c r="E2371" s="115">
        <v>1150</v>
      </c>
      <c r="F2371" s="102">
        <v>10</v>
      </c>
      <c r="G2371" s="208">
        <v>0.06</v>
      </c>
      <c r="H2371" s="102" t="s">
        <v>664</v>
      </c>
      <c r="I2371" s="115">
        <f t="shared" si="119"/>
        <v>1500</v>
      </c>
      <c r="J2371" s="115">
        <f t="shared" si="120"/>
        <v>874.99999999999977</v>
      </c>
    </row>
    <row r="2372" spans="1:10" s="99" customFormat="1">
      <c r="A2372" s="111"/>
      <c r="B2372" s="111"/>
      <c r="C2372" s="115">
        <v>10000</v>
      </c>
      <c r="D2372" s="104" t="s">
        <v>1522</v>
      </c>
      <c r="E2372" s="115">
        <v>1150</v>
      </c>
      <c r="F2372" s="102">
        <v>10</v>
      </c>
      <c r="G2372" s="208">
        <v>0.06</v>
      </c>
      <c r="H2372" s="102" t="s">
        <v>664</v>
      </c>
      <c r="I2372" s="115">
        <f t="shared" si="119"/>
        <v>1500</v>
      </c>
      <c r="J2372" s="115">
        <f t="shared" si="120"/>
        <v>874.99999999999977</v>
      </c>
    </row>
    <row r="2373" spans="1:10" s="99" customFormat="1">
      <c r="A2373" s="111"/>
      <c r="B2373" s="111"/>
      <c r="C2373" s="115">
        <v>10000</v>
      </c>
      <c r="D2373" s="104" t="s">
        <v>1672</v>
      </c>
      <c r="E2373" s="115">
        <v>1150</v>
      </c>
      <c r="F2373" s="102">
        <v>9</v>
      </c>
      <c r="G2373" s="208">
        <v>0.06</v>
      </c>
      <c r="H2373" s="102" t="s">
        <v>664</v>
      </c>
      <c r="I2373" s="115">
        <f t="shared" si="119"/>
        <v>1350</v>
      </c>
      <c r="J2373" s="115">
        <f t="shared" si="120"/>
        <v>787.49999999999989</v>
      </c>
    </row>
    <row r="2374" spans="1:10" s="99" customFormat="1">
      <c r="A2374" s="111"/>
      <c r="B2374" s="111"/>
      <c r="C2374" s="115">
        <v>30000</v>
      </c>
      <c r="D2374" s="104" t="s">
        <v>1710</v>
      </c>
      <c r="E2374" s="115">
        <v>1125</v>
      </c>
      <c r="F2374" s="102">
        <v>6</v>
      </c>
      <c r="G2374" s="208">
        <v>7.4999999999999997E-2</v>
      </c>
      <c r="H2374" s="102">
        <v>15</v>
      </c>
      <c r="I2374" s="115">
        <f t="shared" si="119"/>
        <v>6750</v>
      </c>
      <c r="J2374" s="115">
        <f t="shared" si="120"/>
        <v>4499.9999999999991</v>
      </c>
    </row>
    <row r="2375" spans="1:10" s="99" customFormat="1">
      <c r="A2375" s="111"/>
      <c r="B2375" s="111"/>
      <c r="C2375" s="115">
        <v>20000</v>
      </c>
      <c r="D2375" s="104" t="s">
        <v>1710</v>
      </c>
      <c r="E2375" s="115">
        <v>2300</v>
      </c>
      <c r="F2375" s="102">
        <v>10</v>
      </c>
      <c r="G2375" s="208">
        <v>0.06</v>
      </c>
      <c r="H2375" s="102" t="s">
        <v>664</v>
      </c>
      <c r="I2375" s="115">
        <f t="shared" si="119"/>
        <v>3000</v>
      </c>
      <c r="J2375" s="115">
        <f t="shared" si="120"/>
        <v>1749.9999999999995</v>
      </c>
    </row>
    <row r="2376" spans="1:10" s="99" customFormat="1">
      <c r="A2376" s="111"/>
      <c r="B2376" s="111"/>
      <c r="C2376" s="115">
        <v>20000</v>
      </c>
      <c r="D2376" s="104" t="s">
        <v>1987</v>
      </c>
      <c r="E2376" s="115">
        <v>750</v>
      </c>
      <c r="F2376" s="102">
        <v>4</v>
      </c>
      <c r="G2376" s="208">
        <v>7.4999999999999997E-2</v>
      </c>
      <c r="H2376" s="102">
        <v>15</v>
      </c>
      <c r="I2376" s="115">
        <f t="shared" si="119"/>
        <v>3000</v>
      </c>
      <c r="J2376" s="115">
        <f t="shared" si="120"/>
        <v>1999.9999999999998</v>
      </c>
    </row>
    <row r="2377" spans="1:10" s="99" customFormat="1">
      <c r="A2377" s="111"/>
      <c r="B2377" s="111"/>
      <c r="C2377" s="115">
        <v>20000</v>
      </c>
      <c r="D2377" s="129" t="s">
        <v>375</v>
      </c>
      <c r="E2377" s="115">
        <v>2300</v>
      </c>
      <c r="F2377" s="102">
        <v>5</v>
      </c>
      <c r="G2377" s="208">
        <v>0.06</v>
      </c>
      <c r="H2377" s="102" t="s">
        <v>664</v>
      </c>
      <c r="I2377" s="115">
        <f t="shared" si="119"/>
        <v>1500</v>
      </c>
      <c r="J2377" s="115">
        <f t="shared" si="120"/>
        <v>874.99999999999977</v>
      </c>
    </row>
    <row r="2378" spans="1:10" s="99" customFormat="1">
      <c r="A2378" s="111">
        <v>326</v>
      </c>
      <c r="B2378" s="111" t="s">
        <v>2331</v>
      </c>
      <c r="C2378" s="115">
        <v>10000</v>
      </c>
      <c r="D2378" s="104" t="s">
        <v>2332</v>
      </c>
      <c r="E2378" s="115">
        <v>1150</v>
      </c>
      <c r="F2378" s="102">
        <v>10</v>
      </c>
      <c r="G2378" s="208">
        <v>0.06</v>
      </c>
      <c r="H2378" s="102" t="s">
        <v>664</v>
      </c>
      <c r="I2378" s="115">
        <f t="shared" si="119"/>
        <v>1500</v>
      </c>
      <c r="J2378" s="115">
        <f t="shared" si="120"/>
        <v>874.99999999999977</v>
      </c>
    </row>
    <row r="2379" spans="1:10" s="99" customFormat="1">
      <c r="A2379" s="111"/>
      <c r="B2379" s="111"/>
      <c r="C2379" s="115">
        <v>20000</v>
      </c>
      <c r="D2379" s="104" t="s">
        <v>2332</v>
      </c>
      <c r="E2379" s="115">
        <v>750</v>
      </c>
      <c r="F2379" s="102">
        <v>5</v>
      </c>
      <c r="G2379" s="208">
        <v>7.4999999999999997E-2</v>
      </c>
      <c r="H2379" s="102">
        <v>15</v>
      </c>
      <c r="I2379" s="115">
        <f t="shared" si="119"/>
        <v>3750</v>
      </c>
      <c r="J2379" s="115">
        <f t="shared" si="120"/>
        <v>2499.9999999999995</v>
      </c>
    </row>
    <row r="2380" spans="1:10" s="99" customFormat="1">
      <c r="A2380" s="111"/>
      <c r="B2380" s="111"/>
      <c r="C2380" s="115">
        <v>10000</v>
      </c>
      <c r="D2380" s="104" t="s">
        <v>2333</v>
      </c>
      <c r="E2380" s="115">
        <v>1150</v>
      </c>
      <c r="F2380" s="102">
        <v>10</v>
      </c>
      <c r="G2380" s="208">
        <v>0.06</v>
      </c>
      <c r="H2380" s="102" t="s">
        <v>664</v>
      </c>
      <c r="I2380" s="115">
        <f t="shared" si="119"/>
        <v>1500</v>
      </c>
      <c r="J2380" s="115">
        <f t="shared" si="120"/>
        <v>874.99999999999977</v>
      </c>
    </row>
    <row r="2381" spans="1:10" s="99" customFormat="1">
      <c r="A2381" s="111"/>
      <c r="B2381" s="111"/>
      <c r="C2381" s="115">
        <v>20000</v>
      </c>
      <c r="D2381" s="104" t="s">
        <v>1714</v>
      </c>
      <c r="E2381" s="115">
        <v>750</v>
      </c>
      <c r="F2381" s="102">
        <v>5</v>
      </c>
      <c r="G2381" s="208">
        <v>7.4999999999999997E-2</v>
      </c>
      <c r="H2381" s="102">
        <v>15</v>
      </c>
      <c r="I2381" s="115">
        <f t="shared" si="119"/>
        <v>3750</v>
      </c>
      <c r="J2381" s="115">
        <f t="shared" si="120"/>
        <v>2499.9999999999995</v>
      </c>
    </row>
    <row r="2382" spans="1:10" s="99" customFormat="1">
      <c r="A2382" s="111"/>
      <c r="B2382" s="111"/>
      <c r="C2382" s="115">
        <v>5000</v>
      </c>
      <c r="D2382" s="104" t="s">
        <v>1714</v>
      </c>
      <c r="E2382" s="115">
        <v>190</v>
      </c>
      <c r="F2382" s="102">
        <v>2</v>
      </c>
      <c r="G2382" s="208">
        <v>7.4999999999999997E-2</v>
      </c>
      <c r="H2382" s="102">
        <v>15</v>
      </c>
      <c r="I2382" s="115">
        <f t="shared" ref="I2382:I2445" si="121">IF(H2382="分期",C2382*G2382*2.5*F2382/10,C2382*G2382*H2382/30*F2382)</f>
        <v>375</v>
      </c>
      <c r="J2382" s="115">
        <f t="shared" ref="J2382:J2445" si="122">IF(H2382="分期",C2382*(G2382-0.025)*2.5*F2382/10,C2382*(G2382-0.025)*H2382/30*F2382)</f>
        <v>249.99999999999997</v>
      </c>
    </row>
    <row r="2383" spans="1:10" s="99" customFormat="1">
      <c r="A2383" s="111"/>
      <c r="B2383" s="111"/>
      <c r="C2383" s="115">
        <v>10000</v>
      </c>
      <c r="D2383" s="104" t="s">
        <v>2333</v>
      </c>
      <c r="E2383" s="115">
        <v>375</v>
      </c>
      <c r="F2383" s="102">
        <v>5</v>
      </c>
      <c r="G2383" s="208">
        <v>7.4999999999999997E-2</v>
      </c>
      <c r="H2383" s="102">
        <v>15</v>
      </c>
      <c r="I2383" s="115">
        <f t="shared" si="121"/>
        <v>1875</v>
      </c>
      <c r="J2383" s="115">
        <f t="shared" si="122"/>
        <v>1249.9999999999998</v>
      </c>
    </row>
    <row r="2384" spans="1:10" s="99" customFormat="1">
      <c r="A2384" s="111"/>
      <c r="B2384" s="111"/>
      <c r="C2384" s="115">
        <v>10000</v>
      </c>
      <c r="D2384" s="104" t="s">
        <v>2334</v>
      </c>
      <c r="E2384" s="115">
        <v>1150</v>
      </c>
      <c r="F2384" s="102">
        <v>10</v>
      </c>
      <c r="G2384" s="208">
        <v>0.06</v>
      </c>
      <c r="H2384" s="102" t="s">
        <v>664</v>
      </c>
      <c r="I2384" s="115">
        <f t="shared" si="121"/>
        <v>1500</v>
      </c>
      <c r="J2384" s="115">
        <f t="shared" si="122"/>
        <v>874.99999999999977</v>
      </c>
    </row>
    <row r="2385" spans="1:10" s="99" customFormat="1">
      <c r="A2385" s="111"/>
      <c r="B2385" s="111"/>
      <c r="C2385" s="115">
        <v>10000</v>
      </c>
      <c r="D2385" s="104" t="s">
        <v>574</v>
      </c>
      <c r="E2385" s="115">
        <v>375</v>
      </c>
      <c r="F2385" s="102">
        <v>5</v>
      </c>
      <c r="G2385" s="208">
        <v>7.4999999999999997E-2</v>
      </c>
      <c r="H2385" s="102">
        <v>15</v>
      </c>
      <c r="I2385" s="115">
        <f t="shared" si="121"/>
        <v>1875</v>
      </c>
      <c r="J2385" s="115">
        <f t="shared" si="122"/>
        <v>1249.9999999999998</v>
      </c>
    </row>
    <row r="2386" spans="1:10" s="99" customFormat="1">
      <c r="A2386" s="111"/>
      <c r="B2386" s="111"/>
      <c r="C2386" s="115">
        <v>10000</v>
      </c>
      <c r="D2386" s="104" t="s">
        <v>430</v>
      </c>
      <c r="E2386" s="115">
        <v>1150</v>
      </c>
      <c r="F2386" s="102">
        <v>8</v>
      </c>
      <c r="G2386" s="208">
        <v>0.06</v>
      </c>
      <c r="H2386" s="102" t="s">
        <v>664</v>
      </c>
      <c r="I2386" s="115">
        <f t="shared" si="121"/>
        <v>1200</v>
      </c>
      <c r="J2386" s="115">
        <f t="shared" si="122"/>
        <v>699.99999999999989</v>
      </c>
    </row>
    <row r="2387" spans="1:10" s="99" customFormat="1">
      <c r="A2387" s="111">
        <v>327</v>
      </c>
      <c r="B2387" s="111" t="s">
        <v>2335</v>
      </c>
      <c r="C2387" s="115">
        <v>20000</v>
      </c>
      <c r="D2387" s="104" t="s">
        <v>2336</v>
      </c>
      <c r="E2387" s="115">
        <v>2300</v>
      </c>
      <c r="F2387" s="102">
        <v>10</v>
      </c>
      <c r="G2387" s="208">
        <v>0.06</v>
      </c>
      <c r="H2387" s="102" t="s">
        <v>664</v>
      </c>
      <c r="I2387" s="115">
        <f t="shared" si="121"/>
        <v>3000</v>
      </c>
      <c r="J2387" s="115">
        <f t="shared" si="122"/>
        <v>1749.9999999999995</v>
      </c>
    </row>
    <row r="2388" spans="1:10" s="99" customFormat="1">
      <c r="A2388" s="111"/>
      <c r="B2388" s="111"/>
      <c r="C2388" s="115">
        <v>30000</v>
      </c>
      <c r="D2388" s="104" t="s">
        <v>2336</v>
      </c>
      <c r="E2388" s="115">
        <v>1125</v>
      </c>
      <c r="F2388" s="102">
        <v>17</v>
      </c>
      <c r="G2388" s="208">
        <v>7.4999999999999997E-2</v>
      </c>
      <c r="H2388" s="102">
        <v>15</v>
      </c>
      <c r="I2388" s="115">
        <f t="shared" si="121"/>
        <v>19125</v>
      </c>
      <c r="J2388" s="115">
        <f t="shared" si="122"/>
        <v>12749.999999999998</v>
      </c>
    </row>
    <row r="2389" spans="1:10" s="99" customFormat="1">
      <c r="A2389" s="111"/>
      <c r="B2389" s="111"/>
      <c r="C2389" s="115">
        <v>20000</v>
      </c>
      <c r="D2389" s="104" t="s">
        <v>1522</v>
      </c>
      <c r="E2389" s="115">
        <v>2300</v>
      </c>
      <c r="F2389" s="102">
        <v>10</v>
      </c>
      <c r="G2389" s="208">
        <v>0.06</v>
      </c>
      <c r="H2389" s="102" t="s">
        <v>664</v>
      </c>
      <c r="I2389" s="115">
        <f t="shared" si="121"/>
        <v>3000</v>
      </c>
      <c r="J2389" s="115">
        <f t="shared" si="122"/>
        <v>1749.9999999999995</v>
      </c>
    </row>
    <row r="2390" spans="1:10" s="99" customFormat="1">
      <c r="A2390" s="111"/>
      <c r="B2390" s="111"/>
      <c r="C2390" s="115">
        <v>20000</v>
      </c>
      <c r="D2390" s="104" t="s">
        <v>966</v>
      </c>
      <c r="E2390" s="115">
        <v>2300</v>
      </c>
      <c r="F2390" s="102">
        <v>10</v>
      </c>
      <c r="G2390" s="208">
        <v>0.06</v>
      </c>
      <c r="H2390" s="102" t="s">
        <v>664</v>
      </c>
      <c r="I2390" s="115">
        <f t="shared" si="121"/>
        <v>3000</v>
      </c>
      <c r="J2390" s="115">
        <f t="shared" si="122"/>
        <v>1749.9999999999995</v>
      </c>
    </row>
    <row r="2391" spans="1:10" s="99" customFormat="1">
      <c r="A2391" s="111"/>
      <c r="B2391" s="111"/>
      <c r="C2391" s="115">
        <v>20000</v>
      </c>
      <c r="D2391" s="104" t="s">
        <v>993</v>
      </c>
      <c r="E2391" s="115">
        <v>2300</v>
      </c>
      <c r="F2391" s="102">
        <v>9</v>
      </c>
      <c r="G2391" s="208">
        <v>0.06</v>
      </c>
      <c r="H2391" s="102" t="s">
        <v>664</v>
      </c>
      <c r="I2391" s="115">
        <f t="shared" si="121"/>
        <v>2700</v>
      </c>
      <c r="J2391" s="115">
        <f t="shared" si="122"/>
        <v>1574.9999999999998</v>
      </c>
    </row>
    <row r="2392" spans="1:10" s="99" customFormat="1">
      <c r="A2392" s="111"/>
      <c r="B2392" s="111"/>
      <c r="C2392" s="115">
        <v>20000</v>
      </c>
      <c r="D2392" s="104" t="s">
        <v>577</v>
      </c>
      <c r="E2392" s="115">
        <v>2300</v>
      </c>
      <c r="F2392" s="102">
        <v>8</v>
      </c>
      <c r="G2392" s="208">
        <v>0.06</v>
      </c>
      <c r="H2392" s="102" t="s">
        <v>664</v>
      </c>
      <c r="I2392" s="115">
        <f t="shared" si="121"/>
        <v>2400</v>
      </c>
      <c r="J2392" s="115">
        <f t="shared" si="122"/>
        <v>1399.9999999999998</v>
      </c>
    </row>
    <row r="2393" spans="1:10" s="99" customFormat="1">
      <c r="A2393" s="111">
        <v>328</v>
      </c>
      <c r="B2393" s="111" t="s">
        <v>2337</v>
      </c>
      <c r="C2393" s="115">
        <v>200000</v>
      </c>
      <c r="D2393" s="104" t="s">
        <v>2336</v>
      </c>
      <c r="E2393" s="115">
        <v>7500</v>
      </c>
      <c r="F2393" s="102">
        <v>3</v>
      </c>
      <c r="G2393" s="208">
        <v>7.4999999999999997E-2</v>
      </c>
      <c r="H2393" s="102">
        <v>15</v>
      </c>
      <c r="I2393" s="115">
        <f t="shared" si="121"/>
        <v>22500</v>
      </c>
      <c r="J2393" s="115">
        <f t="shared" si="122"/>
        <v>15000</v>
      </c>
    </row>
    <row r="2394" spans="1:10" s="99" customFormat="1">
      <c r="A2394" s="111">
        <v>329</v>
      </c>
      <c r="B2394" s="111" t="s">
        <v>2338</v>
      </c>
      <c r="C2394" s="115">
        <v>10000</v>
      </c>
      <c r="D2394" s="104" t="s">
        <v>2336</v>
      </c>
      <c r="E2394" s="115">
        <v>1150</v>
      </c>
      <c r="F2394" s="102">
        <v>10</v>
      </c>
      <c r="G2394" s="208">
        <v>0.06</v>
      </c>
      <c r="H2394" s="102" t="s">
        <v>664</v>
      </c>
      <c r="I2394" s="115">
        <f t="shared" si="121"/>
        <v>1500</v>
      </c>
      <c r="J2394" s="115">
        <f t="shared" si="122"/>
        <v>874.99999999999977</v>
      </c>
    </row>
    <row r="2395" spans="1:10" s="99" customFormat="1">
      <c r="A2395" s="111"/>
      <c r="B2395" s="111"/>
      <c r="C2395" s="115">
        <v>20000</v>
      </c>
      <c r="D2395" s="104" t="s">
        <v>2336</v>
      </c>
      <c r="E2395" s="115">
        <v>750</v>
      </c>
      <c r="F2395" s="102">
        <v>5</v>
      </c>
      <c r="G2395" s="208">
        <v>7.4999999999999997E-2</v>
      </c>
      <c r="H2395" s="102">
        <v>15</v>
      </c>
      <c r="I2395" s="115">
        <f t="shared" si="121"/>
        <v>3750</v>
      </c>
      <c r="J2395" s="115">
        <f t="shared" si="122"/>
        <v>2499.9999999999995</v>
      </c>
    </row>
    <row r="2396" spans="1:10" s="99" customFormat="1">
      <c r="A2396" s="111"/>
      <c r="B2396" s="111"/>
      <c r="C2396" s="115">
        <v>10000</v>
      </c>
      <c r="D2396" s="104" t="s">
        <v>2311</v>
      </c>
      <c r="E2396" s="115">
        <v>375</v>
      </c>
      <c r="F2396" s="102">
        <v>2</v>
      </c>
      <c r="G2396" s="208">
        <v>7.4999999999999997E-2</v>
      </c>
      <c r="H2396" s="102">
        <v>15</v>
      </c>
      <c r="I2396" s="115">
        <f t="shared" si="121"/>
        <v>750</v>
      </c>
      <c r="J2396" s="115">
        <f t="shared" si="122"/>
        <v>499.99999999999994</v>
      </c>
    </row>
    <row r="2397" spans="1:10" s="99" customFormat="1">
      <c r="A2397" s="111"/>
      <c r="B2397" s="111"/>
      <c r="C2397" s="115">
        <v>10000</v>
      </c>
      <c r="D2397" s="104" t="s">
        <v>3701</v>
      </c>
      <c r="E2397" s="115">
        <v>1150</v>
      </c>
      <c r="F2397" s="102">
        <v>3</v>
      </c>
      <c r="G2397" s="208">
        <v>0.06</v>
      </c>
      <c r="H2397" s="102" t="s">
        <v>664</v>
      </c>
      <c r="I2397" s="115">
        <f t="shared" si="121"/>
        <v>450</v>
      </c>
      <c r="J2397" s="115">
        <f t="shared" si="122"/>
        <v>262.49999999999994</v>
      </c>
    </row>
    <row r="2398" spans="1:10" s="99" customFormat="1">
      <c r="A2398" s="111">
        <v>330</v>
      </c>
      <c r="B2398" s="111" t="s">
        <v>2339</v>
      </c>
      <c r="C2398" s="115">
        <v>10000</v>
      </c>
      <c r="D2398" s="104" t="s">
        <v>238</v>
      </c>
      <c r="E2398" s="115">
        <v>375</v>
      </c>
      <c r="F2398" s="102">
        <v>3</v>
      </c>
      <c r="G2398" s="208">
        <v>7.4999999999999997E-2</v>
      </c>
      <c r="H2398" s="102">
        <v>15</v>
      </c>
      <c r="I2398" s="115">
        <f t="shared" si="121"/>
        <v>1125</v>
      </c>
      <c r="J2398" s="115">
        <f t="shared" si="122"/>
        <v>749.99999999999989</v>
      </c>
    </row>
    <row r="2399" spans="1:10" s="99" customFormat="1">
      <c r="A2399" s="111"/>
      <c r="B2399" s="111"/>
      <c r="C2399" s="115">
        <v>10000</v>
      </c>
      <c r="D2399" s="104" t="s">
        <v>416</v>
      </c>
      <c r="E2399" s="115">
        <v>375</v>
      </c>
      <c r="F2399" s="102">
        <v>17</v>
      </c>
      <c r="G2399" s="208">
        <v>7.4999999999999997E-2</v>
      </c>
      <c r="H2399" s="102">
        <v>15</v>
      </c>
      <c r="I2399" s="115">
        <f t="shared" si="121"/>
        <v>6375</v>
      </c>
      <c r="J2399" s="115">
        <f t="shared" si="122"/>
        <v>4249.9999999999991</v>
      </c>
    </row>
    <row r="2400" spans="1:10" s="99" customFormat="1">
      <c r="A2400" s="111"/>
      <c r="B2400" s="111"/>
      <c r="C2400" s="115">
        <v>10000</v>
      </c>
      <c r="D2400" s="104" t="s">
        <v>3171</v>
      </c>
      <c r="E2400" s="115">
        <v>375</v>
      </c>
      <c r="F2400" s="102">
        <v>14</v>
      </c>
      <c r="G2400" s="208">
        <v>7.4999999999999997E-2</v>
      </c>
      <c r="H2400" s="102">
        <v>15</v>
      </c>
      <c r="I2400" s="115">
        <f t="shared" si="121"/>
        <v>5250</v>
      </c>
      <c r="J2400" s="115">
        <f t="shared" si="122"/>
        <v>3499.9999999999995</v>
      </c>
    </row>
    <row r="2401" spans="1:10" s="99" customFormat="1">
      <c r="A2401" s="111">
        <v>332</v>
      </c>
      <c r="B2401" s="111" t="s">
        <v>2340</v>
      </c>
      <c r="C2401" s="115">
        <v>50000</v>
      </c>
      <c r="D2401" s="104" t="s">
        <v>2341</v>
      </c>
      <c r="E2401" s="115">
        <v>1875</v>
      </c>
      <c r="F2401" s="102">
        <v>10</v>
      </c>
      <c r="G2401" s="208">
        <v>7.4999999999999997E-2</v>
      </c>
      <c r="H2401" s="102">
        <v>15</v>
      </c>
      <c r="I2401" s="115">
        <f t="shared" si="121"/>
        <v>18750</v>
      </c>
      <c r="J2401" s="115">
        <f t="shared" si="122"/>
        <v>12500</v>
      </c>
    </row>
    <row r="2402" spans="1:10" s="99" customFormat="1">
      <c r="A2402" s="111">
        <v>333</v>
      </c>
      <c r="B2402" s="111" t="s">
        <v>2342</v>
      </c>
      <c r="C2402" s="115">
        <v>100000</v>
      </c>
      <c r="D2402" s="104" t="s">
        <v>2341</v>
      </c>
      <c r="E2402" s="115">
        <v>3750</v>
      </c>
      <c r="F2402" s="102">
        <v>8</v>
      </c>
      <c r="G2402" s="208">
        <v>7.4999999999999997E-2</v>
      </c>
      <c r="H2402" s="102">
        <v>15</v>
      </c>
      <c r="I2402" s="115">
        <f t="shared" si="121"/>
        <v>30000</v>
      </c>
      <c r="J2402" s="115">
        <f t="shared" si="122"/>
        <v>20000</v>
      </c>
    </row>
    <row r="2403" spans="1:10" s="99" customFormat="1">
      <c r="A2403" s="111">
        <v>334</v>
      </c>
      <c r="B2403" s="111" t="s">
        <v>2343</v>
      </c>
      <c r="C2403" s="115">
        <v>20000</v>
      </c>
      <c r="D2403" s="104" t="s">
        <v>245</v>
      </c>
      <c r="E2403" s="115">
        <v>750</v>
      </c>
      <c r="F2403" s="102">
        <v>10</v>
      </c>
      <c r="G2403" s="208">
        <v>7.4999999999999997E-2</v>
      </c>
      <c r="H2403" s="102">
        <v>15</v>
      </c>
      <c r="I2403" s="115">
        <f t="shared" si="121"/>
        <v>7500</v>
      </c>
      <c r="J2403" s="115">
        <f t="shared" si="122"/>
        <v>4999.9999999999991</v>
      </c>
    </row>
    <row r="2404" spans="1:10" s="99" customFormat="1">
      <c r="A2404" s="111"/>
      <c r="B2404" s="111"/>
      <c r="C2404" s="115">
        <v>10000</v>
      </c>
      <c r="D2404" s="104" t="s">
        <v>245</v>
      </c>
      <c r="E2404" s="115">
        <v>1150</v>
      </c>
      <c r="F2404" s="102">
        <v>10</v>
      </c>
      <c r="G2404" s="208">
        <v>0.06</v>
      </c>
      <c r="H2404" s="102" t="s">
        <v>664</v>
      </c>
      <c r="I2404" s="115">
        <f t="shared" si="121"/>
        <v>1500</v>
      </c>
      <c r="J2404" s="115">
        <f t="shared" si="122"/>
        <v>874.99999999999977</v>
      </c>
    </row>
    <row r="2405" spans="1:10" s="99" customFormat="1">
      <c r="A2405" s="111"/>
      <c r="B2405" s="111"/>
      <c r="C2405" s="115">
        <v>10000</v>
      </c>
      <c r="D2405" s="104" t="s">
        <v>426</v>
      </c>
      <c r="E2405" s="115">
        <v>1150</v>
      </c>
      <c r="F2405" s="102">
        <v>10</v>
      </c>
      <c r="G2405" s="208">
        <v>0.06</v>
      </c>
      <c r="H2405" s="102" t="s">
        <v>664</v>
      </c>
      <c r="I2405" s="115">
        <f t="shared" si="121"/>
        <v>1500</v>
      </c>
      <c r="J2405" s="115">
        <f t="shared" si="122"/>
        <v>874.99999999999977</v>
      </c>
    </row>
    <row r="2406" spans="1:10" s="99" customFormat="1">
      <c r="A2406" s="111"/>
      <c r="B2406" s="111"/>
      <c r="C2406" s="115">
        <v>10000</v>
      </c>
      <c r="D2406" s="104" t="s">
        <v>2344</v>
      </c>
      <c r="E2406" s="115">
        <v>1150</v>
      </c>
      <c r="F2406" s="102">
        <v>5</v>
      </c>
      <c r="G2406" s="208">
        <v>0.06</v>
      </c>
      <c r="H2406" s="102" t="s">
        <v>664</v>
      </c>
      <c r="I2406" s="115">
        <f t="shared" si="121"/>
        <v>750</v>
      </c>
      <c r="J2406" s="115">
        <f t="shared" si="122"/>
        <v>437.49999999999989</v>
      </c>
    </row>
    <row r="2407" spans="1:10" s="99" customFormat="1">
      <c r="A2407" s="111">
        <v>335</v>
      </c>
      <c r="B2407" s="111" t="s">
        <v>2345</v>
      </c>
      <c r="C2407" s="115">
        <v>50000</v>
      </c>
      <c r="D2407" s="104" t="s">
        <v>2346</v>
      </c>
      <c r="E2407" s="115">
        <v>1875</v>
      </c>
      <c r="F2407" s="102">
        <v>3</v>
      </c>
      <c r="G2407" s="208">
        <v>7.4999999999999997E-2</v>
      </c>
      <c r="H2407" s="102">
        <v>15</v>
      </c>
      <c r="I2407" s="115">
        <f t="shared" si="121"/>
        <v>5625</v>
      </c>
      <c r="J2407" s="115">
        <f t="shared" si="122"/>
        <v>3750</v>
      </c>
    </row>
    <row r="2408" spans="1:10" s="99" customFormat="1">
      <c r="A2408" s="111">
        <v>336</v>
      </c>
      <c r="B2408" s="111" t="s">
        <v>2347</v>
      </c>
      <c r="C2408" s="115">
        <v>20000</v>
      </c>
      <c r="D2408" s="104" t="s">
        <v>2346</v>
      </c>
      <c r="E2408" s="115">
        <v>750</v>
      </c>
      <c r="F2408" s="102">
        <v>10</v>
      </c>
      <c r="G2408" s="208">
        <v>7.4999999999999997E-2</v>
      </c>
      <c r="H2408" s="102">
        <v>15</v>
      </c>
      <c r="I2408" s="115">
        <f t="shared" si="121"/>
        <v>7500</v>
      </c>
      <c r="J2408" s="115">
        <f t="shared" si="122"/>
        <v>4999.9999999999991</v>
      </c>
    </row>
    <row r="2409" spans="1:10" s="99" customFormat="1">
      <c r="A2409" s="111"/>
      <c r="B2409" s="111"/>
      <c r="C2409" s="115">
        <v>20000</v>
      </c>
      <c r="D2409" s="104" t="s">
        <v>2346</v>
      </c>
      <c r="E2409" s="115">
        <v>2300</v>
      </c>
      <c r="F2409" s="102">
        <v>10</v>
      </c>
      <c r="G2409" s="208">
        <v>0.06</v>
      </c>
      <c r="H2409" s="102" t="s">
        <v>664</v>
      </c>
      <c r="I2409" s="115">
        <f t="shared" si="121"/>
        <v>3000</v>
      </c>
      <c r="J2409" s="115">
        <f t="shared" si="122"/>
        <v>1749.9999999999995</v>
      </c>
    </row>
    <row r="2410" spans="1:10" s="99" customFormat="1">
      <c r="A2410" s="111"/>
      <c r="B2410" s="111"/>
      <c r="C2410" s="115">
        <v>20000</v>
      </c>
      <c r="D2410" s="104" t="s">
        <v>484</v>
      </c>
      <c r="E2410" s="115">
        <v>2300</v>
      </c>
      <c r="F2410" s="102">
        <v>10</v>
      </c>
      <c r="G2410" s="208">
        <v>0.06</v>
      </c>
      <c r="H2410" s="102" t="s">
        <v>664</v>
      </c>
      <c r="I2410" s="115">
        <f t="shared" si="121"/>
        <v>3000</v>
      </c>
      <c r="J2410" s="115">
        <f t="shared" si="122"/>
        <v>1749.9999999999995</v>
      </c>
    </row>
    <row r="2411" spans="1:10" s="99" customFormat="1">
      <c r="A2411" s="111"/>
      <c r="B2411" s="111"/>
      <c r="C2411" s="115">
        <v>20000</v>
      </c>
      <c r="D2411" s="104" t="s">
        <v>3412</v>
      </c>
      <c r="E2411" s="115">
        <v>2300</v>
      </c>
      <c r="F2411" s="102">
        <v>10</v>
      </c>
      <c r="G2411" s="208">
        <v>0.06</v>
      </c>
      <c r="H2411" s="102" t="s">
        <v>664</v>
      </c>
      <c r="I2411" s="115">
        <f t="shared" si="121"/>
        <v>3000</v>
      </c>
      <c r="J2411" s="115">
        <f t="shared" si="122"/>
        <v>1749.9999999999995</v>
      </c>
    </row>
    <row r="2412" spans="1:10" s="99" customFormat="1">
      <c r="A2412" s="111"/>
      <c r="B2412" s="111"/>
      <c r="C2412" s="115">
        <v>20000</v>
      </c>
      <c r="D2412" s="104" t="s">
        <v>1735</v>
      </c>
      <c r="E2412" s="115">
        <v>2300</v>
      </c>
      <c r="F2412" s="102">
        <v>10</v>
      </c>
      <c r="G2412" s="208">
        <v>0.06</v>
      </c>
      <c r="H2412" s="102" t="s">
        <v>664</v>
      </c>
      <c r="I2412" s="115">
        <f t="shared" si="121"/>
        <v>3000</v>
      </c>
      <c r="J2412" s="115">
        <f t="shared" si="122"/>
        <v>1749.9999999999995</v>
      </c>
    </row>
    <row r="2413" spans="1:10" s="99" customFormat="1">
      <c r="A2413" s="111"/>
      <c r="B2413" s="111"/>
      <c r="C2413" s="115">
        <v>20000</v>
      </c>
      <c r="D2413" s="104" t="s">
        <v>3144</v>
      </c>
      <c r="E2413" s="115">
        <v>750</v>
      </c>
      <c r="F2413" s="102">
        <v>6</v>
      </c>
      <c r="G2413" s="208">
        <v>7.4999999999999997E-2</v>
      </c>
      <c r="H2413" s="102">
        <v>15</v>
      </c>
      <c r="I2413" s="115">
        <f t="shared" si="121"/>
        <v>4500</v>
      </c>
      <c r="J2413" s="115">
        <f t="shared" si="122"/>
        <v>2999.9999999999995</v>
      </c>
    </row>
    <row r="2414" spans="1:10" s="99" customFormat="1">
      <c r="A2414" s="111"/>
      <c r="B2414" s="111"/>
      <c r="C2414" s="115">
        <v>20000</v>
      </c>
      <c r="D2414" s="104" t="s">
        <v>1987</v>
      </c>
      <c r="E2414" s="115">
        <v>2300</v>
      </c>
      <c r="F2414" s="102">
        <v>9</v>
      </c>
      <c r="G2414" s="208">
        <v>0.06</v>
      </c>
      <c r="H2414" s="102" t="s">
        <v>664</v>
      </c>
      <c r="I2414" s="115">
        <f t="shared" si="121"/>
        <v>2700</v>
      </c>
      <c r="J2414" s="115">
        <f t="shared" si="122"/>
        <v>1574.9999999999998</v>
      </c>
    </row>
    <row r="2415" spans="1:10" s="99" customFormat="1">
      <c r="A2415" s="111"/>
      <c r="B2415" s="111"/>
      <c r="C2415" s="115">
        <v>10000</v>
      </c>
      <c r="D2415" s="104" t="s">
        <v>3178</v>
      </c>
      <c r="E2415" s="115">
        <v>375</v>
      </c>
      <c r="F2415" s="102">
        <v>3</v>
      </c>
      <c r="G2415" s="208">
        <v>7.4999999999999997E-2</v>
      </c>
      <c r="H2415" s="102">
        <v>15</v>
      </c>
      <c r="I2415" s="115">
        <f t="shared" si="121"/>
        <v>1125</v>
      </c>
      <c r="J2415" s="115">
        <f t="shared" si="122"/>
        <v>749.99999999999989</v>
      </c>
    </row>
    <row r="2416" spans="1:10" s="99" customFormat="1">
      <c r="A2416" s="111">
        <v>337</v>
      </c>
      <c r="B2416" s="111" t="s">
        <v>2348</v>
      </c>
      <c r="C2416" s="115">
        <v>30000</v>
      </c>
      <c r="D2416" s="104" t="s">
        <v>984</v>
      </c>
      <c r="E2416" s="115">
        <v>1125</v>
      </c>
      <c r="F2416" s="102">
        <v>3</v>
      </c>
      <c r="G2416" s="208">
        <v>7.4999999999999997E-2</v>
      </c>
      <c r="H2416" s="102">
        <v>15</v>
      </c>
      <c r="I2416" s="115">
        <f t="shared" si="121"/>
        <v>3375</v>
      </c>
      <c r="J2416" s="115">
        <f t="shared" si="122"/>
        <v>2249.9999999999995</v>
      </c>
    </row>
    <row r="2417" spans="1:10" s="99" customFormat="1">
      <c r="A2417" s="111"/>
      <c r="B2417" s="111"/>
      <c r="C2417" s="115">
        <v>30000</v>
      </c>
      <c r="D2417" s="129" t="s">
        <v>376</v>
      </c>
      <c r="E2417" s="115">
        <v>1125</v>
      </c>
      <c r="F2417" s="102">
        <v>12</v>
      </c>
      <c r="G2417" s="208">
        <v>7.4999999999999997E-2</v>
      </c>
      <c r="H2417" s="102">
        <v>15</v>
      </c>
      <c r="I2417" s="115">
        <f t="shared" si="121"/>
        <v>13500</v>
      </c>
      <c r="J2417" s="115">
        <f t="shared" si="122"/>
        <v>8999.9999999999982</v>
      </c>
    </row>
    <row r="2418" spans="1:10" s="99" customFormat="1">
      <c r="A2418" s="111"/>
      <c r="B2418" s="111"/>
      <c r="C2418" s="115">
        <v>10000</v>
      </c>
      <c r="D2418" s="104" t="s">
        <v>435</v>
      </c>
      <c r="E2418" s="115">
        <v>375</v>
      </c>
      <c r="F2418" s="102">
        <v>11</v>
      </c>
      <c r="G2418" s="208">
        <v>7.4999999999999997E-2</v>
      </c>
      <c r="H2418" s="102">
        <v>15</v>
      </c>
      <c r="I2418" s="115">
        <f t="shared" si="121"/>
        <v>4125</v>
      </c>
      <c r="J2418" s="115">
        <f t="shared" si="122"/>
        <v>2749.9999999999995</v>
      </c>
    </row>
    <row r="2419" spans="1:10" s="99" customFormat="1">
      <c r="A2419" s="111"/>
      <c r="B2419" s="111"/>
      <c r="C2419" s="115">
        <v>20000</v>
      </c>
      <c r="D2419" s="104" t="s">
        <v>3158</v>
      </c>
      <c r="E2419" s="115">
        <v>750</v>
      </c>
      <c r="F2419" s="102">
        <v>11</v>
      </c>
      <c r="G2419" s="208">
        <v>7.4999999999999997E-2</v>
      </c>
      <c r="H2419" s="102">
        <v>15</v>
      </c>
      <c r="I2419" s="115">
        <f t="shared" si="121"/>
        <v>8250</v>
      </c>
      <c r="J2419" s="115">
        <f t="shared" si="122"/>
        <v>5499.9999999999991</v>
      </c>
    </row>
    <row r="2420" spans="1:10" s="99" customFormat="1">
      <c r="A2420" s="111"/>
      <c r="B2420" s="111"/>
      <c r="C2420" s="115">
        <v>20000</v>
      </c>
      <c r="D2420" s="104" t="s">
        <v>489</v>
      </c>
      <c r="E2420" s="115">
        <v>2300</v>
      </c>
      <c r="F2420" s="102">
        <v>1</v>
      </c>
      <c r="G2420" s="208">
        <v>0.06</v>
      </c>
      <c r="H2420" s="102" t="s">
        <v>664</v>
      </c>
      <c r="I2420" s="115">
        <f t="shared" si="121"/>
        <v>300</v>
      </c>
      <c r="J2420" s="115">
        <f t="shared" si="122"/>
        <v>174.99999999999997</v>
      </c>
    </row>
    <row r="2421" spans="1:10" s="99" customFormat="1">
      <c r="A2421" s="111">
        <v>338</v>
      </c>
      <c r="B2421" s="111" t="s">
        <v>2349</v>
      </c>
      <c r="C2421" s="115">
        <v>10000</v>
      </c>
      <c r="D2421" s="104" t="s">
        <v>1687</v>
      </c>
      <c r="E2421" s="115">
        <v>375</v>
      </c>
      <c r="F2421" s="102">
        <v>1</v>
      </c>
      <c r="G2421" s="208">
        <v>7.4999999999999997E-2</v>
      </c>
      <c r="H2421" s="102">
        <v>15</v>
      </c>
      <c r="I2421" s="115">
        <f t="shared" si="121"/>
        <v>375</v>
      </c>
      <c r="J2421" s="115">
        <f t="shared" si="122"/>
        <v>249.99999999999997</v>
      </c>
    </row>
    <row r="2422" spans="1:10" s="99" customFormat="1">
      <c r="A2422" s="111"/>
      <c r="B2422" s="111"/>
      <c r="C2422" s="115">
        <v>30000</v>
      </c>
      <c r="D2422" s="104" t="s">
        <v>648</v>
      </c>
      <c r="E2422" s="115">
        <v>1125</v>
      </c>
      <c r="F2422" s="102">
        <v>1</v>
      </c>
      <c r="G2422" s="208">
        <v>7.4999999999999997E-2</v>
      </c>
      <c r="H2422" s="102">
        <v>15</v>
      </c>
      <c r="I2422" s="115">
        <f t="shared" si="121"/>
        <v>1125</v>
      </c>
      <c r="J2422" s="115">
        <f t="shared" si="122"/>
        <v>749.99999999999989</v>
      </c>
    </row>
    <row r="2423" spans="1:10" s="99" customFormat="1">
      <c r="A2423" s="111"/>
      <c r="B2423" s="111"/>
      <c r="C2423" s="115">
        <v>20000</v>
      </c>
      <c r="D2423" s="104" t="s">
        <v>648</v>
      </c>
      <c r="E2423" s="115">
        <v>750</v>
      </c>
      <c r="F2423" s="102">
        <v>3</v>
      </c>
      <c r="G2423" s="208">
        <v>7.4999999999999997E-2</v>
      </c>
      <c r="H2423" s="102">
        <v>15</v>
      </c>
      <c r="I2423" s="115">
        <f t="shared" si="121"/>
        <v>2250</v>
      </c>
      <c r="J2423" s="115">
        <f t="shared" si="122"/>
        <v>1499.9999999999998</v>
      </c>
    </row>
    <row r="2424" spans="1:10" s="99" customFormat="1">
      <c r="A2424" s="111"/>
      <c r="B2424" s="111"/>
      <c r="C2424" s="115">
        <v>10000</v>
      </c>
      <c r="D2424" s="104" t="s">
        <v>648</v>
      </c>
      <c r="E2424" s="115">
        <v>375</v>
      </c>
      <c r="F2424" s="102">
        <v>1</v>
      </c>
      <c r="G2424" s="208">
        <v>7.4999999999999997E-2</v>
      </c>
      <c r="H2424" s="102">
        <v>15</v>
      </c>
      <c r="I2424" s="115">
        <f t="shared" si="121"/>
        <v>375</v>
      </c>
      <c r="J2424" s="115">
        <f t="shared" si="122"/>
        <v>249.99999999999997</v>
      </c>
    </row>
    <row r="2425" spans="1:10" s="99" customFormat="1">
      <c r="A2425" s="111"/>
      <c r="B2425" s="111"/>
      <c r="C2425" s="115">
        <v>10000</v>
      </c>
      <c r="D2425" s="104" t="s">
        <v>1517</v>
      </c>
      <c r="E2425" s="115">
        <v>375</v>
      </c>
      <c r="F2425" s="102">
        <v>3</v>
      </c>
      <c r="G2425" s="208">
        <v>7.4999999999999997E-2</v>
      </c>
      <c r="H2425" s="102">
        <v>15</v>
      </c>
      <c r="I2425" s="115">
        <f t="shared" si="121"/>
        <v>1125</v>
      </c>
      <c r="J2425" s="115">
        <f t="shared" si="122"/>
        <v>749.99999999999989</v>
      </c>
    </row>
    <row r="2426" spans="1:10" s="99" customFormat="1">
      <c r="A2426" s="111"/>
      <c r="B2426" s="111"/>
      <c r="C2426" s="115">
        <v>10000</v>
      </c>
      <c r="D2426" s="104" t="s">
        <v>1521</v>
      </c>
      <c r="E2426" s="115">
        <v>375</v>
      </c>
      <c r="F2426" s="102">
        <v>1</v>
      </c>
      <c r="G2426" s="208">
        <v>7.4999999999999997E-2</v>
      </c>
      <c r="H2426" s="102">
        <v>15</v>
      </c>
      <c r="I2426" s="115">
        <f t="shared" si="121"/>
        <v>375</v>
      </c>
      <c r="J2426" s="115">
        <f t="shared" si="122"/>
        <v>249.99999999999997</v>
      </c>
    </row>
    <row r="2427" spans="1:10" s="99" customFormat="1">
      <c r="A2427" s="111"/>
      <c r="B2427" s="111"/>
      <c r="C2427" s="115">
        <v>10000</v>
      </c>
      <c r="D2427" s="104" t="s">
        <v>1668</v>
      </c>
      <c r="E2427" s="115">
        <v>375</v>
      </c>
      <c r="F2427" s="102">
        <v>1</v>
      </c>
      <c r="G2427" s="208">
        <v>7.4999999999999997E-2</v>
      </c>
      <c r="H2427" s="102">
        <v>15</v>
      </c>
      <c r="I2427" s="115">
        <f t="shared" si="121"/>
        <v>375</v>
      </c>
      <c r="J2427" s="115">
        <f t="shared" si="122"/>
        <v>249.99999999999997</v>
      </c>
    </row>
    <row r="2428" spans="1:10" s="99" customFormat="1">
      <c r="A2428" s="111"/>
      <c r="B2428" s="111"/>
      <c r="C2428" s="115">
        <v>10000</v>
      </c>
      <c r="D2428" s="104" t="s">
        <v>2622</v>
      </c>
      <c r="E2428" s="115">
        <v>375</v>
      </c>
      <c r="F2428" s="102">
        <v>1</v>
      </c>
      <c r="G2428" s="208">
        <v>7.4999999999999997E-2</v>
      </c>
      <c r="H2428" s="102">
        <v>15</v>
      </c>
      <c r="I2428" s="115">
        <f t="shared" si="121"/>
        <v>375</v>
      </c>
      <c r="J2428" s="115">
        <f t="shared" si="122"/>
        <v>249.99999999999997</v>
      </c>
    </row>
    <row r="2429" spans="1:10" s="99" customFormat="1">
      <c r="A2429" s="111"/>
      <c r="B2429" s="111"/>
      <c r="C2429" s="115">
        <v>20000</v>
      </c>
      <c r="D2429" s="104" t="s">
        <v>452</v>
      </c>
      <c r="E2429" s="115">
        <v>750</v>
      </c>
      <c r="F2429" s="102">
        <v>1</v>
      </c>
      <c r="G2429" s="208">
        <v>7.4999999999999997E-2</v>
      </c>
      <c r="H2429" s="102">
        <v>15</v>
      </c>
      <c r="I2429" s="115">
        <f t="shared" si="121"/>
        <v>750</v>
      </c>
      <c r="J2429" s="115">
        <f t="shared" si="122"/>
        <v>499.99999999999994</v>
      </c>
    </row>
    <row r="2430" spans="1:10" s="99" customFormat="1">
      <c r="A2430" s="111"/>
      <c r="B2430" s="111"/>
      <c r="C2430" s="115">
        <v>10000</v>
      </c>
      <c r="D2430" s="129" t="s">
        <v>377</v>
      </c>
      <c r="E2430" s="115">
        <v>375</v>
      </c>
      <c r="F2430" s="102">
        <v>2</v>
      </c>
      <c r="G2430" s="208">
        <v>7.4999999999999997E-2</v>
      </c>
      <c r="H2430" s="102">
        <v>15</v>
      </c>
      <c r="I2430" s="115">
        <f t="shared" si="121"/>
        <v>750</v>
      </c>
      <c r="J2430" s="115">
        <f t="shared" si="122"/>
        <v>499.99999999999994</v>
      </c>
    </row>
    <row r="2431" spans="1:10" s="99" customFormat="1">
      <c r="A2431" s="111"/>
      <c r="B2431" s="111"/>
      <c r="C2431" s="115">
        <v>30000</v>
      </c>
      <c r="D2431" s="104" t="s">
        <v>2350</v>
      </c>
      <c r="E2431" s="115">
        <v>1125</v>
      </c>
      <c r="F2431" s="102">
        <v>1</v>
      </c>
      <c r="G2431" s="208">
        <v>7.4999999999999997E-2</v>
      </c>
      <c r="H2431" s="102">
        <v>15</v>
      </c>
      <c r="I2431" s="115">
        <f t="shared" si="121"/>
        <v>1125</v>
      </c>
      <c r="J2431" s="115">
        <f t="shared" si="122"/>
        <v>749.99999999999989</v>
      </c>
    </row>
    <row r="2432" spans="1:10" s="99" customFormat="1">
      <c r="A2432" s="111"/>
      <c r="B2432" s="111"/>
      <c r="C2432" s="115">
        <v>20000</v>
      </c>
      <c r="D2432" s="104" t="s">
        <v>2293</v>
      </c>
      <c r="E2432" s="115">
        <v>750</v>
      </c>
      <c r="F2432" s="102">
        <v>1</v>
      </c>
      <c r="G2432" s="208">
        <v>7.4999999999999997E-2</v>
      </c>
      <c r="H2432" s="102">
        <v>15</v>
      </c>
      <c r="I2432" s="115">
        <f t="shared" si="121"/>
        <v>750</v>
      </c>
      <c r="J2432" s="115">
        <f t="shared" si="122"/>
        <v>499.99999999999994</v>
      </c>
    </row>
    <row r="2433" spans="1:10" s="99" customFormat="1">
      <c r="A2433" s="111"/>
      <c r="B2433" s="111"/>
      <c r="C2433" s="115">
        <v>30000</v>
      </c>
      <c r="D2433" s="104" t="s">
        <v>2610</v>
      </c>
      <c r="E2433" s="115">
        <v>1125</v>
      </c>
      <c r="F2433" s="102">
        <v>4</v>
      </c>
      <c r="G2433" s="208">
        <v>7.4999999999999997E-2</v>
      </c>
      <c r="H2433" s="102">
        <v>15</v>
      </c>
      <c r="I2433" s="115">
        <f t="shared" si="121"/>
        <v>4500</v>
      </c>
      <c r="J2433" s="115">
        <f t="shared" si="122"/>
        <v>2999.9999999999995</v>
      </c>
    </row>
    <row r="2434" spans="1:10" s="99" customFormat="1">
      <c r="A2434" s="111"/>
      <c r="B2434" s="111"/>
      <c r="C2434" s="115">
        <v>10000</v>
      </c>
      <c r="D2434" s="104" t="s">
        <v>1974</v>
      </c>
      <c r="E2434" s="115">
        <v>375</v>
      </c>
      <c r="F2434" s="102">
        <v>1</v>
      </c>
      <c r="G2434" s="208">
        <v>7.4999999999999997E-2</v>
      </c>
      <c r="H2434" s="102">
        <v>15</v>
      </c>
      <c r="I2434" s="115">
        <f t="shared" si="121"/>
        <v>375</v>
      </c>
      <c r="J2434" s="115">
        <f t="shared" si="122"/>
        <v>249.99999999999997</v>
      </c>
    </row>
    <row r="2435" spans="1:10" s="99" customFormat="1">
      <c r="A2435" s="111"/>
      <c r="B2435" s="111"/>
      <c r="C2435" s="115">
        <v>30000</v>
      </c>
      <c r="D2435" s="104" t="s">
        <v>3115</v>
      </c>
      <c r="E2435" s="115">
        <v>1125</v>
      </c>
      <c r="F2435" s="102">
        <v>5</v>
      </c>
      <c r="G2435" s="208">
        <v>7.4999999999999997E-2</v>
      </c>
      <c r="H2435" s="102">
        <v>15</v>
      </c>
      <c r="I2435" s="115">
        <f t="shared" si="121"/>
        <v>5625</v>
      </c>
      <c r="J2435" s="115">
        <f t="shared" si="122"/>
        <v>3749.9999999999995</v>
      </c>
    </row>
    <row r="2436" spans="1:10" s="99" customFormat="1">
      <c r="A2436" s="111"/>
      <c r="B2436" s="111"/>
      <c r="C2436" s="115">
        <v>30000</v>
      </c>
      <c r="D2436" s="104" t="s">
        <v>3122</v>
      </c>
      <c r="E2436" s="115">
        <v>1125</v>
      </c>
      <c r="F2436" s="102">
        <v>1</v>
      </c>
      <c r="G2436" s="208">
        <v>7.4999999999999997E-2</v>
      </c>
      <c r="H2436" s="102">
        <v>15</v>
      </c>
      <c r="I2436" s="115">
        <f t="shared" si="121"/>
        <v>1125</v>
      </c>
      <c r="J2436" s="115">
        <f t="shared" si="122"/>
        <v>749.99999999999989</v>
      </c>
    </row>
    <row r="2437" spans="1:10" s="99" customFormat="1">
      <c r="A2437" s="111"/>
      <c r="B2437" s="111"/>
      <c r="C2437" s="115">
        <v>10000</v>
      </c>
      <c r="D2437" s="104" t="s">
        <v>3145</v>
      </c>
      <c r="E2437" s="115">
        <v>375</v>
      </c>
      <c r="F2437" s="102">
        <v>5</v>
      </c>
      <c r="G2437" s="208">
        <v>7.4999999999999997E-2</v>
      </c>
      <c r="H2437" s="102">
        <v>15</v>
      </c>
      <c r="I2437" s="115">
        <f t="shared" si="121"/>
        <v>1875</v>
      </c>
      <c r="J2437" s="115">
        <f t="shared" si="122"/>
        <v>1249.9999999999998</v>
      </c>
    </row>
    <row r="2438" spans="1:10" s="99" customFormat="1">
      <c r="A2438" s="111"/>
      <c r="B2438" s="111"/>
      <c r="C2438" s="115">
        <v>20000</v>
      </c>
      <c r="D2438" s="104" t="s">
        <v>231</v>
      </c>
      <c r="E2438" s="115">
        <v>750</v>
      </c>
      <c r="F2438" s="102">
        <v>1</v>
      </c>
      <c r="G2438" s="208">
        <v>7.4999999999999997E-2</v>
      </c>
      <c r="H2438" s="102">
        <v>15</v>
      </c>
      <c r="I2438" s="115">
        <f t="shared" si="121"/>
        <v>750</v>
      </c>
      <c r="J2438" s="115">
        <f t="shared" si="122"/>
        <v>499.99999999999994</v>
      </c>
    </row>
    <row r="2439" spans="1:10" s="99" customFormat="1">
      <c r="A2439" s="111"/>
      <c r="B2439" s="111"/>
      <c r="C2439" s="115">
        <v>30000</v>
      </c>
      <c r="D2439" s="104" t="s">
        <v>1009</v>
      </c>
      <c r="E2439" s="115">
        <v>1125</v>
      </c>
      <c r="F2439" s="102">
        <v>1</v>
      </c>
      <c r="G2439" s="208">
        <v>7.4999999999999997E-2</v>
      </c>
      <c r="H2439" s="102">
        <v>15</v>
      </c>
      <c r="I2439" s="115">
        <f t="shared" si="121"/>
        <v>1125</v>
      </c>
      <c r="J2439" s="115">
        <f t="shared" si="122"/>
        <v>749.99999999999989</v>
      </c>
    </row>
    <row r="2440" spans="1:10" s="99" customFormat="1">
      <c r="A2440" s="111"/>
      <c r="B2440" s="111"/>
      <c r="C2440" s="115">
        <v>40000</v>
      </c>
      <c r="D2440" s="104" t="s">
        <v>1518</v>
      </c>
      <c r="E2440" s="115">
        <v>1500</v>
      </c>
      <c r="F2440" s="102">
        <v>1</v>
      </c>
      <c r="G2440" s="208">
        <v>7.4999999999999997E-2</v>
      </c>
      <c r="H2440" s="102">
        <v>15</v>
      </c>
      <c r="I2440" s="115">
        <f t="shared" si="121"/>
        <v>1500</v>
      </c>
      <c r="J2440" s="115">
        <f t="shared" si="122"/>
        <v>999.99999999999989</v>
      </c>
    </row>
    <row r="2441" spans="1:10" s="99" customFormat="1">
      <c r="A2441" s="111">
        <v>339</v>
      </c>
      <c r="B2441" s="111" t="s">
        <v>2351</v>
      </c>
      <c r="C2441" s="115">
        <v>60000</v>
      </c>
      <c r="D2441" s="104" t="s">
        <v>251</v>
      </c>
      <c r="E2441" s="115">
        <v>2250</v>
      </c>
      <c r="F2441" s="102">
        <v>16</v>
      </c>
      <c r="G2441" s="208">
        <v>7.4999999999999997E-2</v>
      </c>
      <c r="H2441" s="102">
        <v>15</v>
      </c>
      <c r="I2441" s="115">
        <f t="shared" si="121"/>
        <v>36000</v>
      </c>
      <c r="J2441" s="115">
        <f t="shared" si="122"/>
        <v>23999.999999999996</v>
      </c>
    </row>
    <row r="2442" spans="1:10" s="99" customFormat="1">
      <c r="A2442" s="111">
        <v>340</v>
      </c>
      <c r="B2442" s="111" t="s">
        <v>2352</v>
      </c>
      <c r="C2442" s="115">
        <v>10000</v>
      </c>
      <c r="D2442" s="104" t="s">
        <v>3407</v>
      </c>
      <c r="E2442" s="115">
        <v>1150</v>
      </c>
      <c r="F2442" s="102">
        <v>10</v>
      </c>
      <c r="G2442" s="208">
        <v>0.06</v>
      </c>
      <c r="H2442" s="102" t="s">
        <v>664</v>
      </c>
      <c r="I2442" s="115">
        <f t="shared" si="121"/>
        <v>1500</v>
      </c>
      <c r="J2442" s="115">
        <f t="shared" si="122"/>
        <v>874.99999999999977</v>
      </c>
    </row>
    <row r="2443" spans="1:10" s="99" customFormat="1">
      <c r="A2443" s="111"/>
      <c r="B2443" s="111"/>
      <c r="C2443" s="115">
        <v>40000</v>
      </c>
      <c r="D2443" s="104" t="s">
        <v>3407</v>
      </c>
      <c r="E2443" s="115">
        <v>1500</v>
      </c>
      <c r="F2443" s="102">
        <v>6</v>
      </c>
      <c r="G2443" s="208">
        <v>7.4999999999999997E-2</v>
      </c>
      <c r="H2443" s="102">
        <v>15</v>
      </c>
      <c r="I2443" s="115">
        <f t="shared" si="121"/>
        <v>9000</v>
      </c>
      <c r="J2443" s="115">
        <f t="shared" si="122"/>
        <v>5999.9999999999991</v>
      </c>
    </row>
    <row r="2444" spans="1:10" s="99" customFormat="1">
      <c r="A2444" s="111">
        <v>341</v>
      </c>
      <c r="B2444" s="111" t="s">
        <v>2353</v>
      </c>
      <c r="C2444" s="115">
        <v>10000</v>
      </c>
      <c r="D2444" s="104" t="s">
        <v>233</v>
      </c>
      <c r="E2444" s="115">
        <v>375</v>
      </c>
      <c r="F2444" s="102">
        <v>1</v>
      </c>
      <c r="G2444" s="208">
        <v>7.4999999999999997E-2</v>
      </c>
      <c r="H2444" s="102">
        <v>15</v>
      </c>
      <c r="I2444" s="115">
        <f t="shared" si="121"/>
        <v>375</v>
      </c>
      <c r="J2444" s="115">
        <f t="shared" si="122"/>
        <v>249.99999999999997</v>
      </c>
    </row>
    <row r="2445" spans="1:10" s="99" customFormat="1">
      <c r="A2445" s="111">
        <v>342</v>
      </c>
      <c r="B2445" s="111" t="s">
        <v>2354</v>
      </c>
      <c r="C2445" s="115">
        <v>50000</v>
      </c>
      <c r="D2445" s="104" t="s">
        <v>648</v>
      </c>
      <c r="E2445" s="115">
        <v>1875</v>
      </c>
      <c r="F2445" s="102">
        <v>1</v>
      </c>
      <c r="G2445" s="208">
        <v>7.4999999999999997E-2</v>
      </c>
      <c r="H2445" s="102">
        <v>15</v>
      </c>
      <c r="I2445" s="115">
        <f t="shared" si="121"/>
        <v>1875</v>
      </c>
      <c r="J2445" s="115">
        <f t="shared" si="122"/>
        <v>1250</v>
      </c>
    </row>
    <row r="2446" spans="1:10" s="99" customFormat="1">
      <c r="A2446" s="111">
        <v>343</v>
      </c>
      <c r="B2446" s="111" t="s">
        <v>2355</v>
      </c>
      <c r="C2446" s="115">
        <v>30000</v>
      </c>
      <c r="D2446" s="104" t="s">
        <v>2356</v>
      </c>
      <c r="E2446" s="115">
        <v>1125</v>
      </c>
      <c r="F2446" s="102">
        <v>16</v>
      </c>
      <c r="G2446" s="208">
        <v>7.4999999999999997E-2</v>
      </c>
      <c r="H2446" s="102">
        <v>15</v>
      </c>
      <c r="I2446" s="115">
        <f t="shared" ref="I2446:I2509" si="123">IF(H2446="分期",C2446*G2446*2.5*F2446/10,C2446*G2446*H2446/30*F2446)</f>
        <v>18000</v>
      </c>
      <c r="J2446" s="115">
        <f t="shared" ref="J2446:J2509" si="124">IF(H2446="分期",C2446*(G2446-0.025)*2.5*F2446/10,C2446*(G2446-0.025)*H2446/30*F2446)</f>
        <v>11999.999999999998</v>
      </c>
    </row>
    <row r="2447" spans="1:10" s="99" customFormat="1">
      <c r="A2447" s="111"/>
      <c r="B2447" s="111"/>
      <c r="C2447" s="115">
        <v>30000</v>
      </c>
      <c r="D2447" s="104" t="s">
        <v>3411</v>
      </c>
      <c r="E2447" s="115">
        <v>1125</v>
      </c>
      <c r="F2447" s="102">
        <v>12</v>
      </c>
      <c r="G2447" s="208">
        <v>7.4999999999999997E-2</v>
      </c>
      <c r="H2447" s="102">
        <v>15</v>
      </c>
      <c r="I2447" s="115">
        <f t="shared" si="123"/>
        <v>13500</v>
      </c>
      <c r="J2447" s="115">
        <f t="shared" si="124"/>
        <v>8999.9999999999982</v>
      </c>
    </row>
    <row r="2448" spans="1:10" s="99" customFormat="1">
      <c r="A2448" s="111"/>
      <c r="B2448" s="111"/>
      <c r="C2448" s="115">
        <v>30000</v>
      </c>
      <c r="D2448" s="104" t="s">
        <v>990</v>
      </c>
      <c r="E2448" s="115">
        <v>1125</v>
      </c>
      <c r="F2448" s="102">
        <v>7</v>
      </c>
      <c r="G2448" s="208">
        <v>7.4999999999999997E-2</v>
      </c>
      <c r="H2448" s="102">
        <v>15</v>
      </c>
      <c r="I2448" s="115">
        <f t="shared" si="123"/>
        <v>7875</v>
      </c>
      <c r="J2448" s="115">
        <f t="shared" si="124"/>
        <v>5249.9999999999991</v>
      </c>
    </row>
    <row r="2449" spans="1:10" s="99" customFormat="1">
      <c r="A2449" s="111">
        <v>344</v>
      </c>
      <c r="B2449" s="111" t="s">
        <v>2357</v>
      </c>
      <c r="C2449" s="115">
        <v>20000</v>
      </c>
      <c r="D2449" s="104" t="s">
        <v>2358</v>
      </c>
      <c r="E2449" s="115">
        <v>2300</v>
      </c>
      <c r="F2449" s="102">
        <v>10</v>
      </c>
      <c r="G2449" s="208">
        <v>0.06</v>
      </c>
      <c r="H2449" s="102" t="s">
        <v>664</v>
      </c>
      <c r="I2449" s="115">
        <f t="shared" si="123"/>
        <v>3000</v>
      </c>
      <c r="J2449" s="115">
        <f t="shared" si="124"/>
        <v>1749.9999999999995</v>
      </c>
    </row>
    <row r="2450" spans="1:10" s="99" customFormat="1">
      <c r="A2450" s="111"/>
      <c r="B2450" s="111"/>
      <c r="C2450" s="115">
        <v>20000</v>
      </c>
      <c r="D2450" s="104" t="s">
        <v>1722</v>
      </c>
      <c r="E2450" s="115">
        <v>2300</v>
      </c>
      <c r="F2450" s="102">
        <v>10</v>
      </c>
      <c r="G2450" s="208">
        <v>0.06</v>
      </c>
      <c r="H2450" s="102" t="s">
        <v>664</v>
      </c>
      <c r="I2450" s="115">
        <f t="shared" si="123"/>
        <v>3000</v>
      </c>
      <c r="J2450" s="115">
        <f t="shared" si="124"/>
        <v>1749.9999999999995</v>
      </c>
    </row>
    <row r="2451" spans="1:10" s="99" customFormat="1">
      <c r="A2451" s="111"/>
      <c r="B2451" s="111"/>
      <c r="C2451" s="115">
        <v>40000</v>
      </c>
      <c r="D2451" s="104" t="s">
        <v>2358</v>
      </c>
      <c r="E2451" s="115">
        <v>1500</v>
      </c>
      <c r="F2451" s="102">
        <v>15</v>
      </c>
      <c r="G2451" s="208">
        <v>7.4999999999999997E-2</v>
      </c>
      <c r="H2451" s="102">
        <v>15</v>
      </c>
      <c r="I2451" s="115">
        <f t="shared" si="123"/>
        <v>22500</v>
      </c>
      <c r="J2451" s="115">
        <f t="shared" si="124"/>
        <v>14999.999999999998</v>
      </c>
    </row>
    <row r="2452" spans="1:10" s="99" customFormat="1">
      <c r="A2452" s="111"/>
      <c r="B2452" s="111"/>
      <c r="C2452" s="115">
        <v>20000</v>
      </c>
      <c r="D2452" s="104" t="s">
        <v>3399</v>
      </c>
      <c r="E2452" s="115">
        <v>2300</v>
      </c>
      <c r="F2452" s="102">
        <v>10</v>
      </c>
      <c r="G2452" s="208">
        <v>0.06</v>
      </c>
      <c r="H2452" s="102" t="s">
        <v>664</v>
      </c>
      <c r="I2452" s="115">
        <f t="shared" si="123"/>
        <v>3000</v>
      </c>
      <c r="J2452" s="115">
        <f t="shared" si="124"/>
        <v>1749.9999999999995</v>
      </c>
    </row>
    <row r="2453" spans="1:10" s="99" customFormat="1">
      <c r="A2453" s="111"/>
      <c r="B2453" s="111"/>
      <c r="C2453" s="115">
        <v>20000</v>
      </c>
      <c r="D2453" s="129" t="s">
        <v>378</v>
      </c>
      <c r="E2453" s="115">
        <v>2300</v>
      </c>
      <c r="F2453" s="102">
        <v>10</v>
      </c>
      <c r="G2453" s="208">
        <v>0.06</v>
      </c>
      <c r="H2453" s="102" t="s">
        <v>664</v>
      </c>
      <c r="I2453" s="115">
        <f t="shared" si="123"/>
        <v>3000</v>
      </c>
      <c r="J2453" s="115">
        <f t="shared" si="124"/>
        <v>1749.9999999999995</v>
      </c>
    </row>
    <row r="2454" spans="1:10" s="99" customFormat="1">
      <c r="A2454" s="111"/>
      <c r="B2454" s="111"/>
      <c r="C2454" s="115">
        <v>20000</v>
      </c>
      <c r="D2454" s="129" t="s">
        <v>379</v>
      </c>
      <c r="E2454" s="115">
        <v>2300</v>
      </c>
      <c r="F2454" s="102">
        <v>4</v>
      </c>
      <c r="G2454" s="208">
        <v>0.06</v>
      </c>
      <c r="H2454" s="102" t="s">
        <v>664</v>
      </c>
      <c r="I2454" s="115">
        <f t="shared" si="123"/>
        <v>1200</v>
      </c>
      <c r="J2454" s="115">
        <f t="shared" si="124"/>
        <v>699.99999999999989</v>
      </c>
    </row>
    <row r="2455" spans="1:10" s="99" customFormat="1">
      <c r="A2455" s="111"/>
      <c r="B2455" s="111"/>
      <c r="C2455" s="115">
        <v>20000</v>
      </c>
      <c r="D2455" s="104" t="s">
        <v>230</v>
      </c>
      <c r="E2455" s="115">
        <v>750</v>
      </c>
      <c r="F2455" s="102">
        <v>2</v>
      </c>
      <c r="G2455" s="208">
        <v>7.4999999999999997E-2</v>
      </c>
      <c r="H2455" s="102">
        <v>15</v>
      </c>
      <c r="I2455" s="115">
        <f t="shared" si="123"/>
        <v>1500</v>
      </c>
      <c r="J2455" s="115">
        <f t="shared" si="124"/>
        <v>999.99999999999989</v>
      </c>
    </row>
    <row r="2456" spans="1:10" s="99" customFormat="1">
      <c r="A2456" s="111">
        <v>345</v>
      </c>
      <c r="B2456" s="111" t="s">
        <v>2359</v>
      </c>
      <c r="C2456" s="115">
        <v>10000</v>
      </c>
      <c r="D2456" s="104" t="s">
        <v>2358</v>
      </c>
      <c r="E2456" s="115">
        <v>1150</v>
      </c>
      <c r="F2456" s="102">
        <v>10</v>
      </c>
      <c r="G2456" s="208">
        <v>0.06</v>
      </c>
      <c r="H2456" s="102" t="s">
        <v>664</v>
      </c>
      <c r="I2456" s="115">
        <f t="shared" si="123"/>
        <v>1500</v>
      </c>
      <c r="J2456" s="115">
        <f t="shared" si="124"/>
        <v>874.99999999999977</v>
      </c>
    </row>
    <row r="2457" spans="1:10" s="99" customFormat="1">
      <c r="A2457" s="111"/>
      <c r="B2457" s="111"/>
      <c r="C2457" s="115">
        <v>10000</v>
      </c>
      <c r="D2457" s="104" t="s">
        <v>1517</v>
      </c>
      <c r="E2457" s="115">
        <v>1150</v>
      </c>
      <c r="F2457" s="102">
        <v>10</v>
      </c>
      <c r="G2457" s="208">
        <v>0.06</v>
      </c>
      <c r="H2457" s="102" t="s">
        <v>664</v>
      </c>
      <c r="I2457" s="115">
        <f t="shared" si="123"/>
        <v>1500</v>
      </c>
      <c r="J2457" s="115">
        <f t="shared" si="124"/>
        <v>874.99999999999977</v>
      </c>
    </row>
    <row r="2458" spans="1:10" s="99" customFormat="1">
      <c r="A2458" s="111"/>
      <c r="B2458" s="111"/>
      <c r="C2458" s="115">
        <v>10000</v>
      </c>
      <c r="D2458" s="104" t="s">
        <v>442</v>
      </c>
      <c r="E2458" s="115">
        <v>1150</v>
      </c>
      <c r="F2458" s="102">
        <v>10</v>
      </c>
      <c r="G2458" s="208">
        <v>0.06</v>
      </c>
      <c r="H2458" s="102" t="s">
        <v>664</v>
      </c>
      <c r="I2458" s="115">
        <f t="shared" si="123"/>
        <v>1500</v>
      </c>
      <c r="J2458" s="115">
        <f t="shared" si="124"/>
        <v>874.99999999999977</v>
      </c>
    </row>
    <row r="2459" spans="1:10" s="99" customFormat="1">
      <c r="A2459" s="111"/>
      <c r="B2459" s="111"/>
      <c r="C2459" s="115">
        <v>10000</v>
      </c>
      <c r="D2459" s="104" t="s">
        <v>442</v>
      </c>
      <c r="E2459" s="115">
        <v>1150</v>
      </c>
      <c r="F2459" s="102">
        <v>10</v>
      </c>
      <c r="G2459" s="208">
        <v>0.06</v>
      </c>
      <c r="H2459" s="102" t="s">
        <v>664</v>
      </c>
      <c r="I2459" s="115">
        <f t="shared" si="123"/>
        <v>1500</v>
      </c>
      <c r="J2459" s="115">
        <f t="shared" si="124"/>
        <v>874.99999999999977</v>
      </c>
    </row>
    <row r="2460" spans="1:10" s="99" customFormat="1">
      <c r="A2460" s="111"/>
      <c r="B2460" s="111"/>
      <c r="C2460" s="115">
        <v>10000</v>
      </c>
      <c r="D2460" s="104" t="s">
        <v>2358</v>
      </c>
      <c r="E2460" s="115">
        <v>375</v>
      </c>
      <c r="F2460" s="102">
        <v>9</v>
      </c>
      <c r="G2460" s="208">
        <v>7.4999999999999997E-2</v>
      </c>
      <c r="H2460" s="102">
        <v>15</v>
      </c>
      <c r="I2460" s="115">
        <f t="shared" si="123"/>
        <v>3375</v>
      </c>
      <c r="J2460" s="115">
        <f t="shared" si="124"/>
        <v>2249.9999999999995</v>
      </c>
    </row>
    <row r="2461" spans="1:10" s="99" customFormat="1">
      <c r="A2461" s="111"/>
      <c r="B2461" s="111"/>
      <c r="C2461" s="115">
        <v>20000</v>
      </c>
      <c r="D2461" s="104" t="s">
        <v>1517</v>
      </c>
      <c r="E2461" s="115">
        <v>750</v>
      </c>
      <c r="F2461" s="102">
        <v>9</v>
      </c>
      <c r="G2461" s="208">
        <v>7.4999999999999997E-2</v>
      </c>
      <c r="H2461" s="102">
        <v>15</v>
      </c>
      <c r="I2461" s="115">
        <f t="shared" si="123"/>
        <v>6750</v>
      </c>
      <c r="J2461" s="115">
        <f t="shared" si="124"/>
        <v>4499.9999999999991</v>
      </c>
    </row>
    <row r="2462" spans="1:10" s="99" customFormat="1">
      <c r="A2462" s="111"/>
      <c r="B2462" s="111"/>
      <c r="C2462" s="115">
        <v>10000</v>
      </c>
      <c r="D2462" s="104" t="s">
        <v>2350</v>
      </c>
      <c r="E2462" s="115">
        <v>1150</v>
      </c>
      <c r="F2462" s="102">
        <v>10</v>
      </c>
      <c r="G2462" s="208">
        <v>0.06</v>
      </c>
      <c r="H2462" s="102" t="s">
        <v>664</v>
      </c>
      <c r="I2462" s="115">
        <f t="shared" si="123"/>
        <v>1500</v>
      </c>
      <c r="J2462" s="115">
        <f t="shared" si="124"/>
        <v>874.99999999999977</v>
      </c>
    </row>
    <row r="2463" spans="1:10" s="99" customFormat="1">
      <c r="A2463" s="111"/>
      <c r="B2463" s="111"/>
      <c r="C2463" s="115">
        <v>10000</v>
      </c>
      <c r="D2463" s="104" t="s">
        <v>670</v>
      </c>
      <c r="E2463" s="115">
        <v>1150</v>
      </c>
      <c r="F2463" s="102">
        <v>5</v>
      </c>
      <c r="G2463" s="208">
        <v>0.06</v>
      </c>
      <c r="H2463" s="102" t="s">
        <v>664</v>
      </c>
      <c r="I2463" s="115">
        <f t="shared" si="123"/>
        <v>750</v>
      </c>
      <c r="J2463" s="115">
        <f t="shared" si="124"/>
        <v>437.49999999999989</v>
      </c>
    </row>
    <row r="2464" spans="1:10" s="99" customFormat="1">
      <c r="A2464" s="111"/>
      <c r="B2464" s="111"/>
      <c r="C2464" s="115">
        <v>10000</v>
      </c>
      <c r="D2464" s="104" t="s">
        <v>990</v>
      </c>
      <c r="E2464" s="115">
        <v>1150</v>
      </c>
      <c r="F2464" s="102">
        <v>2</v>
      </c>
      <c r="G2464" s="208">
        <v>0.06</v>
      </c>
      <c r="H2464" s="102" t="s">
        <v>664</v>
      </c>
      <c r="I2464" s="115">
        <f t="shared" si="123"/>
        <v>300</v>
      </c>
      <c r="J2464" s="115">
        <f t="shared" si="124"/>
        <v>174.99999999999997</v>
      </c>
    </row>
    <row r="2465" spans="1:10" s="99" customFormat="1">
      <c r="A2465" s="111"/>
      <c r="B2465" s="111"/>
      <c r="C2465" s="115">
        <v>10000</v>
      </c>
      <c r="D2465" s="104" t="s">
        <v>1988</v>
      </c>
      <c r="E2465" s="115">
        <v>1150</v>
      </c>
      <c r="F2465" s="102">
        <v>10</v>
      </c>
      <c r="G2465" s="208">
        <v>0.06</v>
      </c>
      <c r="H2465" s="102" t="s">
        <v>664</v>
      </c>
      <c r="I2465" s="115">
        <f t="shared" si="123"/>
        <v>1500</v>
      </c>
      <c r="J2465" s="115">
        <f t="shared" si="124"/>
        <v>874.99999999999977</v>
      </c>
    </row>
    <row r="2466" spans="1:10" s="99" customFormat="1">
      <c r="A2466" s="111"/>
      <c r="B2466" s="111"/>
      <c r="C2466" s="115">
        <v>20000</v>
      </c>
      <c r="D2466" s="104" t="s">
        <v>1988</v>
      </c>
      <c r="E2466" s="115">
        <v>750</v>
      </c>
      <c r="F2466" s="102">
        <v>5</v>
      </c>
      <c r="G2466" s="208">
        <v>7.4999999999999997E-2</v>
      </c>
      <c r="H2466" s="102">
        <v>15</v>
      </c>
      <c r="I2466" s="115">
        <f t="shared" si="123"/>
        <v>3750</v>
      </c>
      <c r="J2466" s="115">
        <f t="shared" si="124"/>
        <v>2499.9999999999995</v>
      </c>
    </row>
    <row r="2467" spans="1:10" s="99" customFormat="1">
      <c r="A2467" s="111"/>
      <c r="B2467" s="111"/>
      <c r="C2467" s="115">
        <v>10000</v>
      </c>
      <c r="D2467" s="104" t="s">
        <v>2532</v>
      </c>
      <c r="E2467" s="115">
        <v>1150</v>
      </c>
      <c r="F2467" s="102">
        <v>5</v>
      </c>
      <c r="G2467" s="208">
        <v>0.06</v>
      </c>
      <c r="H2467" s="102" t="s">
        <v>664</v>
      </c>
      <c r="I2467" s="115">
        <f t="shared" si="123"/>
        <v>750</v>
      </c>
      <c r="J2467" s="115">
        <f t="shared" si="124"/>
        <v>437.49999999999989</v>
      </c>
    </row>
    <row r="2468" spans="1:10" s="99" customFormat="1">
      <c r="A2468" s="111">
        <v>346</v>
      </c>
      <c r="B2468" s="111" t="s">
        <v>2360</v>
      </c>
      <c r="C2468" s="115">
        <v>30000</v>
      </c>
      <c r="D2468" s="104" t="s">
        <v>1672</v>
      </c>
      <c r="E2468" s="115">
        <v>3450</v>
      </c>
      <c r="F2468" s="102">
        <v>4</v>
      </c>
      <c r="G2468" s="208">
        <v>0.06</v>
      </c>
      <c r="H2468" s="102" t="s">
        <v>664</v>
      </c>
      <c r="I2468" s="115">
        <f t="shared" si="123"/>
        <v>1800</v>
      </c>
      <c r="J2468" s="115">
        <f t="shared" si="124"/>
        <v>1050</v>
      </c>
    </row>
    <row r="2469" spans="1:10" s="99" customFormat="1">
      <c r="A2469" s="111"/>
      <c r="B2469" s="111"/>
      <c r="C2469" s="115">
        <v>20000</v>
      </c>
      <c r="D2469" s="104" t="s">
        <v>421</v>
      </c>
      <c r="E2469" s="115">
        <v>2300</v>
      </c>
      <c r="F2469" s="102">
        <v>5</v>
      </c>
      <c r="G2469" s="208">
        <v>0.06</v>
      </c>
      <c r="H2469" s="102" t="s">
        <v>664</v>
      </c>
      <c r="I2469" s="115">
        <f t="shared" si="123"/>
        <v>1500</v>
      </c>
      <c r="J2469" s="115">
        <f t="shared" si="124"/>
        <v>874.99999999999977</v>
      </c>
    </row>
    <row r="2470" spans="1:10" s="99" customFormat="1">
      <c r="A2470" s="111"/>
      <c r="B2470" s="111"/>
      <c r="C2470" s="115">
        <v>30000</v>
      </c>
      <c r="D2470" s="104" t="s">
        <v>1004</v>
      </c>
      <c r="E2470" s="115">
        <v>3450</v>
      </c>
      <c r="F2470" s="102">
        <v>10</v>
      </c>
      <c r="G2470" s="208">
        <v>0.06</v>
      </c>
      <c r="H2470" s="102" t="s">
        <v>664</v>
      </c>
      <c r="I2470" s="115">
        <f t="shared" si="123"/>
        <v>4500</v>
      </c>
      <c r="J2470" s="115">
        <f t="shared" si="124"/>
        <v>2625</v>
      </c>
    </row>
    <row r="2471" spans="1:10" s="99" customFormat="1">
      <c r="A2471" s="111"/>
      <c r="B2471" s="111"/>
      <c r="C2471" s="115">
        <v>10000</v>
      </c>
      <c r="D2471" s="104" t="s">
        <v>1735</v>
      </c>
      <c r="E2471" s="115">
        <v>1150</v>
      </c>
      <c r="F2471" s="102">
        <v>5</v>
      </c>
      <c r="G2471" s="208">
        <v>0.06</v>
      </c>
      <c r="H2471" s="102" t="s">
        <v>664</v>
      </c>
      <c r="I2471" s="115">
        <f t="shared" si="123"/>
        <v>750</v>
      </c>
      <c r="J2471" s="115">
        <f t="shared" si="124"/>
        <v>437.49999999999989</v>
      </c>
    </row>
    <row r="2472" spans="1:10" s="99" customFormat="1">
      <c r="A2472" s="111"/>
      <c r="B2472" s="111"/>
      <c r="C2472" s="115">
        <v>60000</v>
      </c>
      <c r="D2472" s="104" t="s">
        <v>421</v>
      </c>
      <c r="E2472" s="115">
        <v>2250</v>
      </c>
      <c r="F2472" s="102">
        <v>15</v>
      </c>
      <c r="G2472" s="208">
        <v>7.4999999999999997E-2</v>
      </c>
      <c r="H2472" s="102">
        <v>15</v>
      </c>
      <c r="I2472" s="115">
        <f t="shared" si="123"/>
        <v>33750</v>
      </c>
      <c r="J2472" s="115">
        <f t="shared" si="124"/>
        <v>22499.999999999996</v>
      </c>
    </row>
    <row r="2473" spans="1:10" s="99" customFormat="1">
      <c r="A2473" s="111"/>
      <c r="B2473" s="111"/>
      <c r="C2473" s="115">
        <v>20000</v>
      </c>
      <c r="D2473" s="104" t="s">
        <v>1726</v>
      </c>
      <c r="E2473" s="115">
        <v>2300</v>
      </c>
      <c r="F2473" s="102">
        <v>10</v>
      </c>
      <c r="G2473" s="208">
        <v>0.06</v>
      </c>
      <c r="H2473" s="102" t="s">
        <v>664</v>
      </c>
      <c r="I2473" s="115">
        <f t="shared" si="123"/>
        <v>3000</v>
      </c>
      <c r="J2473" s="115">
        <f t="shared" si="124"/>
        <v>1749.9999999999995</v>
      </c>
    </row>
    <row r="2474" spans="1:10" s="99" customFormat="1">
      <c r="A2474" s="111"/>
      <c r="B2474" s="111"/>
      <c r="C2474" s="115">
        <v>20000</v>
      </c>
      <c r="D2474" s="104" t="s">
        <v>1726</v>
      </c>
      <c r="E2474" s="115">
        <v>750</v>
      </c>
      <c r="F2474" s="102">
        <v>3</v>
      </c>
      <c r="G2474" s="208">
        <v>7.4999999999999997E-2</v>
      </c>
      <c r="H2474" s="102">
        <v>15</v>
      </c>
      <c r="I2474" s="115">
        <f t="shared" si="123"/>
        <v>2250</v>
      </c>
      <c r="J2474" s="115">
        <f t="shared" si="124"/>
        <v>1499.9999999999998</v>
      </c>
    </row>
    <row r="2475" spans="1:10" s="99" customFormat="1">
      <c r="A2475" s="111"/>
      <c r="B2475" s="111"/>
      <c r="C2475" s="115">
        <v>20000</v>
      </c>
      <c r="D2475" s="104" t="s">
        <v>2361</v>
      </c>
      <c r="E2475" s="115">
        <v>2300</v>
      </c>
      <c r="F2475" s="102">
        <v>10</v>
      </c>
      <c r="G2475" s="208">
        <v>0.06</v>
      </c>
      <c r="H2475" s="102" t="s">
        <v>664</v>
      </c>
      <c r="I2475" s="115">
        <f t="shared" si="123"/>
        <v>3000</v>
      </c>
      <c r="J2475" s="115">
        <f t="shared" si="124"/>
        <v>1749.9999999999995</v>
      </c>
    </row>
    <row r="2476" spans="1:10" s="99" customFormat="1">
      <c r="A2476" s="111"/>
      <c r="B2476" s="111"/>
      <c r="C2476" s="115">
        <v>20000</v>
      </c>
      <c r="D2476" s="104" t="s">
        <v>1727</v>
      </c>
      <c r="E2476" s="115">
        <v>2300</v>
      </c>
      <c r="F2476" s="102">
        <v>10</v>
      </c>
      <c r="G2476" s="208">
        <v>0.06</v>
      </c>
      <c r="H2476" s="102" t="s">
        <v>664</v>
      </c>
      <c r="I2476" s="115">
        <f t="shared" si="123"/>
        <v>3000</v>
      </c>
      <c r="J2476" s="115">
        <f t="shared" si="124"/>
        <v>1749.9999999999995</v>
      </c>
    </row>
    <row r="2477" spans="1:10" s="99" customFormat="1">
      <c r="A2477" s="111"/>
      <c r="B2477" s="111"/>
      <c r="C2477" s="115">
        <v>20000</v>
      </c>
      <c r="D2477" s="104" t="s">
        <v>3125</v>
      </c>
      <c r="E2477" s="115">
        <v>2300</v>
      </c>
      <c r="F2477" s="102">
        <v>9</v>
      </c>
      <c r="G2477" s="208">
        <v>0.06</v>
      </c>
      <c r="H2477" s="102" t="s">
        <v>664</v>
      </c>
      <c r="I2477" s="115">
        <f t="shared" si="123"/>
        <v>2700</v>
      </c>
      <c r="J2477" s="115">
        <f t="shared" si="124"/>
        <v>1574.9999999999998</v>
      </c>
    </row>
    <row r="2478" spans="1:10" s="99" customFormat="1">
      <c r="A2478" s="111"/>
      <c r="B2478" s="111"/>
      <c r="C2478" s="115">
        <v>20000</v>
      </c>
      <c r="D2478" s="104" t="s">
        <v>3101</v>
      </c>
      <c r="E2478" s="115">
        <v>2300</v>
      </c>
      <c r="F2478" s="102">
        <v>5</v>
      </c>
      <c r="G2478" s="208">
        <v>0.06</v>
      </c>
      <c r="H2478" s="102" t="s">
        <v>664</v>
      </c>
      <c r="I2478" s="115">
        <f t="shared" si="123"/>
        <v>1500</v>
      </c>
      <c r="J2478" s="115">
        <f t="shared" si="124"/>
        <v>874.99999999999977</v>
      </c>
    </row>
    <row r="2479" spans="1:10" s="99" customFormat="1">
      <c r="A2479" s="111">
        <v>347</v>
      </c>
      <c r="B2479" s="111" t="s">
        <v>3102</v>
      </c>
      <c r="C2479" s="115">
        <v>30000</v>
      </c>
      <c r="D2479" s="104" t="s">
        <v>421</v>
      </c>
      <c r="E2479" s="115">
        <v>1125</v>
      </c>
      <c r="F2479" s="102">
        <v>11</v>
      </c>
      <c r="G2479" s="208">
        <v>7.4999999999999997E-2</v>
      </c>
      <c r="H2479" s="102">
        <v>15</v>
      </c>
      <c r="I2479" s="115">
        <f t="shared" si="123"/>
        <v>12375</v>
      </c>
      <c r="J2479" s="115">
        <f t="shared" si="124"/>
        <v>8249.9999999999982</v>
      </c>
    </row>
    <row r="2480" spans="1:10" s="99" customFormat="1">
      <c r="A2480" s="111"/>
      <c r="B2480" s="111"/>
      <c r="C2480" s="115">
        <v>10000</v>
      </c>
      <c r="D2480" s="104" t="s">
        <v>986</v>
      </c>
      <c r="E2480" s="115">
        <v>375</v>
      </c>
      <c r="F2480" s="102">
        <v>7</v>
      </c>
      <c r="G2480" s="208">
        <v>7.4999999999999997E-2</v>
      </c>
      <c r="H2480" s="102">
        <v>15</v>
      </c>
      <c r="I2480" s="115">
        <f t="shared" si="123"/>
        <v>2625</v>
      </c>
      <c r="J2480" s="115">
        <f t="shared" si="124"/>
        <v>1749.9999999999998</v>
      </c>
    </row>
    <row r="2481" spans="1:10" s="99" customFormat="1">
      <c r="A2481" s="111">
        <v>348</v>
      </c>
      <c r="B2481" s="132" t="s">
        <v>380</v>
      </c>
      <c r="C2481" s="115">
        <v>50000</v>
      </c>
      <c r="D2481" s="104" t="s">
        <v>484</v>
      </c>
      <c r="E2481" s="115">
        <v>5750</v>
      </c>
      <c r="F2481" s="102">
        <v>10</v>
      </c>
      <c r="G2481" s="208">
        <v>0.06</v>
      </c>
      <c r="H2481" s="102" t="s">
        <v>664</v>
      </c>
      <c r="I2481" s="115">
        <f t="shared" si="123"/>
        <v>7500</v>
      </c>
      <c r="J2481" s="115">
        <f t="shared" si="124"/>
        <v>4374.9999999999991</v>
      </c>
    </row>
    <row r="2482" spans="1:10" s="99" customFormat="1">
      <c r="A2482" s="111"/>
      <c r="B2482" s="111"/>
      <c r="C2482" s="115">
        <v>20000</v>
      </c>
      <c r="D2482" s="104" t="s">
        <v>1735</v>
      </c>
      <c r="E2482" s="115">
        <v>750</v>
      </c>
      <c r="F2482" s="102">
        <v>6</v>
      </c>
      <c r="G2482" s="208">
        <v>7.4999999999999997E-2</v>
      </c>
      <c r="H2482" s="102">
        <v>15</v>
      </c>
      <c r="I2482" s="115">
        <f t="shared" si="123"/>
        <v>4500</v>
      </c>
      <c r="J2482" s="115">
        <f t="shared" si="124"/>
        <v>2999.9999999999995</v>
      </c>
    </row>
    <row r="2483" spans="1:10" s="99" customFormat="1">
      <c r="A2483" s="111"/>
      <c r="B2483" s="111"/>
      <c r="C2483" s="115">
        <v>30000</v>
      </c>
      <c r="D2483" s="104" t="s">
        <v>1735</v>
      </c>
      <c r="E2483" s="115">
        <v>3450</v>
      </c>
      <c r="F2483" s="102">
        <v>10</v>
      </c>
      <c r="G2483" s="208">
        <v>0.06</v>
      </c>
      <c r="H2483" s="102" t="s">
        <v>664</v>
      </c>
      <c r="I2483" s="115">
        <f t="shared" si="123"/>
        <v>4500</v>
      </c>
      <c r="J2483" s="115">
        <f t="shared" si="124"/>
        <v>2625</v>
      </c>
    </row>
    <row r="2484" spans="1:10" s="99" customFormat="1">
      <c r="A2484" s="111"/>
      <c r="B2484" s="111"/>
      <c r="C2484" s="115">
        <v>30000</v>
      </c>
      <c r="D2484" s="104" t="s">
        <v>679</v>
      </c>
      <c r="E2484" s="115">
        <v>3450</v>
      </c>
      <c r="F2484" s="102">
        <v>10</v>
      </c>
      <c r="G2484" s="208">
        <v>0.06</v>
      </c>
      <c r="H2484" s="102" t="s">
        <v>664</v>
      </c>
      <c r="I2484" s="115">
        <f t="shared" si="123"/>
        <v>4500</v>
      </c>
      <c r="J2484" s="115">
        <f t="shared" si="124"/>
        <v>2625</v>
      </c>
    </row>
    <row r="2485" spans="1:10" s="99" customFormat="1">
      <c r="A2485" s="111"/>
      <c r="B2485" s="111"/>
      <c r="C2485" s="115">
        <v>20000</v>
      </c>
      <c r="D2485" s="104" t="s">
        <v>1717</v>
      </c>
      <c r="E2485" s="115">
        <v>750</v>
      </c>
      <c r="F2485" s="102">
        <v>4</v>
      </c>
      <c r="G2485" s="208">
        <v>7.4999999999999997E-2</v>
      </c>
      <c r="H2485" s="102">
        <v>15</v>
      </c>
      <c r="I2485" s="115">
        <f t="shared" si="123"/>
        <v>3000</v>
      </c>
      <c r="J2485" s="115">
        <f t="shared" si="124"/>
        <v>1999.9999999999998</v>
      </c>
    </row>
    <row r="2486" spans="1:10" s="99" customFormat="1">
      <c r="A2486" s="111"/>
      <c r="B2486" s="111"/>
      <c r="C2486" s="115">
        <v>20000</v>
      </c>
      <c r="D2486" s="104" t="s">
        <v>1527</v>
      </c>
      <c r="E2486" s="115">
        <v>2300</v>
      </c>
      <c r="F2486" s="102">
        <v>4</v>
      </c>
      <c r="G2486" s="208">
        <v>0.06</v>
      </c>
      <c r="H2486" s="102" t="s">
        <v>664</v>
      </c>
      <c r="I2486" s="115">
        <f t="shared" si="123"/>
        <v>1200</v>
      </c>
      <c r="J2486" s="115">
        <f t="shared" si="124"/>
        <v>699.99999999999989</v>
      </c>
    </row>
    <row r="2487" spans="1:10" s="99" customFormat="1">
      <c r="A2487" s="111">
        <v>349</v>
      </c>
      <c r="B2487" s="111" t="s">
        <v>3103</v>
      </c>
      <c r="C2487" s="115">
        <v>20000</v>
      </c>
      <c r="D2487" s="104" t="s">
        <v>1991</v>
      </c>
      <c r="E2487" s="115">
        <v>2300</v>
      </c>
      <c r="F2487" s="102">
        <v>10</v>
      </c>
      <c r="G2487" s="208">
        <v>0.06</v>
      </c>
      <c r="H2487" s="102" t="s">
        <v>664</v>
      </c>
      <c r="I2487" s="115">
        <f t="shared" si="123"/>
        <v>3000</v>
      </c>
      <c r="J2487" s="115">
        <f t="shared" si="124"/>
        <v>1749.9999999999995</v>
      </c>
    </row>
    <row r="2488" spans="1:10" s="99" customFormat="1">
      <c r="A2488" s="111"/>
      <c r="B2488" s="111"/>
      <c r="C2488" s="115">
        <v>10000</v>
      </c>
      <c r="D2488" s="104" t="s">
        <v>2350</v>
      </c>
      <c r="E2488" s="115">
        <v>1150</v>
      </c>
      <c r="F2488" s="102">
        <v>7</v>
      </c>
      <c r="G2488" s="208">
        <v>0.06</v>
      </c>
      <c r="H2488" s="102" t="s">
        <v>664</v>
      </c>
      <c r="I2488" s="115">
        <f t="shared" si="123"/>
        <v>1050</v>
      </c>
      <c r="J2488" s="115">
        <f t="shared" si="124"/>
        <v>612.49999999999989</v>
      </c>
    </row>
    <row r="2489" spans="1:10" s="99" customFormat="1">
      <c r="A2489" s="111"/>
      <c r="B2489" s="111"/>
      <c r="C2489" s="115">
        <v>10000</v>
      </c>
      <c r="D2489" s="104" t="s">
        <v>1683</v>
      </c>
      <c r="E2489" s="115">
        <v>1150</v>
      </c>
      <c r="F2489" s="102">
        <v>10</v>
      </c>
      <c r="G2489" s="208">
        <v>0.06</v>
      </c>
      <c r="H2489" s="102" t="s">
        <v>664</v>
      </c>
      <c r="I2489" s="115">
        <f t="shared" si="123"/>
        <v>1500</v>
      </c>
      <c r="J2489" s="115">
        <f t="shared" si="124"/>
        <v>874.99999999999977</v>
      </c>
    </row>
    <row r="2490" spans="1:10" s="99" customFormat="1">
      <c r="A2490" s="111"/>
      <c r="B2490" s="111"/>
      <c r="C2490" s="115">
        <v>10000</v>
      </c>
      <c r="D2490" s="104" t="s">
        <v>1709</v>
      </c>
      <c r="E2490" s="115">
        <v>1150</v>
      </c>
      <c r="F2490" s="102">
        <v>5</v>
      </c>
      <c r="G2490" s="208">
        <v>0.06</v>
      </c>
      <c r="H2490" s="102" t="s">
        <v>664</v>
      </c>
      <c r="I2490" s="115">
        <f t="shared" si="123"/>
        <v>750</v>
      </c>
      <c r="J2490" s="115">
        <f t="shared" si="124"/>
        <v>437.49999999999989</v>
      </c>
    </row>
    <row r="2491" spans="1:10" s="99" customFormat="1">
      <c r="A2491" s="111"/>
      <c r="B2491" s="111"/>
      <c r="C2491" s="115">
        <v>10000</v>
      </c>
      <c r="D2491" s="104" t="s">
        <v>3110</v>
      </c>
      <c r="E2491" s="115">
        <v>1150</v>
      </c>
      <c r="F2491" s="102">
        <v>1</v>
      </c>
      <c r="G2491" s="208">
        <v>0.06</v>
      </c>
      <c r="H2491" s="102" t="s">
        <v>664</v>
      </c>
      <c r="I2491" s="115">
        <f t="shared" si="123"/>
        <v>150</v>
      </c>
      <c r="J2491" s="115">
        <f t="shared" si="124"/>
        <v>87.499999999999986</v>
      </c>
    </row>
    <row r="2492" spans="1:10" s="99" customFormat="1">
      <c r="A2492" s="111">
        <v>350</v>
      </c>
      <c r="B2492" s="111" t="s">
        <v>3104</v>
      </c>
      <c r="C2492" s="115">
        <v>10000</v>
      </c>
      <c r="D2492" s="104" t="s">
        <v>3411</v>
      </c>
      <c r="E2492" s="115">
        <v>1150</v>
      </c>
      <c r="F2492" s="102">
        <v>10</v>
      </c>
      <c r="G2492" s="208">
        <v>0.06</v>
      </c>
      <c r="H2492" s="102" t="s">
        <v>664</v>
      </c>
      <c r="I2492" s="115">
        <f t="shared" si="123"/>
        <v>1500</v>
      </c>
      <c r="J2492" s="115">
        <f t="shared" si="124"/>
        <v>874.99999999999977</v>
      </c>
    </row>
    <row r="2493" spans="1:10" s="99" customFormat="1">
      <c r="A2493" s="111"/>
      <c r="B2493" s="111"/>
      <c r="C2493" s="115">
        <v>10000</v>
      </c>
      <c r="D2493" s="104" t="s">
        <v>1991</v>
      </c>
      <c r="E2493" s="115">
        <v>1150</v>
      </c>
      <c r="F2493" s="102">
        <v>10</v>
      </c>
      <c r="G2493" s="208">
        <v>0.06</v>
      </c>
      <c r="H2493" s="102" t="s">
        <v>664</v>
      </c>
      <c r="I2493" s="115">
        <f t="shared" si="123"/>
        <v>1500</v>
      </c>
      <c r="J2493" s="115">
        <f t="shared" si="124"/>
        <v>874.99999999999977</v>
      </c>
    </row>
    <row r="2494" spans="1:10" s="99" customFormat="1">
      <c r="A2494" s="111"/>
      <c r="B2494" s="111"/>
      <c r="C2494" s="115">
        <v>10000</v>
      </c>
      <c r="D2494" s="104" t="s">
        <v>1672</v>
      </c>
      <c r="E2494" s="115">
        <v>1150</v>
      </c>
      <c r="F2494" s="102">
        <v>10</v>
      </c>
      <c r="G2494" s="208">
        <v>0.06</v>
      </c>
      <c r="H2494" s="102" t="s">
        <v>664</v>
      </c>
      <c r="I2494" s="115">
        <f t="shared" si="123"/>
        <v>1500</v>
      </c>
      <c r="J2494" s="115">
        <f t="shared" si="124"/>
        <v>874.99999999999977</v>
      </c>
    </row>
    <row r="2495" spans="1:10" s="99" customFormat="1">
      <c r="A2495" s="111"/>
      <c r="B2495" s="111"/>
      <c r="C2495" s="115">
        <v>10000</v>
      </c>
      <c r="D2495" s="104" t="s">
        <v>985</v>
      </c>
      <c r="E2495" s="115">
        <v>375</v>
      </c>
      <c r="F2495" s="102">
        <v>9</v>
      </c>
      <c r="G2495" s="208">
        <v>7.4999999999999997E-2</v>
      </c>
      <c r="H2495" s="102">
        <v>15</v>
      </c>
      <c r="I2495" s="115">
        <f t="shared" si="123"/>
        <v>3375</v>
      </c>
      <c r="J2495" s="115">
        <f t="shared" si="124"/>
        <v>2249.9999999999995</v>
      </c>
    </row>
    <row r="2496" spans="1:10" s="99" customFormat="1">
      <c r="A2496" s="111"/>
      <c r="B2496" s="111"/>
      <c r="C2496" s="115">
        <v>20000</v>
      </c>
      <c r="D2496" s="104" t="s">
        <v>1991</v>
      </c>
      <c r="E2496" s="115">
        <v>750</v>
      </c>
      <c r="F2496" s="102">
        <v>12</v>
      </c>
      <c r="G2496" s="208">
        <v>7.4999999999999997E-2</v>
      </c>
      <c r="H2496" s="102">
        <v>15</v>
      </c>
      <c r="I2496" s="115">
        <f t="shared" si="123"/>
        <v>9000</v>
      </c>
      <c r="J2496" s="115">
        <f t="shared" si="124"/>
        <v>5999.9999999999991</v>
      </c>
    </row>
    <row r="2497" spans="1:10" s="99" customFormat="1">
      <c r="A2497" s="111"/>
      <c r="B2497" s="111"/>
      <c r="C2497" s="115">
        <v>10000</v>
      </c>
      <c r="D2497" s="104" t="s">
        <v>1004</v>
      </c>
      <c r="E2497" s="115">
        <v>375</v>
      </c>
      <c r="F2497" s="102">
        <v>9</v>
      </c>
      <c r="G2497" s="208">
        <v>7.4999999999999997E-2</v>
      </c>
      <c r="H2497" s="102">
        <v>15</v>
      </c>
      <c r="I2497" s="115">
        <f t="shared" si="123"/>
        <v>3375</v>
      </c>
      <c r="J2497" s="115">
        <f t="shared" si="124"/>
        <v>2249.9999999999995</v>
      </c>
    </row>
    <row r="2498" spans="1:10" s="99" customFormat="1">
      <c r="A2498" s="111"/>
      <c r="B2498" s="111"/>
      <c r="C2498" s="115">
        <v>10000</v>
      </c>
      <c r="D2498" s="104" t="s">
        <v>1976</v>
      </c>
      <c r="E2498" s="115">
        <v>1150</v>
      </c>
      <c r="F2498" s="102">
        <v>7</v>
      </c>
      <c r="G2498" s="208">
        <v>0.06</v>
      </c>
      <c r="H2498" s="102" t="s">
        <v>664</v>
      </c>
      <c r="I2498" s="115">
        <f t="shared" si="123"/>
        <v>1050</v>
      </c>
      <c r="J2498" s="115">
        <f t="shared" si="124"/>
        <v>612.49999999999989</v>
      </c>
    </row>
    <row r="2499" spans="1:10" s="99" customFormat="1">
      <c r="A2499" s="111"/>
      <c r="B2499" s="111"/>
      <c r="C2499" s="115">
        <v>10000</v>
      </c>
      <c r="D2499" s="104" t="s">
        <v>229</v>
      </c>
      <c r="E2499" s="115">
        <v>375</v>
      </c>
      <c r="F2499" s="102">
        <v>1</v>
      </c>
      <c r="G2499" s="208">
        <v>7.4999999999999997E-2</v>
      </c>
      <c r="H2499" s="102">
        <v>15</v>
      </c>
      <c r="I2499" s="115">
        <f t="shared" si="123"/>
        <v>375</v>
      </c>
      <c r="J2499" s="115">
        <f t="shared" si="124"/>
        <v>249.99999999999997</v>
      </c>
    </row>
    <row r="2500" spans="1:10" s="99" customFormat="1">
      <c r="A2500" s="111">
        <v>351</v>
      </c>
      <c r="B2500" s="111" t="s">
        <v>3105</v>
      </c>
      <c r="C2500" s="115">
        <v>30000</v>
      </c>
      <c r="D2500" s="104" t="s">
        <v>426</v>
      </c>
      <c r="E2500" s="115">
        <v>1125</v>
      </c>
      <c r="F2500" s="102">
        <v>13</v>
      </c>
      <c r="G2500" s="208">
        <v>7.4999999999999997E-2</v>
      </c>
      <c r="H2500" s="103">
        <v>15</v>
      </c>
      <c r="I2500" s="115">
        <f t="shared" si="123"/>
        <v>14625</v>
      </c>
      <c r="J2500" s="115">
        <f t="shared" si="124"/>
        <v>9749.9999999999982</v>
      </c>
    </row>
    <row r="2501" spans="1:10" s="99" customFormat="1">
      <c r="A2501" s="111">
        <v>353</v>
      </c>
      <c r="B2501" s="111" t="s">
        <v>3967</v>
      </c>
      <c r="C2501" s="115">
        <v>60000</v>
      </c>
      <c r="D2501" s="104" t="s">
        <v>3130</v>
      </c>
      <c r="E2501" s="115">
        <v>2250</v>
      </c>
      <c r="F2501" s="102">
        <v>13</v>
      </c>
      <c r="G2501" s="208">
        <v>7.4999999999999997E-2</v>
      </c>
      <c r="H2501" s="102">
        <v>15</v>
      </c>
      <c r="I2501" s="115">
        <f t="shared" si="123"/>
        <v>29250</v>
      </c>
      <c r="J2501" s="115">
        <f t="shared" si="124"/>
        <v>19499.999999999996</v>
      </c>
    </row>
    <row r="2502" spans="1:10" s="99" customFormat="1">
      <c r="A2502" s="111">
        <v>354</v>
      </c>
      <c r="B2502" s="111" t="s">
        <v>3968</v>
      </c>
      <c r="C2502" s="115">
        <v>20000</v>
      </c>
      <c r="D2502" s="104" t="s">
        <v>488</v>
      </c>
      <c r="E2502" s="115">
        <v>750</v>
      </c>
      <c r="F2502" s="102">
        <v>9</v>
      </c>
      <c r="G2502" s="208">
        <v>7.4999999999999997E-2</v>
      </c>
      <c r="H2502" s="102">
        <v>15</v>
      </c>
      <c r="I2502" s="115">
        <f t="shared" si="123"/>
        <v>6750</v>
      </c>
      <c r="J2502" s="115">
        <f t="shared" si="124"/>
        <v>4499.9999999999991</v>
      </c>
    </row>
    <row r="2503" spans="1:10" s="99" customFormat="1">
      <c r="A2503" s="111"/>
      <c r="B2503" s="111"/>
      <c r="C2503" s="115">
        <v>10000</v>
      </c>
      <c r="D2503" s="104" t="s">
        <v>488</v>
      </c>
      <c r="E2503" s="115">
        <v>1150</v>
      </c>
      <c r="F2503" s="102">
        <v>10</v>
      </c>
      <c r="G2503" s="208">
        <v>0.06</v>
      </c>
      <c r="H2503" s="102" t="s">
        <v>664</v>
      </c>
      <c r="I2503" s="115">
        <f t="shared" si="123"/>
        <v>1500</v>
      </c>
      <c r="J2503" s="115">
        <f t="shared" si="124"/>
        <v>874.99999999999977</v>
      </c>
    </row>
    <row r="2504" spans="1:10" s="99" customFormat="1">
      <c r="A2504" s="111"/>
      <c r="B2504" s="111"/>
      <c r="C2504" s="115">
        <v>10000</v>
      </c>
      <c r="D2504" s="104" t="s">
        <v>259</v>
      </c>
      <c r="E2504" s="115">
        <v>1150</v>
      </c>
      <c r="F2504" s="102">
        <v>10</v>
      </c>
      <c r="G2504" s="208">
        <v>0.06</v>
      </c>
      <c r="H2504" s="102" t="s">
        <v>664</v>
      </c>
      <c r="I2504" s="115">
        <f t="shared" si="123"/>
        <v>1500</v>
      </c>
      <c r="J2504" s="115">
        <f t="shared" si="124"/>
        <v>874.99999999999977</v>
      </c>
    </row>
    <row r="2505" spans="1:10" s="99" customFormat="1">
      <c r="A2505" s="111"/>
      <c r="B2505" s="111"/>
      <c r="C2505" s="115">
        <v>10000</v>
      </c>
      <c r="D2505" s="104" t="s">
        <v>2325</v>
      </c>
      <c r="E2505" s="115">
        <v>1150</v>
      </c>
      <c r="F2505" s="102">
        <v>3</v>
      </c>
      <c r="G2505" s="208">
        <v>0.06</v>
      </c>
      <c r="H2505" s="102" t="s">
        <v>664</v>
      </c>
      <c r="I2505" s="115">
        <f t="shared" si="123"/>
        <v>450</v>
      </c>
      <c r="J2505" s="115">
        <f t="shared" si="124"/>
        <v>262.49999999999994</v>
      </c>
    </row>
    <row r="2506" spans="1:10" s="99" customFormat="1">
      <c r="A2506" s="111"/>
      <c r="B2506" s="111"/>
      <c r="C2506" s="115">
        <v>10000</v>
      </c>
      <c r="D2506" s="104" t="s">
        <v>1515</v>
      </c>
      <c r="E2506" s="115">
        <v>1150</v>
      </c>
      <c r="F2506" s="102">
        <v>1</v>
      </c>
      <c r="G2506" s="208">
        <v>0.06</v>
      </c>
      <c r="H2506" s="102" t="s">
        <v>664</v>
      </c>
      <c r="I2506" s="115">
        <f t="shared" si="123"/>
        <v>150</v>
      </c>
      <c r="J2506" s="115">
        <f t="shared" si="124"/>
        <v>87.499999999999986</v>
      </c>
    </row>
    <row r="2507" spans="1:10" s="99" customFormat="1">
      <c r="A2507" s="111">
        <v>355</v>
      </c>
      <c r="B2507" s="111" t="s">
        <v>3969</v>
      </c>
      <c r="C2507" s="115">
        <v>10000</v>
      </c>
      <c r="D2507" s="104" t="s">
        <v>3187</v>
      </c>
      <c r="E2507" s="115">
        <v>1150</v>
      </c>
      <c r="F2507" s="102">
        <v>10</v>
      </c>
      <c r="G2507" s="208">
        <v>0.06</v>
      </c>
      <c r="H2507" s="102" t="s">
        <v>664</v>
      </c>
      <c r="I2507" s="115">
        <f t="shared" si="123"/>
        <v>1500</v>
      </c>
      <c r="J2507" s="115">
        <f t="shared" si="124"/>
        <v>874.99999999999977</v>
      </c>
    </row>
    <row r="2508" spans="1:10" s="99" customFormat="1">
      <c r="A2508" s="111"/>
      <c r="B2508" s="111"/>
      <c r="C2508" s="115">
        <v>30000</v>
      </c>
      <c r="D2508" s="104" t="s">
        <v>3187</v>
      </c>
      <c r="E2508" s="115">
        <v>1125</v>
      </c>
      <c r="F2508" s="102">
        <v>11</v>
      </c>
      <c r="G2508" s="208">
        <v>7.4999999999999997E-2</v>
      </c>
      <c r="H2508" s="102">
        <v>15</v>
      </c>
      <c r="I2508" s="115">
        <f t="shared" si="123"/>
        <v>12375</v>
      </c>
      <c r="J2508" s="115">
        <f t="shared" si="124"/>
        <v>8249.9999999999982</v>
      </c>
    </row>
    <row r="2509" spans="1:10" s="99" customFormat="1">
      <c r="A2509" s="111"/>
      <c r="B2509" s="111"/>
      <c r="C2509" s="115">
        <v>10000</v>
      </c>
      <c r="D2509" s="104" t="s">
        <v>2344</v>
      </c>
      <c r="E2509" s="115">
        <v>1150</v>
      </c>
      <c r="F2509" s="102">
        <v>10</v>
      </c>
      <c r="G2509" s="208">
        <v>0.06</v>
      </c>
      <c r="H2509" s="102" t="s">
        <v>664</v>
      </c>
      <c r="I2509" s="115">
        <f t="shared" si="123"/>
        <v>1500</v>
      </c>
      <c r="J2509" s="115">
        <f t="shared" si="124"/>
        <v>874.99999999999977</v>
      </c>
    </row>
    <row r="2510" spans="1:10" s="99" customFormat="1">
      <c r="A2510" s="111"/>
      <c r="B2510" s="111"/>
      <c r="C2510" s="115">
        <v>10000</v>
      </c>
      <c r="D2510" s="104" t="s">
        <v>980</v>
      </c>
      <c r="E2510" s="115">
        <v>1150</v>
      </c>
      <c r="F2510" s="102">
        <v>10</v>
      </c>
      <c r="G2510" s="208">
        <v>0.06</v>
      </c>
      <c r="H2510" s="102" t="s">
        <v>664</v>
      </c>
      <c r="I2510" s="115">
        <f t="shared" ref="I2510:I2573" si="125">IF(H2510="分期",C2510*G2510*2.5*F2510/10,C2510*G2510*H2510/30*F2510)</f>
        <v>1500</v>
      </c>
      <c r="J2510" s="115">
        <f t="shared" ref="J2510:J2573" si="126">IF(H2510="分期",C2510*(G2510-0.025)*2.5*F2510/10,C2510*(G2510-0.025)*H2510/30*F2510)</f>
        <v>874.99999999999977</v>
      </c>
    </row>
    <row r="2511" spans="1:10" s="99" customFormat="1">
      <c r="A2511" s="111"/>
      <c r="B2511" s="111"/>
      <c r="C2511" s="115">
        <v>10000</v>
      </c>
      <c r="D2511" s="129" t="s">
        <v>3178</v>
      </c>
      <c r="E2511" s="115">
        <v>1150</v>
      </c>
      <c r="F2511" s="102">
        <v>3</v>
      </c>
      <c r="G2511" s="208">
        <v>0.06</v>
      </c>
      <c r="H2511" s="102" t="s">
        <v>664</v>
      </c>
      <c r="I2511" s="115">
        <f t="shared" si="125"/>
        <v>450</v>
      </c>
      <c r="J2511" s="115">
        <f t="shared" si="126"/>
        <v>262.49999999999994</v>
      </c>
    </row>
    <row r="2512" spans="1:10" s="99" customFormat="1">
      <c r="A2512" s="111"/>
      <c r="B2512" s="111"/>
      <c r="C2512" s="115">
        <v>20000</v>
      </c>
      <c r="D2512" s="129" t="s">
        <v>3178</v>
      </c>
      <c r="E2512" s="115">
        <v>750</v>
      </c>
      <c r="F2512" s="102">
        <v>1</v>
      </c>
      <c r="G2512" s="208">
        <v>7.4999999999999997E-2</v>
      </c>
      <c r="H2512" s="102">
        <v>15</v>
      </c>
      <c r="I2512" s="115">
        <f t="shared" si="125"/>
        <v>750</v>
      </c>
      <c r="J2512" s="115">
        <f t="shared" si="126"/>
        <v>499.99999999999994</v>
      </c>
    </row>
    <row r="2513" spans="1:10" s="99" customFormat="1">
      <c r="A2513" s="111">
        <v>356</v>
      </c>
      <c r="B2513" s="111" t="s">
        <v>3970</v>
      </c>
      <c r="C2513" s="115">
        <v>50000</v>
      </c>
      <c r="D2513" s="104" t="s">
        <v>232</v>
      </c>
      <c r="E2513" s="115">
        <v>1875</v>
      </c>
      <c r="F2513" s="102">
        <v>1</v>
      </c>
      <c r="G2513" s="208">
        <v>7.4999999999999997E-2</v>
      </c>
      <c r="H2513" s="102">
        <v>15</v>
      </c>
      <c r="I2513" s="115">
        <f t="shared" si="125"/>
        <v>1875</v>
      </c>
      <c r="J2513" s="115">
        <f t="shared" si="126"/>
        <v>1250</v>
      </c>
    </row>
    <row r="2514" spans="1:10" s="99" customFormat="1">
      <c r="A2514" s="111">
        <v>357</v>
      </c>
      <c r="B2514" s="111" t="s">
        <v>3414</v>
      </c>
      <c r="C2514" s="115">
        <v>20000</v>
      </c>
      <c r="D2514" s="104" t="s">
        <v>232</v>
      </c>
      <c r="E2514" s="115">
        <v>750</v>
      </c>
      <c r="F2514" s="102">
        <v>3</v>
      </c>
      <c r="G2514" s="208">
        <v>7.4999999999999997E-2</v>
      </c>
      <c r="H2514" s="102">
        <v>15</v>
      </c>
      <c r="I2514" s="115">
        <f t="shared" si="125"/>
        <v>2250</v>
      </c>
      <c r="J2514" s="115">
        <f t="shared" si="126"/>
        <v>1499.9999999999998</v>
      </c>
    </row>
    <row r="2515" spans="1:10" s="99" customFormat="1">
      <c r="A2515" s="111"/>
      <c r="B2515" s="111"/>
      <c r="C2515" s="115">
        <v>10000</v>
      </c>
      <c r="D2515" s="104" t="s">
        <v>232</v>
      </c>
      <c r="E2515" s="115">
        <v>1150</v>
      </c>
      <c r="F2515" s="102">
        <v>6</v>
      </c>
      <c r="G2515" s="208">
        <v>0.06</v>
      </c>
      <c r="H2515" s="102" t="s">
        <v>664</v>
      </c>
      <c r="I2515" s="115">
        <f t="shared" si="125"/>
        <v>900</v>
      </c>
      <c r="J2515" s="115">
        <f t="shared" si="126"/>
        <v>524.99999999999989</v>
      </c>
    </row>
    <row r="2516" spans="1:10" s="99" customFormat="1">
      <c r="A2516" s="111">
        <v>358</v>
      </c>
      <c r="B2516" s="111" t="s">
        <v>3971</v>
      </c>
      <c r="C2516" s="115">
        <v>20000</v>
      </c>
      <c r="D2516" s="104" t="s">
        <v>1521</v>
      </c>
      <c r="E2516" s="115">
        <v>2300</v>
      </c>
      <c r="F2516" s="102">
        <v>10</v>
      </c>
      <c r="G2516" s="208">
        <v>0.06</v>
      </c>
      <c r="H2516" s="102" t="s">
        <v>664</v>
      </c>
      <c r="I2516" s="115">
        <f t="shared" si="125"/>
        <v>3000</v>
      </c>
      <c r="J2516" s="115">
        <f t="shared" si="126"/>
        <v>1749.9999999999995</v>
      </c>
    </row>
    <row r="2517" spans="1:10" s="99" customFormat="1">
      <c r="A2517" s="111"/>
      <c r="B2517" s="111"/>
      <c r="C2517" s="115">
        <v>20000</v>
      </c>
      <c r="D2517" s="104" t="s">
        <v>3124</v>
      </c>
      <c r="E2517" s="115">
        <v>2300</v>
      </c>
      <c r="F2517" s="102">
        <v>10</v>
      </c>
      <c r="G2517" s="208">
        <v>0.06</v>
      </c>
      <c r="H2517" s="102" t="s">
        <v>664</v>
      </c>
      <c r="I2517" s="115">
        <f t="shared" si="125"/>
        <v>3000</v>
      </c>
      <c r="J2517" s="115">
        <f t="shared" si="126"/>
        <v>1749.9999999999995</v>
      </c>
    </row>
    <row r="2518" spans="1:10" s="99" customFormat="1">
      <c r="A2518" s="111"/>
      <c r="B2518" s="111"/>
      <c r="C2518" s="115">
        <v>20000</v>
      </c>
      <c r="D2518" s="104" t="s">
        <v>1979</v>
      </c>
      <c r="E2518" s="115">
        <v>2300</v>
      </c>
      <c r="F2518" s="102">
        <v>6</v>
      </c>
      <c r="G2518" s="208">
        <v>0.06</v>
      </c>
      <c r="H2518" s="102" t="s">
        <v>664</v>
      </c>
      <c r="I2518" s="115">
        <f t="shared" si="125"/>
        <v>1800</v>
      </c>
      <c r="J2518" s="115">
        <f t="shared" si="126"/>
        <v>1049.9999999999998</v>
      </c>
    </row>
    <row r="2519" spans="1:10" s="99" customFormat="1">
      <c r="A2519" s="111">
        <v>359</v>
      </c>
      <c r="B2519" s="111" t="s">
        <v>3972</v>
      </c>
      <c r="C2519" s="115">
        <v>20000</v>
      </c>
      <c r="D2519" s="104" t="s">
        <v>1521</v>
      </c>
      <c r="E2519" s="115">
        <v>2300</v>
      </c>
      <c r="F2519" s="102">
        <v>10</v>
      </c>
      <c r="G2519" s="208">
        <v>0.06</v>
      </c>
      <c r="H2519" s="102" t="s">
        <v>664</v>
      </c>
      <c r="I2519" s="115">
        <f t="shared" si="125"/>
        <v>3000</v>
      </c>
      <c r="J2519" s="115">
        <f t="shared" si="126"/>
        <v>1749.9999999999995</v>
      </c>
    </row>
    <row r="2520" spans="1:10" s="99" customFormat="1">
      <c r="A2520" s="111"/>
      <c r="B2520" s="111"/>
      <c r="C2520" s="115">
        <v>20000</v>
      </c>
      <c r="D2520" s="129" t="s">
        <v>2293</v>
      </c>
      <c r="E2520" s="115">
        <v>2300</v>
      </c>
      <c r="F2520" s="102">
        <v>10</v>
      </c>
      <c r="G2520" s="208">
        <v>0.06</v>
      </c>
      <c r="H2520" s="102" t="s">
        <v>664</v>
      </c>
      <c r="I2520" s="115">
        <f t="shared" si="125"/>
        <v>3000</v>
      </c>
      <c r="J2520" s="115">
        <f t="shared" si="126"/>
        <v>1749.9999999999995</v>
      </c>
    </row>
    <row r="2521" spans="1:10" s="99" customFormat="1">
      <c r="A2521" s="111"/>
      <c r="B2521" s="111"/>
      <c r="C2521" s="115">
        <v>20000</v>
      </c>
      <c r="D2521" s="104" t="s">
        <v>1974</v>
      </c>
      <c r="E2521" s="115">
        <v>2300</v>
      </c>
      <c r="F2521" s="102">
        <v>4</v>
      </c>
      <c r="G2521" s="208">
        <v>0.06</v>
      </c>
      <c r="H2521" s="102" t="s">
        <v>664</v>
      </c>
      <c r="I2521" s="115">
        <f t="shared" si="125"/>
        <v>1200</v>
      </c>
      <c r="J2521" s="115">
        <f t="shared" si="126"/>
        <v>699.99999999999989</v>
      </c>
    </row>
    <row r="2522" spans="1:10" s="99" customFormat="1">
      <c r="A2522" s="111"/>
      <c r="B2522" s="111"/>
      <c r="C2522" s="115">
        <v>13800</v>
      </c>
      <c r="D2522" s="104" t="s">
        <v>1513</v>
      </c>
      <c r="E2522" s="115">
        <v>520</v>
      </c>
      <c r="F2522" s="102">
        <v>2</v>
      </c>
      <c r="G2522" s="208">
        <v>7.4999999999999997E-2</v>
      </c>
      <c r="H2522" s="102">
        <v>15</v>
      </c>
      <c r="I2522" s="115">
        <f t="shared" si="125"/>
        <v>1035</v>
      </c>
      <c r="J2522" s="115">
        <f t="shared" si="126"/>
        <v>689.99999999999989</v>
      </c>
    </row>
    <row r="2523" spans="1:10" s="99" customFormat="1">
      <c r="A2523" s="111">
        <v>360</v>
      </c>
      <c r="B2523" s="111" t="s">
        <v>3973</v>
      </c>
      <c r="C2523" s="115">
        <v>20000</v>
      </c>
      <c r="D2523" s="104" t="s">
        <v>1521</v>
      </c>
      <c r="E2523" s="115">
        <v>2300</v>
      </c>
      <c r="F2523" s="102">
        <v>10</v>
      </c>
      <c r="G2523" s="208">
        <v>0.06</v>
      </c>
      <c r="H2523" s="102" t="s">
        <v>664</v>
      </c>
      <c r="I2523" s="115">
        <f t="shared" si="125"/>
        <v>3000</v>
      </c>
      <c r="J2523" s="115">
        <f t="shared" si="126"/>
        <v>1749.9999999999995</v>
      </c>
    </row>
    <row r="2524" spans="1:10" s="99" customFormat="1">
      <c r="A2524" s="111"/>
      <c r="B2524" s="111"/>
      <c r="C2524" s="115">
        <v>20000</v>
      </c>
      <c r="D2524" s="104" t="s">
        <v>242</v>
      </c>
      <c r="E2524" s="115">
        <v>2300</v>
      </c>
      <c r="F2524" s="102">
        <v>10</v>
      </c>
      <c r="G2524" s="208">
        <v>0.06</v>
      </c>
      <c r="H2524" s="102" t="s">
        <v>664</v>
      </c>
      <c r="I2524" s="115">
        <f t="shared" si="125"/>
        <v>3000</v>
      </c>
      <c r="J2524" s="115">
        <f t="shared" si="126"/>
        <v>1749.9999999999995</v>
      </c>
    </row>
    <row r="2525" spans="1:10" s="99" customFormat="1">
      <c r="A2525" s="111"/>
      <c r="B2525" s="111"/>
      <c r="C2525" s="115">
        <v>10000</v>
      </c>
      <c r="D2525" s="104" t="s">
        <v>3144</v>
      </c>
      <c r="E2525" s="115">
        <v>1150</v>
      </c>
      <c r="F2525" s="102">
        <v>6</v>
      </c>
      <c r="G2525" s="208">
        <v>0.06</v>
      </c>
      <c r="H2525" s="102" t="s">
        <v>664</v>
      </c>
      <c r="I2525" s="115">
        <f t="shared" si="125"/>
        <v>900</v>
      </c>
      <c r="J2525" s="115">
        <f t="shared" si="126"/>
        <v>524.99999999999989</v>
      </c>
    </row>
    <row r="2526" spans="1:10" s="99" customFormat="1">
      <c r="A2526" s="111"/>
      <c r="B2526" s="111"/>
      <c r="C2526" s="115">
        <v>10000</v>
      </c>
      <c r="D2526" s="104" t="s">
        <v>1513</v>
      </c>
      <c r="E2526" s="115">
        <v>375</v>
      </c>
      <c r="F2526" s="102">
        <v>3</v>
      </c>
      <c r="G2526" s="208">
        <v>7.4999999999999997E-2</v>
      </c>
      <c r="H2526" s="102">
        <v>15</v>
      </c>
      <c r="I2526" s="115">
        <f t="shared" si="125"/>
        <v>1125</v>
      </c>
      <c r="J2526" s="115">
        <f t="shared" si="126"/>
        <v>749.99999999999989</v>
      </c>
    </row>
    <row r="2527" spans="1:10" s="99" customFormat="1">
      <c r="A2527" s="111"/>
      <c r="B2527" s="111"/>
      <c r="C2527" s="115">
        <v>10000</v>
      </c>
      <c r="D2527" s="104" t="s">
        <v>991</v>
      </c>
      <c r="E2527" s="115">
        <v>375</v>
      </c>
      <c r="F2527" s="102">
        <v>2</v>
      </c>
      <c r="G2527" s="208">
        <v>7.4999999999999997E-2</v>
      </c>
      <c r="H2527" s="102">
        <v>15</v>
      </c>
      <c r="I2527" s="115">
        <f t="shared" si="125"/>
        <v>750</v>
      </c>
      <c r="J2527" s="115">
        <f t="shared" si="126"/>
        <v>499.99999999999994</v>
      </c>
    </row>
    <row r="2528" spans="1:10" s="99" customFormat="1">
      <c r="A2528" s="111">
        <v>361</v>
      </c>
      <c r="B2528" s="111" t="s">
        <v>3974</v>
      </c>
      <c r="C2528" s="115">
        <v>200000</v>
      </c>
      <c r="D2528" s="104" t="s">
        <v>1521</v>
      </c>
      <c r="E2528" s="115">
        <v>4000</v>
      </c>
      <c r="F2528" s="102">
        <v>11</v>
      </c>
      <c r="G2528" s="208">
        <v>0.04</v>
      </c>
      <c r="H2528" s="102">
        <v>15</v>
      </c>
      <c r="I2528" s="115">
        <f t="shared" si="125"/>
        <v>44000</v>
      </c>
      <c r="J2528" s="115">
        <f t="shared" si="126"/>
        <v>16500</v>
      </c>
    </row>
    <row r="2529" spans="1:10" s="99" customFormat="1">
      <c r="A2529" s="111">
        <v>362</v>
      </c>
      <c r="B2529" s="111" t="s">
        <v>3975</v>
      </c>
      <c r="C2529" s="115">
        <v>20000</v>
      </c>
      <c r="D2529" s="104" t="s">
        <v>3151</v>
      </c>
      <c r="E2529" s="115">
        <v>750</v>
      </c>
      <c r="F2529" s="102">
        <v>8</v>
      </c>
      <c r="G2529" s="208">
        <v>7.4999999999999997E-2</v>
      </c>
      <c r="H2529" s="102">
        <v>15</v>
      </c>
      <c r="I2529" s="115">
        <f t="shared" si="125"/>
        <v>6000</v>
      </c>
      <c r="J2529" s="115">
        <f t="shared" si="126"/>
        <v>3999.9999999999995</v>
      </c>
    </row>
    <row r="2530" spans="1:10" s="99" customFormat="1">
      <c r="A2530" s="111"/>
      <c r="B2530" s="111"/>
      <c r="C2530" s="115">
        <v>20000</v>
      </c>
      <c r="D2530" s="104" t="s">
        <v>3151</v>
      </c>
      <c r="E2530" s="115">
        <v>2300</v>
      </c>
      <c r="F2530" s="102">
        <v>10</v>
      </c>
      <c r="G2530" s="208">
        <v>0.06</v>
      </c>
      <c r="H2530" s="102" t="s">
        <v>664</v>
      </c>
      <c r="I2530" s="115">
        <f t="shared" si="125"/>
        <v>3000</v>
      </c>
      <c r="J2530" s="115">
        <f t="shared" si="126"/>
        <v>1749.9999999999995</v>
      </c>
    </row>
    <row r="2531" spans="1:10" s="99" customFormat="1">
      <c r="A2531" s="111"/>
      <c r="B2531" s="111"/>
      <c r="C2531" s="115">
        <v>10000</v>
      </c>
      <c r="D2531" s="104" t="s">
        <v>1672</v>
      </c>
      <c r="E2531" s="115">
        <v>375</v>
      </c>
      <c r="F2531" s="102">
        <v>6</v>
      </c>
      <c r="G2531" s="208">
        <v>7.4999999999999997E-2</v>
      </c>
      <c r="H2531" s="102">
        <v>15</v>
      </c>
      <c r="I2531" s="115">
        <f t="shared" si="125"/>
        <v>2250</v>
      </c>
      <c r="J2531" s="115">
        <f t="shared" si="126"/>
        <v>1499.9999999999998</v>
      </c>
    </row>
    <row r="2532" spans="1:10" s="99" customFormat="1">
      <c r="A2532" s="111">
        <v>363</v>
      </c>
      <c r="B2532" s="111" t="s">
        <v>3976</v>
      </c>
      <c r="C2532" s="115">
        <v>20000</v>
      </c>
      <c r="D2532" s="104" t="s">
        <v>3143</v>
      </c>
      <c r="E2532" s="115">
        <v>2300</v>
      </c>
      <c r="F2532" s="102">
        <v>9</v>
      </c>
      <c r="G2532" s="208">
        <v>0.06</v>
      </c>
      <c r="H2532" s="102" t="s">
        <v>664</v>
      </c>
      <c r="I2532" s="115">
        <f t="shared" si="125"/>
        <v>2700</v>
      </c>
      <c r="J2532" s="115">
        <f t="shared" si="126"/>
        <v>1574.9999999999998</v>
      </c>
    </row>
    <row r="2533" spans="1:10" s="99" customFormat="1">
      <c r="A2533" s="111"/>
      <c r="B2533" s="111"/>
      <c r="C2533" s="115">
        <v>30000</v>
      </c>
      <c r="D2533" s="104" t="s">
        <v>3143</v>
      </c>
      <c r="E2533" s="115">
        <v>1125</v>
      </c>
      <c r="F2533" s="102">
        <v>4</v>
      </c>
      <c r="G2533" s="208">
        <v>7.4999999999999997E-2</v>
      </c>
      <c r="H2533" s="102">
        <v>15</v>
      </c>
      <c r="I2533" s="115">
        <f t="shared" si="125"/>
        <v>4500</v>
      </c>
      <c r="J2533" s="115">
        <f t="shared" si="126"/>
        <v>2999.9999999999995</v>
      </c>
    </row>
    <row r="2534" spans="1:10" s="99" customFormat="1">
      <c r="A2534" s="111">
        <v>364</v>
      </c>
      <c r="B2534" s="111" t="s">
        <v>1699</v>
      </c>
      <c r="C2534" s="115">
        <v>20000</v>
      </c>
      <c r="D2534" s="104" t="s">
        <v>442</v>
      </c>
      <c r="E2534" s="115">
        <v>750</v>
      </c>
      <c r="F2534" s="102">
        <v>2</v>
      </c>
      <c r="G2534" s="208">
        <v>7.4999999999999997E-2</v>
      </c>
      <c r="H2534" s="102">
        <v>15</v>
      </c>
      <c r="I2534" s="115">
        <f t="shared" si="125"/>
        <v>1500</v>
      </c>
      <c r="J2534" s="115">
        <f t="shared" si="126"/>
        <v>999.99999999999989</v>
      </c>
    </row>
    <row r="2535" spans="1:10" s="99" customFormat="1">
      <c r="A2535" s="111"/>
      <c r="B2535" s="111"/>
      <c r="C2535" s="115">
        <v>30000</v>
      </c>
      <c r="D2535" s="104" t="s">
        <v>1530</v>
      </c>
      <c r="E2535" s="115">
        <v>1125</v>
      </c>
      <c r="F2535" s="102">
        <v>2</v>
      </c>
      <c r="G2535" s="208">
        <v>7.4999999999999997E-2</v>
      </c>
      <c r="H2535" s="102">
        <v>15</v>
      </c>
      <c r="I2535" s="115">
        <f t="shared" si="125"/>
        <v>2250</v>
      </c>
      <c r="J2535" s="115">
        <f t="shared" si="126"/>
        <v>1499.9999999999998</v>
      </c>
    </row>
    <row r="2536" spans="1:10" s="99" customFormat="1">
      <c r="A2536" s="111"/>
      <c r="B2536" s="111"/>
      <c r="C2536" s="115">
        <v>10000</v>
      </c>
      <c r="D2536" s="104" t="s">
        <v>254</v>
      </c>
      <c r="E2536" s="115">
        <v>375</v>
      </c>
      <c r="F2536" s="102">
        <v>1</v>
      </c>
      <c r="G2536" s="208">
        <v>7.4999999999999997E-2</v>
      </c>
      <c r="H2536" s="102">
        <v>15</v>
      </c>
      <c r="I2536" s="115">
        <f t="shared" si="125"/>
        <v>375</v>
      </c>
      <c r="J2536" s="115">
        <f t="shared" si="126"/>
        <v>249.99999999999997</v>
      </c>
    </row>
    <row r="2537" spans="1:10" s="99" customFormat="1">
      <c r="A2537" s="111"/>
      <c r="B2537" s="111"/>
      <c r="C2537" s="115">
        <v>10000</v>
      </c>
      <c r="D2537" s="104" t="s">
        <v>254</v>
      </c>
      <c r="E2537" s="115">
        <v>1150</v>
      </c>
      <c r="F2537" s="102">
        <v>10</v>
      </c>
      <c r="G2537" s="208">
        <v>0.06</v>
      </c>
      <c r="H2537" s="102" t="s">
        <v>664</v>
      </c>
      <c r="I2537" s="115">
        <f t="shared" si="125"/>
        <v>1500</v>
      </c>
      <c r="J2537" s="115">
        <f t="shared" si="126"/>
        <v>874.99999999999977</v>
      </c>
    </row>
    <row r="2538" spans="1:10" s="99" customFormat="1">
      <c r="A2538" s="111"/>
      <c r="B2538" s="111"/>
      <c r="C2538" s="115">
        <v>20000</v>
      </c>
      <c r="D2538" s="104" t="s">
        <v>1700</v>
      </c>
      <c r="E2538" s="115">
        <v>750</v>
      </c>
      <c r="F2538" s="102">
        <v>2</v>
      </c>
      <c r="G2538" s="208">
        <v>7.4999999999999997E-2</v>
      </c>
      <c r="H2538" s="102">
        <v>15</v>
      </c>
      <c r="I2538" s="115">
        <f t="shared" si="125"/>
        <v>1500</v>
      </c>
      <c r="J2538" s="115">
        <f t="shared" si="126"/>
        <v>999.99999999999989</v>
      </c>
    </row>
    <row r="2539" spans="1:10" s="99" customFormat="1">
      <c r="A2539" s="111">
        <v>365</v>
      </c>
      <c r="B2539" s="111" t="s">
        <v>1701</v>
      </c>
      <c r="C2539" s="115">
        <v>20000</v>
      </c>
      <c r="D2539" s="104" t="s">
        <v>442</v>
      </c>
      <c r="E2539" s="115">
        <v>750</v>
      </c>
      <c r="F2539" s="102">
        <v>5</v>
      </c>
      <c r="G2539" s="208">
        <v>7.4999999999999997E-2</v>
      </c>
      <c r="H2539" s="102">
        <v>15</v>
      </c>
      <c r="I2539" s="115">
        <f t="shared" si="125"/>
        <v>3750</v>
      </c>
      <c r="J2539" s="115">
        <f t="shared" si="126"/>
        <v>2499.9999999999995</v>
      </c>
    </row>
    <row r="2540" spans="1:10" s="99" customFormat="1">
      <c r="A2540" s="111"/>
      <c r="B2540" s="111"/>
      <c r="C2540" s="115">
        <v>10000</v>
      </c>
      <c r="D2540" s="104" t="s">
        <v>442</v>
      </c>
      <c r="E2540" s="115">
        <v>375</v>
      </c>
      <c r="F2540" s="102">
        <v>5</v>
      </c>
      <c r="G2540" s="208">
        <v>7.4999999999999997E-2</v>
      </c>
      <c r="H2540" s="102">
        <v>15</v>
      </c>
      <c r="I2540" s="115">
        <f t="shared" si="125"/>
        <v>1875</v>
      </c>
      <c r="J2540" s="115">
        <f t="shared" si="126"/>
        <v>1249.9999999999998</v>
      </c>
    </row>
    <row r="2541" spans="1:10" s="99" customFormat="1">
      <c r="A2541" s="111">
        <v>366</v>
      </c>
      <c r="B2541" s="111" t="s">
        <v>1703</v>
      </c>
      <c r="C2541" s="115">
        <v>20000</v>
      </c>
      <c r="D2541" s="104" t="s">
        <v>444</v>
      </c>
      <c r="E2541" s="115">
        <v>750</v>
      </c>
      <c r="F2541" s="102">
        <v>7</v>
      </c>
      <c r="G2541" s="208">
        <v>7.4999999999999997E-2</v>
      </c>
      <c r="H2541" s="102">
        <v>15</v>
      </c>
      <c r="I2541" s="115">
        <f t="shared" si="125"/>
        <v>5250</v>
      </c>
      <c r="J2541" s="115">
        <f t="shared" si="126"/>
        <v>3499.9999999999995</v>
      </c>
    </row>
    <row r="2542" spans="1:10" s="99" customFormat="1">
      <c r="A2542" s="111">
        <v>367</v>
      </c>
      <c r="B2542" s="111" t="s">
        <v>1704</v>
      </c>
      <c r="C2542" s="115">
        <v>20000</v>
      </c>
      <c r="D2542" s="104" t="s">
        <v>444</v>
      </c>
      <c r="E2542" s="115">
        <v>750</v>
      </c>
      <c r="F2542" s="102">
        <v>12</v>
      </c>
      <c r="G2542" s="208">
        <v>7.4999999999999997E-2</v>
      </c>
      <c r="H2542" s="102">
        <v>15</v>
      </c>
      <c r="I2542" s="115">
        <f t="shared" si="125"/>
        <v>9000</v>
      </c>
      <c r="J2542" s="115">
        <f t="shared" si="126"/>
        <v>5999.9999999999991</v>
      </c>
    </row>
    <row r="2543" spans="1:10" s="99" customFormat="1">
      <c r="A2543" s="111"/>
      <c r="B2543" s="111"/>
      <c r="C2543" s="115">
        <v>10000</v>
      </c>
      <c r="D2543" s="104" t="s">
        <v>1977</v>
      </c>
      <c r="E2543" s="115">
        <v>1150</v>
      </c>
      <c r="F2543" s="102">
        <v>10</v>
      </c>
      <c r="G2543" s="208">
        <v>0.06</v>
      </c>
      <c r="H2543" s="102" t="s">
        <v>664</v>
      </c>
      <c r="I2543" s="115">
        <f t="shared" si="125"/>
        <v>1500</v>
      </c>
      <c r="J2543" s="115">
        <f t="shared" si="126"/>
        <v>874.99999999999977</v>
      </c>
    </row>
    <row r="2544" spans="1:10" s="99" customFormat="1">
      <c r="A2544" s="111"/>
      <c r="B2544" s="111"/>
      <c r="C2544" s="115">
        <v>20000</v>
      </c>
      <c r="D2544" s="104" t="s">
        <v>229</v>
      </c>
      <c r="E2544" s="115">
        <v>2300</v>
      </c>
      <c r="F2544" s="102">
        <v>10</v>
      </c>
      <c r="G2544" s="208">
        <v>0.06</v>
      </c>
      <c r="H2544" s="102" t="s">
        <v>664</v>
      </c>
      <c r="I2544" s="115">
        <f t="shared" si="125"/>
        <v>3000</v>
      </c>
      <c r="J2544" s="115">
        <f t="shared" si="126"/>
        <v>1749.9999999999995</v>
      </c>
    </row>
    <row r="2545" spans="1:10" s="99" customFormat="1">
      <c r="A2545" s="111"/>
      <c r="B2545" s="111"/>
      <c r="C2545" s="115">
        <v>20000</v>
      </c>
      <c r="D2545" s="104" t="s">
        <v>1009</v>
      </c>
      <c r="E2545" s="115">
        <v>2300</v>
      </c>
      <c r="F2545" s="102">
        <v>3</v>
      </c>
      <c r="G2545" s="208">
        <v>0.06</v>
      </c>
      <c r="H2545" s="102" t="s">
        <v>664</v>
      </c>
      <c r="I2545" s="115">
        <f t="shared" si="125"/>
        <v>900</v>
      </c>
      <c r="J2545" s="115">
        <f t="shared" si="126"/>
        <v>524.99999999999989</v>
      </c>
    </row>
    <row r="2546" spans="1:10" s="99" customFormat="1">
      <c r="A2546" s="111">
        <v>368</v>
      </c>
      <c r="B2546" s="111" t="s">
        <v>1706</v>
      </c>
      <c r="C2546" s="115">
        <v>20000</v>
      </c>
      <c r="D2546" s="104" t="s">
        <v>444</v>
      </c>
      <c r="E2546" s="115">
        <v>750</v>
      </c>
      <c r="F2546" s="102">
        <v>2</v>
      </c>
      <c r="G2546" s="208">
        <v>7.4999999999999997E-2</v>
      </c>
      <c r="H2546" s="102">
        <v>15</v>
      </c>
      <c r="I2546" s="115">
        <f t="shared" si="125"/>
        <v>1500</v>
      </c>
      <c r="J2546" s="115">
        <f t="shared" si="126"/>
        <v>999.99999999999989</v>
      </c>
    </row>
    <row r="2547" spans="1:10" s="99" customFormat="1">
      <c r="A2547" s="111"/>
      <c r="B2547" s="111"/>
      <c r="C2547" s="115">
        <v>30000</v>
      </c>
      <c r="D2547" s="104" t="s">
        <v>1707</v>
      </c>
      <c r="E2547" s="115">
        <v>1125</v>
      </c>
      <c r="F2547" s="102">
        <v>3</v>
      </c>
      <c r="G2547" s="208">
        <v>7.4999999999999997E-2</v>
      </c>
      <c r="H2547" s="102">
        <v>15</v>
      </c>
      <c r="I2547" s="115">
        <f t="shared" si="125"/>
        <v>3375</v>
      </c>
      <c r="J2547" s="115">
        <f t="shared" si="126"/>
        <v>2249.9999999999995</v>
      </c>
    </row>
    <row r="2548" spans="1:10" s="99" customFormat="1">
      <c r="A2548" s="111">
        <v>369</v>
      </c>
      <c r="B2548" s="111" t="s">
        <v>1708</v>
      </c>
      <c r="C2548" s="115">
        <v>10000</v>
      </c>
      <c r="D2548" s="104" t="s">
        <v>444</v>
      </c>
      <c r="E2548" s="115">
        <v>1150</v>
      </c>
      <c r="F2548" s="102">
        <v>10</v>
      </c>
      <c r="G2548" s="208">
        <v>0.06</v>
      </c>
      <c r="H2548" s="102" t="s">
        <v>664</v>
      </c>
      <c r="I2548" s="115">
        <f t="shared" si="125"/>
        <v>1500</v>
      </c>
      <c r="J2548" s="115">
        <f t="shared" si="126"/>
        <v>874.99999999999977</v>
      </c>
    </row>
    <row r="2549" spans="1:10" s="99" customFormat="1">
      <c r="A2549" s="111"/>
      <c r="B2549" s="111"/>
      <c r="C2549" s="115">
        <v>20000</v>
      </c>
      <c r="D2549" s="104" t="s">
        <v>444</v>
      </c>
      <c r="E2549" s="115">
        <v>750</v>
      </c>
      <c r="F2549" s="102">
        <v>6</v>
      </c>
      <c r="G2549" s="208">
        <v>7.4999999999999997E-2</v>
      </c>
      <c r="H2549" s="102">
        <v>15</v>
      </c>
      <c r="I2549" s="115">
        <f t="shared" si="125"/>
        <v>4500</v>
      </c>
      <c r="J2549" s="115">
        <f t="shared" si="126"/>
        <v>2999.9999999999995</v>
      </c>
    </row>
    <row r="2550" spans="1:10" s="99" customFormat="1">
      <c r="A2550" s="111"/>
      <c r="B2550" s="111"/>
      <c r="C2550" s="115">
        <v>20000</v>
      </c>
      <c r="D2550" s="104" t="s">
        <v>439</v>
      </c>
      <c r="E2550" s="115">
        <v>750</v>
      </c>
      <c r="F2550" s="102">
        <v>4</v>
      </c>
      <c r="G2550" s="208">
        <v>7.4999999999999997E-2</v>
      </c>
      <c r="H2550" s="102">
        <v>15</v>
      </c>
      <c r="I2550" s="115">
        <f t="shared" si="125"/>
        <v>3000</v>
      </c>
      <c r="J2550" s="115">
        <f t="shared" si="126"/>
        <v>1999.9999999999998</v>
      </c>
    </row>
    <row r="2551" spans="1:10" s="99" customFormat="1">
      <c r="A2551" s="111"/>
      <c r="B2551" s="111"/>
      <c r="C2551" s="115">
        <v>10000</v>
      </c>
      <c r="D2551" s="104" t="s">
        <v>656</v>
      </c>
      <c r="E2551" s="115">
        <v>1150</v>
      </c>
      <c r="F2551" s="102">
        <v>5</v>
      </c>
      <c r="G2551" s="208">
        <v>0.06</v>
      </c>
      <c r="H2551" s="102" t="s">
        <v>664</v>
      </c>
      <c r="I2551" s="115">
        <f t="shared" si="125"/>
        <v>750</v>
      </c>
      <c r="J2551" s="115">
        <f t="shared" si="126"/>
        <v>437.49999999999989</v>
      </c>
    </row>
    <row r="2552" spans="1:10" s="99" customFormat="1">
      <c r="A2552" s="111"/>
      <c r="B2552" s="111"/>
      <c r="C2552" s="115">
        <v>20000</v>
      </c>
      <c r="D2552" s="104" t="s">
        <v>1709</v>
      </c>
      <c r="E2552" s="115">
        <v>2300</v>
      </c>
      <c r="F2552" s="102">
        <v>10</v>
      </c>
      <c r="G2552" s="208">
        <v>0.06</v>
      </c>
      <c r="H2552" s="102" t="s">
        <v>664</v>
      </c>
      <c r="I2552" s="115">
        <f t="shared" si="125"/>
        <v>3000</v>
      </c>
      <c r="J2552" s="115">
        <f t="shared" si="126"/>
        <v>1749.9999999999995</v>
      </c>
    </row>
    <row r="2553" spans="1:10" s="99" customFormat="1">
      <c r="A2553" s="111"/>
      <c r="B2553" s="111"/>
      <c r="C2553" s="115">
        <v>10000</v>
      </c>
      <c r="D2553" s="104" t="s">
        <v>1986</v>
      </c>
      <c r="E2553" s="115">
        <v>375</v>
      </c>
      <c r="F2553" s="102">
        <v>7</v>
      </c>
      <c r="G2553" s="208">
        <v>7.4999999999999997E-2</v>
      </c>
      <c r="H2553" s="102">
        <v>15</v>
      </c>
      <c r="I2553" s="115">
        <f t="shared" si="125"/>
        <v>2625</v>
      </c>
      <c r="J2553" s="115">
        <f t="shared" si="126"/>
        <v>1749.9999999999998</v>
      </c>
    </row>
    <row r="2554" spans="1:10" s="99" customFormat="1">
      <c r="A2554" s="111"/>
      <c r="B2554" s="111"/>
      <c r="C2554" s="115">
        <v>20000</v>
      </c>
      <c r="D2554" s="104" t="s">
        <v>1710</v>
      </c>
      <c r="E2554" s="115">
        <v>750</v>
      </c>
      <c r="F2554" s="102">
        <v>6</v>
      </c>
      <c r="G2554" s="208">
        <v>7.4999999999999997E-2</v>
      </c>
      <c r="H2554" s="102">
        <v>15</v>
      </c>
      <c r="I2554" s="115">
        <f t="shared" si="125"/>
        <v>4500</v>
      </c>
      <c r="J2554" s="115">
        <f t="shared" si="126"/>
        <v>2999.9999999999995</v>
      </c>
    </row>
    <row r="2555" spans="1:10" s="99" customFormat="1">
      <c r="A2555" s="111"/>
      <c r="B2555" s="111"/>
      <c r="C2555" s="115">
        <v>20000</v>
      </c>
      <c r="D2555" s="104" t="s">
        <v>1711</v>
      </c>
      <c r="E2555" s="115">
        <v>2300</v>
      </c>
      <c r="F2555" s="102">
        <v>10</v>
      </c>
      <c r="G2555" s="208">
        <v>0.06</v>
      </c>
      <c r="H2555" s="102" t="s">
        <v>664</v>
      </c>
      <c r="I2555" s="115">
        <f t="shared" si="125"/>
        <v>3000</v>
      </c>
      <c r="J2555" s="115">
        <f t="shared" si="126"/>
        <v>1749.9999999999995</v>
      </c>
    </row>
    <row r="2556" spans="1:10" s="99" customFormat="1">
      <c r="A2556" s="111"/>
      <c r="B2556" s="111"/>
      <c r="C2556" s="115">
        <v>10000</v>
      </c>
      <c r="D2556" s="104" t="s">
        <v>1525</v>
      </c>
      <c r="E2556" s="115">
        <v>375</v>
      </c>
      <c r="F2556" s="102">
        <v>3</v>
      </c>
      <c r="G2556" s="208">
        <v>7.4999999999999997E-2</v>
      </c>
      <c r="H2556" s="102">
        <v>15</v>
      </c>
      <c r="I2556" s="115">
        <f t="shared" si="125"/>
        <v>1125</v>
      </c>
      <c r="J2556" s="115">
        <f t="shared" si="126"/>
        <v>749.99999999999989</v>
      </c>
    </row>
    <row r="2557" spans="1:10" s="99" customFormat="1">
      <c r="A2557" s="111">
        <v>370</v>
      </c>
      <c r="B2557" s="111" t="s">
        <v>1712</v>
      </c>
      <c r="C2557" s="115">
        <v>10000</v>
      </c>
      <c r="D2557" s="104" t="s">
        <v>444</v>
      </c>
      <c r="E2557" s="115">
        <v>1150</v>
      </c>
      <c r="F2557" s="102">
        <v>10</v>
      </c>
      <c r="G2557" s="208">
        <v>0.06</v>
      </c>
      <c r="H2557" s="102" t="s">
        <v>664</v>
      </c>
      <c r="I2557" s="115">
        <f t="shared" si="125"/>
        <v>1500</v>
      </c>
      <c r="J2557" s="115">
        <f t="shared" si="126"/>
        <v>874.99999999999977</v>
      </c>
    </row>
    <row r="2558" spans="1:10" s="99" customFormat="1">
      <c r="A2558" s="111"/>
      <c r="B2558" s="111"/>
      <c r="C2558" s="115">
        <v>10000</v>
      </c>
      <c r="D2558" s="104" t="s">
        <v>444</v>
      </c>
      <c r="E2558" s="115">
        <v>375</v>
      </c>
      <c r="F2558" s="102">
        <v>12</v>
      </c>
      <c r="G2558" s="208">
        <v>7.4999999999999997E-2</v>
      </c>
      <c r="H2558" s="102">
        <v>15</v>
      </c>
      <c r="I2558" s="115">
        <f t="shared" si="125"/>
        <v>4500</v>
      </c>
      <c r="J2558" s="115">
        <f t="shared" si="126"/>
        <v>2999.9999999999995</v>
      </c>
    </row>
    <row r="2559" spans="1:10" s="99" customFormat="1">
      <c r="A2559" s="111"/>
      <c r="B2559" s="111"/>
      <c r="C2559" s="115">
        <v>30000</v>
      </c>
      <c r="D2559" s="104" t="s">
        <v>259</v>
      </c>
      <c r="E2559" s="115">
        <v>1125</v>
      </c>
      <c r="F2559" s="102">
        <v>9</v>
      </c>
      <c r="G2559" s="208">
        <v>7.4999999999999997E-2</v>
      </c>
      <c r="H2559" s="102">
        <v>15</v>
      </c>
      <c r="I2559" s="115">
        <f t="shared" si="125"/>
        <v>10125</v>
      </c>
      <c r="J2559" s="115">
        <f t="shared" si="126"/>
        <v>6749.9999999999991</v>
      </c>
    </row>
    <row r="2560" spans="1:10" s="99" customFormat="1">
      <c r="A2560" s="111">
        <v>371</v>
      </c>
      <c r="B2560" s="111" t="s">
        <v>1713</v>
      </c>
      <c r="C2560" s="115">
        <v>30000</v>
      </c>
      <c r="D2560" s="104" t="s">
        <v>434</v>
      </c>
      <c r="E2560" s="115">
        <v>1125</v>
      </c>
      <c r="F2560" s="102">
        <v>4</v>
      </c>
      <c r="G2560" s="208">
        <v>7.4999999999999997E-2</v>
      </c>
      <c r="H2560" s="102">
        <v>15</v>
      </c>
      <c r="I2560" s="115">
        <f t="shared" si="125"/>
        <v>4500</v>
      </c>
      <c r="J2560" s="115">
        <f t="shared" si="126"/>
        <v>2999.9999999999995</v>
      </c>
    </row>
    <row r="2561" spans="1:10" s="99" customFormat="1">
      <c r="A2561" s="111"/>
      <c r="B2561" s="111"/>
      <c r="C2561" s="115">
        <v>20000</v>
      </c>
      <c r="D2561" s="104" t="s">
        <v>434</v>
      </c>
      <c r="E2561" s="115">
        <v>750</v>
      </c>
      <c r="F2561" s="102">
        <v>7</v>
      </c>
      <c r="G2561" s="208">
        <v>7.4999999999999997E-2</v>
      </c>
      <c r="H2561" s="102">
        <v>15</v>
      </c>
      <c r="I2561" s="115">
        <f t="shared" si="125"/>
        <v>5250</v>
      </c>
      <c r="J2561" s="115">
        <f t="shared" si="126"/>
        <v>3499.9999999999995</v>
      </c>
    </row>
    <row r="2562" spans="1:10" s="99" customFormat="1">
      <c r="A2562" s="111"/>
      <c r="B2562" s="111"/>
      <c r="C2562" s="115">
        <v>40000</v>
      </c>
      <c r="D2562" s="104" t="s">
        <v>673</v>
      </c>
      <c r="E2562" s="115">
        <v>1500</v>
      </c>
      <c r="F2562" s="102">
        <v>11</v>
      </c>
      <c r="G2562" s="208">
        <v>7.4999999999999997E-2</v>
      </c>
      <c r="H2562" s="102">
        <v>15</v>
      </c>
      <c r="I2562" s="115">
        <f t="shared" si="125"/>
        <v>16500</v>
      </c>
      <c r="J2562" s="115">
        <f t="shared" si="126"/>
        <v>10999.999999999998</v>
      </c>
    </row>
    <row r="2563" spans="1:10" s="99" customFormat="1">
      <c r="A2563" s="111"/>
      <c r="B2563" s="111"/>
      <c r="C2563" s="115">
        <v>60000</v>
      </c>
      <c r="D2563" s="104" t="s">
        <v>1714</v>
      </c>
      <c r="E2563" s="115">
        <v>2250</v>
      </c>
      <c r="F2563" s="102">
        <v>10</v>
      </c>
      <c r="G2563" s="208">
        <v>7.4999999999999997E-2</v>
      </c>
      <c r="H2563" s="102">
        <v>15</v>
      </c>
      <c r="I2563" s="115">
        <f t="shared" si="125"/>
        <v>22500</v>
      </c>
      <c r="J2563" s="115">
        <f t="shared" si="126"/>
        <v>14999.999999999998</v>
      </c>
    </row>
    <row r="2564" spans="1:10" s="99" customFormat="1">
      <c r="A2564" s="111"/>
      <c r="B2564" s="111"/>
      <c r="C2564" s="115">
        <v>30000</v>
      </c>
      <c r="D2564" s="104" t="s">
        <v>1530</v>
      </c>
      <c r="E2564" s="115">
        <v>1125</v>
      </c>
      <c r="F2564" s="102">
        <v>5</v>
      </c>
      <c r="G2564" s="208">
        <v>7.4999999999999997E-2</v>
      </c>
      <c r="H2564" s="102">
        <v>15</v>
      </c>
      <c r="I2564" s="115">
        <f t="shared" si="125"/>
        <v>5625</v>
      </c>
      <c r="J2564" s="115">
        <f t="shared" si="126"/>
        <v>3749.9999999999995</v>
      </c>
    </row>
    <row r="2565" spans="1:10" s="99" customFormat="1">
      <c r="A2565" s="111"/>
      <c r="B2565" s="111"/>
      <c r="C2565" s="115">
        <v>20000</v>
      </c>
      <c r="D2565" s="104" t="s">
        <v>1523</v>
      </c>
      <c r="E2565" s="115">
        <v>750</v>
      </c>
      <c r="F2565" s="102">
        <v>11</v>
      </c>
      <c r="G2565" s="208">
        <v>7.4999999999999997E-2</v>
      </c>
      <c r="H2565" s="102">
        <v>15</v>
      </c>
      <c r="I2565" s="115">
        <f t="shared" si="125"/>
        <v>8250</v>
      </c>
      <c r="J2565" s="115">
        <f t="shared" si="126"/>
        <v>5499.9999999999991</v>
      </c>
    </row>
    <row r="2566" spans="1:10" s="99" customFormat="1">
      <c r="A2566" s="111"/>
      <c r="B2566" s="111"/>
      <c r="C2566" s="115">
        <v>10000</v>
      </c>
      <c r="D2566" s="104" t="s">
        <v>417</v>
      </c>
      <c r="E2566" s="115">
        <v>375</v>
      </c>
      <c r="F2566" s="102">
        <v>10</v>
      </c>
      <c r="G2566" s="208">
        <v>7.4999999999999997E-2</v>
      </c>
      <c r="H2566" s="102">
        <v>15</v>
      </c>
      <c r="I2566" s="115">
        <f t="shared" si="125"/>
        <v>3750</v>
      </c>
      <c r="J2566" s="115">
        <f t="shared" si="126"/>
        <v>2499.9999999999995</v>
      </c>
    </row>
    <row r="2567" spans="1:10" s="99" customFormat="1">
      <c r="A2567" s="111"/>
      <c r="B2567" s="111"/>
      <c r="C2567" s="115">
        <v>30000</v>
      </c>
      <c r="D2567" s="104" t="s">
        <v>1702</v>
      </c>
      <c r="E2567" s="115">
        <v>1125</v>
      </c>
      <c r="F2567" s="102">
        <v>7</v>
      </c>
      <c r="G2567" s="208">
        <v>7.4999999999999997E-2</v>
      </c>
      <c r="H2567" s="102">
        <v>15</v>
      </c>
      <c r="I2567" s="115">
        <f t="shared" si="125"/>
        <v>7875</v>
      </c>
      <c r="J2567" s="115">
        <f t="shared" si="126"/>
        <v>5249.9999999999991</v>
      </c>
    </row>
    <row r="2568" spans="1:10" s="99" customFormat="1">
      <c r="A2568" s="111"/>
      <c r="B2568" s="111"/>
      <c r="C2568" s="115">
        <v>20000</v>
      </c>
      <c r="D2568" s="104" t="s">
        <v>1707</v>
      </c>
      <c r="E2568" s="115">
        <v>750</v>
      </c>
      <c r="F2568" s="102">
        <v>6</v>
      </c>
      <c r="G2568" s="208">
        <v>7.4999999999999997E-2</v>
      </c>
      <c r="H2568" s="102">
        <v>15</v>
      </c>
      <c r="I2568" s="115">
        <f t="shared" si="125"/>
        <v>4500</v>
      </c>
      <c r="J2568" s="115">
        <f t="shared" si="126"/>
        <v>2999.9999999999995</v>
      </c>
    </row>
    <row r="2569" spans="1:10" s="99" customFormat="1">
      <c r="A2569" s="111"/>
      <c r="B2569" s="111"/>
      <c r="C2569" s="115">
        <v>20000</v>
      </c>
      <c r="D2569" s="104" t="s">
        <v>423</v>
      </c>
      <c r="E2569" s="115">
        <v>750</v>
      </c>
      <c r="F2569" s="102">
        <v>3</v>
      </c>
      <c r="G2569" s="208">
        <v>7.4999999999999997E-2</v>
      </c>
      <c r="H2569" s="102">
        <v>15</v>
      </c>
      <c r="I2569" s="115">
        <f t="shared" si="125"/>
        <v>2250</v>
      </c>
      <c r="J2569" s="115">
        <f t="shared" si="126"/>
        <v>1499.9999999999998</v>
      </c>
    </row>
    <row r="2570" spans="1:10" s="99" customFormat="1">
      <c r="A2570" s="111">
        <v>372</v>
      </c>
      <c r="B2570" s="111" t="s">
        <v>1716</v>
      </c>
      <c r="C2570" s="115">
        <v>20000</v>
      </c>
      <c r="D2570" s="104" t="s">
        <v>1004</v>
      </c>
      <c r="E2570" s="115">
        <v>750</v>
      </c>
      <c r="F2570" s="102">
        <v>12</v>
      </c>
      <c r="G2570" s="208">
        <v>7.4999999999999997E-2</v>
      </c>
      <c r="H2570" s="102">
        <v>15</v>
      </c>
      <c r="I2570" s="115">
        <f t="shared" si="125"/>
        <v>9000</v>
      </c>
      <c r="J2570" s="115">
        <f t="shared" si="126"/>
        <v>5999.9999999999991</v>
      </c>
    </row>
    <row r="2571" spans="1:10" s="99" customFormat="1">
      <c r="A2571" s="111"/>
      <c r="B2571" s="111"/>
      <c r="C2571" s="115">
        <v>10000</v>
      </c>
      <c r="D2571" s="104" t="s">
        <v>1004</v>
      </c>
      <c r="E2571" s="115">
        <v>1150</v>
      </c>
      <c r="F2571" s="102">
        <v>10</v>
      </c>
      <c r="G2571" s="208">
        <v>0.06</v>
      </c>
      <c r="H2571" s="102" t="s">
        <v>664</v>
      </c>
      <c r="I2571" s="115">
        <f t="shared" si="125"/>
        <v>1500</v>
      </c>
      <c r="J2571" s="115">
        <f t="shared" si="126"/>
        <v>874.99999999999977</v>
      </c>
    </row>
    <row r="2572" spans="1:10" s="99" customFormat="1">
      <c r="A2572" s="111"/>
      <c r="B2572" s="111"/>
      <c r="C2572" s="115">
        <v>10000</v>
      </c>
      <c r="D2572" s="104" t="s">
        <v>3416</v>
      </c>
      <c r="E2572" s="115">
        <v>1150</v>
      </c>
      <c r="F2572" s="102">
        <v>10</v>
      </c>
      <c r="G2572" s="208">
        <v>0.06</v>
      </c>
      <c r="H2572" s="102" t="s">
        <v>664</v>
      </c>
      <c r="I2572" s="115">
        <f t="shared" si="125"/>
        <v>1500</v>
      </c>
      <c r="J2572" s="115">
        <f t="shared" si="126"/>
        <v>874.99999999999977</v>
      </c>
    </row>
    <row r="2573" spans="1:10" s="99" customFormat="1">
      <c r="A2573" s="111"/>
      <c r="B2573" s="111"/>
      <c r="C2573" s="115">
        <v>10000</v>
      </c>
      <c r="D2573" s="104" t="s">
        <v>1717</v>
      </c>
      <c r="E2573" s="115">
        <v>1150</v>
      </c>
      <c r="F2573" s="102">
        <v>10</v>
      </c>
      <c r="G2573" s="208">
        <v>0.06</v>
      </c>
      <c r="H2573" s="102" t="s">
        <v>664</v>
      </c>
      <c r="I2573" s="115">
        <f t="shared" si="125"/>
        <v>1500</v>
      </c>
      <c r="J2573" s="115">
        <f t="shared" si="126"/>
        <v>874.99999999999977</v>
      </c>
    </row>
    <row r="2574" spans="1:10" s="99" customFormat="1">
      <c r="A2574" s="111"/>
      <c r="B2574" s="111"/>
      <c r="C2574" s="115">
        <v>10000</v>
      </c>
      <c r="D2574" s="104" t="s">
        <v>1717</v>
      </c>
      <c r="E2574" s="115">
        <v>375</v>
      </c>
      <c r="F2574" s="102">
        <v>5</v>
      </c>
      <c r="G2574" s="208">
        <v>7.4999999999999997E-2</v>
      </c>
      <c r="H2574" s="102">
        <v>15</v>
      </c>
      <c r="I2574" s="115">
        <f t="shared" ref="I2574:I2637" si="127">IF(H2574="分期",C2574*G2574*2.5*F2574/10,C2574*G2574*H2574/30*F2574)</f>
        <v>1875</v>
      </c>
      <c r="J2574" s="115">
        <f t="shared" ref="J2574:J2637" si="128">IF(H2574="分期",C2574*(G2574-0.025)*2.5*F2574/10,C2574*(G2574-0.025)*H2574/30*F2574)</f>
        <v>1249.9999999999998</v>
      </c>
    </row>
    <row r="2575" spans="1:10" s="99" customFormat="1">
      <c r="A2575" s="111"/>
      <c r="B2575" s="111"/>
      <c r="C2575" s="115">
        <v>10000</v>
      </c>
      <c r="D2575" s="104" t="s">
        <v>663</v>
      </c>
      <c r="E2575" s="115">
        <v>1150</v>
      </c>
      <c r="F2575" s="102">
        <v>5</v>
      </c>
      <c r="G2575" s="208">
        <v>0.06</v>
      </c>
      <c r="H2575" s="102" t="s">
        <v>664</v>
      </c>
      <c r="I2575" s="115">
        <f t="shared" si="127"/>
        <v>750</v>
      </c>
      <c r="J2575" s="115">
        <f t="shared" si="128"/>
        <v>437.49999999999989</v>
      </c>
    </row>
    <row r="2576" spans="1:10" s="99" customFormat="1">
      <c r="A2576" s="111">
        <v>373</v>
      </c>
      <c r="B2576" s="111" t="s">
        <v>1718</v>
      </c>
      <c r="C2576" s="115">
        <v>20000</v>
      </c>
      <c r="D2576" s="104" t="s">
        <v>3396</v>
      </c>
      <c r="E2576" s="115">
        <v>750</v>
      </c>
      <c r="F2576" s="102">
        <v>2</v>
      </c>
      <c r="G2576" s="208">
        <v>7.4999999999999997E-2</v>
      </c>
      <c r="H2576" s="102">
        <v>15</v>
      </c>
      <c r="I2576" s="115">
        <f t="shared" si="127"/>
        <v>1500</v>
      </c>
      <c r="J2576" s="115">
        <f t="shared" si="128"/>
        <v>999.99999999999989</v>
      </c>
    </row>
    <row r="2577" spans="1:10" s="99" customFormat="1">
      <c r="A2577" s="111">
        <v>374</v>
      </c>
      <c r="B2577" s="111" t="s">
        <v>1719</v>
      </c>
      <c r="C2577" s="115">
        <v>52000</v>
      </c>
      <c r="D2577" s="104" t="s">
        <v>3396</v>
      </c>
      <c r="E2577" s="115">
        <v>2750</v>
      </c>
      <c r="F2577" s="102">
        <v>1</v>
      </c>
      <c r="G2577" s="208">
        <v>0.05</v>
      </c>
      <c r="H2577" s="102">
        <v>30</v>
      </c>
      <c r="I2577" s="115">
        <f t="shared" si="127"/>
        <v>2600</v>
      </c>
      <c r="J2577" s="115">
        <f t="shared" si="128"/>
        <v>1300</v>
      </c>
    </row>
    <row r="2578" spans="1:10" s="99" customFormat="1">
      <c r="A2578" s="111">
        <v>375</v>
      </c>
      <c r="B2578" s="111" t="s">
        <v>1720</v>
      </c>
      <c r="C2578" s="115">
        <v>20000</v>
      </c>
      <c r="D2578" s="104" t="s">
        <v>1007</v>
      </c>
      <c r="E2578" s="115">
        <v>750</v>
      </c>
      <c r="F2578" s="102">
        <v>3</v>
      </c>
      <c r="G2578" s="208">
        <v>7.4999999999999997E-2</v>
      </c>
      <c r="H2578" s="102">
        <v>15</v>
      </c>
      <c r="I2578" s="115">
        <f t="shared" si="127"/>
        <v>2250</v>
      </c>
      <c r="J2578" s="115">
        <f t="shared" si="128"/>
        <v>1499.9999999999998</v>
      </c>
    </row>
    <row r="2579" spans="1:10" s="99" customFormat="1">
      <c r="A2579" s="111"/>
      <c r="B2579" s="111"/>
      <c r="C2579" s="115">
        <v>10000</v>
      </c>
      <c r="D2579" s="104" t="s">
        <v>1007</v>
      </c>
      <c r="E2579" s="115">
        <v>1150</v>
      </c>
      <c r="F2579" s="102">
        <v>5</v>
      </c>
      <c r="G2579" s="208">
        <v>0.06</v>
      </c>
      <c r="H2579" s="102" t="s">
        <v>664</v>
      </c>
      <c r="I2579" s="115">
        <f t="shared" si="127"/>
        <v>750</v>
      </c>
      <c r="J2579" s="115">
        <f t="shared" si="128"/>
        <v>437.49999999999989</v>
      </c>
    </row>
    <row r="2580" spans="1:10" s="99" customFormat="1">
      <c r="A2580" s="111"/>
      <c r="B2580" s="111"/>
      <c r="C2580" s="115">
        <v>21500</v>
      </c>
      <c r="D2580" s="104" t="s">
        <v>257</v>
      </c>
      <c r="E2580" s="115">
        <v>805</v>
      </c>
      <c r="F2580" s="102">
        <v>7</v>
      </c>
      <c r="G2580" s="208">
        <v>7.4999999999999997E-2</v>
      </c>
      <c r="H2580" s="102">
        <v>15</v>
      </c>
      <c r="I2580" s="115">
        <f t="shared" si="127"/>
        <v>5643.75</v>
      </c>
      <c r="J2580" s="115">
        <f t="shared" si="128"/>
        <v>3762.5</v>
      </c>
    </row>
    <row r="2581" spans="1:10" s="99" customFormat="1">
      <c r="A2581" s="111">
        <v>376</v>
      </c>
      <c r="B2581" s="111" t="s">
        <v>1721</v>
      </c>
      <c r="C2581" s="115">
        <v>10000</v>
      </c>
      <c r="D2581" s="104" t="s">
        <v>1722</v>
      </c>
      <c r="E2581" s="115">
        <v>1150</v>
      </c>
      <c r="F2581" s="102">
        <v>10</v>
      </c>
      <c r="G2581" s="208">
        <v>0.06</v>
      </c>
      <c r="H2581" s="102" t="s">
        <v>664</v>
      </c>
      <c r="I2581" s="115">
        <f t="shared" si="127"/>
        <v>1500</v>
      </c>
      <c r="J2581" s="115">
        <f t="shared" si="128"/>
        <v>874.99999999999977</v>
      </c>
    </row>
    <row r="2582" spans="1:10" s="99" customFormat="1">
      <c r="A2582" s="111"/>
      <c r="B2582" s="111"/>
      <c r="C2582" s="115">
        <v>30000</v>
      </c>
      <c r="D2582" s="104" t="s">
        <v>1722</v>
      </c>
      <c r="E2582" s="115">
        <v>1125</v>
      </c>
      <c r="F2582" s="102">
        <v>9</v>
      </c>
      <c r="G2582" s="208">
        <v>7.4999999999999997E-2</v>
      </c>
      <c r="H2582" s="102">
        <v>15</v>
      </c>
      <c r="I2582" s="115">
        <f t="shared" si="127"/>
        <v>10125</v>
      </c>
      <c r="J2582" s="115">
        <f t="shared" si="128"/>
        <v>6749.9999999999991</v>
      </c>
    </row>
    <row r="2583" spans="1:10" s="99" customFormat="1">
      <c r="A2583" s="111"/>
      <c r="B2583" s="111"/>
      <c r="C2583" s="115">
        <v>10000</v>
      </c>
      <c r="D2583" s="104" t="s">
        <v>3415</v>
      </c>
      <c r="E2583" s="115">
        <v>375</v>
      </c>
      <c r="F2583" s="102">
        <v>3</v>
      </c>
      <c r="G2583" s="208">
        <v>7.4999999999999997E-2</v>
      </c>
      <c r="H2583" s="102">
        <v>15</v>
      </c>
      <c r="I2583" s="115">
        <f t="shared" si="127"/>
        <v>1125</v>
      </c>
      <c r="J2583" s="115">
        <f t="shared" si="128"/>
        <v>749.99999999999989</v>
      </c>
    </row>
    <row r="2584" spans="1:10" s="99" customFormat="1">
      <c r="A2584" s="111"/>
      <c r="B2584" s="111"/>
      <c r="C2584" s="115">
        <v>10000</v>
      </c>
      <c r="D2584" s="104" t="s">
        <v>2328</v>
      </c>
      <c r="E2584" s="115">
        <v>375</v>
      </c>
      <c r="F2584" s="102">
        <v>2</v>
      </c>
      <c r="G2584" s="208">
        <v>7.4999999999999997E-2</v>
      </c>
      <c r="H2584" s="102">
        <v>15</v>
      </c>
      <c r="I2584" s="115">
        <f t="shared" si="127"/>
        <v>750</v>
      </c>
      <c r="J2584" s="115">
        <f t="shared" si="128"/>
        <v>499.99999999999994</v>
      </c>
    </row>
    <row r="2585" spans="1:10" s="99" customFormat="1">
      <c r="A2585" s="111"/>
      <c r="B2585" s="111"/>
      <c r="C2585" s="115">
        <v>20000</v>
      </c>
      <c r="D2585" s="104" t="s">
        <v>991</v>
      </c>
      <c r="E2585" s="115">
        <v>2300</v>
      </c>
      <c r="F2585" s="102">
        <v>2</v>
      </c>
      <c r="G2585" s="208">
        <v>0.06</v>
      </c>
      <c r="H2585" s="102" t="s">
        <v>664</v>
      </c>
      <c r="I2585" s="115">
        <f t="shared" si="127"/>
        <v>600</v>
      </c>
      <c r="J2585" s="115">
        <f t="shared" si="128"/>
        <v>349.99999999999994</v>
      </c>
    </row>
    <row r="2586" spans="1:10" s="99" customFormat="1">
      <c r="A2586" s="111"/>
      <c r="B2586" s="111"/>
      <c r="C2586" s="115">
        <v>20000</v>
      </c>
      <c r="D2586" s="129" t="s">
        <v>993</v>
      </c>
      <c r="E2586" s="115">
        <v>2300</v>
      </c>
      <c r="F2586" s="102">
        <v>10</v>
      </c>
      <c r="G2586" s="208">
        <v>0.06</v>
      </c>
      <c r="H2586" s="102" t="s">
        <v>664</v>
      </c>
      <c r="I2586" s="115">
        <f t="shared" si="127"/>
        <v>3000</v>
      </c>
      <c r="J2586" s="115">
        <f t="shared" si="128"/>
        <v>1749.9999999999995</v>
      </c>
    </row>
    <row r="2587" spans="1:10" s="99" customFormat="1">
      <c r="A2587" s="111">
        <v>377</v>
      </c>
      <c r="B2587" s="111" t="s">
        <v>1723</v>
      </c>
      <c r="C2587" s="115">
        <v>10000</v>
      </c>
      <c r="D2587" s="104" t="s">
        <v>1523</v>
      </c>
      <c r="E2587" s="115">
        <v>1150</v>
      </c>
      <c r="F2587" s="102">
        <v>10</v>
      </c>
      <c r="G2587" s="208">
        <v>0.06</v>
      </c>
      <c r="H2587" s="102" t="s">
        <v>664</v>
      </c>
      <c r="I2587" s="115">
        <f t="shared" si="127"/>
        <v>1500</v>
      </c>
      <c r="J2587" s="115">
        <f t="shared" si="128"/>
        <v>874.99999999999977</v>
      </c>
    </row>
    <row r="2588" spans="1:10" s="99" customFormat="1">
      <c r="A2588" s="111"/>
      <c r="B2588" s="111"/>
      <c r="C2588" s="115">
        <v>20000</v>
      </c>
      <c r="D2588" s="104" t="s">
        <v>1523</v>
      </c>
      <c r="E2588" s="115">
        <v>750</v>
      </c>
      <c r="F2588" s="102">
        <v>12</v>
      </c>
      <c r="G2588" s="208">
        <v>7.4999999999999997E-2</v>
      </c>
      <c r="H2588" s="102">
        <v>15</v>
      </c>
      <c r="I2588" s="115">
        <f t="shared" si="127"/>
        <v>9000</v>
      </c>
      <c r="J2588" s="115">
        <f t="shared" si="128"/>
        <v>5999.9999999999991</v>
      </c>
    </row>
    <row r="2589" spans="1:10" s="99" customFormat="1">
      <c r="A2589" s="111"/>
      <c r="B2589" s="111"/>
      <c r="C2589" s="115">
        <v>20000</v>
      </c>
      <c r="D2589" s="104" t="s">
        <v>462</v>
      </c>
      <c r="E2589" s="115">
        <v>2300</v>
      </c>
      <c r="F2589" s="102">
        <v>10</v>
      </c>
      <c r="G2589" s="208">
        <v>0.06</v>
      </c>
      <c r="H2589" s="102" t="s">
        <v>664</v>
      </c>
      <c r="I2589" s="115">
        <f t="shared" si="127"/>
        <v>3000</v>
      </c>
      <c r="J2589" s="115">
        <f t="shared" si="128"/>
        <v>1749.9999999999995</v>
      </c>
    </row>
    <row r="2590" spans="1:10" s="99" customFormat="1">
      <c r="A2590" s="111"/>
      <c r="B2590" s="111"/>
      <c r="C2590" s="115">
        <v>20000</v>
      </c>
      <c r="D2590" s="104" t="s">
        <v>663</v>
      </c>
      <c r="E2590" s="115">
        <v>2300</v>
      </c>
      <c r="F2590" s="102">
        <v>5</v>
      </c>
      <c r="G2590" s="208">
        <v>0.06</v>
      </c>
      <c r="H2590" s="102" t="s">
        <v>664</v>
      </c>
      <c r="I2590" s="115">
        <f t="shared" si="127"/>
        <v>1500</v>
      </c>
      <c r="J2590" s="115">
        <f t="shared" si="128"/>
        <v>874.99999999999977</v>
      </c>
    </row>
    <row r="2591" spans="1:10" s="99" customFormat="1">
      <c r="A2591" s="111">
        <v>378</v>
      </c>
      <c r="B2591" s="111" t="s">
        <v>1724</v>
      </c>
      <c r="C2591" s="115">
        <v>10000</v>
      </c>
      <c r="D2591" s="104" t="s">
        <v>1725</v>
      </c>
      <c r="E2591" s="115">
        <v>1150</v>
      </c>
      <c r="F2591" s="102">
        <v>10</v>
      </c>
      <c r="G2591" s="208">
        <v>0.06</v>
      </c>
      <c r="H2591" s="102" t="s">
        <v>664</v>
      </c>
      <c r="I2591" s="115">
        <f t="shared" si="127"/>
        <v>1500</v>
      </c>
      <c r="J2591" s="115">
        <f t="shared" si="128"/>
        <v>874.99999999999977</v>
      </c>
    </row>
    <row r="2592" spans="1:10" s="99" customFormat="1">
      <c r="A2592" s="111"/>
      <c r="B2592" s="111"/>
      <c r="C2592" s="115">
        <v>30000</v>
      </c>
      <c r="D2592" s="104" t="s">
        <v>1725</v>
      </c>
      <c r="E2592" s="115">
        <v>1125</v>
      </c>
      <c r="F2592" s="102">
        <v>10</v>
      </c>
      <c r="G2592" s="208">
        <v>7.4999999999999997E-2</v>
      </c>
      <c r="H2592" s="102">
        <v>15</v>
      </c>
      <c r="I2592" s="115">
        <f t="shared" si="127"/>
        <v>11250</v>
      </c>
      <c r="J2592" s="115">
        <f t="shared" si="128"/>
        <v>7499.9999999999991</v>
      </c>
    </row>
    <row r="2593" spans="1:10" s="99" customFormat="1">
      <c r="A2593" s="111"/>
      <c r="B2593" s="111"/>
      <c r="C2593" s="115">
        <v>10000</v>
      </c>
      <c r="D2593" s="104" t="s">
        <v>581</v>
      </c>
      <c r="E2593" s="115">
        <v>375</v>
      </c>
      <c r="F2593" s="102">
        <v>9</v>
      </c>
      <c r="G2593" s="208">
        <v>7.4999999999999997E-2</v>
      </c>
      <c r="H2593" s="102">
        <v>15</v>
      </c>
      <c r="I2593" s="115">
        <f t="shared" si="127"/>
        <v>3375</v>
      </c>
      <c r="J2593" s="115">
        <f t="shared" si="128"/>
        <v>2249.9999999999995</v>
      </c>
    </row>
    <row r="2594" spans="1:10" s="99" customFormat="1">
      <c r="A2594" s="111"/>
      <c r="B2594" s="111"/>
      <c r="C2594" s="115">
        <v>10000</v>
      </c>
      <c r="D2594" s="104" t="s">
        <v>1726</v>
      </c>
      <c r="E2594" s="115">
        <v>1150</v>
      </c>
      <c r="F2594" s="102">
        <v>10</v>
      </c>
      <c r="G2594" s="208">
        <v>0.06</v>
      </c>
      <c r="H2594" s="102" t="s">
        <v>664</v>
      </c>
      <c r="I2594" s="115">
        <f t="shared" si="127"/>
        <v>1500</v>
      </c>
      <c r="J2594" s="115">
        <f t="shared" si="128"/>
        <v>874.99999999999977</v>
      </c>
    </row>
    <row r="2595" spans="1:10" s="99" customFormat="1">
      <c r="A2595" s="111"/>
      <c r="B2595" s="111"/>
      <c r="C2595" s="115">
        <v>10000</v>
      </c>
      <c r="D2595" s="104" t="s">
        <v>449</v>
      </c>
      <c r="E2595" s="115">
        <v>375</v>
      </c>
      <c r="F2595" s="102">
        <v>6</v>
      </c>
      <c r="G2595" s="208">
        <v>7.4999999999999997E-2</v>
      </c>
      <c r="H2595" s="102">
        <v>15</v>
      </c>
      <c r="I2595" s="115">
        <f t="shared" si="127"/>
        <v>2250</v>
      </c>
      <c r="J2595" s="115">
        <f t="shared" si="128"/>
        <v>1499.9999999999998</v>
      </c>
    </row>
    <row r="2596" spans="1:10" s="99" customFormat="1">
      <c r="A2596" s="111"/>
      <c r="B2596" s="111"/>
      <c r="C2596" s="115">
        <v>10000</v>
      </c>
      <c r="D2596" s="104" t="s">
        <v>1727</v>
      </c>
      <c r="E2596" s="115">
        <v>1150</v>
      </c>
      <c r="F2596" s="102">
        <v>10</v>
      </c>
      <c r="G2596" s="208">
        <v>0.06</v>
      </c>
      <c r="H2596" s="102" t="s">
        <v>664</v>
      </c>
      <c r="I2596" s="115">
        <f t="shared" si="127"/>
        <v>1500</v>
      </c>
      <c r="J2596" s="115">
        <f t="shared" si="128"/>
        <v>874.99999999999977</v>
      </c>
    </row>
    <row r="2597" spans="1:10" s="99" customFormat="1">
      <c r="A2597" s="111"/>
      <c r="B2597" s="111"/>
      <c r="C2597" s="115">
        <v>10000</v>
      </c>
      <c r="D2597" s="104" t="s">
        <v>2532</v>
      </c>
      <c r="E2597" s="115">
        <v>1150</v>
      </c>
      <c r="F2597" s="102">
        <v>2</v>
      </c>
      <c r="G2597" s="208">
        <v>0.06</v>
      </c>
      <c r="H2597" s="102" t="s">
        <v>664</v>
      </c>
      <c r="I2597" s="115">
        <f t="shared" si="127"/>
        <v>300</v>
      </c>
      <c r="J2597" s="115">
        <f t="shared" si="128"/>
        <v>174.99999999999997</v>
      </c>
    </row>
    <row r="2598" spans="1:10" s="99" customFormat="1">
      <c r="A2598" s="111">
        <v>379</v>
      </c>
      <c r="B2598" s="111" t="s">
        <v>1728</v>
      </c>
      <c r="C2598" s="115">
        <v>20000</v>
      </c>
      <c r="D2598" s="104" t="s">
        <v>1725</v>
      </c>
      <c r="E2598" s="115">
        <v>750</v>
      </c>
      <c r="F2598" s="102">
        <v>12</v>
      </c>
      <c r="G2598" s="208">
        <v>7.4999999999999997E-2</v>
      </c>
      <c r="H2598" s="102">
        <v>15</v>
      </c>
      <c r="I2598" s="115">
        <f t="shared" si="127"/>
        <v>9000</v>
      </c>
      <c r="J2598" s="115">
        <f t="shared" si="128"/>
        <v>5999.9999999999991</v>
      </c>
    </row>
    <row r="2599" spans="1:10" s="99" customFormat="1">
      <c r="A2599" s="111"/>
      <c r="B2599" s="111"/>
      <c r="C2599" s="115">
        <v>20000</v>
      </c>
      <c r="D2599" s="104" t="s">
        <v>577</v>
      </c>
      <c r="E2599" s="115">
        <v>2300</v>
      </c>
      <c r="F2599" s="102">
        <v>8</v>
      </c>
      <c r="G2599" s="208">
        <v>0.06</v>
      </c>
      <c r="H2599" s="102" t="s">
        <v>664</v>
      </c>
      <c r="I2599" s="115">
        <f t="shared" si="127"/>
        <v>2400</v>
      </c>
      <c r="J2599" s="115">
        <f t="shared" si="128"/>
        <v>1399.9999999999998</v>
      </c>
    </row>
    <row r="2600" spans="1:10" s="99" customFormat="1">
      <c r="A2600" s="111">
        <v>380</v>
      </c>
      <c r="B2600" s="111" t="s">
        <v>1729</v>
      </c>
      <c r="C2600" s="115">
        <v>10000</v>
      </c>
      <c r="D2600" s="104" t="s">
        <v>1668</v>
      </c>
      <c r="E2600" s="115">
        <v>1150</v>
      </c>
      <c r="F2600" s="102">
        <v>10</v>
      </c>
      <c r="G2600" s="208">
        <v>0.06</v>
      </c>
      <c r="H2600" s="102" t="s">
        <v>664</v>
      </c>
      <c r="I2600" s="115">
        <f t="shared" si="127"/>
        <v>1500</v>
      </c>
      <c r="J2600" s="115">
        <f t="shared" si="128"/>
        <v>874.99999999999977</v>
      </c>
    </row>
    <row r="2601" spans="1:10" s="99" customFormat="1">
      <c r="A2601" s="111"/>
      <c r="B2601" s="111"/>
      <c r="C2601" s="115">
        <v>20000</v>
      </c>
      <c r="D2601" s="104" t="s">
        <v>1668</v>
      </c>
      <c r="E2601" s="115">
        <v>750</v>
      </c>
      <c r="F2601" s="102">
        <v>12</v>
      </c>
      <c r="G2601" s="208">
        <v>7.4999999999999997E-2</v>
      </c>
      <c r="H2601" s="102">
        <v>15</v>
      </c>
      <c r="I2601" s="115">
        <f t="shared" si="127"/>
        <v>9000</v>
      </c>
      <c r="J2601" s="115">
        <f t="shared" si="128"/>
        <v>5999.9999999999991</v>
      </c>
    </row>
    <row r="2602" spans="1:10" s="99" customFormat="1">
      <c r="A2602" s="111">
        <v>381</v>
      </c>
      <c r="B2602" s="111" t="s">
        <v>1730</v>
      </c>
      <c r="C2602" s="115">
        <v>20000</v>
      </c>
      <c r="D2602" s="104" t="s">
        <v>2622</v>
      </c>
      <c r="E2602" s="115">
        <v>750</v>
      </c>
      <c r="F2602" s="102">
        <v>11</v>
      </c>
      <c r="G2602" s="208">
        <v>7.4999999999999997E-2</v>
      </c>
      <c r="H2602" s="102">
        <v>15</v>
      </c>
      <c r="I2602" s="115">
        <f t="shared" si="127"/>
        <v>8250</v>
      </c>
      <c r="J2602" s="115">
        <f t="shared" si="128"/>
        <v>5499.9999999999991</v>
      </c>
    </row>
    <row r="2603" spans="1:10" s="99" customFormat="1">
      <c r="A2603" s="111"/>
      <c r="B2603" s="111"/>
      <c r="C2603" s="115">
        <v>10000</v>
      </c>
      <c r="D2603" s="104" t="s">
        <v>2622</v>
      </c>
      <c r="E2603" s="115">
        <v>1150</v>
      </c>
      <c r="F2603" s="102">
        <v>10</v>
      </c>
      <c r="G2603" s="208">
        <v>0.06</v>
      </c>
      <c r="H2603" s="102" t="s">
        <v>664</v>
      </c>
      <c r="I2603" s="115">
        <f t="shared" si="127"/>
        <v>1500</v>
      </c>
      <c r="J2603" s="115">
        <f t="shared" si="128"/>
        <v>874.99999999999977</v>
      </c>
    </row>
    <row r="2604" spans="1:10" s="99" customFormat="1">
      <c r="A2604" s="111"/>
      <c r="B2604" s="111"/>
      <c r="C2604" s="115">
        <v>20000</v>
      </c>
      <c r="D2604" s="104" t="s">
        <v>1527</v>
      </c>
      <c r="E2604" s="115">
        <v>750</v>
      </c>
      <c r="F2604" s="102">
        <v>1</v>
      </c>
      <c r="G2604" s="208">
        <v>7.4999999999999997E-2</v>
      </c>
      <c r="H2604" s="102">
        <v>15</v>
      </c>
      <c r="I2604" s="115">
        <f t="shared" si="127"/>
        <v>750</v>
      </c>
      <c r="J2604" s="115">
        <f t="shared" si="128"/>
        <v>499.99999999999994</v>
      </c>
    </row>
    <row r="2605" spans="1:10" s="99" customFormat="1">
      <c r="A2605" s="111">
        <v>382</v>
      </c>
      <c r="B2605" s="111" t="s">
        <v>1731</v>
      </c>
      <c r="C2605" s="115">
        <v>10000</v>
      </c>
      <c r="D2605" s="104" t="s">
        <v>493</v>
      </c>
      <c r="E2605" s="115">
        <v>1150</v>
      </c>
      <c r="F2605" s="102">
        <v>10</v>
      </c>
      <c r="G2605" s="208">
        <v>0.06</v>
      </c>
      <c r="H2605" s="102" t="s">
        <v>664</v>
      </c>
      <c r="I2605" s="115">
        <f t="shared" si="127"/>
        <v>1500</v>
      </c>
      <c r="J2605" s="115">
        <f t="shared" si="128"/>
        <v>874.99999999999977</v>
      </c>
    </row>
    <row r="2606" spans="1:10" s="99" customFormat="1">
      <c r="A2606" s="111"/>
      <c r="B2606" s="111"/>
      <c r="C2606" s="115">
        <v>30000</v>
      </c>
      <c r="D2606" s="104" t="s">
        <v>493</v>
      </c>
      <c r="E2606" s="115">
        <v>1125</v>
      </c>
      <c r="F2606" s="102">
        <v>3</v>
      </c>
      <c r="G2606" s="208">
        <v>7.4999999999999997E-2</v>
      </c>
      <c r="H2606" s="102">
        <v>15</v>
      </c>
      <c r="I2606" s="115">
        <f t="shared" si="127"/>
        <v>3375</v>
      </c>
      <c r="J2606" s="115">
        <f t="shared" si="128"/>
        <v>2249.9999999999995</v>
      </c>
    </row>
    <row r="2607" spans="1:10" s="99" customFormat="1">
      <c r="A2607" s="111"/>
      <c r="B2607" s="111"/>
      <c r="C2607" s="115">
        <v>10000</v>
      </c>
      <c r="D2607" s="104" t="s">
        <v>493</v>
      </c>
      <c r="E2607" s="115">
        <v>375</v>
      </c>
      <c r="F2607" s="102">
        <v>8</v>
      </c>
      <c r="G2607" s="208">
        <v>7.4999999999999997E-2</v>
      </c>
      <c r="H2607" s="102">
        <v>15</v>
      </c>
      <c r="I2607" s="115">
        <f t="shared" si="127"/>
        <v>3000</v>
      </c>
      <c r="J2607" s="115">
        <f t="shared" si="128"/>
        <v>1999.9999999999998</v>
      </c>
    </row>
    <row r="2608" spans="1:10" s="99" customFormat="1">
      <c r="A2608" s="111"/>
      <c r="B2608" s="111"/>
      <c r="C2608" s="115">
        <v>10000</v>
      </c>
      <c r="D2608" s="104" t="s">
        <v>449</v>
      </c>
      <c r="E2608" s="115">
        <v>375</v>
      </c>
      <c r="F2608" s="102">
        <v>7</v>
      </c>
      <c r="G2608" s="208">
        <v>7.4999999999999997E-2</v>
      </c>
      <c r="H2608" s="102">
        <v>15</v>
      </c>
      <c r="I2608" s="115">
        <f t="shared" si="127"/>
        <v>2625</v>
      </c>
      <c r="J2608" s="115">
        <f t="shared" si="128"/>
        <v>1749.9999999999998</v>
      </c>
    </row>
    <row r="2609" spans="1:10" s="99" customFormat="1">
      <c r="A2609" s="111">
        <v>382</v>
      </c>
      <c r="B2609" s="111" t="s">
        <v>1733</v>
      </c>
      <c r="C2609" s="115">
        <v>30000</v>
      </c>
      <c r="D2609" s="104" t="s">
        <v>3124</v>
      </c>
      <c r="E2609" s="115">
        <v>1125</v>
      </c>
      <c r="F2609" s="102">
        <v>6</v>
      </c>
      <c r="G2609" s="208">
        <v>7.4999999999999997E-2</v>
      </c>
      <c r="H2609" s="102">
        <v>15</v>
      </c>
      <c r="I2609" s="115">
        <f t="shared" si="127"/>
        <v>6750</v>
      </c>
      <c r="J2609" s="115">
        <f t="shared" si="128"/>
        <v>4499.9999999999991</v>
      </c>
    </row>
    <row r="2610" spans="1:10" s="99" customFormat="1">
      <c r="A2610" s="111"/>
      <c r="B2610" s="111"/>
      <c r="C2610" s="115">
        <v>20000</v>
      </c>
      <c r="D2610" s="104" t="s">
        <v>2312</v>
      </c>
      <c r="E2610" s="115">
        <v>750</v>
      </c>
      <c r="F2610" s="102">
        <v>1</v>
      </c>
      <c r="G2610" s="208">
        <v>7.4999999999999997E-2</v>
      </c>
      <c r="H2610" s="102">
        <v>15</v>
      </c>
      <c r="I2610" s="115">
        <f t="shared" si="127"/>
        <v>750</v>
      </c>
      <c r="J2610" s="115">
        <f t="shared" si="128"/>
        <v>499.99999999999994</v>
      </c>
    </row>
    <row r="2611" spans="1:10" s="99" customFormat="1">
      <c r="A2611" s="111"/>
      <c r="B2611" s="111"/>
      <c r="C2611" s="115">
        <v>10000</v>
      </c>
      <c r="D2611" s="104" t="s">
        <v>2312</v>
      </c>
      <c r="E2611" s="115">
        <v>375</v>
      </c>
      <c r="F2611" s="102">
        <v>1</v>
      </c>
      <c r="G2611" s="208">
        <v>7.4999999999999997E-2</v>
      </c>
      <c r="H2611" s="102">
        <v>15</v>
      </c>
      <c r="I2611" s="115">
        <f t="shared" si="127"/>
        <v>375</v>
      </c>
      <c r="J2611" s="115">
        <f t="shared" si="128"/>
        <v>249.99999999999997</v>
      </c>
    </row>
    <row r="2612" spans="1:10" s="99" customFormat="1">
      <c r="A2612" s="111">
        <v>384</v>
      </c>
      <c r="B2612" s="111" t="s">
        <v>1734</v>
      </c>
      <c r="C2612" s="115">
        <v>20000</v>
      </c>
      <c r="D2612" s="104" t="s">
        <v>1735</v>
      </c>
      <c r="E2612" s="115">
        <v>750</v>
      </c>
      <c r="F2612" s="102">
        <v>2</v>
      </c>
      <c r="G2612" s="208">
        <v>7.4999999999999997E-2</v>
      </c>
      <c r="H2612" s="102">
        <v>15</v>
      </c>
      <c r="I2612" s="115">
        <f t="shared" si="127"/>
        <v>1500</v>
      </c>
      <c r="J2612" s="115">
        <f t="shared" si="128"/>
        <v>999.99999999999989</v>
      </c>
    </row>
    <row r="2613" spans="1:10" s="99" customFormat="1">
      <c r="A2613" s="111">
        <v>385</v>
      </c>
      <c r="B2613" s="111" t="s">
        <v>1736</v>
      </c>
      <c r="C2613" s="115">
        <v>30000</v>
      </c>
      <c r="D2613" s="104" t="s">
        <v>1735</v>
      </c>
      <c r="E2613" s="115">
        <v>3450</v>
      </c>
      <c r="F2613" s="102">
        <v>10</v>
      </c>
      <c r="G2613" s="208">
        <v>0.06</v>
      </c>
      <c r="H2613" s="102" t="s">
        <v>664</v>
      </c>
      <c r="I2613" s="115">
        <f t="shared" si="127"/>
        <v>4500</v>
      </c>
      <c r="J2613" s="115">
        <f t="shared" si="128"/>
        <v>2625</v>
      </c>
    </row>
    <row r="2614" spans="1:10" s="99" customFormat="1">
      <c r="A2614" s="111">
        <v>386</v>
      </c>
      <c r="B2614" s="111" t="s">
        <v>1737</v>
      </c>
      <c r="C2614" s="115">
        <v>10000</v>
      </c>
      <c r="D2614" s="104" t="s">
        <v>439</v>
      </c>
      <c r="E2614" s="115">
        <v>1150</v>
      </c>
      <c r="F2614" s="102">
        <v>10</v>
      </c>
      <c r="G2614" s="208">
        <v>0.06</v>
      </c>
      <c r="H2614" s="102" t="s">
        <v>664</v>
      </c>
      <c r="I2614" s="115">
        <f t="shared" si="127"/>
        <v>1500</v>
      </c>
      <c r="J2614" s="115">
        <f t="shared" si="128"/>
        <v>874.99999999999977</v>
      </c>
    </row>
    <row r="2615" spans="1:10" s="99" customFormat="1">
      <c r="A2615" s="111"/>
      <c r="B2615" s="111"/>
      <c r="C2615" s="115">
        <v>30000</v>
      </c>
      <c r="D2615" s="104" t="s">
        <v>439</v>
      </c>
      <c r="E2615" s="115">
        <v>1125</v>
      </c>
      <c r="F2615" s="102">
        <v>5</v>
      </c>
      <c r="G2615" s="208">
        <v>7.4999999999999997E-2</v>
      </c>
      <c r="H2615" s="102">
        <v>15</v>
      </c>
      <c r="I2615" s="115">
        <f t="shared" si="127"/>
        <v>5625</v>
      </c>
      <c r="J2615" s="115">
        <f t="shared" si="128"/>
        <v>3749.9999999999995</v>
      </c>
    </row>
    <row r="2616" spans="1:10" s="99" customFormat="1">
      <c r="A2616" s="111">
        <v>387</v>
      </c>
      <c r="B2616" s="111" t="s">
        <v>1738</v>
      </c>
      <c r="C2616" s="115">
        <v>20000</v>
      </c>
      <c r="D2616" s="104" t="s">
        <v>439</v>
      </c>
      <c r="E2616" s="115">
        <v>750</v>
      </c>
      <c r="F2616" s="102">
        <v>11</v>
      </c>
      <c r="G2616" s="208">
        <v>7.4999999999999997E-2</v>
      </c>
      <c r="H2616" s="102">
        <v>15</v>
      </c>
      <c r="I2616" s="115">
        <f t="shared" si="127"/>
        <v>8250</v>
      </c>
      <c r="J2616" s="115">
        <f t="shared" si="128"/>
        <v>5499.9999999999991</v>
      </c>
    </row>
    <row r="2617" spans="1:10" s="99" customFormat="1">
      <c r="A2617" s="111"/>
      <c r="B2617" s="111"/>
      <c r="C2617" s="115">
        <v>20000</v>
      </c>
      <c r="D2617" s="104" t="s">
        <v>1386</v>
      </c>
      <c r="E2617" s="115">
        <v>750</v>
      </c>
      <c r="F2617" s="102">
        <v>8</v>
      </c>
      <c r="G2617" s="208">
        <v>7.4999999999999997E-2</v>
      </c>
      <c r="H2617" s="102">
        <v>15</v>
      </c>
      <c r="I2617" s="115">
        <f t="shared" si="127"/>
        <v>6000</v>
      </c>
      <c r="J2617" s="115">
        <f t="shared" si="128"/>
        <v>3999.9999999999995</v>
      </c>
    </row>
    <row r="2618" spans="1:10" s="99" customFormat="1">
      <c r="A2618" s="111">
        <v>388</v>
      </c>
      <c r="B2618" s="111" t="s">
        <v>1739</v>
      </c>
      <c r="C2618" s="115">
        <v>10000</v>
      </c>
      <c r="D2618" s="104" t="s">
        <v>987</v>
      </c>
      <c r="E2618" s="115">
        <v>375</v>
      </c>
      <c r="F2618" s="102">
        <v>10</v>
      </c>
      <c r="G2618" s="208">
        <v>7.4999999999999997E-2</v>
      </c>
      <c r="H2618" s="102">
        <v>15</v>
      </c>
      <c r="I2618" s="115">
        <f t="shared" si="127"/>
        <v>3750</v>
      </c>
      <c r="J2618" s="115">
        <f t="shared" si="128"/>
        <v>2499.9999999999995</v>
      </c>
    </row>
    <row r="2619" spans="1:10" s="99" customFormat="1">
      <c r="A2619" s="111"/>
      <c r="B2619" s="111"/>
      <c r="C2619" s="115">
        <v>10000</v>
      </c>
      <c r="D2619" s="104" t="s">
        <v>3399</v>
      </c>
      <c r="E2619" s="115">
        <v>375</v>
      </c>
      <c r="F2619" s="102">
        <v>8</v>
      </c>
      <c r="G2619" s="208">
        <v>7.4999999999999997E-2</v>
      </c>
      <c r="H2619" s="102">
        <v>15</v>
      </c>
      <c r="I2619" s="115">
        <f t="shared" si="127"/>
        <v>3000</v>
      </c>
      <c r="J2619" s="115">
        <f t="shared" si="128"/>
        <v>1999.9999999999998</v>
      </c>
    </row>
    <row r="2620" spans="1:10" s="99" customFormat="1">
      <c r="A2620" s="111">
        <v>389</v>
      </c>
      <c r="B2620" s="221" t="s">
        <v>2889</v>
      </c>
      <c r="C2620" s="115">
        <v>20000</v>
      </c>
      <c r="D2620" s="104" t="s">
        <v>1672</v>
      </c>
      <c r="E2620" s="115">
        <v>750</v>
      </c>
      <c r="F2620" s="102">
        <v>10</v>
      </c>
      <c r="G2620" s="208">
        <v>7.4999999999999997E-2</v>
      </c>
      <c r="H2620" s="102">
        <v>15</v>
      </c>
      <c r="I2620" s="115">
        <f t="shared" si="127"/>
        <v>7500</v>
      </c>
      <c r="J2620" s="115">
        <f t="shared" si="128"/>
        <v>4999.9999999999991</v>
      </c>
    </row>
    <row r="2621" spans="1:10" s="99" customFormat="1">
      <c r="A2621" s="111">
        <v>389</v>
      </c>
      <c r="B2621" s="221" t="s">
        <v>1740</v>
      </c>
      <c r="C2621" s="115">
        <v>60000</v>
      </c>
      <c r="D2621" s="104" t="s">
        <v>454</v>
      </c>
      <c r="E2621" s="115">
        <v>2250</v>
      </c>
      <c r="F2621" s="102">
        <v>10</v>
      </c>
      <c r="G2621" s="208">
        <v>7.4999999999999997E-2</v>
      </c>
      <c r="H2621" s="102">
        <v>15</v>
      </c>
      <c r="I2621" s="115">
        <f t="shared" si="127"/>
        <v>22500</v>
      </c>
      <c r="J2621" s="115">
        <f t="shared" si="128"/>
        <v>14999.999999999998</v>
      </c>
    </row>
    <row r="2622" spans="1:10" s="99" customFormat="1">
      <c r="A2622" s="111"/>
      <c r="B2622" s="111"/>
      <c r="C2622" s="115">
        <v>20000</v>
      </c>
      <c r="D2622" s="104" t="s">
        <v>1386</v>
      </c>
      <c r="E2622" s="115">
        <v>750</v>
      </c>
      <c r="F2622" s="102">
        <v>8</v>
      </c>
      <c r="G2622" s="208">
        <v>7.4999999999999997E-2</v>
      </c>
      <c r="H2622" s="102">
        <v>15</v>
      </c>
      <c r="I2622" s="115">
        <f t="shared" si="127"/>
        <v>6000</v>
      </c>
      <c r="J2622" s="115">
        <f t="shared" si="128"/>
        <v>3999.9999999999995</v>
      </c>
    </row>
    <row r="2623" spans="1:10" s="99" customFormat="1">
      <c r="A2623" s="111">
        <v>391</v>
      </c>
      <c r="B2623" s="111" t="s">
        <v>1741</v>
      </c>
      <c r="C2623" s="115">
        <v>20000</v>
      </c>
      <c r="D2623" s="104" t="s">
        <v>454</v>
      </c>
      <c r="E2623" s="115">
        <v>750</v>
      </c>
      <c r="F2623" s="102">
        <v>1</v>
      </c>
      <c r="G2623" s="208">
        <v>7.4999999999999997E-2</v>
      </c>
      <c r="H2623" s="102">
        <v>15</v>
      </c>
      <c r="I2623" s="115">
        <f t="shared" si="127"/>
        <v>750</v>
      </c>
      <c r="J2623" s="115">
        <f t="shared" si="128"/>
        <v>499.99999999999994</v>
      </c>
    </row>
    <row r="2624" spans="1:10" s="99" customFormat="1">
      <c r="A2624" s="111">
        <v>392</v>
      </c>
      <c r="B2624" s="111" t="s">
        <v>1742</v>
      </c>
      <c r="C2624" s="115">
        <v>20000</v>
      </c>
      <c r="D2624" s="104" t="s">
        <v>2350</v>
      </c>
      <c r="E2624" s="115">
        <v>2300</v>
      </c>
      <c r="F2624" s="102">
        <v>10</v>
      </c>
      <c r="G2624" s="208">
        <v>0.06</v>
      </c>
      <c r="H2624" s="102" t="s">
        <v>664</v>
      </c>
      <c r="I2624" s="115">
        <f t="shared" si="127"/>
        <v>3000</v>
      </c>
      <c r="J2624" s="115">
        <f t="shared" si="128"/>
        <v>1749.9999999999995</v>
      </c>
    </row>
    <row r="2625" spans="1:10" s="99" customFormat="1">
      <c r="A2625" s="111"/>
      <c r="B2625" s="111"/>
      <c r="C2625" s="115">
        <v>20000</v>
      </c>
      <c r="D2625" s="104" t="s">
        <v>462</v>
      </c>
      <c r="E2625" s="115">
        <v>750</v>
      </c>
      <c r="F2625" s="102">
        <v>8</v>
      </c>
      <c r="G2625" s="208">
        <v>7.4999999999999997E-2</v>
      </c>
      <c r="H2625" s="102">
        <v>15</v>
      </c>
      <c r="I2625" s="115">
        <f t="shared" si="127"/>
        <v>6000</v>
      </c>
      <c r="J2625" s="115">
        <f t="shared" si="128"/>
        <v>3999.9999999999995</v>
      </c>
    </row>
    <row r="2626" spans="1:10" s="99" customFormat="1">
      <c r="A2626" s="111"/>
      <c r="B2626" s="111"/>
      <c r="C2626" s="115">
        <v>20000</v>
      </c>
      <c r="D2626" s="104" t="s">
        <v>993</v>
      </c>
      <c r="E2626" s="115">
        <v>2300</v>
      </c>
      <c r="F2626" s="102">
        <v>10</v>
      </c>
      <c r="G2626" s="208">
        <v>0.06</v>
      </c>
      <c r="H2626" s="102" t="s">
        <v>664</v>
      </c>
      <c r="I2626" s="115">
        <f t="shared" si="127"/>
        <v>3000</v>
      </c>
      <c r="J2626" s="115">
        <f t="shared" si="128"/>
        <v>1749.9999999999995</v>
      </c>
    </row>
    <row r="2627" spans="1:10" s="99" customFormat="1">
      <c r="A2627" s="111"/>
      <c r="B2627" s="111"/>
      <c r="C2627" s="115">
        <v>20000</v>
      </c>
      <c r="D2627" s="104" t="s">
        <v>3125</v>
      </c>
      <c r="E2627" s="115">
        <v>2300</v>
      </c>
      <c r="F2627" s="102">
        <v>6</v>
      </c>
      <c r="G2627" s="208">
        <v>0.06</v>
      </c>
      <c r="H2627" s="102" t="s">
        <v>664</v>
      </c>
      <c r="I2627" s="115">
        <f t="shared" si="127"/>
        <v>1800</v>
      </c>
      <c r="J2627" s="115">
        <f t="shared" si="128"/>
        <v>1049.9999999999998</v>
      </c>
    </row>
    <row r="2628" spans="1:10" s="99" customFormat="1">
      <c r="A2628" s="111"/>
      <c r="B2628" s="111"/>
      <c r="C2628" s="115">
        <v>20000</v>
      </c>
      <c r="D2628" s="104" t="s">
        <v>1743</v>
      </c>
      <c r="E2628" s="115">
        <v>2300</v>
      </c>
      <c r="F2628" s="102">
        <v>3</v>
      </c>
      <c r="G2628" s="208">
        <v>0.06</v>
      </c>
      <c r="H2628" s="102" t="s">
        <v>664</v>
      </c>
      <c r="I2628" s="115">
        <f t="shared" si="127"/>
        <v>900</v>
      </c>
      <c r="J2628" s="115">
        <f t="shared" si="128"/>
        <v>524.99999999999989</v>
      </c>
    </row>
    <row r="2629" spans="1:10" s="99" customFormat="1">
      <c r="A2629" s="111"/>
      <c r="B2629" s="111"/>
      <c r="C2629" s="115">
        <v>20000</v>
      </c>
      <c r="D2629" s="104" t="s">
        <v>1732</v>
      </c>
      <c r="E2629" s="115">
        <v>750</v>
      </c>
      <c r="F2629" s="102">
        <v>1</v>
      </c>
      <c r="G2629" s="208">
        <v>7.4999999999999997E-2</v>
      </c>
      <c r="H2629" s="102">
        <v>15</v>
      </c>
      <c r="I2629" s="115">
        <f t="shared" si="127"/>
        <v>750</v>
      </c>
      <c r="J2629" s="115">
        <f t="shared" si="128"/>
        <v>499.99999999999994</v>
      </c>
    </row>
    <row r="2630" spans="1:10" s="99" customFormat="1">
      <c r="A2630" s="111">
        <v>393</v>
      </c>
      <c r="B2630" s="111" t="s">
        <v>1744</v>
      </c>
      <c r="C2630" s="115">
        <v>20000</v>
      </c>
      <c r="D2630" s="104" t="s">
        <v>3415</v>
      </c>
      <c r="E2630" s="115">
        <v>750</v>
      </c>
      <c r="F2630" s="102">
        <v>1</v>
      </c>
      <c r="G2630" s="208">
        <v>7.4999999999999997E-2</v>
      </c>
      <c r="H2630" s="102">
        <v>15</v>
      </c>
      <c r="I2630" s="115">
        <f t="shared" si="127"/>
        <v>750</v>
      </c>
      <c r="J2630" s="115">
        <f t="shared" si="128"/>
        <v>499.99999999999994</v>
      </c>
    </row>
    <row r="2631" spans="1:10" s="99" customFormat="1">
      <c r="A2631" s="111"/>
      <c r="B2631" s="111"/>
      <c r="C2631" s="115">
        <v>30000</v>
      </c>
      <c r="D2631" s="104" t="s">
        <v>1726</v>
      </c>
      <c r="E2631" s="115">
        <v>1125</v>
      </c>
      <c r="F2631" s="102">
        <v>1</v>
      </c>
      <c r="G2631" s="208">
        <v>7.4999999999999997E-2</v>
      </c>
      <c r="H2631" s="102">
        <v>15</v>
      </c>
      <c r="I2631" s="115">
        <f t="shared" si="127"/>
        <v>1125</v>
      </c>
      <c r="J2631" s="115">
        <f t="shared" si="128"/>
        <v>749.99999999999989</v>
      </c>
    </row>
    <row r="2632" spans="1:10" s="99" customFormat="1">
      <c r="A2632" s="111"/>
      <c r="B2632" s="111"/>
      <c r="C2632" s="115">
        <v>20000</v>
      </c>
      <c r="D2632" s="104" t="s">
        <v>1726</v>
      </c>
      <c r="E2632" s="115">
        <v>750</v>
      </c>
      <c r="F2632" s="102">
        <v>1</v>
      </c>
      <c r="G2632" s="208">
        <v>7.4999999999999997E-2</v>
      </c>
      <c r="H2632" s="102">
        <v>15</v>
      </c>
      <c r="I2632" s="115">
        <f t="shared" si="127"/>
        <v>750</v>
      </c>
      <c r="J2632" s="115">
        <f t="shared" si="128"/>
        <v>499.99999999999994</v>
      </c>
    </row>
    <row r="2633" spans="1:10" s="99" customFormat="1">
      <c r="A2633" s="111"/>
      <c r="B2633" s="111"/>
      <c r="C2633" s="115">
        <v>10000</v>
      </c>
      <c r="D2633" s="129" t="s">
        <v>1974</v>
      </c>
      <c r="E2633" s="115">
        <v>375</v>
      </c>
      <c r="F2633" s="102">
        <v>1</v>
      </c>
      <c r="G2633" s="208">
        <v>7.4999999999999997E-2</v>
      </c>
      <c r="H2633" s="102">
        <v>15</v>
      </c>
      <c r="I2633" s="115">
        <f t="shared" si="127"/>
        <v>375</v>
      </c>
      <c r="J2633" s="115">
        <f t="shared" si="128"/>
        <v>249.99999999999997</v>
      </c>
    </row>
    <row r="2634" spans="1:10" s="99" customFormat="1">
      <c r="A2634" s="111">
        <v>394</v>
      </c>
      <c r="B2634" s="111" t="s">
        <v>1745</v>
      </c>
      <c r="C2634" s="115">
        <v>40000</v>
      </c>
      <c r="D2634" s="104" t="s">
        <v>3149</v>
      </c>
      <c r="E2634" s="115">
        <v>4600</v>
      </c>
      <c r="F2634" s="102">
        <v>10</v>
      </c>
      <c r="G2634" s="208">
        <v>0.06</v>
      </c>
      <c r="H2634" s="102" t="s">
        <v>664</v>
      </c>
      <c r="I2634" s="115">
        <f t="shared" si="127"/>
        <v>6000</v>
      </c>
      <c r="J2634" s="115">
        <f t="shared" si="128"/>
        <v>3499.9999999999991</v>
      </c>
    </row>
    <row r="2635" spans="1:10" s="99" customFormat="1">
      <c r="A2635" s="111">
        <v>395</v>
      </c>
      <c r="B2635" s="111" t="s">
        <v>1746</v>
      </c>
      <c r="C2635" s="115">
        <v>10000</v>
      </c>
      <c r="D2635" s="104" t="s">
        <v>3149</v>
      </c>
      <c r="E2635" s="115">
        <v>1150</v>
      </c>
      <c r="F2635" s="102">
        <v>5</v>
      </c>
      <c r="G2635" s="208">
        <v>0.06</v>
      </c>
      <c r="H2635" s="102" t="s">
        <v>664</v>
      </c>
      <c r="I2635" s="115">
        <f t="shared" si="127"/>
        <v>750</v>
      </c>
      <c r="J2635" s="115">
        <f t="shared" si="128"/>
        <v>437.49999999999989</v>
      </c>
    </row>
    <row r="2636" spans="1:10" s="99" customFormat="1">
      <c r="A2636" s="111"/>
      <c r="B2636" s="111"/>
      <c r="C2636" s="115">
        <v>20000</v>
      </c>
      <c r="D2636" s="104" t="s">
        <v>3149</v>
      </c>
      <c r="E2636" s="115">
        <v>750</v>
      </c>
      <c r="F2636" s="102">
        <v>10</v>
      </c>
      <c r="G2636" s="208">
        <v>7.4999999999999997E-2</v>
      </c>
      <c r="H2636" s="102">
        <v>15</v>
      </c>
      <c r="I2636" s="115">
        <f t="shared" si="127"/>
        <v>7500</v>
      </c>
      <c r="J2636" s="115">
        <f t="shared" si="128"/>
        <v>4999.9999999999991</v>
      </c>
    </row>
    <row r="2637" spans="1:10" s="99" customFormat="1">
      <c r="A2637" s="111"/>
      <c r="B2637" s="111"/>
      <c r="C2637" s="115">
        <v>10000</v>
      </c>
      <c r="D2637" s="104" t="s">
        <v>2334</v>
      </c>
      <c r="E2637" s="115">
        <v>375</v>
      </c>
      <c r="F2637" s="102">
        <v>8</v>
      </c>
      <c r="G2637" s="208">
        <v>7.4999999999999997E-2</v>
      </c>
      <c r="H2637" s="102">
        <v>15</v>
      </c>
      <c r="I2637" s="115">
        <f t="shared" si="127"/>
        <v>3000</v>
      </c>
      <c r="J2637" s="115">
        <f t="shared" si="128"/>
        <v>1999.9999999999998</v>
      </c>
    </row>
    <row r="2638" spans="1:10" s="99" customFormat="1">
      <c r="A2638" s="111"/>
      <c r="B2638" s="111"/>
      <c r="C2638" s="115">
        <v>10000</v>
      </c>
      <c r="D2638" s="104" t="s">
        <v>1707</v>
      </c>
      <c r="E2638" s="115">
        <v>375</v>
      </c>
      <c r="F2638" s="102">
        <v>7</v>
      </c>
      <c r="G2638" s="208">
        <v>7.4999999999999997E-2</v>
      </c>
      <c r="H2638" s="102">
        <v>15</v>
      </c>
      <c r="I2638" s="115">
        <f t="shared" ref="I2638:I2701" si="129">IF(H2638="分期",C2638*G2638*2.5*F2638/10,C2638*G2638*H2638/30*F2638)</f>
        <v>2625</v>
      </c>
      <c r="J2638" s="115">
        <f t="shared" ref="J2638:J2701" si="130">IF(H2638="分期",C2638*(G2638-0.025)*2.5*F2638/10,C2638*(G2638-0.025)*H2638/30*F2638)</f>
        <v>1749.9999999999998</v>
      </c>
    </row>
    <row r="2639" spans="1:10" s="99" customFormat="1">
      <c r="A2639" s="111"/>
      <c r="B2639" s="111"/>
      <c r="C2639" s="115">
        <v>30000</v>
      </c>
      <c r="D2639" s="104" t="s">
        <v>1513</v>
      </c>
      <c r="E2639" s="115">
        <v>1125</v>
      </c>
      <c r="F2639" s="102">
        <v>6</v>
      </c>
      <c r="G2639" s="208">
        <v>7.4999999999999997E-2</v>
      </c>
      <c r="H2639" s="102">
        <v>15</v>
      </c>
      <c r="I2639" s="115">
        <f t="shared" si="129"/>
        <v>6750</v>
      </c>
      <c r="J2639" s="115">
        <f t="shared" si="130"/>
        <v>4499.9999999999991</v>
      </c>
    </row>
    <row r="2640" spans="1:10" s="99" customFormat="1">
      <c r="A2640" s="111">
        <v>396</v>
      </c>
      <c r="B2640" s="111" t="s">
        <v>1748</v>
      </c>
      <c r="C2640" s="115">
        <v>40000</v>
      </c>
      <c r="D2640" s="104" t="s">
        <v>3149</v>
      </c>
      <c r="E2640" s="115">
        <v>1500</v>
      </c>
      <c r="F2640" s="102">
        <v>1</v>
      </c>
      <c r="G2640" s="208">
        <v>7.4999999999999997E-2</v>
      </c>
      <c r="H2640" s="102">
        <v>15</v>
      </c>
      <c r="I2640" s="115">
        <f t="shared" si="129"/>
        <v>1500</v>
      </c>
      <c r="J2640" s="115">
        <f t="shared" si="130"/>
        <v>999.99999999999989</v>
      </c>
    </row>
    <row r="2641" spans="1:10" s="99" customFormat="1">
      <c r="A2641" s="111">
        <v>397</v>
      </c>
      <c r="B2641" s="111" t="s">
        <v>1749</v>
      </c>
      <c r="C2641" s="115">
        <v>90000</v>
      </c>
      <c r="D2641" s="104" t="s">
        <v>3149</v>
      </c>
      <c r="E2641" s="115">
        <v>3375</v>
      </c>
      <c r="F2641" s="102">
        <v>10</v>
      </c>
      <c r="G2641" s="208">
        <v>7.4999999999999997E-2</v>
      </c>
      <c r="H2641" s="102">
        <v>15</v>
      </c>
      <c r="I2641" s="115">
        <f t="shared" si="129"/>
        <v>33750</v>
      </c>
      <c r="J2641" s="115">
        <f t="shared" si="130"/>
        <v>22500</v>
      </c>
    </row>
    <row r="2642" spans="1:10" s="99" customFormat="1">
      <c r="A2642" s="111"/>
      <c r="B2642" s="111"/>
      <c r="C2642" s="115">
        <v>10000</v>
      </c>
      <c r="D2642" s="104" t="s">
        <v>3175</v>
      </c>
      <c r="E2642" s="115">
        <v>375</v>
      </c>
      <c r="F2642" s="102">
        <v>2</v>
      </c>
      <c r="G2642" s="208">
        <v>7.4999999999999997E-2</v>
      </c>
      <c r="H2642" s="102">
        <v>15</v>
      </c>
      <c r="I2642" s="115">
        <f t="shared" si="129"/>
        <v>750</v>
      </c>
      <c r="J2642" s="115">
        <f t="shared" si="130"/>
        <v>499.99999999999994</v>
      </c>
    </row>
    <row r="2643" spans="1:10" s="99" customFormat="1">
      <c r="A2643" s="111">
        <v>398</v>
      </c>
      <c r="B2643" s="111" t="s">
        <v>1751</v>
      </c>
      <c r="C2643" s="115">
        <v>60000</v>
      </c>
      <c r="D2643" s="104" t="s">
        <v>3149</v>
      </c>
      <c r="E2643" s="115">
        <v>2250</v>
      </c>
      <c r="F2643" s="102">
        <v>9</v>
      </c>
      <c r="G2643" s="208">
        <v>7.4999999999999997E-2</v>
      </c>
      <c r="H2643" s="102">
        <v>15</v>
      </c>
      <c r="I2643" s="115">
        <f t="shared" si="129"/>
        <v>20250</v>
      </c>
      <c r="J2643" s="115">
        <f t="shared" si="130"/>
        <v>13499.999999999998</v>
      </c>
    </row>
    <row r="2644" spans="1:10" s="99" customFormat="1">
      <c r="A2644" s="111">
        <v>399</v>
      </c>
      <c r="B2644" s="111" t="s">
        <v>1752</v>
      </c>
      <c r="C2644" s="115">
        <v>20000</v>
      </c>
      <c r="D2644" s="104" t="s">
        <v>581</v>
      </c>
      <c r="E2644" s="115">
        <v>750</v>
      </c>
      <c r="F2644" s="102">
        <v>7</v>
      </c>
      <c r="G2644" s="208">
        <v>7.4999999999999997E-2</v>
      </c>
      <c r="H2644" s="102">
        <v>15</v>
      </c>
      <c r="I2644" s="115">
        <f t="shared" si="129"/>
        <v>5250</v>
      </c>
      <c r="J2644" s="115">
        <f t="shared" si="130"/>
        <v>3499.9999999999995</v>
      </c>
    </row>
    <row r="2645" spans="1:10" s="99" customFormat="1">
      <c r="A2645" s="111"/>
      <c r="B2645" s="111"/>
      <c r="C2645" s="115">
        <v>10000</v>
      </c>
      <c r="D2645" s="104" t="s">
        <v>581</v>
      </c>
      <c r="E2645" s="115">
        <v>1150</v>
      </c>
      <c r="F2645" s="102">
        <v>10</v>
      </c>
      <c r="G2645" s="208">
        <v>0.06</v>
      </c>
      <c r="H2645" s="102" t="s">
        <v>664</v>
      </c>
      <c r="I2645" s="115">
        <f t="shared" si="129"/>
        <v>1500</v>
      </c>
      <c r="J2645" s="115">
        <f t="shared" si="130"/>
        <v>874.99999999999977</v>
      </c>
    </row>
    <row r="2646" spans="1:10" s="99" customFormat="1">
      <c r="A2646" s="111"/>
      <c r="B2646" s="111"/>
      <c r="C2646" s="115">
        <v>20000</v>
      </c>
      <c r="D2646" s="104" t="s">
        <v>994</v>
      </c>
      <c r="E2646" s="115">
        <v>2300</v>
      </c>
      <c r="F2646" s="102">
        <v>10</v>
      </c>
      <c r="G2646" s="208">
        <v>0.06</v>
      </c>
      <c r="H2646" s="102" t="s">
        <v>664</v>
      </c>
      <c r="I2646" s="115">
        <f t="shared" si="129"/>
        <v>3000</v>
      </c>
      <c r="J2646" s="115">
        <f t="shared" si="130"/>
        <v>1749.9999999999995</v>
      </c>
    </row>
    <row r="2647" spans="1:10" s="99" customFormat="1">
      <c r="A2647" s="111"/>
      <c r="B2647" s="111"/>
      <c r="C2647" s="115">
        <v>10000</v>
      </c>
      <c r="D2647" s="104" t="s">
        <v>994</v>
      </c>
      <c r="E2647" s="115">
        <v>375</v>
      </c>
      <c r="F2647" s="102">
        <v>2</v>
      </c>
      <c r="G2647" s="208">
        <v>7.4999999999999997E-2</v>
      </c>
      <c r="H2647" s="102">
        <v>15</v>
      </c>
      <c r="I2647" s="115">
        <f t="shared" si="129"/>
        <v>750</v>
      </c>
      <c r="J2647" s="115">
        <f t="shared" si="130"/>
        <v>499.99999999999994</v>
      </c>
    </row>
    <row r="2648" spans="1:10" s="99" customFormat="1">
      <c r="A2648" s="111"/>
      <c r="B2648" s="111"/>
      <c r="C2648" s="115">
        <v>20000</v>
      </c>
      <c r="D2648" s="104" t="s">
        <v>230</v>
      </c>
      <c r="E2648" s="115">
        <v>750</v>
      </c>
      <c r="F2648" s="102">
        <v>2</v>
      </c>
      <c r="G2648" s="208">
        <v>7.4999999999999997E-2</v>
      </c>
      <c r="H2648" s="102">
        <v>15</v>
      </c>
      <c r="I2648" s="115">
        <f t="shared" si="129"/>
        <v>1500</v>
      </c>
      <c r="J2648" s="115">
        <f t="shared" si="130"/>
        <v>999.99999999999989</v>
      </c>
    </row>
    <row r="2649" spans="1:10" s="99" customFormat="1">
      <c r="A2649" s="111">
        <v>400</v>
      </c>
      <c r="B2649" s="111" t="s">
        <v>1753</v>
      </c>
      <c r="C2649" s="115">
        <v>20000</v>
      </c>
      <c r="D2649" s="104" t="s">
        <v>2327</v>
      </c>
      <c r="E2649" s="115">
        <v>750</v>
      </c>
      <c r="F2649" s="102">
        <v>1</v>
      </c>
      <c r="G2649" s="208">
        <v>7.4999999999999997E-2</v>
      </c>
      <c r="H2649" s="102">
        <v>15</v>
      </c>
      <c r="I2649" s="115">
        <f t="shared" si="129"/>
        <v>750</v>
      </c>
      <c r="J2649" s="115">
        <f t="shared" si="130"/>
        <v>499.99999999999994</v>
      </c>
    </row>
    <row r="2650" spans="1:10" s="99" customFormat="1">
      <c r="A2650" s="111"/>
      <c r="B2650" s="111"/>
      <c r="C2650" s="115">
        <v>10000</v>
      </c>
      <c r="D2650" s="104" t="s">
        <v>1754</v>
      </c>
      <c r="E2650" s="115">
        <v>375</v>
      </c>
      <c r="F2650" s="102">
        <v>8</v>
      </c>
      <c r="G2650" s="208">
        <v>7.4999999999999997E-2</v>
      </c>
      <c r="H2650" s="102">
        <v>15</v>
      </c>
      <c r="I2650" s="115">
        <f t="shared" si="129"/>
        <v>3000</v>
      </c>
      <c r="J2650" s="115">
        <f t="shared" si="130"/>
        <v>1999.9999999999998</v>
      </c>
    </row>
    <row r="2651" spans="1:10" s="99" customFormat="1">
      <c r="A2651" s="111"/>
      <c r="B2651" s="111"/>
      <c r="C2651" s="115">
        <v>10000</v>
      </c>
      <c r="D2651" s="104" t="s">
        <v>1979</v>
      </c>
      <c r="E2651" s="115">
        <v>375</v>
      </c>
      <c r="F2651" s="102">
        <v>7</v>
      </c>
      <c r="G2651" s="208">
        <v>7.4999999999999997E-2</v>
      </c>
      <c r="H2651" s="102">
        <v>15</v>
      </c>
      <c r="I2651" s="115">
        <f t="shared" si="129"/>
        <v>2625</v>
      </c>
      <c r="J2651" s="115">
        <f t="shared" si="130"/>
        <v>1749.9999999999998</v>
      </c>
    </row>
    <row r="2652" spans="1:10" s="99" customFormat="1">
      <c r="A2652" s="111">
        <v>401</v>
      </c>
      <c r="B2652" s="111" t="s">
        <v>1755</v>
      </c>
      <c r="C2652" s="115">
        <v>10000</v>
      </c>
      <c r="D2652" s="104" t="s">
        <v>2327</v>
      </c>
      <c r="E2652" s="115">
        <v>1150</v>
      </c>
      <c r="F2652" s="102">
        <v>10</v>
      </c>
      <c r="G2652" s="208">
        <v>0.06</v>
      </c>
      <c r="H2652" s="102" t="s">
        <v>664</v>
      </c>
      <c r="I2652" s="115">
        <f t="shared" si="129"/>
        <v>1500</v>
      </c>
      <c r="J2652" s="115">
        <f t="shared" si="130"/>
        <v>874.99999999999977</v>
      </c>
    </row>
    <row r="2653" spans="1:10" s="99" customFormat="1">
      <c r="A2653" s="111"/>
      <c r="B2653" s="111"/>
      <c r="C2653" s="115">
        <v>40000</v>
      </c>
      <c r="D2653" s="104" t="s">
        <v>2327</v>
      </c>
      <c r="E2653" s="115">
        <v>1500</v>
      </c>
      <c r="F2653" s="102">
        <v>4</v>
      </c>
      <c r="G2653" s="208">
        <v>7.4999999999999997E-2</v>
      </c>
      <c r="H2653" s="102">
        <v>15</v>
      </c>
      <c r="I2653" s="115">
        <f t="shared" si="129"/>
        <v>6000</v>
      </c>
      <c r="J2653" s="115">
        <f t="shared" si="130"/>
        <v>3999.9999999999995</v>
      </c>
    </row>
    <row r="2654" spans="1:10" s="99" customFormat="1">
      <c r="A2654" s="111">
        <v>402</v>
      </c>
      <c r="B2654" s="111" t="s">
        <v>1756</v>
      </c>
      <c r="C2654" s="115">
        <v>20000</v>
      </c>
      <c r="D2654" s="104" t="s">
        <v>2610</v>
      </c>
      <c r="E2654" s="115">
        <v>750</v>
      </c>
      <c r="F2654" s="102">
        <v>1</v>
      </c>
      <c r="G2654" s="208">
        <v>7.4999999999999997E-2</v>
      </c>
      <c r="H2654" s="102">
        <v>15</v>
      </c>
      <c r="I2654" s="115">
        <f t="shared" si="129"/>
        <v>750</v>
      </c>
      <c r="J2654" s="115">
        <f t="shared" si="130"/>
        <v>499.99999999999994</v>
      </c>
    </row>
    <row r="2655" spans="1:10" s="99" customFormat="1">
      <c r="A2655" s="111"/>
      <c r="B2655" s="111"/>
      <c r="C2655" s="115">
        <v>20000</v>
      </c>
      <c r="D2655" s="104" t="s">
        <v>2610</v>
      </c>
      <c r="E2655" s="115">
        <v>2300</v>
      </c>
      <c r="F2655" s="102">
        <v>1</v>
      </c>
      <c r="G2655" s="208">
        <v>0.06</v>
      </c>
      <c r="H2655" s="102" t="s">
        <v>664</v>
      </c>
      <c r="I2655" s="115">
        <f t="shared" si="129"/>
        <v>300</v>
      </c>
      <c r="J2655" s="115">
        <f t="shared" si="130"/>
        <v>174.99999999999997</v>
      </c>
    </row>
    <row r="2656" spans="1:10" s="99" customFormat="1">
      <c r="A2656" s="111">
        <v>403</v>
      </c>
      <c r="B2656" s="111" t="s">
        <v>1757</v>
      </c>
      <c r="C2656" s="115">
        <v>60000</v>
      </c>
      <c r="D2656" s="104" t="s">
        <v>2610</v>
      </c>
      <c r="E2656" s="115">
        <v>2250</v>
      </c>
      <c r="F2656" s="102">
        <v>7</v>
      </c>
      <c r="G2656" s="208">
        <v>7.4999999999999997E-2</v>
      </c>
      <c r="H2656" s="102">
        <v>15</v>
      </c>
      <c r="I2656" s="115">
        <f t="shared" si="129"/>
        <v>15750</v>
      </c>
      <c r="J2656" s="115">
        <f t="shared" si="130"/>
        <v>10499.999999999998</v>
      </c>
    </row>
    <row r="2657" spans="1:10" s="99" customFormat="1">
      <c r="A2657" s="111">
        <v>405</v>
      </c>
      <c r="B2657" s="111" t="s">
        <v>1758</v>
      </c>
      <c r="C2657" s="115">
        <v>30000</v>
      </c>
      <c r="D2657" s="104" t="s">
        <v>857</v>
      </c>
      <c r="E2657" s="115">
        <v>1125</v>
      </c>
      <c r="F2657" s="102">
        <v>5</v>
      </c>
      <c r="G2657" s="208">
        <v>7.4999999999999997E-2</v>
      </c>
      <c r="H2657" s="102">
        <v>15</v>
      </c>
      <c r="I2657" s="115">
        <f t="shared" si="129"/>
        <v>5625</v>
      </c>
      <c r="J2657" s="115">
        <f t="shared" si="130"/>
        <v>3749.9999999999995</v>
      </c>
    </row>
    <row r="2658" spans="1:10" s="99" customFormat="1">
      <c r="A2658" s="111">
        <v>406</v>
      </c>
      <c r="B2658" s="111" t="s">
        <v>1759</v>
      </c>
      <c r="C2658" s="115">
        <v>10000</v>
      </c>
      <c r="D2658" s="104" t="s">
        <v>1726</v>
      </c>
      <c r="E2658" s="115">
        <v>1150</v>
      </c>
      <c r="F2658" s="102">
        <v>10</v>
      </c>
      <c r="G2658" s="208">
        <v>0.06</v>
      </c>
      <c r="H2658" s="102" t="s">
        <v>664</v>
      </c>
      <c r="I2658" s="115">
        <f t="shared" si="129"/>
        <v>1500</v>
      </c>
      <c r="J2658" s="115">
        <f t="shared" si="130"/>
        <v>874.99999999999977</v>
      </c>
    </row>
    <row r="2659" spans="1:10" s="99" customFormat="1">
      <c r="A2659" s="111"/>
      <c r="B2659" s="111"/>
      <c r="C2659" s="115">
        <v>20000</v>
      </c>
      <c r="D2659" s="104" t="s">
        <v>1726</v>
      </c>
      <c r="E2659" s="115">
        <v>750</v>
      </c>
      <c r="F2659" s="102">
        <v>8</v>
      </c>
      <c r="G2659" s="208">
        <v>7.4999999999999997E-2</v>
      </c>
      <c r="H2659" s="102">
        <v>15</v>
      </c>
      <c r="I2659" s="115">
        <f t="shared" si="129"/>
        <v>6000</v>
      </c>
      <c r="J2659" s="115">
        <f t="shared" si="130"/>
        <v>3999.9999999999995</v>
      </c>
    </row>
    <row r="2660" spans="1:10" s="99" customFormat="1">
      <c r="A2660" s="111">
        <v>407</v>
      </c>
      <c r="B2660" s="111" t="s">
        <v>1760</v>
      </c>
      <c r="C2660" s="115">
        <v>70000</v>
      </c>
      <c r="D2660" s="104" t="s">
        <v>1683</v>
      </c>
      <c r="E2660" s="115">
        <v>2625</v>
      </c>
      <c r="F2660" s="102">
        <v>3</v>
      </c>
      <c r="G2660" s="208">
        <v>7.4999999999999997E-2</v>
      </c>
      <c r="H2660" s="102">
        <v>15</v>
      </c>
      <c r="I2660" s="115">
        <f t="shared" si="129"/>
        <v>7875</v>
      </c>
      <c r="J2660" s="115">
        <f t="shared" si="130"/>
        <v>5249.9999999999991</v>
      </c>
    </row>
    <row r="2661" spans="1:10" s="99" customFormat="1">
      <c r="A2661" s="111">
        <v>408</v>
      </c>
      <c r="B2661" s="111" t="s">
        <v>1761</v>
      </c>
      <c r="C2661" s="115">
        <v>70000</v>
      </c>
      <c r="D2661" s="104" t="s">
        <v>1683</v>
      </c>
      <c r="E2661" s="115">
        <v>2625</v>
      </c>
      <c r="F2661" s="102">
        <v>8</v>
      </c>
      <c r="G2661" s="208">
        <v>7.4999999999999997E-2</v>
      </c>
      <c r="H2661" s="102">
        <v>15</v>
      </c>
      <c r="I2661" s="115">
        <f t="shared" si="129"/>
        <v>21000</v>
      </c>
      <c r="J2661" s="115">
        <f t="shared" si="130"/>
        <v>13999.999999999998</v>
      </c>
    </row>
    <row r="2662" spans="1:10" s="99" customFormat="1">
      <c r="A2662" s="111"/>
      <c r="B2662" s="111"/>
      <c r="C2662" s="115">
        <v>60000</v>
      </c>
      <c r="D2662" s="104" t="s">
        <v>2361</v>
      </c>
      <c r="E2662" s="115">
        <v>2250</v>
      </c>
      <c r="F2662" s="102">
        <v>6</v>
      </c>
      <c r="G2662" s="208">
        <v>7.4999999999999997E-2</v>
      </c>
      <c r="H2662" s="102">
        <v>15</v>
      </c>
      <c r="I2662" s="115">
        <f t="shared" si="129"/>
        <v>13500</v>
      </c>
      <c r="J2662" s="115">
        <f t="shared" si="130"/>
        <v>8999.9999999999982</v>
      </c>
    </row>
    <row r="2663" spans="1:10" s="99" customFormat="1">
      <c r="A2663" s="111"/>
      <c r="B2663" s="111"/>
      <c r="C2663" s="115">
        <v>30000</v>
      </c>
      <c r="D2663" s="104" t="s">
        <v>3101</v>
      </c>
      <c r="E2663" s="115">
        <v>1125</v>
      </c>
      <c r="F2663" s="102">
        <v>2</v>
      </c>
      <c r="G2663" s="208">
        <v>7.4999999999999997E-2</v>
      </c>
      <c r="H2663" s="102">
        <v>15</v>
      </c>
      <c r="I2663" s="115">
        <f t="shared" si="129"/>
        <v>2250</v>
      </c>
      <c r="J2663" s="115">
        <f t="shared" si="130"/>
        <v>1499.9999999999998</v>
      </c>
    </row>
    <row r="2664" spans="1:10" s="99" customFormat="1">
      <c r="A2664" s="111">
        <v>409</v>
      </c>
      <c r="B2664" s="111" t="s">
        <v>1762</v>
      </c>
      <c r="C2664" s="115">
        <v>20000</v>
      </c>
      <c r="D2664" s="104" t="s">
        <v>462</v>
      </c>
      <c r="E2664" s="115">
        <v>2300</v>
      </c>
      <c r="F2664" s="102">
        <v>4</v>
      </c>
      <c r="G2664" s="208">
        <v>0.06</v>
      </c>
      <c r="H2664" s="102" t="s">
        <v>664</v>
      </c>
      <c r="I2664" s="115">
        <f t="shared" si="129"/>
        <v>1200</v>
      </c>
      <c r="J2664" s="115">
        <f t="shared" si="130"/>
        <v>699.99999999999989</v>
      </c>
    </row>
    <row r="2665" spans="1:10" s="99" customFormat="1">
      <c r="A2665" s="111"/>
      <c r="B2665" s="111"/>
      <c r="C2665" s="115">
        <v>30000</v>
      </c>
      <c r="D2665" s="104" t="s">
        <v>462</v>
      </c>
      <c r="E2665" s="115">
        <v>1125</v>
      </c>
      <c r="F2665" s="102">
        <v>2</v>
      </c>
      <c r="G2665" s="208">
        <v>7.4999999999999997E-2</v>
      </c>
      <c r="H2665" s="102">
        <v>15</v>
      </c>
      <c r="I2665" s="115">
        <f t="shared" si="129"/>
        <v>2250</v>
      </c>
      <c r="J2665" s="115">
        <f t="shared" si="130"/>
        <v>1499.9999999999998</v>
      </c>
    </row>
    <row r="2666" spans="1:10" s="99" customFormat="1">
      <c r="A2666" s="111">
        <v>410</v>
      </c>
      <c r="B2666" s="111" t="s">
        <v>1763</v>
      </c>
      <c r="C2666" s="115">
        <v>10000</v>
      </c>
      <c r="D2666" s="104" t="s">
        <v>2334</v>
      </c>
      <c r="E2666" s="115">
        <v>375</v>
      </c>
      <c r="F2666" s="102">
        <v>4</v>
      </c>
      <c r="G2666" s="208">
        <v>7.4999999999999997E-2</v>
      </c>
      <c r="H2666" s="102">
        <v>15</v>
      </c>
      <c r="I2666" s="115">
        <f t="shared" si="129"/>
        <v>1500</v>
      </c>
      <c r="J2666" s="115">
        <f t="shared" si="130"/>
        <v>999.99999999999989</v>
      </c>
    </row>
    <row r="2667" spans="1:10" s="99" customFormat="1">
      <c r="A2667" s="111"/>
      <c r="B2667" s="111"/>
      <c r="C2667" s="115">
        <v>20000</v>
      </c>
      <c r="D2667" s="104" t="s">
        <v>2334</v>
      </c>
      <c r="E2667" s="115">
        <v>2300</v>
      </c>
      <c r="F2667" s="102">
        <v>9</v>
      </c>
      <c r="G2667" s="208">
        <v>0.06</v>
      </c>
      <c r="H2667" s="102" t="s">
        <v>664</v>
      </c>
      <c r="I2667" s="115">
        <f t="shared" si="129"/>
        <v>2700</v>
      </c>
      <c r="J2667" s="115">
        <f t="shared" si="130"/>
        <v>1574.9999999999998</v>
      </c>
    </row>
    <row r="2668" spans="1:10" s="99" customFormat="1">
      <c r="A2668" s="111"/>
      <c r="B2668" s="111"/>
      <c r="C2668" s="115">
        <v>20000</v>
      </c>
      <c r="D2668" s="104" t="s">
        <v>1387</v>
      </c>
      <c r="E2668" s="115">
        <v>2300</v>
      </c>
      <c r="F2668" s="102">
        <v>9</v>
      </c>
      <c r="G2668" s="208">
        <v>0.06</v>
      </c>
      <c r="H2668" s="102" t="s">
        <v>664</v>
      </c>
      <c r="I2668" s="115">
        <f t="shared" si="129"/>
        <v>2700</v>
      </c>
      <c r="J2668" s="115">
        <f t="shared" si="130"/>
        <v>1574.9999999999998</v>
      </c>
    </row>
    <row r="2669" spans="1:10" s="99" customFormat="1">
      <c r="A2669" s="111">
        <v>411</v>
      </c>
      <c r="B2669" s="111" t="s">
        <v>1764</v>
      </c>
      <c r="C2669" s="115">
        <v>20000</v>
      </c>
      <c r="D2669" s="104" t="s">
        <v>2334</v>
      </c>
      <c r="E2669" s="115">
        <v>750</v>
      </c>
      <c r="F2669" s="102">
        <v>2</v>
      </c>
      <c r="G2669" s="208">
        <v>7.4999999999999997E-2</v>
      </c>
      <c r="H2669" s="102">
        <v>15</v>
      </c>
      <c r="I2669" s="115">
        <f t="shared" si="129"/>
        <v>1500</v>
      </c>
      <c r="J2669" s="115">
        <f t="shared" si="130"/>
        <v>999.99999999999989</v>
      </c>
    </row>
    <row r="2670" spans="1:10" s="99" customFormat="1">
      <c r="A2670" s="111">
        <v>412</v>
      </c>
      <c r="B2670" s="111" t="s">
        <v>1765</v>
      </c>
      <c r="C2670" s="115">
        <v>20000</v>
      </c>
      <c r="D2670" s="104" t="s">
        <v>2334</v>
      </c>
      <c r="E2670" s="115">
        <v>750</v>
      </c>
      <c r="F2670" s="102">
        <v>2</v>
      </c>
      <c r="G2670" s="208">
        <v>7.4999999999999997E-2</v>
      </c>
      <c r="H2670" s="102">
        <v>15</v>
      </c>
      <c r="I2670" s="115">
        <f t="shared" si="129"/>
        <v>1500</v>
      </c>
      <c r="J2670" s="115">
        <f t="shared" si="130"/>
        <v>999.99999999999989</v>
      </c>
    </row>
    <row r="2671" spans="1:10" s="99" customFormat="1">
      <c r="A2671" s="111">
        <v>414</v>
      </c>
      <c r="B2671" s="111" t="s">
        <v>1766</v>
      </c>
      <c r="C2671" s="115">
        <v>10000</v>
      </c>
      <c r="D2671" s="104" t="s">
        <v>449</v>
      </c>
      <c r="E2671" s="115">
        <v>1150</v>
      </c>
      <c r="F2671" s="102">
        <v>10</v>
      </c>
      <c r="G2671" s="208">
        <v>0.06</v>
      </c>
      <c r="H2671" s="102" t="s">
        <v>664</v>
      </c>
      <c r="I2671" s="115">
        <f t="shared" si="129"/>
        <v>1500</v>
      </c>
      <c r="J2671" s="115">
        <f t="shared" si="130"/>
        <v>874.99999999999977</v>
      </c>
    </row>
    <row r="2672" spans="1:10" s="99" customFormat="1">
      <c r="A2672" s="111"/>
      <c r="B2672" s="111"/>
      <c r="C2672" s="115">
        <v>10000</v>
      </c>
      <c r="D2672" s="104" t="s">
        <v>1767</v>
      </c>
      <c r="E2672" s="115">
        <v>375</v>
      </c>
      <c r="F2672" s="102">
        <v>5</v>
      </c>
      <c r="G2672" s="208">
        <v>7.4999999999999997E-2</v>
      </c>
      <c r="H2672" s="102">
        <v>15</v>
      </c>
      <c r="I2672" s="115">
        <f t="shared" si="129"/>
        <v>1875</v>
      </c>
      <c r="J2672" s="115">
        <f t="shared" si="130"/>
        <v>1249.9999999999998</v>
      </c>
    </row>
    <row r="2673" spans="1:10" s="99" customFormat="1">
      <c r="A2673" s="111">
        <v>415</v>
      </c>
      <c r="B2673" s="111" t="s">
        <v>1768</v>
      </c>
      <c r="C2673" s="115">
        <v>20000</v>
      </c>
      <c r="D2673" s="104" t="s">
        <v>1976</v>
      </c>
      <c r="E2673" s="115">
        <v>2300</v>
      </c>
      <c r="F2673" s="102">
        <v>10</v>
      </c>
      <c r="G2673" s="208">
        <v>0.06</v>
      </c>
      <c r="H2673" s="102" t="s">
        <v>664</v>
      </c>
      <c r="I2673" s="115">
        <f t="shared" si="129"/>
        <v>3000</v>
      </c>
      <c r="J2673" s="115">
        <f t="shared" si="130"/>
        <v>1749.9999999999995</v>
      </c>
    </row>
    <row r="2674" spans="1:10" s="99" customFormat="1">
      <c r="A2674" s="111"/>
      <c r="B2674" s="111"/>
      <c r="C2674" s="115">
        <v>20000</v>
      </c>
      <c r="D2674" s="104" t="s">
        <v>994</v>
      </c>
      <c r="E2674" s="115">
        <v>2300</v>
      </c>
      <c r="F2674" s="102">
        <v>6</v>
      </c>
      <c r="G2674" s="208">
        <v>0.06</v>
      </c>
      <c r="H2674" s="102" t="s">
        <v>664</v>
      </c>
      <c r="I2674" s="115">
        <f t="shared" si="129"/>
        <v>1800</v>
      </c>
      <c r="J2674" s="115">
        <f t="shared" si="130"/>
        <v>1049.9999999999998</v>
      </c>
    </row>
    <row r="2675" spans="1:10" s="99" customFormat="1">
      <c r="A2675" s="111"/>
      <c r="B2675" s="111"/>
      <c r="C2675" s="115">
        <v>20000</v>
      </c>
      <c r="D2675" s="104" t="s">
        <v>230</v>
      </c>
      <c r="E2675" s="115">
        <v>2300</v>
      </c>
      <c r="F2675" s="102">
        <v>5</v>
      </c>
      <c r="G2675" s="208">
        <v>0.06</v>
      </c>
      <c r="H2675" s="133" t="s">
        <v>664</v>
      </c>
      <c r="I2675" s="115">
        <f t="shared" si="129"/>
        <v>1500</v>
      </c>
      <c r="J2675" s="115">
        <f t="shared" si="130"/>
        <v>874.99999999999977</v>
      </c>
    </row>
    <row r="2676" spans="1:10" s="99" customFormat="1">
      <c r="A2676" s="111">
        <v>416</v>
      </c>
      <c r="B2676" s="111" t="s">
        <v>1769</v>
      </c>
      <c r="C2676" s="115">
        <v>30000</v>
      </c>
      <c r="D2676" s="104" t="s">
        <v>1976</v>
      </c>
      <c r="E2676" s="115">
        <v>1125</v>
      </c>
      <c r="F2676" s="102">
        <v>1</v>
      </c>
      <c r="G2676" s="208">
        <v>7.4999999999999997E-2</v>
      </c>
      <c r="H2676" s="102">
        <v>15</v>
      </c>
      <c r="I2676" s="115">
        <f t="shared" si="129"/>
        <v>1125</v>
      </c>
      <c r="J2676" s="115">
        <f t="shared" si="130"/>
        <v>749.99999999999989</v>
      </c>
    </row>
    <row r="2677" spans="1:10" s="99" customFormat="1">
      <c r="A2677" s="111">
        <v>417</v>
      </c>
      <c r="B2677" s="111" t="s">
        <v>1770</v>
      </c>
      <c r="C2677" s="115">
        <v>10000</v>
      </c>
      <c r="D2677" s="104" t="s">
        <v>1702</v>
      </c>
      <c r="E2677" s="115">
        <v>1150</v>
      </c>
      <c r="F2677" s="102">
        <v>10</v>
      </c>
      <c r="G2677" s="208">
        <v>0.06</v>
      </c>
      <c r="H2677" s="102" t="s">
        <v>664</v>
      </c>
      <c r="I2677" s="115">
        <f t="shared" si="129"/>
        <v>1500</v>
      </c>
      <c r="J2677" s="115">
        <f t="shared" si="130"/>
        <v>874.99999999999977</v>
      </c>
    </row>
    <row r="2678" spans="1:10" s="99" customFormat="1">
      <c r="A2678" s="111"/>
      <c r="B2678" s="111"/>
      <c r="C2678" s="115">
        <v>20000</v>
      </c>
      <c r="D2678" s="104" t="s">
        <v>1702</v>
      </c>
      <c r="E2678" s="115">
        <v>750</v>
      </c>
      <c r="F2678" s="102">
        <v>7</v>
      </c>
      <c r="G2678" s="208">
        <v>7.4999999999999997E-2</v>
      </c>
      <c r="H2678" s="102">
        <v>15</v>
      </c>
      <c r="I2678" s="115">
        <f t="shared" si="129"/>
        <v>5250</v>
      </c>
      <c r="J2678" s="115">
        <f t="shared" si="130"/>
        <v>3499.9999999999995</v>
      </c>
    </row>
    <row r="2679" spans="1:10" s="99" customFormat="1">
      <c r="A2679" s="111"/>
      <c r="B2679" s="111"/>
      <c r="C2679" s="115">
        <v>10000</v>
      </c>
      <c r="D2679" s="104" t="s">
        <v>3145</v>
      </c>
      <c r="E2679" s="115">
        <v>1150</v>
      </c>
      <c r="F2679" s="102">
        <v>10</v>
      </c>
      <c r="G2679" s="208">
        <v>0.06</v>
      </c>
      <c r="H2679" s="102" t="s">
        <v>664</v>
      </c>
      <c r="I2679" s="115">
        <f t="shared" si="129"/>
        <v>1500</v>
      </c>
      <c r="J2679" s="115">
        <f t="shared" si="130"/>
        <v>874.99999999999977</v>
      </c>
    </row>
    <row r="2680" spans="1:10" s="99" customFormat="1">
      <c r="A2680" s="111"/>
      <c r="B2680" s="111"/>
      <c r="C2680" s="115">
        <v>10000</v>
      </c>
      <c r="D2680" s="104" t="s">
        <v>972</v>
      </c>
      <c r="E2680" s="115">
        <v>1150</v>
      </c>
      <c r="F2680" s="102">
        <v>5</v>
      </c>
      <c r="G2680" s="208">
        <v>0.06</v>
      </c>
      <c r="H2680" s="102" t="s">
        <v>664</v>
      </c>
      <c r="I2680" s="115">
        <f t="shared" si="129"/>
        <v>750</v>
      </c>
      <c r="J2680" s="115">
        <f t="shared" si="130"/>
        <v>437.49999999999989</v>
      </c>
    </row>
    <row r="2681" spans="1:10" s="99" customFormat="1">
      <c r="A2681" s="111">
        <v>418</v>
      </c>
      <c r="B2681" s="111" t="s">
        <v>1771</v>
      </c>
      <c r="C2681" s="115">
        <v>10000</v>
      </c>
      <c r="D2681" s="104" t="s">
        <v>418</v>
      </c>
      <c r="E2681" s="115">
        <v>1150</v>
      </c>
      <c r="F2681" s="102">
        <v>10</v>
      </c>
      <c r="G2681" s="208">
        <v>0.06</v>
      </c>
      <c r="H2681" s="102" t="s">
        <v>664</v>
      </c>
      <c r="I2681" s="115">
        <f t="shared" si="129"/>
        <v>1500</v>
      </c>
      <c r="J2681" s="115">
        <f t="shared" si="130"/>
        <v>874.99999999999977</v>
      </c>
    </row>
    <row r="2682" spans="1:10" s="99" customFormat="1">
      <c r="A2682" s="111"/>
      <c r="B2682" s="111"/>
      <c r="C2682" s="115">
        <v>10000</v>
      </c>
      <c r="D2682" s="104" t="s">
        <v>418</v>
      </c>
      <c r="E2682" s="115">
        <v>375</v>
      </c>
      <c r="F2682" s="102">
        <v>8</v>
      </c>
      <c r="G2682" s="208">
        <v>7.4999999999999997E-2</v>
      </c>
      <c r="H2682" s="102">
        <v>15</v>
      </c>
      <c r="I2682" s="115">
        <f t="shared" si="129"/>
        <v>3000</v>
      </c>
      <c r="J2682" s="115">
        <f t="shared" si="130"/>
        <v>1999.9999999999998</v>
      </c>
    </row>
    <row r="2683" spans="1:10" s="99" customFormat="1">
      <c r="A2683" s="111"/>
      <c r="B2683" s="111"/>
      <c r="C2683" s="115">
        <v>10000</v>
      </c>
      <c r="D2683" s="104" t="s">
        <v>3178</v>
      </c>
      <c r="E2683" s="115">
        <v>1150</v>
      </c>
      <c r="F2683" s="102">
        <v>8</v>
      </c>
      <c r="G2683" s="208">
        <v>0.06</v>
      </c>
      <c r="H2683" s="102" t="s">
        <v>664</v>
      </c>
      <c r="I2683" s="115">
        <f t="shared" si="129"/>
        <v>1200</v>
      </c>
      <c r="J2683" s="115">
        <f t="shared" si="130"/>
        <v>699.99999999999989</v>
      </c>
    </row>
    <row r="2684" spans="1:10" s="99" customFormat="1">
      <c r="A2684" s="111">
        <v>419</v>
      </c>
      <c r="B2684" s="111" t="s">
        <v>1772</v>
      </c>
      <c r="C2684" s="115">
        <v>10000</v>
      </c>
      <c r="D2684" s="104" t="s">
        <v>418</v>
      </c>
      <c r="E2684" s="115">
        <v>1150</v>
      </c>
      <c r="F2684" s="102">
        <v>10</v>
      </c>
      <c r="G2684" s="208">
        <v>0.06</v>
      </c>
      <c r="H2684" s="102" t="s">
        <v>664</v>
      </c>
      <c r="I2684" s="115">
        <f t="shared" si="129"/>
        <v>1500</v>
      </c>
      <c r="J2684" s="115">
        <f t="shared" si="130"/>
        <v>874.99999999999977</v>
      </c>
    </row>
    <row r="2685" spans="1:10" s="99" customFormat="1">
      <c r="A2685" s="111"/>
      <c r="B2685" s="111"/>
      <c r="C2685" s="115">
        <v>10000</v>
      </c>
      <c r="D2685" s="104" t="s">
        <v>418</v>
      </c>
      <c r="E2685" s="115">
        <v>375</v>
      </c>
      <c r="F2685" s="102">
        <v>7</v>
      </c>
      <c r="G2685" s="208">
        <v>7.4999999999999997E-2</v>
      </c>
      <c r="H2685" s="102">
        <v>15</v>
      </c>
      <c r="I2685" s="115">
        <f t="shared" si="129"/>
        <v>2625</v>
      </c>
      <c r="J2685" s="115">
        <f t="shared" si="130"/>
        <v>1749.9999999999998</v>
      </c>
    </row>
    <row r="2686" spans="1:10" s="99" customFormat="1">
      <c r="A2686" s="111"/>
      <c r="B2686" s="111"/>
      <c r="C2686" s="115">
        <v>10000</v>
      </c>
      <c r="D2686" s="104" t="s">
        <v>3178</v>
      </c>
      <c r="E2686" s="115">
        <v>1150</v>
      </c>
      <c r="F2686" s="102">
        <v>8</v>
      </c>
      <c r="G2686" s="208">
        <v>0.06</v>
      </c>
      <c r="H2686" s="102" t="s">
        <v>664</v>
      </c>
      <c r="I2686" s="115">
        <f t="shared" si="129"/>
        <v>1200</v>
      </c>
      <c r="J2686" s="115">
        <f t="shared" si="130"/>
        <v>699.99999999999989</v>
      </c>
    </row>
    <row r="2687" spans="1:10" s="99" customFormat="1">
      <c r="A2687" s="111"/>
      <c r="B2687" s="111"/>
      <c r="C2687" s="115">
        <v>20000</v>
      </c>
      <c r="D2687" s="129" t="s">
        <v>381</v>
      </c>
      <c r="E2687" s="115">
        <v>250</v>
      </c>
      <c r="F2687" s="102">
        <v>1</v>
      </c>
      <c r="G2687" s="208">
        <v>2.5000000000000001E-2</v>
      </c>
      <c r="H2687" s="102">
        <v>15</v>
      </c>
      <c r="I2687" s="115">
        <f t="shared" si="129"/>
        <v>250</v>
      </c>
      <c r="J2687" s="115">
        <f t="shared" si="130"/>
        <v>0</v>
      </c>
    </row>
    <row r="2688" spans="1:10" s="99" customFormat="1">
      <c r="A2688" s="111">
        <v>420</v>
      </c>
      <c r="B2688" s="132" t="s">
        <v>382</v>
      </c>
      <c r="C2688" s="115">
        <v>10000</v>
      </c>
      <c r="D2688" s="104" t="s">
        <v>1709</v>
      </c>
      <c r="E2688" s="115">
        <v>375</v>
      </c>
      <c r="F2688" s="102">
        <v>7</v>
      </c>
      <c r="G2688" s="208">
        <v>7.4999999999999997E-2</v>
      </c>
      <c r="H2688" s="102">
        <v>15</v>
      </c>
      <c r="I2688" s="115">
        <f t="shared" si="129"/>
        <v>2625</v>
      </c>
      <c r="J2688" s="115">
        <f t="shared" si="130"/>
        <v>1749.9999999999998</v>
      </c>
    </row>
    <row r="2689" spans="1:10" s="99" customFormat="1">
      <c r="A2689" s="111"/>
      <c r="B2689" s="111"/>
      <c r="C2689" s="115">
        <v>10000</v>
      </c>
      <c r="D2689" s="104" t="s">
        <v>419</v>
      </c>
      <c r="E2689" s="115">
        <v>375</v>
      </c>
      <c r="F2689" s="102">
        <v>6</v>
      </c>
      <c r="G2689" s="208">
        <v>7.4999999999999997E-2</v>
      </c>
      <c r="H2689" s="102">
        <v>15</v>
      </c>
      <c r="I2689" s="115">
        <f t="shared" si="129"/>
        <v>2250</v>
      </c>
      <c r="J2689" s="115">
        <f t="shared" si="130"/>
        <v>1499.9999999999998</v>
      </c>
    </row>
    <row r="2690" spans="1:10" s="99" customFormat="1">
      <c r="A2690" s="111"/>
      <c r="B2690" s="111"/>
      <c r="C2690" s="115">
        <v>10000</v>
      </c>
      <c r="D2690" s="104" t="s">
        <v>489</v>
      </c>
      <c r="E2690" s="115">
        <v>1150</v>
      </c>
      <c r="F2690" s="102">
        <v>6</v>
      </c>
      <c r="G2690" s="208">
        <v>0.06</v>
      </c>
      <c r="H2690" s="102" t="s">
        <v>664</v>
      </c>
      <c r="I2690" s="115">
        <f t="shared" si="129"/>
        <v>900</v>
      </c>
      <c r="J2690" s="115">
        <f t="shared" si="130"/>
        <v>524.99999999999989</v>
      </c>
    </row>
    <row r="2691" spans="1:10" s="99" customFormat="1">
      <c r="A2691" s="111"/>
      <c r="B2691" s="111"/>
      <c r="C2691" s="115">
        <v>20000</v>
      </c>
      <c r="D2691" s="104" t="s">
        <v>2532</v>
      </c>
      <c r="E2691" s="115">
        <v>750</v>
      </c>
      <c r="F2691" s="102">
        <v>2</v>
      </c>
      <c r="G2691" s="208">
        <v>7.4999999999999997E-2</v>
      </c>
      <c r="H2691" s="102">
        <v>15</v>
      </c>
      <c r="I2691" s="115">
        <f t="shared" si="129"/>
        <v>1500</v>
      </c>
      <c r="J2691" s="115">
        <f t="shared" si="130"/>
        <v>999.99999999999989</v>
      </c>
    </row>
    <row r="2692" spans="1:10" s="99" customFormat="1">
      <c r="A2692" s="111">
        <v>421</v>
      </c>
      <c r="B2692" s="111" t="s">
        <v>1773</v>
      </c>
      <c r="C2692" s="115">
        <v>30000</v>
      </c>
      <c r="D2692" s="104" t="s">
        <v>1709</v>
      </c>
      <c r="E2692" s="115">
        <v>1125</v>
      </c>
      <c r="F2692" s="102">
        <v>7</v>
      </c>
      <c r="G2692" s="208">
        <v>7.4999999999999997E-2</v>
      </c>
      <c r="H2692" s="102">
        <v>15</v>
      </c>
      <c r="I2692" s="115">
        <f t="shared" si="129"/>
        <v>7875</v>
      </c>
      <c r="J2692" s="115">
        <f t="shared" si="130"/>
        <v>5249.9999999999991</v>
      </c>
    </row>
    <row r="2693" spans="1:10" s="99" customFormat="1">
      <c r="A2693" s="111"/>
      <c r="B2693" s="111"/>
      <c r="C2693" s="115">
        <v>20000</v>
      </c>
      <c r="D2693" s="104" t="s">
        <v>3122</v>
      </c>
      <c r="E2693" s="115">
        <v>750</v>
      </c>
      <c r="F2693" s="102">
        <v>6</v>
      </c>
      <c r="G2693" s="208">
        <v>7.4999999999999997E-2</v>
      </c>
      <c r="H2693" s="102">
        <v>15</v>
      </c>
      <c r="I2693" s="115">
        <f t="shared" si="129"/>
        <v>4500</v>
      </c>
      <c r="J2693" s="115">
        <f t="shared" si="130"/>
        <v>2999.9999999999995</v>
      </c>
    </row>
    <row r="2694" spans="1:10" s="99" customFormat="1">
      <c r="A2694" s="111"/>
      <c r="B2694" s="111"/>
      <c r="C2694" s="115">
        <v>10000</v>
      </c>
      <c r="D2694" s="104" t="s">
        <v>3145</v>
      </c>
      <c r="E2694" s="115">
        <v>375</v>
      </c>
      <c r="F2694" s="102">
        <v>5</v>
      </c>
      <c r="G2694" s="208">
        <v>7.4999999999999997E-2</v>
      </c>
      <c r="H2694" s="102">
        <v>15</v>
      </c>
      <c r="I2694" s="115">
        <f t="shared" si="129"/>
        <v>1875</v>
      </c>
      <c r="J2694" s="115">
        <f t="shared" si="130"/>
        <v>1249.9999999999998</v>
      </c>
    </row>
    <row r="2695" spans="1:10" s="99" customFormat="1">
      <c r="A2695" s="111">
        <v>422</v>
      </c>
      <c r="B2695" s="111" t="s">
        <v>1774</v>
      </c>
      <c r="C2695" s="115">
        <v>20000</v>
      </c>
      <c r="D2695" s="104" t="s">
        <v>993</v>
      </c>
      <c r="E2695" s="115">
        <v>2300</v>
      </c>
      <c r="F2695" s="102">
        <v>10</v>
      </c>
      <c r="G2695" s="208">
        <v>0.06</v>
      </c>
      <c r="H2695" s="102" t="s">
        <v>664</v>
      </c>
      <c r="I2695" s="115">
        <f t="shared" si="129"/>
        <v>3000</v>
      </c>
      <c r="J2695" s="115">
        <f t="shared" si="130"/>
        <v>1749.9999999999995</v>
      </c>
    </row>
    <row r="2696" spans="1:10" s="99" customFormat="1">
      <c r="A2696" s="111">
        <v>423</v>
      </c>
      <c r="B2696" s="111" t="s">
        <v>1775</v>
      </c>
      <c r="C2696" s="115">
        <v>10000</v>
      </c>
      <c r="D2696" s="104" t="s">
        <v>2325</v>
      </c>
      <c r="E2696" s="115">
        <v>1150</v>
      </c>
      <c r="F2696" s="102">
        <v>10</v>
      </c>
      <c r="G2696" s="208">
        <v>0.06</v>
      </c>
      <c r="H2696" s="102" t="s">
        <v>664</v>
      </c>
      <c r="I2696" s="115">
        <f t="shared" si="129"/>
        <v>1500</v>
      </c>
      <c r="J2696" s="115">
        <f t="shared" si="130"/>
        <v>874.99999999999977</v>
      </c>
    </row>
    <row r="2697" spans="1:10" s="99" customFormat="1">
      <c r="A2697" s="111"/>
      <c r="B2697" s="111"/>
      <c r="C2697" s="115">
        <v>20000</v>
      </c>
      <c r="D2697" s="104" t="s">
        <v>3101</v>
      </c>
      <c r="E2697" s="115">
        <v>2300</v>
      </c>
      <c r="F2697" s="102">
        <v>6</v>
      </c>
      <c r="G2697" s="208">
        <v>0.06</v>
      </c>
      <c r="H2697" s="102" t="s">
        <v>664</v>
      </c>
      <c r="I2697" s="115">
        <f t="shared" si="129"/>
        <v>1800</v>
      </c>
      <c r="J2697" s="115">
        <f t="shared" si="130"/>
        <v>1049.9999999999998</v>
      </c>
    </row>
    <row r="2698" spans="1:10" s="99" customFormat="1">
      <c r="A2698" s="111">
        <v>424</v>
      </c>
      <c r="B2698" s="111" t="s">
        <v>1776</v>
      </c>
      <c r="C2698" s="115">
        <v>50000</v>
      </c>
      <c r="D2698" s="104" t="s">
        <v>1727</v>
      </c>
      <c r="E2698" s="115">
        <v>1875</v>
      </c>
      <c r="F2698" s="102">
        <v>1</v>
      </c>
      <c r="G2698" s="208">
        <v>7.4999999999999997E-2</v>
      </c>
      <c r="H2698" s="102">
        <v>15</v>
      </c>
      <c r="I2698" s="115">
        <f t="shared" si="129"/>
        <v>1875</v>
      </c>
      <c r="J2698" s="115">
        <f t="shared" si="130"/>
        <v>1250</v>
      </c>
    </row>
    <row r="2699" spans="1:10" s="99" customFormat="1">
      <c r="A2699" s="111"/>
      <c r="B2699" s="111"/>
      <c r="C2699" s="115">
        <v>10000</v>
      </c>
      <c r="D2699" s="104" t="s">
        <v>991</v>
      </c>
      <c r="E2699" s="115">
        <v>375</v>
      </c>
      <c r="F2699" s="102">
        <v>1</v>
      </c>
      <c r="G2699" s="208">
        <v>7.4999999999999997E-2</v>
      </c>
      <c r="H2699" s="102">
        <v>15</v>
      </c>
      <c r="I2699" s="115">
        <f t="shared" si="129"/>
        <v>375</v>
      </c>
      <c r="J2699" s="115">
        <f t="shared" si="130"/>
        <v>249.99999999999997</v>
      </c>
    </row>
    <row r="2700" spans="1:10" s="99" customFormat="1">
      <c r="A2700" s="111">
        <v>425</v>
      </c>
      <c r="B2700" s="111" t="s">
        <v>1777</v>
      </c>
      <c r="C2700" s="115">
        <v>30000</v>
      </c>
      <c r="D2700" s="104" t="s">
        <v>679</v>
      </c>
      <c r="E2700" s="115">
        <v>3450</v>
      </c>
      <c r="F2700" s="102">
        <v>10</v>
      </c>
      <c r="G2700" s="208">
        <v>0.06</v>
      </c>
      <c r="H2700" s="102" t="s">
        <v>664</v>
      </c>
      <c r="I2700" s="115">
        <f t="shared" si="129"/>
        <v>4500</v>
      </c>
      <c r="J2700" s="115">
        <f t="shared" si="130"/>
        <v>2625</v>
      </c>
    </row>
    <row r="2701" spans="1:10" s="99" customFormat="1">
      <c r="A2701" s="111"/>
      <c r="B2701" s="111"/>
      <c r="C2701" s="115">
        <v>30000</v>
      </c>
      <c r="D2701" s="104" t="s">
        <v>3101</v>
      </c>
      <c r="E2701" s="115">
        <v>3450</v>
      </c>
      <c r="F2701" s="102">
        <v>6</v>
      </c>
      <c r="G2701" s="208">
        <v>0.06</v>
      </c>
      <c r="H2701" s="102" t="s">
        <v>664</v>
      </c>
      <c r="I2701" s="115">
        <f t="shared" si="129"/>
        <v>2700</v>
      </c>
      <c r="J2701" s="115">
        <f t="shared" si="130"/>
        <v>1575</v>
      </c>
    </row>
    <row r="2702" spans="1:10" s="99" customFormat="1">
      <c r="A2702" s="111">
        <v>426</v>
      </c>
      <c r="B2702" s="111" t="s">
        <v>1778</v>
      </c>
      <c r="C2702" s="115">
        <v>50000</v>
      </c>
      <c r="D2702" s="104" t="s">
        <v>2328</v>
      </c>
      <c r="E2702" s="115">
        <v>1875</v>
      </c>
      <c r="F2702" s="102">
        <v>6</v>
      </c>
      <c r="G2702" s="208">
        <v>7.4999999999999997E-2</v>
      </c>
      <c r="H2702" s="102">
        <v>15</v>
      </c>
      <c r="I2702" s="115">
        <f t="shared" ref="I2702:I2749" si="131">IF(H2702="分期",C2702*G2702*2.5*F2702/10,C2702*G2702*H2702/30*F2702)</f>
        <v>11250</v>
      </c>
      <c r="J2702" s="115">
        <f t="shared" ref="J2702:J2749" si="132">IF(H2702="分期",C2702*(G2702-0.025)*2.5*F2702/10,C2702*(G2702-0.025)*H2702/30*F2702)</f>
        <v>7500</v>
      </c>
    </row>
    <row r="2703" spans="1:10" s="99" customFormat="1">
      <c r="A2703" s="111">
        <v>427</v>
      </c>
      <c r="B2703" s="111" t="s">
        <v>1779</v>
      </c>
      <c r="C2703" s="115">
        <v>30000</v>
      </c>
      <c r="D2703" s="104" t="s">
        <v>1513</v>
      </c>
      <c r="E2703" s="115">
        <v>2250</v>
      </c>
      <c r="F2703" s="102">
        <v>3</v>
      </c>
      <c r="G2703" s="208">
        <v>7.4999999999999997E-2</v>
      </c>
      <c r="H2703" s="102">
        <v>15</v>
      </c>
      <c r="I2703" s="115">
        <f t="shared" si="131"/>
        <v>3375</v>
      </c>
      <c r="J2703" s="115">
        <f t="shared" si="132"/>
        <v>2249.9999999999995</v>
      </c>
    </row>
    <row r="2704" spans="1:10" s="99" customFormat="1">
      <c r="A2704" s="111">
        <v>428</v>
      </c>
      <c r="B2704" s="111" t="s">
        <v>1780</v>
      </c>
      <c r="C2704" s="115">
        <v>210000</v>
      </c>
      <c r="D2704" s="129" t="s">
        <v>383</v>
      </c>
      <c r="E2704" s="115">
        <v>7875</v>
      </c>
      <c r="F2704" s="102">
        <v>3</v>
      </c>
      <c r="G2704" s="208">
        <v>7.4999999999999997E-2</v>
      </c>
      <c r="H2704" s="102">
        <v>15</v>
      </c>
      <c r="I2704" s="115">
        <f t="shared" si="131"/>
        <v>23625</v>
      </c>
      <c r="J2704" s="115">
        <f t="shared" si="132"/>
        <v>15750</v>
      </c>
    </row>
    <row r="2705" spans="1:10" s="99" customFormat="1">
      <c r="A2705" s="111"/>
      <c r="B2705" s="111"/>
      <c r="C2705" s="115">
        <v>200000</v>
      </c>
      <c r="D2705" s="129" t="s">
        <v>383</v>
      </c>
      <c r="E2705" s="115">
        <v>7500</v>
      </c>
      <c r="F2705" s="102">
        <v>2</v>
      </c>
      <c r="G2705" s="208">
        <v>7.4999999999999997E-2</v>
      </c>
      <c r="H2705" s="102">
        <v>15</v>
      </c>
      <c r="I2705" s="115">
        <f t="shared" si="131"/>
        <v>15000</v>
      </c>
      <c r="J2705" s="115">
        <f t="shared" si="132"/>
        <v>10000</v>
      </c>
    </row>
    <row r="2706" spans="1:10" s="99" customFormat="1">
      <c r="A2706" s="111"/>
      <c r="B2706" s="111"/>
      <c r="C2706" s="115">
        <v>20000</v>
      </c>
      <c r="D2706" s="104" t="s">
        <v>994</v>
      </c>
      <c r="E2706" s="115">
        <v>750</v>
      </c>
      <c r="F2706" s="102">
        <v>5</v>
      </c>
      <c r="G2706" s="208">
        <v>7.4999999999999997E-2</v>
      </c>
      <c r="H2706" s="102">
        <v>15</v>
      </c>
      <c r="I2706" s="115">
        <f t="shared" si="131"/>
        <v>3750</v>
      </c>
      <c r="J2706" s="115">
        <f t="shared" si="132"/>
        <v>2499.9999999999995</v>
      </c>
    </row>
    <row r="2707" spans="1:10" s="99" customFormat="1">
      <c r="A2707" s="111"/>
      <c r="B2707" s="111"/>
      <c r="C2707" s="115">
        <v>10000</v>
      </c>
      <c r="D2707" s="104" t="s">
        <v>3125</v>
      </c>
      <c r="E2707" s="115">
        <v>375</v>
      </c>
      <c r="F2707" s="102">
        <v>3</v>
      </c>
      <c r="G2707" s="208">
        <v>7.4999999999999997E-2</v>
      </c>
      <c r="H2707" s="102">
        <v>15</v>
      </c>
      <c r="I2707" s="115">
        <f t="shared" si="131"/>
        <v>1125</v>
      </c>
      <c r="J2707" s="115">
        <f t="shared" si="132"/>
        <v>749.99999999999989</v>
      </c>
    </row>
    <row r="2708" spans="1:10" s="99" customFormat="1">
      <c r="A2708" s="111"/>
      <c r="B2708" s="111"/>
      <c r="C2708" s="115">
        <v>10000</v>
      </c>
      <c r="D2708" s="104" t="s">
        <v>663</v>
      </c>
      <c r="E2708" s="115">
        <v>1150</v>
      </c>
      <c r="F2708" s="102">
        <v>5</v>
      </c>
      <c r="G2708" s="208">
        <v>0.06</v>
      </c>
      <c r="H2708" s="102" t="s">
        <v>664</v>
      </c>
      <c r="I2708" s="115">
        <f t="shared" si="131"/>
        <v>750</v>
      </c>
      <c r="J2708" s="115">
        <f t="shared" si="132"/>
        <v>437.49999999999989</v>
      </c>
    </row>
    <row r="2709" spans="1:10" s="99" customFormat="1">
      <c r="A2709" s="111">
        <v>429</v>
      </c>
      <c r="B2709" s="111" t="s">
        <v>1782</v>
      </c>
      <c r="C2709" s="115">
        <v>20000</v>
      </c>
      <c r="D2709" s="104" t="s">
        <v>1781</v>
      </c>
      <c r="E2709" s="115">
        <v>2300</v>
      </c>
      <c r="F2709" s="102">
        <v>10</v>
      </c>
      <c r="G2709" s="208">
        <v>0.06</v>
      </c>
      <c r="H2709" s="102" t="s">
        <v>664</v>
      </c>
      <c r="I2709" s="115">
        <f t="shared" si="131"/>
        <v>3000</v>
      </c>
      <c r="J2709" s="115">
        <f t="shared" si="132"/>
        <v>1749.9999999999995</v>
      </c>
    </row>
    <row r="2710" spans="1:10" s="99" customFormat="1">
      <c r="A2710" s="111"/>
      <c r="B2710" s="111"/>
      <c r="C2710" s="115">
        <v>10000</v>
      </c>
      <c r="D2710" s="104" t="s">
        <v>1781</v>
      </c>
      <c r="E2710" s="115">
        <v>375</v>
      </c>
      <c r="F2710" s="102">
        <v>5</v>
      </c>
      <c r="G2710" s="208">
        <v>7.4999999999999997E-2</v>
      </c>
      <c r="H2710" s="102">
        <v>15</v>
      </c>
      <c r="I2710" s="115">
        <f t="shared" si="131"/>
        <v>1875</v>
      </c>
      <c r="J2710" s="115">
        <f t="shared" si="132"/>
        <v>1249.9999999999998</v>
      </c>
    </row>
    <row r="2711" spans="1:10" s="99" customFormat="1">
      <c r="A2711" s="111"/>
      <c r="B2711" s="111"/>
      <c r="C2711" s="115">
        <v>20000</v>
      </c>
      <c r="D2711" s="104" t="s">
        <v>577</v>
      </c>
      <c r="E2711" s="115">
        <v>2300</v>
      </c>
      <c r="F2711" s="102">
        <v>8</v>
      </c>
      <c r="G2711" s="208">
        <v>0.06</v>
      </c>
      <c r="H2711" s="102" t="s">
        <v>664</v>
      </c>
      <c r="I2711" s="115">
        <f t="shared" si="131"/>
        <v>2400</v>
      </c>
      <c r="J2711" s="115">
        <f t="shared" si="132"/>
        <v>1399.9999999999998</v>
      </c>
    </row>
    <row r="2712" spans="1:10" s="99" customFormat="1">
      <c r="A2712" s="111"/>
      <c r="B2712" s="111"/>
      <c r="C2712" s="115">
        <v>20000</v>
      </c>
      <c r="D2712" s="104" t="s">
        <v>663</v>
      </c>
      <c r="E2712" s="115">
        <v>750</v>
      </c>
      <c r="F2712" s="102">
        <v>1</v>
      </c>
      <c r="G2712" s="208">
        <v>7.4999999999999997E-2</v>
      </c>
      <c r="H2712" s="102">
        <v>15</v>
      </c>
      <c r="I2712" s="115">
        <f t="shared" si="131"/>
        <v>750</v>
      </c>
      <c r="J2712" s="115">
        <f t="shared" si="132"/>
        <v>499.99999999999994</v>
      </c>
    </row>
    <row r="2713" spans="1:10" s="99" customFormat="1">
      <c r="A2713" s="111">
        <v>430</v>
      </c>
      <c r="B2713" s="111" t="s">
        <v>1783</v>
      </c>
      <c r="C2713" s="115">
        <v>10000</v>
      </c>
      <c r="D2713" s="104" t="s">
        <v>3161</v>
      </c>
      <c r="E2713" s="115">
        <v>375</v>
      </c>
      <c r="F2713" s="102">
        <v>5</v>
      </c>
      <c r="G2713" s="208">
        <v>7.4999999999999997E-2</v>
      </c>
      <c r="H2713" s="102">
        <v>15</v>
      </c>
      <c r="I2713" s="115">
        <f t="shared" si="131"/>
        <v>1875</v>
      </c>
      <c r="J2713" s="115">
        <f t="shared" si="132"/>
        <v>1249.9999999999998</v>
      </c>
    </row>
    <row r="2714" spans="1:10" s="99" customFormat="1">
      <c r="A2714" s="111"/>
      <c r="B2714" s="111"/>
      <c r="C2714" s="115">
        <v>20000</v>
      </c>
      <c r="D2714" s="104" t="s">
        <v>3161</v>
      </c>
      <c r="E2714" s="115">
        <v>2300</v>
      </c>
      <c r="F2714" s="102">
        <v>10</v>
      </c>
      <c r="G2714" s="208">
        <v>0.06</v>
      </c>
      <c r="H2714" s="102" t="s">
        <v>664</v>
      </c>
      <c r="I2714" s="115">
        <f t="shared" si="131"/>
        <v>3000</v>
      </c>
      <c r="J2714" s="115">
        <f t="shared" si="132"/>
        <v>1749.9999999999995</v>
      </c>
    </row>
    <row r="2715" spans="1:10" s="99" customFormat="1">
      <c r="A2715" s="111"/>
      <c r="B2715" s="111"/>
      <c r="C2715" s="115">
        <v>20000</v>
      </c>
      <c r="D2715" s="104" t="s">
        <v>2532</v>
      </c>
      <c r="E2715" s="115">
        <v>2300</v>
      </c>
      <c r="F2715" s="102">
        <v>3</v>
      </c>
      <c r="G2715" s="208">
        <v>0.06</v>
      </c>
      <c r="H2715" s="102" t="s">
        <v>664</v>
      </c>
      <c r="I2715" s="115">
        <f t="shared" si="131"/>
        <v>900</v>
      </c>
      <c r="J2715" s="115">
        <f t="shared" si="132"/>
        <v>524.99999999999989</v>
      </c>
    </row>
    <row r="2716" spans="1:10" s="99" customFormat="1">
      <c r="A2716" s="111">
        <v>431</v>
      </c>
      <c r="B2716" s="111" t="s">
        <v>1784</v>
      </c>
      <c r="C2716" s="115">
        <v>50000</v>
      </c>
      <c r="D2716" s="104" t="s">
        <v>3161</v>
      </c>
      <c r="E2716" s="115">
        <v>1875</v>
      </c>
      <c r="F2716" s="102">
        <v>1</v>
      </c>
      <c r="G2716" s="208">
        <v>7.4999999999999997E-2</v>
      </c>
      <c r="H2716" s="102">
        <v>15</v>
      </c>
      <c r="I2716" s="115">
        <f t="shared" si="131"/>
        <v>1875</v>
      </c>
      <c r="J2716" s="115">
        <f t="shared" si="132"/>
        <v>1250</v>
      </c>
    </row>
    <row r="2717" spans="1:10" s="99" customFormat="1">
      <c r="A2717" s="111">
        <v>432</v>
      </c>
      <c r="B2717" s="111" t="s">
        <v>1785</v>
      </c>
      <c r="C2717" s="115">
        <v>100000</v>
      </c>
      <c r="D2717" s="104" t="s">
        <v>3110</v>
      </c>
      <c r="E2717" s="115">
        <v>3750</v>
      </c>
      <c r="F2717" s="102">
        <v>4</v>
      </c>
      <c r="G2717" s="208">
        <v>7.4999999999999997E-2</v>
      </c>
      <c r="H2717" s="102">
        <v>15</v>
      </c>
      <c r="I2717" s="115">
        <f t="shared" si="131"/>
        <v>15000</v>
      </c>
      <c r="J2717" s="115">
        <f t="shared" si="132"/>
        <v>10000</v>
      </c>
    </row>
    <row r="2718" spans="1:10" s="99" customFormat="1">
      <c r="A2718" s="111"/>
      <c r="B2718" s="111"/>
      <c r="C2718" s="115">
        <v>100000</v>
      </c>
      <c r="D2718" s="104" t="s">
        <v>1786</v>
      </c>
      <c r="E2718" s="115">
        <v>3000</v>
      </c>
      <c r="F2718" s="102">
        <v>2</v>
      </c>
      <c r="G2718" s="208">
        <v>0.03</v>
      </c>
      <c r="H2718" s="102">
        <v>30</v>
      </c>
      <c r="I2718" s="115">
        <f t="shared" si="131"/>
        <v>6000</v>
      </c>
      <c r="J2718" s="115">
        <f t="shared" si="132"/>
        <v>999.99999999999955</v>
      </c>
    </row>
    <row r="2719" spans="1:10" s="99" customFormat="1">
      <c r="A2719" s="111">
        <v>433</v>
      </c>
      <c r="B2719" s="111" t="s">
        <v>1787</v>
      </c>
      <c r="C2719" s="115">
        <v>250000</v>
      </c>
      <c r="D2719" s="104" t="s">
        <v>1786</v>
      </c>
      <c r="E2719" s="115">
        <v>9375</v>
      </c>
      <c r="F2719" s="102">
        <v>1</v>
      </c>
      <c r="G2719" s="208">
        <v>7.4999999999999997E-2</v>
      </c>
      <c r="H2719" s="102">
        <v>15</v>
      </c>
      <c r="I2719" s="115">
        <f t="shared" si="131"/>
        <v>9375</v>
      </c>
      <c r="J2719" s="115">
        <f t="shared" si="132"/>
        <v>6249.9999999999991</v>
      </c>
    </row>
    <row r="2720" spans="1:10" s="99" customFormat="1">
      <c r="A2720" s="111">
        <v>434</v>
      </c>
      <c r="B2720" s="111" t="s">
        <v>1788</v>
      </c>
      <c r="C2720" s="115">
        <v>20000</v>
      </c>
      <c r="D2720" s="104" t="s">
        <v>1786</v>
      </c>
      <c r="E2720" s="115">
        <v>2300</v>
      </c>
      <c r="F2720" s="102">
        <v>10</v>
      </c>
      <c r="G2720" s="208">
        <v>0.06</v>
      </c>
      <c r="H2720" s="102" t="s">
        <v>664</v>
      </c>
      <c r="I2720" s="115">
        <f t="shared" si="131"/>
        <v>3000</v>
      </c>
      <c r="J2720" s="115">
        <f t="shared" si="132"/>
        <v>1749.9999999999995</v>
      </c>
    </row>
    <row r="2721" spans="1:10" s="99" customFormat="1">
      <c r="A2721" s="111"/>
      <c r="B2721" s="111"/>
      <c r="C2721" s="115">
        <v>30000</v>
      </c>
      <c r="D2721" s="104" t="s">
        <v>1786</v>
      </c>
      <c r="E2721" s="115">
        <v>1125</v>
      </c>
      <c r="F2721" s="102">
        <v>5</v>
      </c>
      <c r="G2721" s="208">
        <v>7.4999999999999997E-2</v>
      </c>
      <c r="H2721" s="102">
        <v>15</v>
      </c>
      <c r="I2721" s="115">
        <f t="shared" si="131"/>
        <v>5625</v>
      </c>
      <c r="J2721" s="115">
        <f t="shared" si="132"/>
        <v>3749.9999999999995</v>
      </c>
    </row>
    <row r="2722" spans="1:10" s="99" customFormat="1">
      <c r="A2722" s="111">
        <v>435</v>
      </c>
      <c r="B2722" s="111" t="s">
        <v>1789</v>
      </c>
      <c r="C2722" s="115">
        <v>20000</v>
      </c>
      <c r="D2722" s="104" t="s">
        <v>1717</v>
      </c>
      <c r="E2722" s="115">
        <v>750</v>
      </c>
      <c r="F2722" s="102">
        <v>5</v>
      </c>
      <c r="G2722" s="208">
        <v>7.4999999999999997E-2</v>
      </c>
      <c r="H2722" s="102">
        <v>15</v>
      </c>
      <c r="I2722" s="115">
        <f t="shared" si="131"/>
        <v>3750</v>
      </c>
      <c r="J2722" s="115">
        <f t="shared" si="132"/>
        <v>2499.9999999999995</v>
      </c>
    </row>
    <row r="2723" spans="1:10" s="99" customFormat="1">
      <c r="A2723" s="111">
        <v>436</v>
      </c>
      <c r="B2723" s="111" t="s">
        <v>1790</v>
      </c>
      <c r="C2723" s="115">
        <v>20000</v>
      </c>
      <c r="D2723" s="104" t="s">
        <v>1717</v>
      </c>
      <c r="E2723" s="115">
        <v>750</v>
      </c>
      <c r="F2723" s="102">
        <v>6</v>
      </c>
      <c r="G2723" s="208">
        <v>7.4999999999999997E-2</v>
      </c>
      <c r="H2723" s="102">
        <v>15</v>
      </c>
      <c r="I2723" s="115">
        <f t="shared" si="131"/>
        <v>4500</v>
      </c>
      <c r="J2723" s="115">
        <f t="shared" si="132"/>
        <v>2999.9999999999995</v>
      </c>
    </row>
    <row r="2724" spans="1:10" s="99" customFormat="1">
      <c r="A2724" s="111">
        <v>437</v>
      </c>
      <c r="B2724" s="111" t="s">
        <v>1791</v>
      </c>
      <c r="C2724" s="115">
        <v>30000</v>
      </c>
      <c r="D2724" s="104" t="s">
        <v>991</v>
      </c>
      <c r="E2724" s="115">
        <v>1125</v>
      </c>
      <c r="F2724" s="102">
        <v>5</v>
      </c>
      <c r="G2724" s="208">
        <v>7.4999999999999997E-2</v>
      </c>
      <c r="H2724" s="102">
        <v>15</v>
      </c>
      <c r="I2724" s="115">
        <f t="shared" si="131"/>
        <v>5625</v>
      </c>
      <c r="J2724" s="115">
        <f t="shared" si="132"/>
        <v>3749.9999999999995</v>
      </c>
    </row>
    <row r="2725" spans="1:10" s="99" customFormat="1">
      <c r="A2725" s="111"/>
      <c r="B2725" s="111"/>
      <c r="C2725" s="115">
        <v>20000</v>
      </c>
      <c r="D2725" s="104" t="s">
        <v>230</v>
      </c>
      <c r="E2725" s="115">
        <v>750</v>
      </c>
      <c r="F2725" s="102">
        <v>2</v>
      </c>
      <c r="G2725" s="208">
        <v>7.4999999999999997E-2</v>
      </c>
      <c r="H2725" s="102">
        <v>15</v>
      </c>
      <c r="I2725" s="115">
        <f t="shared" si="131"/>
        <v>1500</v>
      </c>
      <c r="J2725" s="115">
        <f t="shared" si="132"/>
        <v>999.99999999999989</v>
      </c>
    </row>
    <row r="2726" spans="1:10" s="99" customFormat="1">
      <c r="A2726" s="111"/>
      <c r="B2726" s="111"/>
      <c r="C2726" s="115">
        <v>10000</v>
      </c>
      <c r="D2726" s="104" t="s">
        <v>230</v>
      </c>
      <c r="E2726" s="115">
        <v>1150</v>
      </c>
      <c r="F2726" s="102">
        <v>6</v>
      </c>
      <c r="G2726" s="208">
        <v>0.06</v>
      </c>
      <c r="H2726" s="102" t="s">
        <v>664</v>
      </c>
      <c r="I2726" s="115">
        <f t="shared" si="131"/>
        <v>900</v>
      </c>
      <c r="J2726" s="115">
        <f t="shared" si="132"/>
        <v>524.99999999999989</v>
      </c>
    </row>
    <row r="2727" spans="1:10" s="99" customFormat="1">
      <c r="A2727" s="111"/>
      <c r="B2727" s="111"/>
      <c r="C2727" s="115">
        <v>20000</v>
      </c>
      <c r="D2727" s="129" t="s">
        <v>384</v>
      </c>
      <c r="E2727" s="115">
        <v>250</v>
      </c>
      <c r="F2727" s="102">
        <v>1</v>
      </c>
      <c r="G2727" s="208">
        <v>2.5000000000000001E-2</v>
      </c>
      <c r="H2727" s="102">
        <v>15</v>
      </c>
      <c r="I2727" s="115">
        <f t="shared" si="131"/>
        <v>250</v>
      </c>
      <c r="J2727" s="115">
        <f t="shared" si="132"/>
        <v>0</v>
      </c>
    </row>
    <row r="2728" spans="1:10" s="99" customFormat="1">
      <c r="A2728" s="111">
        <v>438</v>
      </c>
      <c r="B2728" s="111" t="s">
        <v>1793</v>
      </c>
      <c r="C2728" s="115">
        <v>150000</v>
      </c>
      <c r="D2728" s="104" t="s">
        <v>3417</v>
      </c>
      <c r="E2728" s="115">
        <v>5625</v>
      </c>
      <c r="F2728" s="102">
        <v>2</v>
      </c>
      <c r="G2728" s="208">
        <v>7.4999999999999997E-2</v>
      </c>
      <c r="H2728" s="102">
        <v>15</v>
      </c>
      <c r="I2728" s="115">
        <f t="shared" si="131"/>
        <v>11250</v>
      </c>
      <c r="J2728" s="115">
        <f t="shared" si="132"/>
        <v>7499.9999999999991</v>
      </c>
    </row>
    <row r="2729" spans="1:10" s="99" customFormat="1">
      <c r="A2729" s="111"/>
      <c r="B2729" s="111"/>
      <c r="C2729" s="115">
        <v>3000</v>
      </c>
      <c r="D2729" s="104" t="s">
        <v>1794</v>
      </c>
      <c r="E2729" s="115">
        <v>115</v>
      </c>
      <c r="F2729" s="102">
        <v>4</v>
      </c>
      <c r="G2729" s="208">
        <v>7.5999999999999998E-2</v>
      </c>
      <c r="H2729" s="102">
        <v>15</v>
      </c>
      <c r="I2729" s="115">
        <f t="shared" si="131"/>
        <v>456</v>
      </c>
      <c r="J2729" s="115">
        <f t="shared" si="132"/>
        <v>306</v>
      </c>
    </row>
    <row r="2730" spans="1:10" s="99" customFormat="1">
      <c r="A2730" s="111"/>
      <c r="B2730" s="111"/>
      <c r="C2730" s="115">
        <v>20000</v>
      </c>
      <c r="D2730" s="104" t="s">
        <v>1960</v>
      </c>
      <c r="E2730" s="115">
        <v>750</v>
      </c>
      <c r="F2730" s="102">
        <v>3</v>
      </c>
      <c r="G2730" s="208">
        <v>7.4999999999999997E-2</v>
      </c>
      <c r="H2730" s="102">
        <v>15</v>
      </c>
      <c r="I2730" s="115">
        <f t="shared" si="131"/>
        <v>2250</v>
      </c>
      <c r="J2730" s="115">
        <f t="shared" si="132"/>
        <v>1499.9999999999998</v>
      </c>
    </row>
    <row r="2731" spans="1:10" s="99" customFormat="1">
      <c r="A2731" s="111">
        <v>439</v>
      </c>
      <c r="B2731" s="111" t="s">
        <v>1795</v>
      </c>
      <c r="C2731" s="115">
        <v>30000</v>
      </c>
      <c r="D2731" s="104" t="s">
        <v>3417</v>
      </c>
      <c r="E2731" s="115">
        <v>3450</v>
      </c>
      <c r="F2731" s="102">
        <v>10</v>
      </c>
      <c r="G2731" s="208">
        <v>0.06</v>
      </c>
      <c r="H2731" s="102" t="s">
        <v>664</v>
      </c>
      <c r="I2731" s="115">
        <f t="shared" si="131"/>
        <v>4500</v>
      </c>
      <c r="J2731" s="115">
        <f t="shared" si="132"/>
        <v>2625</v>
      </c>
    </row>
    <row r="2732" spans="1:10" s="99" customFormat="1">
      <c r="A2732" s="111">
        <v>440</v>
      </c>
      <c r="B2732" s="111" t="s">
        <v>1796</v>
      </c>
      <c r="C2732" s="115">
        <v>20000</v>
      </c>
      <c r="D2732" s="104" t="s">
        <v>423</v>
      </c>
      <c r="E2732" s="115">
        <v>750</v>
      </c>
      <c r="F2732" s="102">
        <v>4</v>
      </c>
      <c r="G2732" s="208">
        <v>7.4999999999999997E-2</v>
      </c>
      <c r="H2732" s="102">
        <v>15</v>
      </c>
      <c r="I2732" s="115">
        <f t="shared" si="131"/>
        <v>3000</v>
      </c>
      <c r="J2732" s="115">
        <f t="shared" si="132"/>
        <v>1999.9999999999998</v>
      </c>
    </row>
    <row r="2733" spans="1:10" s="99" customFormat="1">
      <c r="A2733" s="111">
        <v>442</v>
      </c>
      <c r="B2733" s="111" t="s">
        <v>1797</v>
      </c>
      <c r="C2733" s="115">
        <v>10000</v>
      </c>
      <c r="D2733" s="104" t="s">
        <v>1987</v>
      </c>
      <c r="E2733" s="115">
        <v>375</v>
      </c>
      <c r="F2733" s="102">
        <v>4</v>
      </c>
      <c r="G2733" s="208">
        <v>7.4999999999999997E-2</v>
      </c>
      <c r="H2733" s="102">
        <v>15</v>
      </c>
      <c r="I2733" s="115">
        <f t="shared" si="131"/>
        <v>1500</v>
      </c>
      <c r="J2733" s="115">
        <f t="shared" si="132"/>
        <v>999.99999999999989</v>
      </c>
    </row>
    <row r="2734" spans="1:10" s="99" customFormat="1">
      <c r="A2734" s="111"/>
      <c r="B2734" s="111"/>
      <c r="C2734" s="115">
        <v>10000</v>
      </c>
      <c r="D2734" s="104" t="s">
        <v>1987</v>
      </c>
      <c r="E2734" s="115">
        <v>1150</v>
      </c>
      <c r="F2734" s="102">
        <v>8</v>
      </c>
      <c r="G2734" s="208">
        <v>0.06</v>
      </c>
      <c r="H2734" s="102" t="s">
        <v>664</v>
      </c>
      <c r="I2734" s="115">
        <f t="shared" si="131"/>
        <v>1200</v>
      </c>
      <c r="J2734" s="115">
        <f t="shared" si="132"/>
        <v>699.99999999999989</v>
      </c>
    </row>
    <row r="2735" spans="1:10" s="99" customFormat="1">
      <c r="A2735" s="111"/>
      <c r="B2735" s="111"/>
      <c r="C2735" s="115">
        <v>20000</v>
      </c>
      <c r="D2735" s="104" t="s">
        <v>3101</v>
      </c>
      <c r="E2735" s="115">
        <v>750</v>
      </c>
      <c r="F2735" s="102">
        <v>2</v>
      </c>
      <c r="G2735" s="208">
        <v>7.4999999999999997E-2</v>
      </c>
      <c r="H2735" s="102">
        <v>15</v>
      </c>
      <c r="I2735" s="115">
        <f t="shared" si="131"/>
        <v>1500</v>
      </c>
      <c r="J2735" s="115">
        <f t="shared" si="132"/>
        <v>999.99999999999989</v>
      </c>
    </row>
    <row r="2736" spans="1:10" s="99" customFormat="1">
      <c r="A2736" s="111">
        <v>443</v>
      </c>
      <c r="B2736" s="111" t="s">
        <v>1798</v>
      </c>
      <c r="C2736" s="115">
        <v>40000</v>
      </c>
      <c r="D2736" s="104" t="s">
        <v>1715</v>
      </c>
      <c r="E2736" s="115">
        <v>4600</v>
      </c>
      <c r="F2736" s="102">
        <v>9</v>
      </c>
      <c r="G2736" s="208">
        <v>0.06</v>
      </c>
      <c r="H2736" s="102" t="s">
        <v>664</v>
      </c>
      <c r="I2736" s="115">
        <f t="shared" si="131"/>
        <v>5400</v>
      </c>
      <c r="J2736" s="115">
        <f t="shared" si="132"/>
        <v>3149.9999999999995</v>
      </c>
    </row>
    <row r="2737" spans="1:12" s="99" customFormat="1">
      <c r="A2737" s="111"/>
      <c r="B2737" s="111"/>
      <c r="C2737" s="115">
        <v>30000</v>
      </c>
      <c r="D2737" s="104" t="s">
        <v>1700</v>
      </c>
      <c r="E2737" s="115">
        <v>1125</v>
      </c>
      <c r="F2737" s="102">
        <v>2</v>
      </c>
      <c r="G2737" s="208">
        <v>7.4999999999999997E-2</v>
      </c>
      <c r="H2737" s="102">
        <v>15</v>
      </c>
      <c r="I2737" s="115">
        <f t="shared" si="131"/>
        <v>2250</v>
      </c>
      <c r="J2737" s="115">
        <f t="shared" si="132"/>
        <v>1499.9999999999998</v>
      </c>
    </row>
    <row r="2738" spans="1:12" s="99" customFormat="1">
      <c r="A2738" s="111">
        <v>444</v>
      </c>
      <c r="B2738" s="111" t="s">
        <v>2205</v>
      </c>
      <c r="C2738" s="115">
        <v>10000</v>
      </c>
      <c r="D2738" s="104" t="s">
        <v>430</v>
      </c>
      <c r="E2738" s="115">
        <v>375</v>
      </c>
      <c r="F2738" s="102">
        <v>4</v>
      </c>
      <c r="G2738" s="208">
        <v>7.4999999999999997E-2</v>
      </c>
      <c r="H2738" s="102">
        <v>15</v>
      </c>
      <c r="I2738" s="115">
        <f t="shared" si="131"/>
        <v>1500</v>
      </c>
      <c r="J2738" s="115">
        <f t="shared" si="132"/>
        <v>999.99999999999989</v>
      </c>
    </row>
    <row r="2739" spans="1:12" s="99" customFormat="1">
      <c r="A2739" s="111"/>
      <c r="B2739" s="111"/>
      <c r="C2739" s="115">
        <v>10000</v>
      </c>
      <c r="D2739" s="104" t="s">
        <v>3137</v>
      </c>
      <c r="E2739" s="115">
        <v>375</v>
      </c>
      <c r="F2739" s="102">
        <v>1</v>
      </c>
      <c r="G2739" s="208">
        <v>7.4999999999999997E-2</v>
      </c>
      <c r="H2739" s="102">
        <v>15</v>
      </c>
      <c r="I2739" s="115">
        <f t="shared" si="131"/>
        <v>375</v>
      </c>
      <c r="J2739" s="115">
        <f t="shared" si="132"/>
        <v>249.99999999999997</v>
      </c>
    </row>
    <row r="2740" spans="1:12" s="99" customFormat="1">
      <c r="A2740" s="111">
        <v>445</v>
      </c>
      <c r="B2740" s="111" t="s">
        <v>2206</v>
      </c>
      <c r="C2740" s="115">
        <v>20000</v>
      </c>
      <c r="D2740" s="104" t="s">
        <v>2532</v>
      </c>
      <c r="E2740" s="115">
        <v>2300</v>
      </c>
      <c r="F2740" s="102">
        <v>6</v>
      </c>
      <c r="G2740" s="208">
        <v>0.06</v>
      </c>
      <c r="H2740" s="102" t="s">
        <v>664</v>
      </c>
      <c r="I2740" s="115">
        <f t="shared" si="131"/>
        <v>1800</v>
      </c>
      <c r="J2740" s="115">
        <f t="shared" si="132"/>
        <v>1049.9999999999998</v>
      </c>
    </row>
    <row r="2741" spans="1:12" s="99" customFormat="1">
      <c r="A2741" s="111">
        <v>446</v>
      </c>
      <c r="B2741" s="111" t="s">
        <v>2207</v>
      </c>
      <c r="C2741" s="115">
        <v>20000</v>
      </c>
      <c r="D2741" s="104" t="s">
        <v>2532</v>
      </c>
      <c r="E2741" s="115">
        <v>750</v>
      </c>
      <c r="F2741" s="102">
        <v>2</v>
      </c>
      <c r="G2741" s="208">
        <v>7.4999999999999997E-2</v>
      </c>
      <c r="H2741" s="102">
        <v>15</v>
      </c>
      <c r="I2741" s="115">
        <f t="shared" si="131"/>
        <v>1500</v>
      </c>
      <c r="J2741" s="115">
        <f t="shared" si="132"/>
        <v>999.99999999999989</v>
      </c>
    </row>
    <row r="2742" spans="1:12" s="99" customFormat="1">
      <c r="A2742" s="111"/>
      <c r="B2742" s="111"/>
      <c r="C2742" s="115">
        <v>10000</v>
      </c>
      <c r="D2742" s="104" t="s">
        <v>2532</v>
      </c>
      <c r="E2742" s="115">
        <v>1150</v>
      </c>
      <c r="F2742" s="102">
        <v>6</v>
      </c>
      <c r="G2742" s="208">
        <v>0.06</v>
      </c>
      <c r="H2742" s="102" t="s">
        <v>664</v>
      </c>
      <c r="I2742" s="115">
        <f t="shared" si="131"/>
        <v>900</v>
      </c>
      <c r="J2742" s="115">
        <f t="shared" si="132"/>
        <v>524.99999999999989</v>
      </c>
    </row>
    <row r="2743" spans="1:12" s="99" customFormat="1">
      <c r="A2743" s="111">
        <v>447</v>
      </c>
      <c r="B2743" s="111" t="s">
        <v>2208</v>
      </c>
      <c r="C2743" s="115">
        <v>20000</v>
      </c>
      <c r="D2743" s="104" t="s">
        <v>2532</v>
      </c>
      <c r="E2743" s="115">
        <v>750</v>
      </c>
      <c r="F2743" s="102">
        <v>2</v>
      </c>
      <c r="G2743" s="208">
        <v>7.4999999999999997E-2</v>
      </c>
      <c r="H2743" s="102">
        <v>15</v>
      </c>
      <c r="I2743" s="115">
        <f t="shared" si="131"/>
        <v>1500</v>
      </c>
      <c r="J2743" s="115">
        <f t="shared" si="132"/>
        <v>999.99999999999989</v>
      </c>
    </row>
    <row r="2744" spans="1:12" s="99" customFormat="1">
      <c r="A2744" s="111"/>
      <c r="B2744" s="111"/>
      <c r="C2744" s="115">
        <v>10000</v>
      </c>
      <c r="D2744" s="104" t="s">
        <v>2532</v>
      </c>
      <c r="E2744" s="115">
        <v>1150</v>
      </c>
      <c r="F2744" s="102">
        <v>6</v>
      </c>
      <c r="G2744" s="208">
        <v>0.06</v>
      </c>
      <c r="H2744" s="102" t="s">
        <v>664</v>
      </c>
      <c r="I2744" s="115">
        <f t="shared" si="131"/>
        <v>900</v>
      </c>
      <c r="J2744" s="115">
        <f t="shared" si="132"/>
        <v>524.99999999999989</v>
      </c>
    </row>
    <row r="2745" spans="1:12" s="99" customFormat="1">
      <c r="A2745" s="111">
        <v>448</v>
      </c>
      <c r="B2745" s="111" t="s">
        <v>2209</v>
      </c>
      <c r="C2745" s="115">
        <v>20000</v>
      </c>
      <c r="D2745" s="104" t="s">
        <v>230</v>
      </c>
      <c r="E2745" s="115">
        <v>750</v>
      </c>
      <c r="F2745" s="102">
        <v>2</v>
      </c>
      <c r="G2745" s="208">
        <v>7.4999999999999997E-2</v>
      </c>
      <c r="H2745" s="102">
        <v>15</v>
      </c>
      <c r="I2745" s="115">
        <f t="shared" si="131"/>
        <v>1500</v>
      </c>
      <c r="J2745" s="115">
        <f t="shared" si="132"/>
        <v>999.99999999999989</v>
      </c>
    </row>
    <row r="2746" spans="1:12" s="99" customFormat="1">
      <c r="A2746" s="111"/>
      <c r="B2746" s="111"/>
      <c r="C2746" s="115">
        <v>10000</v>
      </c>
      <c r="D2746" s="104" t="s">
        <v>230</v>
      </c>
      <c r="E2746" s="115">
        <v>1150</v>
      </c>
      <c r="F2746" s="102">
        <v>5</v>
      </c>
      <c r="G2746" s="208">
        <v>0.06</v>
      </c>
      <c r="H2746" s="102" t="s">
        <v>664</v>
      </c>
      <c r="I2746" s="115">
        <f t="shared" si="131"/>
        <v>750</v>
      </c>
      <c r="J2746" s="115">
        <f t="shared" si="132"/>
        <v>437.49999999999989</v>
      </c>
    </row>
    <row r="2747" spans="1:12" s="99" customFormat="1">
      <c r="A2747" s="111">
        <v>449</v>
      </c>
      <c r="B2747" s="111" t="s">
        <v>2210</v>
      </c>
      <c r="C2747" s="115">
        <v>10000</v>
      </c>
      <c r="D2747" s="104" t="s">
        <v>3175</v>
      </c>
      <c r="E2747" s="115">
        <v>375</v>
      </c>
      <c r="F2747" s="102">
        <v>2</v>
      </c>
      <c r="G2747" s="208">
        <v>7.4999999999999997E-2</v>
      </c>
      <c r="H2747" s="102">
        <v>15</v>
      </c>
      <c r="I2747" s="115">
        <f t="shared" si="131"/>
        <v>750</v>
      </c>
      <c r="J2747" s="115">
        <f t="shared" si="132"/>
        <v>499.99999999999994</v>
      </c>
    </row>
    <row r="2748" spans="1:12" s="99" customFormat="1">
      <c r="A2748" s="111">
        <v>450</v>
      </c>
      <c r="B2748" s="111" t="s">
        <v>2211</v>
      </c>
      <c r="C2748" s="115">
        <v>20000</v>
      </c>
      <c r="D2748" s="104" t="s">
        <v>1743</v>
      </c>
      <c r="E2748" s="115">
        <v>2300</v>
      </c>
      <c r="F2748" s="102">
        <v>4</v>
      </c>
      <c r="G2748" s="208">
        <v>0.06</v>
      </c>
      <c r="H2748" s="102" t="s">
        <v>664</v>
      </c>
      <c r="I2748" s="115">
        <f t="shared" si="131"/>
        <v>1200</v>
      </c>
      <c r="J2748" s="115">
        <f t="shared" si="132"/>
        <v>699.99999999999989</v>
      </c>
    </row>
    <row r="2749" spans="1:12" s="99" customFormat="1">
      <c r="A2749" s="111">
        <v>451</v>
      </c>
      <c r="B2749" s="111" t="s">
        <v>2212</v>
      </c>
      <c r="C2749" s="115">
        <v>20000</v>
      </c>
      <c r="D2749" s="104" t="s">
        <v>1732</v>
      </c>
      <c r="E2749" s="115">
        <v>2300</v>
      </c>
      <c r="F2749" s="102">
        <v>4</v>
      </c>
      <c r="G2749" s="208">
        <v>0.06</v>
      </c>
      <c r="H2749" s="102" t="s">
        <v>664</v>
      </c>
      <c r="I2749" s="115">
        <f t="shared" si="131"/>
        <v>1200</v>
      </c>
      <c r="J2749" s="115">
        <f t="shared" si="132"/>
        <v>699.99999999999989</v>
      </c>
    </row>
    <row r="2750" spans="1:12">
      <c r="A2750" s="130" t="s">
        <v>3631</v>
      </c>
      <c r="B2750" s="102"/>
      <c r="C2750" s="103"/>
      <c r="D2750" s="104"/>
      <c r="E2750" s="105"/>
      <c r="F2750" s="102"/>
      <c r="G2750" s="208"/>
      <c r="H2750" s="102"/>
      <c r="I2750" s="116">
        <f>SUM(I2:I2749)</f>
        <v>17775213.562500004</v>
      </c>
      <c r="J2750" s="116">
        <f>SUM(J12:J2749)</f>
        <v>11569895.154166669</v>
      </c>
    </row>
    <row r="2751" spans="1:12" ht="67.8" customHeight="1">
      <c r="A2751" s="207" t="s">
        <v>1379</v>
      </c>
      <c r="B2751" s="287" t="s">
        <v>4083</v>
      </c>
      <c r="C2751" s="287"/>
      <c r="D2751" s="287"/>
      <c r="E2751" s="287"/>
      <c r="F2751" s="287"/>
      <c r="G2751" s="287"/>
      <c r="H2751" s="287"/>
      <c r="I2751" s="287"/>
      <c r="J2751" s="287"/>
      <c r="K2751" s="287"/>
      <c r="L2751" s="287"/>
    </row>
    <row r="2752" spans="1:12" ht="35.4" customHeight="1">
      <c r="A2752" s="207" t="s">
        <v>1380</v>
      </c>
      <c r="B2752" s="302" t="s">
        <v>4082</v>
      </c>
      <c r="C2752" s="302"/>
      <c r="D2752" s="302"/>
      <c r="E2752" s="302"/>
      <c r="F2752" s="302"/>
      <c r="G2752" s="302"/>
      <c r="H2752" s="302"/>
      <c r="I2752" s="302"/>
      <c r="J2752" s="302"/>
      <c r="K2752" s="302"/>
      <c r="L2752" s="302"/>
    </row>
    <row r="2753" spans="1:12" ht="123" customHeight="1">
      <c r="A2753" s="207" t="s">
        <v>1381</v>
      </c>
      <c r="B2753" s="302" t="s">
        <v>4087</v>
      </c>
      <c r="C2753" s="302"/>
      <c r="D2753" s="302"/>
      <c r="E2753" s="302"/>
      <c r="F2753" s="302"/>
      <c r="G2753" s="302"/>
      <c r="H2753" s="302"/>
      <c r="I2753" s="302"/>
      <c r="J2753" s="302"/>
      <c r="K2753" s="302"/>
      <c r="L2753" s="302"/>
    </row>
    <row r="2754" spans="1:12" ht="50.4" customHeight="1">
      <c r="A2754" s="207" t="s">
        <v>3640</v>
      </c>
      <c r="B2754" s="291" t="s">
        <v>3641</v>
      </c>
      <c r="C2754" s="291"/>
      <c r="D2754" s="291"/>
      <c r="E2754" s="291"/>
      <c r="F2754" s="291"/>
      <c r="G2754" s="291"/>
      <c r="H2754" s="291"/>
      <c r="I2754" s="291"/>
      <c r="J2754" s="291"/>
      <c r="K2754" s="291"/>
      <c r="L2754" s="291"/>
    </row>
    <row r="2755" spans="1:12" ht="52.8" customHeight="1">
      <c r="A2755" s="207" t="s">
        <v>1681</v>
      </c>
      <c r="B2755" s="291" t="s">
        <v>2039</v>
      </c>
      <c r="C2755" s="301"/>
      <c r="D2755" s="301"/>
      <c r="E2755" s="301"/>
      <c r="F2755" s="301"/>
      <c r="G2755" s="301"/>
      <c r="H2755" s="301"/>
      <c r="I2755" s="301"/>
      <c r="J2755" s="301"/>
      <c r="K2755" s="301"/>
      <c r="L2755" s="301"/>
    </row>
    <row r="2756" spans="1:12">
      <c r="B2756" s="216"/>
      <c r="C2756" s="136"/>
      <c r="D2756" s="217"/>
      <c r="F2756" s="216"/>
      <c r="G2756" s="219"/>
      <c r="H2756" s="216"/>
      <c r="I2756" s="136"/>
      <c r="J2756" s="136"/>
      <c r="K2756" s="216"/>
      <c r="L2756" s="216"/>
    </row>
    <row r="2757" spans="1:12">
      <c r="B2757" s="216"/>
      <c r="C2757" s="136"/>
      <c r="D2757" s="217"/>
      <c r="F2757" s="216"/>
      <c r="G2757" s="219"/>
      <c r="H2757" s="216"/>
      <c r="I2757" s="136"/>
      <c r="J2757" s="136"/>
      <c r="K2757" s="216"/>
      <c r="L2757" s="216"/>
    </row>
    <row r="2758" spans="1:12">
      <c r="B2758" s="216"/>
      <c r="C2758" s="136"/>
      <c r="D2758" s="217"/>
      <c r="F2758" s="216"/>
      <c r="G2758" s="219"/>
      <c r="H2758" s="216"/>
      <c r="I2758" s="136"/>
      <c r="J2758" s="136"/>
      <c r="K2758" s="216"/>
      <c r="L2758" s="216"/>
    </row>
    <row r="2759" spans="1:12">
      <c r="B2759" s="216"/>
      <c r="C2759" s="136"/>
      <c r="D2759" s="217"/>
      <c r="F2759" s="216"/>
      <c r="G2759" s="219"/>
      <c r="H2759" s="216"/>
      <c r="I2759" s="136"/>
      <c r="J2759" s="136"/>
      <c r="K2759" s="216"/>
      <c r="L2759" s="216"/>
    </row>
    <row r="2760" spans="1:12">
      <c r="B2760" s="216"/>
      <c r="C2760" s="136"/>
      <c r="D2760" s="217"/>
      <c r="F2760" s="216"/>
      <c r="G2760" s="219"/>
      <c r="H2760" s="216"/>
      <c r="I2760" s="136"/>
      <c r="J2760" s="136"/>
      <c r="K2760" s="216"/>
      <c r="L2760" s="216"/>
    </row>
    <row r="2761" spans="1:12">
      <c r="B2761" s="216"/>
      <c r="C2761" s="136"/>
      <c r="D2761" s="217"/>
      <c r="F2761" s="216"/>
      <c r="G2761" s="219"/>
      <c r="H2761" s="216"/>
      <c r="I2761" s="136"/>
      <c r="J2761" s="136"/>
      <c r="K2761" s="216"/>
      <c r="L2761" s="216"/>
    </row>
    <row r="2762" spans="1:12">
      <c r="B2762" s="216"/>
      <c r="C2762" s="136"/>
      <c r="D2762" s="217"/>
      <c r="F2762" s="216"/>
      <c r="G2762" s="219"/>
      <c r="H2762" s="216"/>
      <c r="I2762" s="136"/>
      <c r="J2762" s="136"/>
      <c r="K2762" s="216"/>
      <c r="L2762" s="216"/>
    </row>
    <row r="2763" spans="1:12">
      <c r="B2763" s="216"/>
      <c r="C2763" s="136"/>
      <c r="D2763" s="217"/>
      <c r="F2763" s="216"/>
      <c r="G2763" s="219"/>
      <c r="H2763" s="216"/>
      <c r="I2763" s="136"/>
      <c r="J2763" s="136"/>
      <c r="K2763" s="216"/>
      <c r="L2763" s="216"/>
    </row>
    <row r="2764" spans="1:12">
      <c r="B2764" s="216"/>
      <c r="C2764" s="136"/>
      <c r="D2764" s="217"/>
      <c r="F2764" s="216"/>
      <c r="G2764" s="219"/>
      <c r="H2764" s="216"/>
      <c r="I2764" s="136"/>
      <c r="J2764" s="136"/>
      <c r="K2764" s="216"/>
      <c r="L2764" s="216"/>
    </row>
    <row r="2765" spans="1:12">
      <c r="B2765" s="216"/>
      <c r="C2765" s="136"/>
      <c r="D2765" s="217"/>
      <c r="F2765" s="216"/>
      <c r="G2765" s="219"/>
      <c r="H2765" s="216"/>
      <c r="I2765" s="136"/>
      <c r="J2765" s="136"/>
      <c r="K2765" s="216"/>
      <c r="L2765" s="216"/>
    </row>
    <row r="2766" spans="1:12">
      <c r="B2766" s="216"/>
      <c r="C2766" s="136"/>
      <c r="D2766" s="217"/>
      <c r="F2766" s="216"/>
      <c r="G2766" s="219"/>
      <c r="H2766" s="216"/>
      <c r="I2766" s="136"/>
      <c r="J2766" s="136"/>
      <c r="K2766" s="216"/>
      <c r="L2766" s="216"/>
    </row>
  </sheetData>
  <mergeCells count="5">
    <mergeCell ref="B2755:L2755"/>
    <mergeCell ref="B2754:L2754"/>
    <mergeCell ref="B2751:L2751"/>
    <mergeCell ref="B2753:L2753"/>
    <mergeCell ref="B2752:L2752"/>
  </mergeCells>
  <phoneticPr fontId="2" type="noConversion"/>
  <pageMargins left="0.23622047244094491" right="0.19685039370078741" top="0.62992125984251968" bottom="0.5" header="0.31496062992125984" footer="0.3"/>
  <pageSetup paperSize="9" scale="72" fitToHeight="100" orientation="portrait" r:id="rId1"/>
  <headerFooter>
    <oddHeader>&amp;C附表一之6:&amp;A</oddHeader>
    <oddFooter>&amp;C&amp;P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K112"/>
  <sheetViews>
    <sheetView zoomScale="75" workbookViewId="0">
      <pane ySplit="1" topLeftCell="A74" activePane="bottomLeft" state="frozen"/>
      <selection pane="bottomLeft" activeCell="F83" sqref="F83"/>
    </sheetView>
  </sheetViews>
  <sheetFormatPr defaultRowHeight="16.2" outlineLevelRow="2"/>
  <cols>
    <col min="1" max="1" width="10.21875" style="52" customWidth="1"/>
    <col min="2" max="2" width="9.44140625" style="52" customWidth="1"/>
    <col min="3" max="3" width="29" style="230" customWidth="1"/>
    <col min="4" max="4" width="14.44140625" style="181" customWidth="1"/>
    <col min="5" max="5" width="14.109375" style="227" customWidth="1"/>
    <col min="6" max="6" width="13.77734375" style="228" customWidth="1"/>
    <col min="7" max="7" width="10.6640625" style="58" bestFit="1" customWidth="1"/>
    <col min="8" max="8" width="13.88671875" style="58" customWidth="1"/>
    <col min="9" max="9" width="14.21875" style="58" customWidth="1"/>
    <col min="10" max="10" width="14" style="191" customWidth="1"/>
    <col min="11" max="11" width="51.21875" style="189" customWidth="1"/>
  </cols>
  <sheetData>
    <row r="1" spans="1:11" s="1" customFormat="1" ht="32.4">
      <c r="A1" s="42" t="s">
        <v>4088</v>
      </c>
      <c r="B1" s="40" t="s">
        <v>2931</v>
      </c>
      <c r="C1" s="24" t="s">
        <v>2394</v>
      </c>
      <c r="D1" s="176" t="s">
        <v>3206</v>
      </c>
      <c r="E1" s="45" t="s">
        <v>2533</v>
      </c>
      <c r="F1" s="46" t="s">
        <v>2534</v>
      </c>
      <c r="G1" s="46" t="s">
        <v>3554</v>
      </c>
      <c r="H1" s="46" t="s">
        <v>2399</v>
      </c>
      <c r="I1" s="46" t="s">
        <v>2400</v>
      </c>
      <c r="J1" s="210" t="s">
        <v>1195</v>
      </c>
      <c r="K1" s="182" t="s">
        <v>4089</v>
      </c>
    </row>
    <row r="2" spans="1:11" s="159" customFormat="1" ht="32.4">
      <c r="A2" s="157" t="s">
        <v>2522</v>
      </c>
      <c r="B2" s="158" t="s">
        <v>951</v>
      </c>
      <c r="C2" s="158" t="s">
        <v>2940</v>
      </c>
      <c r="D2" s="177">
        <v>100000</v>
      </c>
      <c r="E2" s="167" t="s">
        <v>2934</v>
      </c>
      <c r="F2" s="168">
        <v>15</v>
      </c>
      <c r="G2" s="168" t="s">
        <v>385</v>
      </c>
      <c r="H2" s="168" t="s">
        <v>385</v>
      </c>
      <c r="I2" s="168" t="s">
        <v>385</v>
      </c>
      <c r="J2" s="167" t="s">
        <v>2948</v>
      </c>
      <c r="K2" s="183" t="s">
        <v>1466</v>
      </c>
    </row>
    <row r="3" spans="1:11" s="1" customFormat="1" ht="32.4">
      <c r="A3" s="149" t="s">
        <v>2521</v>
      </c>
      <c r="B3" s="150" t="s">
        <v>2932</v>
      </c>
      <c r="C3" s="231" t="s">
        <v>1829</v>
      </c>
      <c r="D3" s="177">
        <v>155000</v>
      </c>
      <c r="E3" s="167" t="s">
        <v>2934</v>
      </c>
      <c r="F3" s="168">
        <v>15</v>
      </c>
      <c r="G3" s="168" t="s">
        <v>385</v>
      </c>
      <c r="H3" s="168" t="s">
        <v>385</v>
      </c>
      <c r="I3" s="168" t="s">
        <v>385</v>
      </c>
      <c r="J3" s="167" t="s">
        <v>2948</v>
      </c>
      <c r="K3" s="184" t="s">
        <v>1467</v>
      </c>
    </row>
    <row r="4" spans="1:11" s="159" customFormat="1" ht="32.4">
      <c r="A4" s="19" t="s">
        <v>2521</v>
      </c>
      <c r="B4" s="160" t="s">
        <v>952</v>
      </c>
      <c r="C4" s="160" t="s">
        <v>2941</v>
      </c>
      <c r="D4" s="177">
        <v>180000</v>
      </c>
      <c r="E4" s="167" t="s">
        <v>2934</v>
      </c>
      <c r="F4" s="168">
        <v>15</v>
      </c>
      <c r="G4" s="168" t="s">
        <v>385</v>
      </c>
      <c r="H4" s="168" t="s">
        <v>385</v>
      </c>
      <c r="I4" s="168" t="s">
        <v>385</v>
      </c>
      <c r="J4" s="167" t="s">
        <v>2948</v>
      </c>
      <c r="K4" s="185" t="s">
        <v>1468</v>
      </c>
    </row>
    <row r="5" spans="1:11" s="159" customFormat="1" ht="32.4">
      <c r="A5" s="19" t="s">
        <v>3190</v>
      </c>
      <c r="B5" s="160" t="s">
        <v>953</v>
      </c>
      <c r="C5" s="160" t="s">
        <v>3191</v>
      </c>
      <c r="D5" s="177">
        <v>70000</v>
      </c>
      <c r="E5" s="167" t="s">
        <v>2934</v>
      </c>
      <c r="F5" s="168">
        <v>15</v>
      </c>
      <c r="G5" s="168" t="s">
        <v>385</v>
      </c>
      <c r="H5" s="168" t="s">
        <v>385</v>
      </c>
      <c r="I5" s="168" t="s">
        <v>385</v>
      </c>
      <c r="J5" s="167" t="s">
        <v>2948</v>
      </c>
      <c r="K5" s="10" t="s">
        <v>1469</v>
      </c>
    </row>
    <row r="6" spans="1:11" ht="19.2" customHeight="1">
      <c r="A6" s="333" t="s">
        <v>1828</v>
      </c>
      <c r="B6" s="334"/>
      <c r="C6" s="334"/>
      <c r="D6" s="334"/>
      <c r="E6" s="334"/>
      <c r="F6" s="334"/>
      <c r="G6" s="335"/>
      <c r="H6" s="62">
        <f>SUM(H2:H5)</f>
        <v>0</v>
      </c>
      <c r="I6" s="62">
        <f>SUM(I2:I5)</f>
        <v>0</v>
      </c>
      <c r="J6" s="167"/>
      <c r="K6" s="186"/>
    </row>
    <row r="7" spans="1:11" s="153" customFormat="1" ht="39.6" customHeight="1">
      <c r="A7" s="344" t="s">
        <v>3203</v>
      </c>
      <c r="B7" s="343" t="s">
        <v>2524</v>
      </c>
      <c r="C7" s="163" t="s">
        <v>2525</v>
      </c>
      <c r="D7" s="154">
        <v>20000</v>
      </c>
      <c r="E7" s="223">
        <v>0.08</v>
      </c>
      <c r="F7" s="193" t="s">
        <v>2527</v>
      </c>
      <c r="G7" s="155">
        <v>104</v>
      </c>
      <c r="H7" s="152">
        <f>400*G7</f>
        <v>41600</v>
      </c>
      <c r="I7" s="152">
        <f>H7*(E7-J7)/E7</f>
        <v>20800</v>
      </c>
      <c r="J7" s="167">
        <v>0.04</v>
      </c>
      <c r="K7" s="318" t="s">
        <v>3555</v>
      </c>
    </row>
    <row r="8" spans="1:11" s="153" customFormat="1" ht="39.6" customHeight="1">
      <c r="A8" s="345"/>
      <c r="B8" s="342"/>
      <c r="C8" s="163" t="s">
        <v>2526</v>
      </c>
      <c r="D8" s="154">
        <v>15000</v>
      </c>
      <c r="E8" s="225">
        <v>0.09</v>
      </c>
      <c r="F8" s="168">
        <v>15</v>
      </c>
      <c r="G8" s="155">
        <v>30</v>
      </c>
      <c r="H8" s="49">
        <f>D8*E8*F8*G8/30</f>
        <v>20250</v>
      </c>
      <c r="I8" s="49">
        <f>D8*(E8-J8)*F8*G8/30</f>
        <v>11249.999999999998</v>
      </c>
      <c r="J8" s="167">
        <v>0.04</v>
      </c>
      <c r="K8" s="342"/>
    </row>
    <row r="9" spans="1:11" s="153" customFormat="1" ht="39.6" customHeight="1">
      <c r="A9" s="166" t="s">
        <v>3202</v>
      </c>
      <c r="B9" s="172" t="s">
        <v>2936</v>
      </c>
      <c r="C9" s="163" t="s">
        <v>2937</v>
      </c>
      <c r="D9" s="177" t="s">
        <v>2938</v>
      </c>
      <c r="E9" s="167" t="s">
        <v>2934</v>
      </c>
      <c r="F9" s="168">
        <v>15</v>
      </c>
      <c r="G9" s="168" t="s">
        <v>385</v>
      </c>
      <c r="H9" s="168" t="s">
        <v>385</v>
      </c>
      <c r="I9" s="168" t="s">
        <v>385</v>
      </c>
      <c r="J9" s="167" t="s">
        <v>2948</v>
      </c>
      <c r="K9" s="172" t="s">
        <v>1470</v>
      </c>
    </row>
    <row r="10" spans="1:11" s="170" customFormat="1" ht="39.6" customHeight="1">
      <c r="A10" s="156" t="s">
        <v>3202</v>
      </c>
      <c r="B10" s="163" t="s">
        <v>2939</v>
      </c>
      <c r="C10" s="163" t="s">
        <v>942</v>
      </c>
      <c r="D10" s="197" t="s">
        <v>943</v>
      </c>
      <c r="E10" s="167" t="s">
        <v>2934</v>
      </c>
      <c r="F10" s="168">
        <v>15</v>
      </c>
      <c r="G10" s="168" t="s">
        <v>1335</v>
      </c>
      <c r="H10" s="168" t="s">
        <v>1335</v>
      </c>
      <c r="I10" s="168" t="s">
        <v>1335</v>
      </c>
      <c r="J10" s="167" t="s">
        <v>2935</v>
      </c>
      <c r="K10" s="175" t="s">
        <v>1471</v>
      </c>
    </row>
    <row r="11" spans="1:11" s="153" customFormat="1" ht="32.4">
      <c r="A11" s="173" t="s">
        <v>3202</v>
      </c>
      <c r="B11" s="172" t="s">
        <v>3204</v>
      </c>
      <c r="C11" s="175" t="s">
        <v>3205</v>
      </c>
      <c r="D11" s="154">
        <v>70000</v>
      </c>
      <c r="E11" s="222">
        <v>0.09</v>
      </c>
      <c r="F11" s="190">
        <v>15</v>
      </c>
      <c r="G11" s="190" t="s">
        <v>385</v>
      </c>
      <c r="H11" s="190" t="s">
        <v>385</v>
      </c>
      <c r="I11" s="190" t="s">
        <v>385</v>
      </c>
      <c r="J11" s="137">
        <v>0.04</v>
      </c>
      <c r="K11" s="172" t="s">
        <v>1472</v>
      </c>
    </row>
    <row r="12" spans="1:11" s="153" customFormat="1">
      <c r="A12" s="343" t="s">
        <v>3202</v>
      </c>
      <c r="B12" s="343" t="s">
        <v>2954</v>
      </c>
      <c r="C12" s="329" t="s">
        <v>2955</v>
      </c>
      <c r="D12" s="154">
        <v>150000</v>
      </c>
      <c r="E12" s="167">
        <v>0.09</v>
      </c>
      <c r="F12" s="168">
        <v>15</v>
      </c>
      <c r="G12" s="190">
        <v>24</v>
      </c>
      <c r="H12" s="49">
        <f>D12*E12*F12*G12/30</f>
        <v>162000</v>
      </c>
      <c r="I12" s="49">
        <f>D12*(E12-J12)*F12*G12/30</f>
        <v>89999.999999999985</v>
      </c>
      <c r="J12" s="137">
        <v>0.04</v>
      </c>
      <c r="K12" s="343" t="s">
        <v>1843</v>
      </c>
    </row>
    <row r="13" spans="1:11" s="153" customFormat="1">
      <c r="A13" s="342"/>
      <c r="B13" s="342"/>
      <c r="C13" s="320"/>
      <c r="D13" s="154">
        <v>150000</v>
      </c>
      <c r="E13" s="167">
        <v>7.4999999999999997E-2</v>
      </c>
      <c r="F13" s="168">
        <v>15</v>
      </c>
      <c r="G13" s="190">
        <v>18</v>
      </c>
      <c r="H13" s="49">
        <f>D13*E13*F13*G13/30</f>
        <v>101250</v>
      </c>
      <c r="I13" s="49">
        <f>D13*(E13-J13)*F13*G13/30</f>
        <v>67499.999999999985</v>
      </c>
      <c r="J13" s="137">
        <v>2.5000000000000001E-2</v>
      </c>
      <c r="K13" s="342"/>
    </row>
    <row r="14" spans="1:11" s="153" customFormat="1" ht="32.4">
      <c r="A14" s="166" t="s">
        <v>3202</v>
      </c>
      <c r="B14" s="151" t="s">
        <v>3216</v>
      </c>
      <c r="C14" s="169" t="s">
        <v>2957</v>
      </c>
      <c r="D14" s="177">
        <v>70000</v>
      </c>
      <c r="E14" s="167">
        <v>0.09</v>
      </c>
      <c r="F14" s="168">
        <v>15</v>
      </c>
      <c r="G14" s="168" t="s">
        <v>385</v>
      </c>
      <c r="H14" s="168" t="s">
        <v>385</v>
      </c>
      <c r="I14" s="168" t="s">
        <v>385</v>
      </c>
      <c r="J14" s="137">
        <v>0.04</v>
      </c>
      <c r="K14" s="187" t="s">
        <v>1473</v>
      </c>
    </row>
    <row r="15" spans="1:11" s="170" customFormat="1">
      <c r="A15" s="156" t="s">
        <v>3202</v>
      </c>
      <c r="B15" s="163" t="s">
        <v>3217</v>
      </c>
      <c r="C15" s="169" t="s">
        <v>944</v>
      </c>
      <c r="D15" s="177">
        <v>20000</v>
      </c>
      <c r="E15" s="167">
        <v>7.4999999999999997E-2</v>
      </c>
      <c r="F15" s="168">
        <v>15</v>
      </c>
      <c r="G15" s="168">
        <v>24</v>
      </c>
      <c r="H15" s="29">
        <f>D15*E15*F15*G15/30</f>
        <v>18000</v>
      </c>
      <c r="I15" s="29">
        <f>D15*(E15-J15)*F15*G15/30</f>
        <v>11999.999999999998</v>
      </c>
      <c r="J15" s="137">
        <v>2.5000000000000001E-2</v>
      </c>
      <c r="K15" s="164" t="s">
        <v>3556</v>
      </c>
    </row>
    <row r="16" spans="1:11" s="170" customFormat="1">
      <c r="A16" s="156" t="s">
        <v>3202</v>
      </c>
      <c r="B16" s="163" t="s">
        <v>3219</v>
      </c>
      <c r="C16" s="169" t="s">
        <v>3218</v>
      </c>
      <c r="D16" s="154">
        <v>80000</v>
      </c>
      <c r="E16" s="167" t="s">
        <v>3212</v>
      </c>
      <c r="F16" s="168">
        <v>15</v>
      </c>
      <c r="G16" s="168" t="s">
        <v>385</v>
      </c>
      <c r="H16" s="168" t="s">
        <v>385</v>
      </c>
      <c r="I16" s="168" t="s">
        <v>385</v>
      </c>
      <c r="J16" s="167" t="s">
        <v>2948</v>
      </c>
      <c r="K16" s="164" t="s">
        <v>1474</v>
      </c>
    </row>
    <row r="17" spans="1:11" s="170" customFormat="1">
      <c r="A17" s="329" t="s">
        <v>3202</v>
      </c>
      <c r="B17" s="329" t="s">
        <v>2959</v>
      </c>
      <c r="C17" s="339" t="s">
        <v>2960</v>
      </c>
      <c r="D17" s="178">
        <v>60000</v>
      </c>
      <c r="E17" s="167">
        <v>0.09</v>
      </c>
      <c r="F17" s="168">
        <v>15</v>
      </c>
      <c r="G17" s="168">
        <v>17</v>
      </c>
      <c r="H17" s="49">
        <f>D17*E17*F17*G17/30</f>
        <v>45900</v>
      </c>
      <c r="I17" s="49">
        <f>D17*(E17-J17)*F17*G17/30</f>
        <v>25499.999999999996</v>
      </c>
      <c r="J17" s="137">
        <v>0.04</v>
      </c>
      <c r="K17" s="306" t="s">
        <v>2958</v>
      </c>
    </row>
    <row r="18" spans="1:11" s="170" customFormat="1">
      <c r="A18" s="320"/>
      <c r="B18" s="320"/>
      <c r="C18" s="340"/>
      <c r="D18" s="178">
        <v>60000</v>
      </c>
      <c r="E18" s="167">
        <v>7.4999999999999997E-2</v>
      </c>
      <c r="F18" s="168">
        <v>15</v>
      </c>
      <c r="G18" s="168">
        <v>18</v>
      </c>
      <c r="H18" s="49">
        <f>D18*E18*F18*G18/30</f>
        <v>40500</v>
      </c>
      <c r="I18" s="49">
        <f>D18*(E18-J18)*F18*G18/30</f>
        <v>26999.999999999996</v>
      </c>
      <c r="J18" s="137">
        <v>2.5000000000000001E-2</v>
      </c>
      <c r="K18" s="307"/>
    </row>
    <row r="19" spans="1:11" s="170" customFormat="1">
      <c r="A19" s="156" t="s">
        <v>3202</v>
      </c>
      <c r="B19" s="163" t="s">
        <v>2962</v>
      </c>
      <c r="C19" s="169" t="s">
        <v>2965</v>
      </c>
      <c r="D19" s="178">
        <v>30000</v>
      </c>
      <c r="E19" s="167">
        <v>7.4999999999999997E-2</v>
      </c>
      <c r="F19" s="168">
        <v>30</v>
      </c>
      <c r="G19" s="168">
        <v>8</v>
      </c>
      <c r="H19" s="49">
        <f>D19*E19*F19*G19/30</f>
        <v>18000</v>
      </c>
      <c r="I19" s="49">
        <f>D19*(E19-J19)*F19*G19/30</f>
        <v>11999.999999999998</v>
      </c>
      <c r="J19" s="137">
        <v>2.5000000000000001E-2</v>
      </c>
      <c r="K19" s="164" t="s">
        <v>2964</v>
      </c>
    </row>
    <row r="20" spans="1:11" s="170" customFormat="1" ht="32.4">
      <c r="A20" s="156" t="s">
        <v>3202</v>
      </c>
      <c r="B20" s="163" t="s">
        <v>2378</v>
      </c>
      <c r="C20" s="169" t="s">
        <v>2380</v>
      </c>
      <c r="D20" s="178">
        <v>20000</v>
      </c>
      <c r="E20" s="167">
        <v>0.09</v>
      </c>
      <c r="F20" s="193" t="s">
        <v>3200</v>
      </c>
      <c r="G20" s="168">
        <v>10</v>
      </c>
      <c r="H20" s="168" t="s">
        <v>385</v>
      </c>
      <c r="I20" s="168" t="s">
        <v>385</v>
      </c>
      <c r="J20" s="137">
        <v>0.04</v>
      </c>
      <c r="K20" s="164" t="s">
        <v>2379</v>
      </c>
    </row>
    <row r="21" spans="1:11" s="170" customFormat="1">
      <c r="A21" s="156" t="s">
        <v>3202</v>
      </c>
      <c r="B21" s="163" t="s">
        <v>2383</v>
      </c>
      <c r="C21" s="169" t="s">
        <v>2381</v>
      </c>
      <c r="D21" s="178">
        <v>120000</v>
      </c>
      <c r="E21" s="167">
        <v>7.4999999999999997E-2</v>
      </c>
      <c r="F21" s="168">
        <v>15</v>
      </c>
      <c r="G21" s="168">
        <v>11</v>
      </c>
      <c r="H21" s="49">
        <f>D21*E21*F21*G21/30</f>
        <v>49500</v>
      </c>
      <c r="I21" s="49">
        <f>D21*(E21-J21)*F21*G21/30</f>
        <v>32999.999999999993</v>
      </c>
      <c r="J21" s="137">
        <v>2.5000000000000001E-2</v>
      </c>
      <c r="K21" s="164" t="s">
        <v>2382</v>
      </c>
    </row>
    <row r="22" spans="1:11" s="170" customFormat="1">
      <c r="A22" s="337" t="s">
        <v>3202</v>
      </c>
      <c r="B22" s="329" t="s">
        <v>1870</v>
      </c>
      <c r="C22" s="169" t="s">
        <v>1871</v>
      </c>
      <c r="D22" s="178">
        <v>70000</v>
      </c>
      <c r="E22" s="167">
        <v>0.09</v>
      </c>
      <c r="F22" s="168">
        <v>7</v>
      </c>
      <c r="G22" s="168" t="s">
        <v>385</v>
      </c>
      <c r="H22" s="168" t="s">
        <v>385</v>
      </c>
      <c r="I22" s="168" t="s">
        <v>385</v>
      </c>
      <c r="J22" s="137">
        <v>0.04</v>
      </c>
      <c r="K22" s="306" t="s">
        <v>1875</v>
      </c>
    </row>
    <row r="23" spans="1:11" s="170" customFormat="1">
      <c r="A23" s="338"/>
      <c r="B23" s="320"/>
      <c r="C23" s="169" t="s">
        <v>1872</v>
      </c>
      <c r="D23" s="178">
        <v>20000</v>
      </c>
      <c r="E23" s="167">
        <v>0.09</v>
      </c>
      <c r="F23" s="168">
        <v>7</v>
      </c>
      <c r="G23" s="168" t="s">
        <v>1874</v>
      </c>
      <c r="H23" s="168" t="s">
        <v>385</v>
      </c>
      <c r="I23" s="168" t="s">
        <v>385</v>
      </c>
      <c r="J23" s="137">
        <v>0.04</v>
      </c>
      <c r="K23" s="307"/>
    </row>
    <row r="24" spans="1:11" s="170" customFormat="1">
      <c r="A24" s="329" t="s">
        <v>3202</v>
      </c>
      <c r="B24" s="329" t="s">
        <v>1877</v>
      </c>
      <c r="C24" s="169" t="s">
        <v>1881</v>
      </c>
      <c r="D24" s="178">
        <v>200000</v>
      </c>
      <c r="E24" s="167">
        <v>7.4999999999999997E-2</v>
      </c>
      <c r="F24" s="168">
        <v>15</v>
      </c>
      <c r="G24" s="168" t="s">
        <v>1874</v>
      </c>
      <c r="H24" s="168" t="s">
        <v>385</v>
      </c>
      <c r="I24" s="168" t="s">
        <v>385</v>
      </c>
      <c r="J24" s="137">
        <v>2.5000000000000001E-2</v>
      </c>
      <c r="K24" s="306" t="s">
        <v>1882</v>
      </c>
    </row>
    <row r="25" spans="1:11" s="170" customFormat="1">
      <c r="A25" s="320"/>
      <c r="B25" s="320"/>
      <c r="C25" s="169" t="s">
        <v>1880</v>
      </c>
      <c r="D25" s="178">
        <v>425500</v>
      </c>
      <c r="E25" s="167" t="s">
        <v>1879</v>
      </c>
      <c r="F25" s="168" t="s">
        <v>1874</v>
      </c>
      <c r="G25" s="168" t="s">
        <v>1874</v>
      </c>
      <c r="H25" s="168" t="s">
        <v>385</v>
      </c>
      <c r="I25" s="168" t="s">
        <v>385</v>
      </c>
      <c r="J25" s="137">
        <v>2.5000000000000001E-2</v>
      </c>
      <c r="K25" s="307"/>
    </row>
    <row r="26" spans="1:11" s="170" customFormat="1">
      <c r="A26" s="188" t="s">
        <v>3202</v>
      </c>
      <c r="B26" s="163" t="s">
        <v>1887</v>
      </c>
      <c r="C26" s="169" t="s">
        <v>1888</v>
      </c>
      <c r="D26" s="178">
        <v>160000</v>
      </c>
      <c r="E26" s="167">
        <v>0.09</v>
      </c>
      <c r="F26" s="168">
        <v>1</v>
      </c>
      <c r="G26" s="168">
        <v>365</v>
      </c>
      <c r="H26" s="49">
        <f>D26*E26*F26*G26/30</f>
        <v>175200</v>
      </c>
      <c r="I26" s="49">
        <f>D26*(E26-J26)*F26*G26/30</f>
        <v>97333.333333333314</v>
      </c>
      <c r="J26" s="137">
        <v>0.04</v>
      </c>
      <c r="K26" s="139" t="s">
        <v>1889</v>
      </c>
    </row>
    <row r="27" spans="1:11" s="170" customFormat="1">
      <c r="A27" s="188" t="s">
        <v>3202</v>
      </c>
      <c r="B27" s="163" t="s">
        <v>2401</v>
      </c>
      <c r="C27" s="169" t="s">
        <v>1890</v>
      </c>
      <c r="D27" s="178">
        <v>220000</v>
      </c>
      <c r="E27" s="167">
        <v>0.09</v>
      </c>
      <c r="F27" s="168">
        <v>1</v>
      </c>
      <c r="G27" s="168">
        <v>132</v>
      </c>
      <c r="H27" s="49">
        <f>D27*E27*F27*G27/30</f>
        <v>87120</v>
      </c>
      <c r="I27" s="49">
        <f>D27*(E27-J27)*F27*G27/30</f>
        <v>48399.999999999993</v>
      </c>
      <c r="J27" s="137">
        <v>0.04</v>
      </c>
      <c r="K27" s="139" t="s">
        <v>1889</v>
      </c>
    </row>
    <row r="28" spans="1:11" ht="19.2" customHeight="1">
      <c r="A28" s="333" t="s">
        <v>2523</v>
      </c>
      <c r="B28" s="334"/>
      <c r="C28" s="334"/>
      <c r="D28" s="334"/>
      <c r="E28" s="334"/>
      <c r="F28" s="334"/>
      <c r="G28" s="335"/>
      <c r="H28" s="62">
        <f>SUM(H7:H27)</f>
        <v>759320</v>
      </c>
      <c r="I28" s="62">
        <f>SUM(I7:I27)</f>
        <v>444783.33333333326</v>
      </c>
      <c r="J28" s="137"/>
      <c r="K28" s="186"/>
    </row>
    <row r="29" spans="1:11" s="140" customFormat="1" ht="19.2" customHeight="1">
      <c r="A29" s="163" t="s">
        <v>3207</v>
      </c>
      <c r="B29" s="163" t="s">
        <v>950</v>
      </c>
      <c r="C29" s="163" t="s">
        <v>2949</v>
      </c>
      <c r="D29" s="198">
        <v>40000</v>
      </c>
      <c r="E29" s="167">
        <v>7.4999999999999997E-2</v>
      </c>
      <c r="F29" s="168">
        <v>15</v>
      </c>
      <c r="G29" s="168" t="s">
        <v>1335</v>
      </c>
      <c r="H29" s="168" t="s">
        <v>1335</v>
      </c>
      <c r="I29" s="168" t="s">
        <v>1335</v>
      </c>
      <c r="J29" s="137">
        <v>2.5000000000000001E-2</v>
      </c>
      <c r="K29" s="188" t="s">
        <v>1845</v>
      </c>
    </row>
    <row r="30" spans="1:11" s="140" customFormat="1" ht="48.6">
      <c r="A30" s="163" t="s">
        <v>2528</v>
      </c>
      <c r="B30" s="163" t="s">
        <v>2529</v>
      </c>
      <c r="C30" s="163" t="s">
        <v>947</v>
      </c>
      <c r="D30" s="199" t="s">
        <v>948</v>
      </c>
      <c r="E30" s="167" t="s">
        <v>2934</v>
      </c>
      <c r="F30" s="168">
        <v>15</v>
      </c>
      <c r="G30" s="168" t="s">
        <v>1335</v>
      </c>
      <c r="H30" s="168" t="s">
        <v>1335</v>
      </c>
      <c r="I30" s="168" t="s">
        <v>1335</v>
      </c>
      <c r="J30" s="167" t="s">
        <v>2935</v>
      </c>
      <c r="K30" s="188" t="s">
        <v>3557</v>
      </c>
    </row>
    <row r="31" spans="1:11" s="140" customFormat="1" ht="19.2" customHeight="1">
      <c r="A31" s="163" t="s">
        <v>2528</v>
      </c>
      <c r="B31" s="163" t="s">
        <v>1844</v>
      </c>
      <c r="C31" s="163" t="s">
        <v>946</v>
      </c>
      <c r="D31" s="198" t="s">
        <v>945</v>
      </c>
      <c r="E31" s="167" t="s">
        <v>2934</v>
      </c>
      <c r="F31" s="168">
        <v>15</v>
      </c>
      <c r="G31" s="168" t="s">
        <v>1335</v>
      </c>
      <c r="H31" s="168" t="s">
        <v>1335</v>
      </c>
      <c r="I31" s="168" t="s">
        <v>1335</v>
      </c>
      <c r="J31" s="167" t="s">
        <v>2935</v>
      </c>
      <c r="K31" s="188" t="s">
        <v>1846</v>
      </c>
    </row>
    <row r="32" spans="1:11" s="140" customFormat="1" ht="32.4">
      <c r="A32" s="329" t="s">
        <v>3207</v>
      </c>
      <c r="B32" s="329" t="s">
        <v>3195</v>
      </c>
      <c r="C32" s="163" t="s">
        <v>3196</v>
      </c>
      <c r="D32" s="178">
        <v>50000</v>
      </c>
      <c r="E32" s="223">
        <v>0.08</v>
      </c>
      <c r="F32" s="193" t="s">
        <v>3200</v>
      </c>
      <c r="G32" s="193">
        <v>10</v>
      </c>
      <c r="H32" s="29">
        <f>200*5*10</f>
        <v>10000</v>
      </c>
      <c r="I32" s="152">
        <f>H32*(E32-J32)/E32</f>
        <v>5000</v>
      </c>
      <c r="J32" s="137">
        <v>0.04</v>
      </c>
      <c r="K32" s="329" t="s">
        <v>3199</v>
      </c>
    </row>
    <row r="33" spans="1:11" s="140" customFormat="1" ht="32.4">
      <c r="A33" s="332"/>
      <c r="B33" s="332"/>
      <c r="C33" s="163" t="s">
        <v>3197</v>
      </c>
      <c r="D33" s="178">
        <v>30000</v>
      </c>
      <c r="E33" s="223">
        <v>0.08</v>
      </c>
      <c r="F33" s="193" t="s">
        <v>2527</v>
      </c>
      <c r="G33" s="193">
        <v>10</v>
      </c>
      <c r="H33" s="29">
        <f>200*3*10</f>
        <v>6000</v>
      </c>
      <c r="I33" s="152">
        <f>H33*(E33-J33)/E33</f>
        <v>3000</v>
      </c>
      <c r="J33" s="137">
        <v>0.04</v>
      </c>
      <c r="K33" s="332"/>
    </row>
    <row r="34" spans="1:11" s="140" customFormat="1" ht="19.2" customHeight="1">
      <c r="A34" s="320"/>
      <c r="B34" s="320"/>
      <c r="C34" s="163" t="s">
        <v>3198</v>
      </c>
      <c r="D34" s="178">
        <v>110000</v>
      </c>
      <c r="E34" s="223">
        <v>0.09</v>
      </c>
      <c r="F34" s="193">
        <v>15</v>
      </c>
      <c r="G34" s="193">
        <v>20</v>
      </c>
      <c r="H34" s="49">
        <f t="shared" ref="H34:H39" si="0">D34*E34*F34*G34/30</f>
        <v>99000</v>
      </c>
      <c r="I34" s="49">
        <f t="shared" ref="I34:I39" si="1">D34*(E34-J34)*F34*G34/30</f>
        <v>54999.999999999993</v>
      </c>
      <c r="J34" s="137">
        <v>0.04</v>
      </c>
      <c r="K34" s="320"/>
    </row>
    <row r="35" spans="1:11" s="140" customFormat="1" ht="113.4">
      <c r="A35" s="26" t="s">
        <v>2535</v>
      </c>
      <c r="B35" s="26" t="s">
        <v>2536</v>
      </c>
      <c r="C35" s="160" t="s">
        <v>2226</v>
      </c>
      <c r="D35" s="179">
        <v>60000</v>
      </c>
      <c r="E35" s="223">
        <v>0.09</v>
      </c>
      <c r="F35" s="193">
        <v>15</v>
      </c>
      <c r="G35" s="29">
        <v>9</v>
      </c>
      <c r="H35" s="29">
        <f t="shared" si="0"/>
        <v>24300</v>
      </c>
      <c r="I35" s="29">
        <f t="shared" si="1"/>
        <v>13499.999999999998</v>
      </c>
      <c r="J35" s="137">
        <v>0.04</v>
      </c>
      <c r="K35" s="188" t="s">
        <v>1476</v>
      </c>
    </row>
    <row r="36" spans="1:11" s="140" customFormat="1" ht="26.4" customHeight="1">
      <c r="A36" s="316" t="s">
        <v>2538</v>
      </c>
      <c r="B36" s="308" t="s">
        <v>2215</v>
      </c>
      <c r="C36" s="160" t="s">
        <v>891</v>
      </c>
      <c r="D36" s="179">
        <v>20000</v>
      </c>
      <c r="E36" s="167">
        <v>0.09</v>
      </c>
      <c r="F36" s="168">
        <v>15</v>
      </c>
      <c r="G36" s="29">
        <v>6</v>
      </c>
      <c r="H36" s="29">
        <f t="shared" si="0"/>
        <v>5400</v>
      </c>
      <c r="I36" s="29">
        <f t="shared" si="1"/>
        <v>2999.9999999999995</v>
      </c>
      <c r="J36" s="137">
        <v>0.04</v>
      </c>
      <c r="K36" s="306" t="s">
        <v>1478</v>
      </c>
    </row>
    <row r="37" spans="1:11" s="140" customFormat="1" ht="26.4" customHeight="1">
      <c r="A37" s="341"/>
      <c r="B37" s="336"/>
      <c r="C37" s="160" t="s">
        <v>892</v>
      </c>
      <c r="D37" s="179">
        <v>50000</v>
      </c>
      <c r="E37" s="167">
        <v>0.09</v>
      </c>
      <c r="F37" s="168">
        <v>15</v>
      </c>
      <c r="G37" s="29">
        <v>4</v>
      </c>
      <c r="H37" s="29">
        <f t="shared" si="0"/>
        <v>9000</v>
      </c>
      <c r="I37" s="29">
        <f t="shared" si="1"/>
        <v>5000</v>
      </c>
      <c r="J37" s="137">
        <v>0.04</v>
      </c>
      <c r="K37" s="332"/>
    </row>
    <row r="38" spans="1:11" s="140" customFormat="1" ht="26.4" customHeight="1">
      <c r="A38" s="341"/>
      <c r="B38" s="336"/>
      <c r="C38" s="308" t="s">
        <v>893</v>
      </c>
      <c r="D38" s="179">
        <v>80000</v>
      </c>
      <c r="E38" s="167">
        <v>0.09</v>
      </c>
      <c r="F38" s="168">
        <v>15</v>
      </c>
      <c r="G38" s="29">
        <v>14</v>
      </c>
      <c r="H38" s="29">
        <f t="shared" si="0"/>
        <v>50400</v>
      </c>
      <c r="I38" s="29">
        <f t="shared" si="1"/>
        <v>27999.999999999996</v>
      </c>
      <c r="J38" s="137">
        <v>0.04</v>
      </c>
      <c r="K38" s="332"/>
    </row>
    <row r="39" spans="1:11" s="140" customFormat="1" ht="26.4" customHeight="1">
      <c r="A39" s="341"/>
      <c r="B39" s="336"/>
      <c r="C39" s="309"/>
      <c r="D39" s="179">
        <v>80000</v>
      </c>
      <c r="E39" s="167">
        <v>7.4999999999999997E-2</v>
      </c>
      <c r="F39" s="168">
        <v>15</v>
      </c>
      <c r="G39" s="29">
        <v>6</v>
      </c>
      <c r="H39" s="29">
        <f t="shared" si="0"/>
        <v>18000</v>
      </c>
      <c r="I39" s="29">
        <f t="shared" si="1"/>
        <v>11999.999999999998</v>
      </c>
      <c r="J39" s="137">
        <v>2.5000000000000001E-2</v>
      </c>
      <c r="K39" s="332"/>
    </row>
    <row r="40" spans="1:11" ht="26.4" customHeight="1">
      <c r="A40" s="317"/>
      <c r="B40" s="309"/>
      <c r="C40" s="160" t="s">
        <v>894</v>
      </c>
      <c r="D40" s="179">
        <v>20000</v>
      </c>
      <c r="E40" s="167" t="s">
        <v>2934</v>
      </c>
      <c r="F40" s="168">
        <v>15</v>
      </c>
      <c r="G40" s="168" t="s">
        <v>1477</v>
      </c>
      <c r="H40" s="168" t="s">
        <v>1477</v>
      </c>
      <c r="I40" s="168" t="s">
        <v>1477</v>
      </c>
      <c r="J40" s="167" t="s">
        <v>2935</v>
      </c>
      <c r="K40" s="320"/>
    </row>
    <row r="41" spans="1:11" s="140" customFormat="1">
      <c r="A41" s="200" t="s">
        <v>3208</v>
      </c>
      <c r="B41" s="200" t="s">
        <v>3210</v>
      </c>
      <c r="C41" s="158" t="s">
        <v>949</v>
      </c>
      <c r="D41" s="177" t="s">
        <v>3209</v>
      </c>
      <c r="E41" s="167" t="s">
        <v>2934</v>
      </c>
      <c r="F41" s="168">
        <v>15</v>
      </c>
      <c r="G41" s="190" t="s">
        <v>1335</v>
      </c>
      <c r="H41" s="190" t="s">
        <v>1335</v>
      </c>
      <c r="I41" s="190" t="s">
        <v>1335</v>
      </c>
      <c r="J41" s="167" t="s">
        <v>2935</v>
      </c>
      <c r="K41" s="201" t="s">
        <v>3558</v>
      </c>
    </row>
    <row r="42" spans="1:11" s="140" customFormat="1">
      <c r="A42" s="316" t="s">
        <v>2535</v>
      </c>
      <c r="B42" s="308" t="s">
        <v>2537</v>
      </c>
      <c r="C42" s="308" t="s">
        <v>895</v>
      </c>
      <c r="D42" s="179">
        <v>20000</v>
      </c>
      <c r="E42" s="167">
        <v>0.09</v>
      </c>
      <c r="F42" s="168">
        <v>15</v>
      </c>
      <c r="G42" s="29">
        <v>12</v>
      </c>
      <c r="H42" s="29">
        <f>D42*E42*F42*G42/30</f>
        <v>10800</v>
      </c>
      <c r="I42" s="29">
        <f>D42*(E42-J42)*F42*G42/30</f>
        <v>5999.9999999999991</v>
      </c>
      <c r="J42" s="137">
        <v>0.04</v>
      </c>
      <c r="K42" s="329" t="s">
        <v>3559</v>
      </c>
    </row>
    <row r="43" spans="1:11" s="140" customFormat="1">
      <c r="A43" s="317"/>
      <c r="B43" s="309"/>
      <c r="C43" s="309"/>
      <c r="D43" s="179">
        <v>20000</v>
      </c>
      <c r="E43" s="167">
        <v>7.4999999999999997E-2</v>
      </c>
      <c r="F43" s="168">
        <v>15</v>
      </c>
      <c r="G43" s="29">
        <v>6</v>
      </c>
      <c r="H43" s="29">
        <f>D43*E43*F43*G43/30</f>
        <v>4500</v>
      </c>
      <c r="I43" s="29">
        <f>D43*(E43-J43)*F43*G43/30</f>
        <v>2999.9999999999995</v>
      </c>
      <c r="J43" s="137">
        <v>2.5000000000000001E-2</v>
      </c>
      <c r="K43" s="320"/>
    </row>
    <row r="44" spans="1:11" s="140" customFormat="1">
      <c r="A44" s="26" t="s">
        <v>2528</v>
      </c>
      <c r="B44" s="165" t="s">
        <v>3211</v>
      </c>
      <c r="C44" s="192" t="s">
        <v>2956</v>
      </c>
      <c r="D44" s="179">
        <v>300000</v>
      </c>
      <c r="E44" s="167" t="s">
        <v>3212</v>
      </c>
      <c r="F44" s="168">
        <v>15</v>
      </c>
      <c r="G44" s="190" t="s">
        <v>385</v>
      </c>
      <c r="H44" s="190" t="s">
        <v>385</v>
      </c>
      <c r="I44" s="190" t="s">
        <v>385</v>
      </c>
      <c r="J44" s="167" t="s">
        <v>2948</v>
      </c>
      <c r="K44" s="175" t="s">
        <v>3560</v>
      </c>
    </row>
    <row r="45" spans="1:11" s="140" customFormat="1">
      <c r="A45" s="26" t="s">
        <v>2528</v>
      </c>
      <c r="B45" s="165" t="s">
        <v>3213</v>
      </c>
      <c r="C45" s="165" t="s">
        <v>4050</v>
      </c>
      <c r="D45" s="179">
        <v>80000</v>
      </c>
      <c r="E45" s="167">
        <v>7.4999999999999997E-2</v>
      </c>
      <c r="F45" s="168">
        <v>15</v>
      </c>
      <c r="G45" s="168">
        <v>24</v>
      </c>
      <c r="H45" s="29">
        <f>D45*E45*F45*G45/30</f>
        <v>72000</v>
      </c>
      <c r="I45" s="29">
        <f>D45*(E45-J45)*F45*G45/30</f>
        <v>47999.999999999993</v>
      </c>
      <c r="J45" s="137">
        <v>2.5000000000000001E-2</v>
      </c>
      <c r="K45" s="164" t="s">
        <v>3561</v>
      </c>
    </row>
    <row r="46" spans="1:11" s="140" customFormat="1">
      <c r="A46" s="308" t="s">
        <v>2528</v>
      </c>
      <c r="B46" s="308" t="s">
        <v>3214</v>
      </c>
      <c r="C46" s="165" t="s">
        <v>4051</v>
      </c>
      <c r="D46" s="179">
        <v>100000</v>
      </c>
      <c r="E46" s="167" t="s">
        <v>2934</v>
      </c>
      <c r="F46" s="168">
        <v>15</v>
      </c>
      <c r="G46" s="190" t="s">
        <v>1335</v>
      </c>
      <c r="H46" s="190" t="s">
        <v>1335</v>
      </c>
      <c r="I46" s="190" t="s">
        <v>1335</v>
      </c>
      <c r="J46" s="167" t="s">
        <v>2935</v>
      </c>
      <c r="K46" s="306" t="s">
        <v>3562</v>
      </c>
    </row>
    <row r="47" spans="1:11" s="140" customFormat="1">
      <c r="A47" s="309"/>
      <c r="B47" s="309"/>
      <c r="C47" s="165" t="s">
        <v>4052</v>
      </c>
      <c r="D47" s="179">
        <v>40000</v>
      </c>
      <c r="E47" s="167">
        <v>7.4999999999999997E-2</v>
      </c>
      <c r="F47" s="168">
        <v>15</v>
      </c>
      <c r="G47" s="190" t="s">
        <v>1335</v>
      </c>
      <c r="H47" s="190" t="s">
        <v>1335</v>
      </c>
      <c r="I47" s="190" t="s">
        <v>1335</v>
      </c>
      <c r="J47" s="137">
        <v>2.5000000000000001E-2</v>
      </c>
      <c r="K47" s="307"/>
    </row>
    <row r="48" spans="1:11">
      <c r="A48" s="26" t="s">
        <v>2538</v>
      </c>
      <c r="B48" s="26" t="s">
        <v>2539</v>
      </c>
      <c r="C48" s="160" t="s">
        <v>2540</v>
      </c>
      <c r="D48" s="179">
        <v>10000</v>
      </c>
      <c r="E48" s="167">
        <v>7.4999999999999997E-2</v>
      </c>
      <c r="F48" s="168">
        <v>7</v>
      </c>
      <c r="G48" s="29">
        <v>4</v>
      </c>
      <c r="H48" s="29">
        <f t="shared" ref="H48:H55" si="2">D48*E48*F48*G48/30</f>
        <v>700</v>
      </c>
      <c r="I48" s="29">
        <f t="shared" ref="I48:I55" si="3">D48*(E48-J48)*F48*G48/30</f>
        <v>466.66666666666663</v>
      </c>
      <c r="J48" s="137">
        <v>2.5000000000000001E-2</v>
      </c>
      <c r="K48" s="188" t="s">
        <v>3563</v>
      </c>
    </row>
    <row r="49" spans="1:11">
      <c r="A49" s="316" t="s">
        <v>3207</v>
      </c>
      <c r="B49" s="308" t="s">
        <v>2967</v>
      </c>
      <c r="C49" s="330" t="s">
        <v>2968</v>
      </c>
      <c r="D49" s="179">
        <v>80000</v>
      </c>
      <c r="E49" s="167">
        <v>0.09</v>
      </c>
      <c r="F49" s="168">
        <v>7</v>
      </c>
      <c r="G49" s="29">
        <v>1</v>
      </c>
      <c r="H49" s="29">
        <f t="shared" si="2"/>
        <v>1680</v>
      </c>
      <c r="I49" s="29">
        <f t="shared" si="3"/>
        <v>933.33333333333326</v>
      </c>
      <c r="J49" s="137">
        <v>0.04</v>
      </c>
      <c r="K49" s="329" t="s">
        <v>2969</v>
      </c>
    </row>
    <row r="50" spans="1:11">
      <c r="A50" s="317"/>
      <c r="B50" s="309"/>
      <c r="C50" s="331"/>
      <c r="D50" s="179">
        <v>80000</v>
      </c>
      <c r="E50" s="167">
        <v>7.4999999999999997E-2</v>
      </c>
      <c r="F50" s="168">
        <v>7</v>
      </c>
      <c r="G50" s="29">
        <v>16</v>
      </c>
      <c r="H50" s="29">
        <f t="shared" si="2"/>
        <v>22400</v>
      </c>
      <c r="I50" s="29">
        <f t="shared" si="3"/>
        <v>14933.333333333332</v>
      </c>
      <c r="J50" s="137">
        <v>2.5000000000000001E-2</v>
      </c>
      <c r="K50" s="320"/>
    </row>
    <row r="51" spans="1:11" s="140" customFormat="1">
      <c r="A51" s="306" t="s">
        <v>3207</v>
      </c>
      <c r="B51" s="308" t="s">
        <v>2970</v>
      </c>
      <c r="C51" s="196" t="s">
        <v>4053</v>
      </c>
      <c r="D51" s="179">
        <v>60000</v>
      </c>
      <c r="E51" s="167">
        <v>7.4999999999999997E-2</v>
      </c>
      <c r="F51" s="168">
        <v>15</v>
      </c>
      <c r="G51" s="29">
        <v>8</v>
      </c>
      <c r="H51" s="29">
        <f t="shared" si="2"/>
        <v>18000</v>
      </c>
      <c r="I51" s="29">
        <f t="shared" si="3"/>
        <v>11999.999999999998</v>
      </c>
      <c r="J51" s="137">
        <v>2.5000000000000001E-2</v>
      </c>
      <c r="K51" s="329" t="s">
        <v>2971</v>
      </c>
    </row>
    <row r="52" spans="1:11" s="140" customFormat="1">
      <c r="A52" s="328"/>
      <c r="B52" s="336"/>
      <c r="C52" s="196" t="s">
        <v>4054</v>
      </c>
      <c r="D52" s="179">
        <v>30000</v>
      </c>
      <c r="E52" s="167">
        <v>7.4999999999999997E-2</v>
      </c>
      <c r="F52" s="168">
        <v>15</v>
      </c>
      <c r="G52" s="29">
        <v>3</v>
      </c>
      <c r="H52" s="29">
        <f t="shared" si="2"/>
        <v>3375</v>
      </c>
      <c r="I52" s="29">
        <f t="shared" si="3"/>
        <v>2249.9999999999995</v>
      </c>
      <c r="J52" s="137">
        <v>2.5000000000000001E-2</v>
      </c>
      <c r="K52" s="332"/>
    </row>
    <row r="53" spans="1:11" s="140" customFormat="1">
      <c r="A53" s="328"/>
      <c r="B53" s="336"/>
      <c r="C53" s="196" t="s">
        <v>4056</v>
      </c>
      <c r="D53" s="179">
        <v>30000</v>
      </c>
      <c r="E53" s="167">
        <v>7.4999999999999997E-2</v>
      </c>
      <c r="F53" s="168">
        <v>15</v>
      </c>
      <c r="G53" s="29">
        <v>2</v>
      </c>
      <c r="H53" s="29">
        <f t="shared" si="2"/>
        <v>2250</v>
      </c>
      <c r="I53" s="29">
        <f t="shared" si="3"/>
        <v>1499.9999999999998</v>
      </c>
      <c r="J53" s="137">
        <v>2.5000000000000001E-2</v>
      </c>
      <c r="K53" s="332"/>
    </row>
    <row r="54" spans="1:11" s="140" customFormat="1">
      <c r="A54" s="307"/>
      <c r="B54" s="309"/>
      <c r="C54" s="196" t="s">
        <v>4055</v>
      </c>
      <c r="D54" s="179">
        <v>20000</v>
      </c>
      <c r="E54" s="167">
        <v>7.4999999999999997E-2</v>
      </c>
      <c r="F54" s="168">
        <v>15</v>
      </c>
      <c r="G54" s="29">
        <v>2</v>
      </c>
      <c r="H54" s="29">
        <f t="shared" si="2"/>
        <v>1500</v>
      </c>
      <c r="I54" s="29">
        <f t="shared" si="3"/>
        <v>999.99999999999989</v>
      </c>
      <c r="J54" s="137">
        <v>2.5000000000000001E-2</v>
      </c>
      <c r="K54" s="320"/>
    </row>
    <row r="55" spans="1:11" s="140" customFormat="1">
      <c r="A55" s="12" t="s">
        <v>3207</v>
      </c>
      <c r="B55" s="165" t="s">
        <v>2972</v>
      </c>
      <c r="C55" s="196" t="s">
        <v>3515</v>
      </c>
      <c r="D55" s="179">
        <v>50000</v>
      </c>
      <c r="E55" s="167">
        <v>7.4999999999999997E-2</v>
      </c>
      <c r="F55" s="168">
        <v>15</v>
      </c>
      <c r="G55" s="190">
        <v>8</v>
      </c>
      <c r="H55" s="29">
        <f t="shared" si="2"/>
        <v>15000</v>
      </c>
      <c r="I55" s="29">
        <f t="shared" si="3"/>
        <v>10000</v>
      </c>
      <c r="J55" s="137">
        <v>2.5000000000000001E-2</v>
      </c>
      <c r="K55" s="164" t="s">
        <v>3516</v>
      </c>
    </row>
    <row r="56" spans="1:11" s="140" customFormat="1">
      <c r="A56" s="12" t="s">
        <v>3207</v>
      </c>
      <c r="B56" s="165" t="s">
        <v>2973</v>
      </c>
      <c r="C56" s="196" t="s">
        <v>4058</v>
      </c>
      <c r="D56" s="177" t="s">
        <v>4057</v>
      </c>
      <c r="E56" s="167">
        <v>7.4999999999999997E-2</v>
      </c>
      <c r="F56" s="168">
        <v>15</v>
      </c>
      <c r="G56" s="190" t="s">
        <v>1335</v>
      </c>
      <c r="H56" s="190" t="s">
        <v>1335</v>
      </c>
      <c r="I56" s="190" t="s">
        <v>1335</v>
      </c>
      <c r="J56" s="137">
        <v>2.5000000000000001E-2</v>
      </c>
      <c r="K56" s="175" t="s">
        <v>2976</v>
      </c>
    </row>
    <row r="57" spans="1:11" s="140" customFormat="1">
      <c r="A57" s="12" t="s">
        <v>2535</v>
      </c>
      <c r="B57" s="12" t="s">
        <v>3739</v>
      </c>
      <c r="C57" s="160" t="s">
        <v>4059</v>
      </c>
      <c r="D57" s="179">
        <v>30000</v>
      </c>
      <c r="E57" s="167">
        <v>7.4999999999999997E-2</v>
      </c>
      <c r="F57" s="168">
        <v>15</v>
      </c>
      <c r="G57" s="29">
        <v>4</v>
      </c>
      <c r="H57" s="29">
        <f t="shared" ref="H57:H63" si="4">D57*E57*F57*G57/30</f>
        <v>4500</v>
      </c>
      <c r="I57" s="29">
        <f t="shared" ref="I57:I63" si="5">D57*(E57-J57)*F57*G57/30</f>
        <v>2999.9999999999995</v>
      </c>
      <c r="J57" s="137">
        <v>2.5000000000000001E-2</v>
      </c>
      <c r="K57" s="188" t="s">
        <v>2975</v>
      </c>
    </row>
    <row r="58" spans="1:11" s="140" customFormat="1">
      <c r="A58" s="12" t="s">
        <v>3207</v>
      </c>
      <c r="B58" s="12" t="s">
        <v>2974</v>
      </c>
      <c r="C58" s="139" t="s">
        <v>4060</v>
      </c>
      <c r="D58" s="179">
        <v>30000</v>
      </c>
      <c r="E58" s="167">
        <v>7.4999999999999997E-2</v>
      </c>
      <c r="F58" s="168">
        <v>15</v>
      </c>
      <c r="G58" s="29">
        <v>20</v>
      </c>
      <c r="H58" s="29">
        <f>D58*E58*F58*G58/30</f>
        <v>22500</v>
      </c>
      <c r="I58" s="29">
        <f t="shared" si="5"/>
        <v>14999.999999999998</v>
      </c>
      <c r="J58" s="137">
        <v>2.5000000000000001E-2</v>
      </c>
      <c r="K58" s="188" t="s">
        <v>2977</v>
      </c>
    </row>
    <row r="59" spans="1:11" s="140" customFormat="1">
      <c r="A59" s="138" t="s">
        <v>473</v>
      </c>
      <c r="B59" s="12" t="s">
        <v>2979</v>
      </c>
      <c r="C59" s="139" t="s">
        <v>4061</v>
      </c>
      <c r="D59" s="179">
        <v>200000</v>
      </c>
      <c r="E59" s="167">
        <v>7.4999999999999997E-2</v>
      </c>
      <c r="F59" s="168">
        <v>15</v>
      </c>
      <c r="G59" s="29">
        <f>18*2</f>
        <v>36</v>
      </c>
      <c r="H59" s="29">
        <f t="shared" si="4"/>
        <v>270000</v>
      </c>
      <c r="I59" s="29">
        <f t="shared" si="5"/>
        <v>180000</v>
      </c>
      <c r="J59" s="137">
        <v>2.5000000000000001E-2</v>
      </c>
      <c r="K59" s="188" t="s">
        <v>3564</v>
      </c>
    </row>
    <row r="60" spans="1:11" s="140" customFormat="1">
      <c r="A60" s="325" t="s">
        <v>2538</v>
      </c>
      <c r="B60" s="306" t="s">
        <v>3629</v>
      </c>
      <c r="C60" s="308" t="s">
        <v>2942</v>
      </c>
      <c r="D60" s="179">
        <v>30000</v>
      </c>
      <c r="E60" s="167">
        <v>0.09</v>
      </c>
      <c r="F60" s="168">
        <v>15</v>
      </c>
      <c r="G60" s="29">
        <v>18</v>
      </c>
      <c r="H60" s="29">
        <f t="shared" si="4"/>
        <v>24300</v>
      </c>
      <c r="I60" s="29">
        <f t="shared" si="5"/>
        <v>13499.999999999998</v>
      </c>
      <c r="J60" s="137">
        <v>0.04</v>
      </c>
      <c r="K60" s="329" t="s">
        <v>3565</v>
      </c>
    </row>
    <row r="61" spans="1:11" s="140" customFormat="1">
      <c r="A61" s="326"/>
      <c r="B61" s="328"/>
      <c r="C61" s="309"/>
      <c r="D61" s="179">
        <v>30000</v>
      </c>
      <c r="E61" s="167">
        <v>7.4999999999999997E-2</v>
      </c>
      <c r="F61" s="168">
        <v>15</v>
      </c>
      <c r="G61" s="29">
        <v>16</v>
      </c>
      <c r="H61" s="29">
        <f t="shared" si="4"/>
        <v>18000</v>
      </c>
      <c r="I61" s="29">
        <f t="shared" si="5"/>
        <v>11999.999999999998</v>
      </c>
      <c r="J61" s="137">
        <v>2.5000000000000001E-2</v>
      </c>
      <c r="K61" s="332"/>
    </row>
    <row r="62" spans="1:11" s="140" customFormat="1">
      <c r="A62" s="326"/>
      <c r="B62" s="328"/>
      <c r="C62" s="306" t="s">
        <v>2943</v>
      </c>
      <c r="D62" s="179">
        <v>80000</v>
      </c>
      <c r="E62" s="167">
        <v>0.09</v>
      </c>
      <c r="F62" s="168">
        <v>15</v>
      </c>
      <c r="G62" s="29">
        <v>9</v>
      </c>
      <c r="H62" s="29">
        <f t="shared" si="4"/>
        <v>32400</v>
      </c>
      <c r="I62" s="29">
        <f t="shared" si="5"/>
        <v>17999.999999999996</v>
      </c>
      <c r="J62" s="137">
        <v>0.04</v>
      </c>
      <c r="K62" s="332"/>
    </row>
    <row r="63" spans="1:11" s="140" customFormat="1">
      <c r="A63" s="327"/>
      <c r="B63" s="307"/>
      <c r="C63" s="307"/>
      <c r="D63" s="179">
        <v>80000</v>
      </c>
      <c r="E63" s="167">
        <v>7.4999999999999997E-2</v>
      </c>
      <c r="F63" s="168">
        <v>15</v>
      </c>
      <c r="G63" s="29">
        <v>24</v>
      </c>
      <c r="H63" s="29">
        <f t="shared" si="4"/>
        <v>72000</v>
      </c>
      <c r="I63" s="29">
        <f t="shared" si="5"/>
        <v>47999.999999999993</v>
      </c>
      <c r="J63" s="137">
        <v>2.5000000000000001E-2</v>
      </c>
      <c r="K63" s="320"/>
    </row>
    <row r="64" spans="1:11" s="140" customFormat="1" ht="32.4">
      <c r="A64" s="138" t="s">
        <v>473</v>
      </c>
      <c r="B64" s="139" t="s">
        <v>1876</v>
      </c>
      <c r="C64" s="139" t="s">
        <v>1878</v>
      </c>
      <c r="D64" s="179">
        <v>425500</v>
      </c>
      <c r="E64" s="167" t="s">
        <v>1879</v>
      </c>
      <c r="F64" s="168" t="s">
        <v>1874</v>
      </c>
      <c r="G64" s="168" t="s">
        <v>1874</v>
      </c>
      <c r="H64" s="168" t="s">
        <v>385</v>
      </c>
      <c r="I64" s="168" t="s">
        <v>385</v>
      </c>
      <c r="J64" s="137">
        <v>2.5000000000000001E-2</v>
      </c>
      <c r="K64" s="163" t="s">
        <v>1882</v>
      </c>
    </row>
    <row r="65" spans="1:11" ht="19.2" customHeight="1">
      <c r="A65" s="333" t="s">
        <v>940</v>
      </c>
      <c r="B65" s="334"/>
      <c r="C65" s="334"/>
      <c r="D65" s="334"/>
      <c r="E65" s="334"/>
      <c r="F65" s="334"/>
      <c r="G65" s="335"/>
      <c r="H65" s="62">
        <f>SUBTOTAL(9,H29:H64)</f>
        <v>818005</v>
      </c>
      <c r="I65" s="62">
        <f>SUBTOTAL(9,I29:I64)</f>
        <v>514083.33333333331</v>
      </c>
      <c r="J65" s="137"/>
      <c r="K65" s="186"/>
    </row>
    <row r="66" spans="1:11" s="140" customFormat="1" ht="32.4" customHeight="1">
      <c r="A66" s="321" t="s">
        <v>2541</v>
      </c>
      <c r="B66" s="306" t="s">
        <v>2214</v>
      </c>
      <c r="C66" s="139" t="s">
        <v>2944</v>
      </c>
      <c r="D66" s="179">
        <v>30000</v>
      </c>
      <c r="E66" s="167">
        <v>0.09</v>
      </c>
      <c r="F66" s="168">
        <v>15</v>
      </c>
      <c r="G66" s="29">
        <v>58</v>
      </c>
      <c r="H66" s="29">
        <f>D66*E66*F66*G66/30</f>
        <v>78300</v>
      </c>
      <c r="I66" s="29">
        <f>D66*(E66-J66)*F66*G66/30</f>
        <v>43499.999999999993</v>
      </c>
      <c r="J66" s="137">
        <v>0.04</v>
      </c>
      <c r="K66" s="306" t="s">
        <v>3374</v>
      </c>
    </row>
    <row r="67" spans="1:11" s="140" customFormat="1" ht="32.4" customHeight="1">
      <c r="A67" s="322"/>
      <c r="B67" s="307"/>
      <c r="C67" s="139" t="s">
        <v>2384</v>
      </c>
      <c r="D67" s="179">
        <v>160000</v>
      </c>
      <c r="E67" s="167">
        <v>7.4999999999999997E-2</v>
      </c>
      <c r="F67" s="168">
        <v>15</v>
      </c>
      <c r="G67" s="29">
        <f>6*2</f>
        <v>12</v>
      </c>
      <c r="H67" s="29">
        <f>D67*E67*F67*G67/30</f>
        <v>72000</v>
      </c>
      <c r="I67" s="29">
        <f>D67*(E67-J67)*F67*G67/30</f>
        <v>47999.999999999993</v>
      </c>
      <c r="J67" s="137">
        <v>2.5000000000000001E-2</v>
      </c>
      <c r="K67" s="320"/>
    </row>
    <row r="68" spans="1:11" s="140" customFormat="1" ht="64.8">
      <c r="A68" s="139" t="s">
        <v>2542</v>
      </c>
      <c r="B68" s="139" t="s">
        <v>3801</v>
      </c>
      <c r="C68" s="161" t="s">
        <v>2443</v>
      </c>
      <c r="D68" s="179">
        <v>80000</v>
      </c>
      <c r="E68" s="167">
        <v>7.4999999999999997E-2</v>
      </c>
      <c r="F68" s="168">
        <v>15</v>
      </c>
      <c r="G68" s="29">
        <v>20</v>
      </c>
      <c r="H68" s="29">
        <f>D68*E68*F68*G68/30</f>
        <v>60000</v>
      </c>
      <c r="I68" s="29">
        <f>D68*(E68-J68)*F68*G68/30</f>
        <v>39999.999999999993</v>
      </c>
      <c r="J68" s="137">
        <v>2.5000000000000001E-2</v>
      </c>
      <c r="K68" s="12" t="s">
        <v>3375</v>
      </c>
    </row>
    <row r="69" spans="1:11" s="140" customFormat="1">
      <c r="A69" s="139" t="s">
        <v>936</v>
      </c>
      <c r="B69" s="139" t="s">
        <v>2963</v>
      </c>
      <c r="C69" s="161" t="s">
        <v>2966</v>
      </c>
      <c r="D69" s="179">
        <v>85000</v>
      </c>
      <c r="E69" s="167">
        <v>7.4999999999999997E-2</v>
      </c>
      <c r="F69" s="168">
        <v>30</v>
      </c>
      <c r="G69" s="190" t="s">
        <v>385</v>
      </c>
      <c r="H69" s="190" t="s">
        <v>385</v>
      </c>
      <c r="I69" s="190" t="s">
        <v>385</v>
      </c>
      <c r="J69" s="137">
        <v>2.5000000000000001E-2</v>
      </c>
      <c r="K69" s="164" t="s">
        <v>2964</v>
      </c>
    </row>
    <row r="70" spans="1:11" ht="64.8">
      <c r="A70" s="11" t="s">
        <v>474</v>
      </c>
      <c r="B70" s="11" t="s">
        <v>475</v>
      </c>
      <c r="C70" s="139" t="s">
        <v>2443</v>
      </c>
      <c r="D70" s="180">
        <v>250000</v>
      </c>
      <c r="E70" s="224">
        <v>7.4999999999999997E-2</v>
      </c>
      <c r="F70" s="226">
        <v>15</v>
      </c>
      <c r="G70" s="49">
        <f>10*2</f>
        <v>20</v>
      </c>
      <c r="H70" s="49">
        <f>D70*E70*F70*G70/30</f>
        <v>187500</v>
      </c>
      <c r="I70" s="49">
        <f>D70*(E70-J70)*F70*G70/30</f>
        <v>124999.99999999999</v>
      </c>
      <c r="J70" s="137">
        <v>2.5000000000000001E-2</v>
      </c>
      <c r="K70" s="10" t="s">
        <v>3376</v>
      </c>
    </row>
    <row r="71" spans="1:11">
      <c r="A71" s="139" t="s">
        <v>936</v>
      </c>
      <c r="B71" s="11" t="s">
        <v>2460</v>
      </c>
      <c r="C71" s="139" t="s">
        <v>2461</v>
      </c>
      <c r="D71" s="180">
        <v>30000</v>
      </c>
      <c r="E71" s="224">
        <v>7.4999999999999997E-2</v>
      </c>
      <c r="F71" s="226">
        <v>15</v>
      </c>
      <c r="G71" s="190" t="s">
        <v>385</v>
      </c>
      <c r="H71" s="190" t="s">
        <v>385</v>
      </c>
      <c r="I71" s="190" t="s">
        <v>385</v>
      </c>
      <c r="J71" s="167" t="s">
        <v>2935</v>
      </c>
      <c r="K71" s="10" t="s">
        <v>1847</v>
      </c>
    </row>
    <row r="72" spans="1:11">
      <c r="A72" s="321" t="s">
        <v>474</v>
      </c>
      <c r="B72" s="318" t="s">
        <v>1883</v>
      </c>
      <c r="C72" s="229" t="s">
        <v>1885</v>
      </c>
      <c r="D72" s="180">
        <v>35000</v>
      </c>
      <c r="E72" s="167" t="s">
        <v>2934</v>
      </c>
      <c r="F72" s="226">
        <v>30</v>
      </c>
      <c r="G72" s="190" t="s">
        <v>385</v>
      </c>
      <c r="H72" s="314">
        <v>45900</v>
      </c>
      <c r="I72" s="314" t="s">
        <v>1873</v>
      </c>
      <c r="J72" s="167" t="s">
        <v>2935</v>
      </c>
      <c r="K72" s="318" t="s">
        <v>1886</v>
      </c>
    </row>
    <row r="73" spans="1:11">
      <c r="A73" s="322"/>
      <c r="B73" s="319"/>
      <c r="C73" s="232" t="s">
        <v>1884</v>
      </c>
      <c r="D73" s="180">
        <v>40000</v>
      </c>
      <c r="E73" s="224">
        <v>7.4999999999999997E-2</v>
      </c>
      <c r="F73" s="226">
        <v>30</v>
      </c>
      <c r="G73" s="190" t="s">
        <v>385</v>
      </c>
      <c r="H73" s="315"/>
      <c r="I73" s="315"/>
      <c r="J73" s="137">
        <v>2.5000000000000001E-2</v>
      </c>
      <c r="K73" s="319"/>
    </row>
    <row r="74" spans="1:11">
      <c r="A74" s="303" t="s">
        <v>941</v>
      </c>
      <c r="B74" s="304"/>
      <c r="C74" s="304"/>
      <c r="D74" s="304"/>
      <c r="E74" s="304"/>
      <c r="F74" s="304"/>
      <c r="G74" s="305"/>
      <c r="H74" s="62">
        <f>SUBTOTAL(9,H66:H73)</f>
        <v>443700</v>
      </c>
      <c r="I74" s="62">
        <f>SUBTOTAL(9,I66:I73)</f>
        <v>256499.99999999994</v>
      </c>
      <c r="J74" s="137"/>
      <c r="K74" s="186"/>
    </row>
    <row r="75" spans="1:11" s="140" customFormat="1" ht="34.799999999999997" customHeight="1">
      <c r="A75" s="308" t="s">
        <v>476</v>
      </c>
      <c r="B75" s="323" t="s">
        <v>2228</v>
      </c>
      <c r="C75" s="171" t="s">
        <v>2933</v>
      </c>
      <c r="D75" s="179">
        <v>60000</v>
      </c>
      <c r="E75" s="167" t="s">
        <v>2934</v>
      </c>
      <c r="F75" s="168">
        <v>15</v>
      </c>
      <c r="G75" s="168" t="s">
        <v>385</v>
      </c>
      <c r="H75" s="168" t="s">
        <v>385</v>
      </c>
      <c r="I75" s="168" t="s">
        <v>385</v>
      </c>
      <c r="J75" s="167" t="s">
        <v>2935</v>
      </c>
      <c r="K75" s="306" t="s">
        <v>3566</v>
      </c>
    </row>
    <row r="76" spans="1:11" ht="31.8" customHeight="1">
      <c r="A76" s="309"/>
      <c r="B76" s="324"/>
      <c r="C76" s="139" t="s">
        <v>2530</v>
      </c>
      <c r="D76" s="180">
        <v>20000</v>
      </c>
      <c r="E76" s="224">
        <v>7.4999999999999997E-2</v>
      </c>
      <c r="F76" s="226">
        <v>15</v>
      </c>
      <c r="G76" s="49">
        <v>0</v>
      </c>
      <c r="H76" s="49">
        <f>D76*E76*F76*G76/30</f>
        <v>0</v>
      </c>
      <c r="I76" s="49">
        <f>D76*(E76-J76)*F76*G76/30</f>
        <v>0</v>
      </c>
      <c r="J76" s="137">
        <v>2.5000000000000001E-2</v>
      </c>
      <c r="K76" s="307"/>
    </row>
    <row r="77" spans="1:11" s="140" customFormat="1" ht="32.4">
      <c r="A77" s="139" t="s">
        <v>472</v>
      </c>
      <c r="B77" s="139" t="s">
        <v>3194</v>
      </c>
      <c r="C77" s="139" t="s">
        <v>4062</v>
      </c>
      <c r="D77" s="202" t="s">
        <v>2448</v>
      </c>
      <c r="E77" s="167" t="s">
        <v>2934</v>
      </c>
      <c r="F77" s="168">
        <v>15</v>
      </c>
      <c r="G77" s="168" t="s">
        <v>1335</v>
      </c>
      <c r="H77" s="168" t="s">
        <v>1335</v>
      </c>
      <c r="I77" s="168" t="s">
        <v>1335</v>
      </c>
      <c r="J77" s="167" t="s">
        <v>2935</v>
      </c>
      <c r="K77" s="188" t="s">
        <v>4063</v>
      </c>
    </row>
    <row r="78" spans="1:11" s="140" customFormat="1">
      <c r="A78" s="139" t="s">
        <v>2403</v>
      </c>
      <c r="B78" s="139" t="s">
        <v>3201</v>
      </c>
      <c r="C78" s="139" t="s">
        <v>2945</v>
      </c>
      <c r="D78" s="180">
        <v>60000</v>
      </c>
      <c r="E78" s="224">
        <v>7.4999999999999997E-2</v>
      </c>
      <c r="F78" s="226">
        <v>15</v>
      </c>
      <c r="G78" s="29">
        <v>42</v>
      </c>
      <c r="H78" s="49">
        <f>D78*E78*F78*G78/30</f>
        <v>94500</v>
      </c>
      <c r="I78" s="49">
        <f>D78*(E78-J78)*F78*G78/30</f>
        <v>62999.999999999993</v>
      </c>
      <c r="J78" s="137">
        <v>2.5000000000000001E-2</v>
      </c>
      <c r="K78" s="188" t="s">
        <v>3567</v>
      </c>
    </row>
    <row r="79" spans="1:11" s="140" customFormat="1" outlineLevel="2">
      <c r="A79" s="12" t="s">
        <v>472</v>
      </c>
      <c r="B79" s="12" t="s">
        <v>3215</v>
      </c>
      <c r="C79" s="139" t="s">
        <v>2540</v>
      </c>
      <c r="D79" s="203">
        <v>100000</v>
      </c>
      <c r="E79" s="167">
        <v>7.4999999999999997E-2</v>
      </c>
      <c r="F79" s="168">
        <v>15</v>
      </c>
      <c r="G79" s="168" t="s">
        <v>1335</v>
      </c>
      <c r="H79" s="168" t="s">
        <v>1335</v>
      </c>
      <c r="I79" s="168" t="s">
        <v>1335</v>
      </c>
      <c r="J79" s="137">
        <v>2.5000000000000001E-2</v>
      </c>
      <c r="K79" s="204" t="s">
        <v>2930</v>
      </c>
    </row>
    <row r="80" spans="1:11" s="140" customFormat="1" ht="64.8">
      <c r="A80" s="162" t="s">
        <v>472</v>
      </c>
      <c r="B80" s="139" t="s">
        <v>3993</v>
      </c>
      <c r="C80" s="139" t="s">
        <v>2395</v>
      </c>
      <c r="D80" s="179">
        <v>150000</v>
      </c>
      <c r="E80" s="167">
        <v>7.4999999999999997E-2</v>
      </c>
      <c r="F80" s="168">
        <v>15</v>
      </c>
      <c r="G80" s="29">
        <v>44</v>
      </c>
      <c r="H80" s="29">
        <f>D80*E80*F80*G80/30</f>
        <v>247500</v>
      </c>
      <c r="I80" s="29">
        <f>D80*(E80-J80)*F80*G80/30</f>
        <v>164999.99999999997</v>
      </c>
      <c r="J80" s="137">
        <v>2.5000000000000001E-2</v>
      </c>
      <c r="K80" s="12" t="s">
        <v>3377</v>
      </c>
    </row>
    <row r="81" spans="1:11" s="140" customFormat="1">
      <c r="A81" s="26" t="s">
        <v>477</v>
      </c>
      <c r="B81" s="26" t="s">
        <v>2229</v>
      </c>
      <c r="C81" s="138" t="s">
        <v>2946</v>
      </c>
      <c r="D81" s="179">
        <v>600000</v>
      </c>
      <c r="E81" s="167">
        <v>7.4999999999999997E-2</v>
      </c>
      <c r="F81" s="168">
        <v>15</v>
      </c>
      <c r="G81" s="29">
        <v>4</v>
      </c>
      <c r="H81" s="29">
        <f>D81*E81*F81*G81/30</f>
        <v>90000</v>
      </c>
      <c r="I81" s="29">
        <f>D81*(E81-J81)*F81*G81/30</f>
        <v>59999.999999999993</v>
      </c>
      <c r="J81" s="137">
        <v>2.5000000000000001E-2</v>
      </c>
      <c r="K81" s="188" t="s">
        <v>2929</v>
      </c>
    </row>
    <row r="82" spans="1:11" s="140" customFormat="1" ht="64.8">
      <c r="A82" s="138" t="s">
        <v>472</v>
      </c>
      <c r="B82" s="141" t="s">
        <v>1033</v>
      </c>
      <c r="C82" s="138" t="s">
        <v>2444</v>
      </c>
      <c r="D82" s="179">
        <v>160000</v>
      </c>
      <c r="E82" s="167">
        <v>7.4999999999999997E-2</v>
      </c>
      <c r="F82" s="168">
        <v>15</v>
      </c>
      <c r="G82" s="29">
        <v>38</v>
      </c>
      <c r="H82" s="29">
        <f>D82*E82*F82*G82/30</f>
        <v>228000</v>
      </c>
      <c r="I82" s="29">
        <f>D82*(E82-J82)*F82*G82/30</f>
        <v>151999.99999999997</v>
      </c>
      <c r="J82" s="137">
        <v>2.5000000000000001E-2</v>
      </c>
      <c r="K82" s="12" t="s">
        <v>3378</v>
      </c>
    </row>
    <row r="83" spans="1:11" s="140" customFormat="1" ht="32.4">
      <c r="A83" s="138" t="s">
        <v>938</v>
      </c>
      <c r="B83" s="139" t="s">
        <v>2445</v>
      </c>
      <c r="C83" s="138" t="s">
        <v>2449</v>
      </c>
      <c r="D83" s="179" t="s">
        <v>2447</v>
      </c>
      <c r="E83" s="167">
        <v>7.4999999999999997E-2</v>
      </c>
      <c r="F83" s="168">
        <v>15</v>
      </c>
      <c r="G83" s="168" t="s">
        <v>385</v>
      </c>
      <c r="H83" s="168" t="s">
        <v>385</v>
      </c>
      <c r="I83" s="168" t="s">
        <v>385</v>
      </c>
      <c r="J83" s="137">
        <v>2.5000000000000001E-2</v>
      </c>
      <c r="K83" s="12" t="s">
        <v>2446</v>
      </c>
    </row>
    <row r="84" spans="1:11">
      <c r="A84" s="11" t="s">
        <v>472</v>
      </c>
      <c r="B84" s="11" t="s">
        <v>2402</v>
      </c>
      <c r="C84" s="139" t="s">
        <v>2396</v>
      </c>
      <c r="D84" s="180">
        <v>60000</v>
      </c>
      <c r="E84" s="224">
        <v>7.4999999999999997E-2</v>
      </c>
      <c r="F84" s="226">
        <v>15</v>
      </c>
      <c r="G84" s="49">
        <v>29</v>
      </c>
      <c r="H84" s="49">
        <f>D84*E84*F84*G84/30</f>
        <v>65250</v>
      </c>
      <c r="I84" s="49">
        <f>D84*(E84-J84)*F84*G84/30</f>
        <v>43499.999999999993</v>
      </c>
      <c r="J84" s="137">
        <v>2.5000000000000001E-2</v>
      </c>
      <c r="K84" s="186" t="s">
        <v>3568</v>
      </c>
    </row>
    <row r="85" spans="1:11">
      <c r="A85" s="11" t="s">
        <v>938</v>
      </c>
      <c r="B85" s="194" t="s">
        <v>2450</v>
      </c>
      <c r="C85" s="139" t="s">
        <v>2451</v>
      </c>
      <c r="D85" s="179" t="s">
        <v>2453</v>
      </c>
      <c r="E85" s="224">
        <v>7.4999999999999997E-2</v>
      </c>
      <c r="F85" s="226">
        <v>15</v>
      </c>
      <c r="G85" s="168" t="s">
        <v>385</v>
      </c>
      <c r="H85" s="168" t="s">
        <v>385</v>
      </c>
      <c r="I85" s="168" t="s">
        <v>385</v>
      </c>
      <c r="J85" s="137">
        <v>2.5000000000000001E-2</v>
      </c>
      <c r="K85" s="195" t="s">
        <v>2452</v>
      </c>
    </row>
    <row r="86" spans="1:11">
      <c r="A86" s="11" t="s">
        <v>938</v>
      </c>
      <c r="B86" s="194" t="s">
        <v>2456</v>
      </c>
      <c r="C86" s="139" t="s">
        <v>2457</v>
      </c>
      <c r="D86" s="179">
        <v>90000</v>
      </c>
      <c r="E86" s="224">
        <v>7.4999999999999997E-2</v>
      </c>
      <c r="F86" s="226">
        <v>15</v>
      </c>
      <c r="G86" s="168">
        <v>13</v>
      </c>
      <c r="H86" s="49">
        <f>D86*E86*F86*G86/30</f>
        <v>43875</v>
      </c>
      <c r="I86" s="49">
        <f>D86*(E86-J86)*F86*G86/30</f>
        <v>29250</v>
      </c>
      <c r="J86" s="137">
        <v>2.5000000000000001E-2</v>
      </c>
      <c r="K86" s="195" t="s">
        <v>2458</v>
      </c>
    </row>
    <row r="87" spans="1:11" s="140" customFormat="1" ht="47.4" customHeight="1">
      <c r="A87" s="321" t="s">
        <v>478</v>
      </c>
      <c r="B87" s="306" t="s">
        <v>2459</v>
      </c>
      <c r="C87" s="139" t="s">
        <v>2397</v>
      </c>
      <c r="D87" s="179">
        <v>20000</v>
      </c>
      <c r="E87" s="167">
        <v>7.4999999999999997E-2</v>
      </c>
      <c r="F87" s="168">
        <v>15</v>
      </c>
      <c r="G87" s="29">
        <v>2</v>
      </c>
      <c r="H87" s="29">
        <f>D87*E87*F87*G87/30</f>
        <v>1500</v>
      </c>
      <c r="I87" s="29">
        <f>D87*(E87-J87)*F87*G87/30</f>
        <v>999.99999999999989</v>
      </c>
      <c r="J87" s="137">
        <v>2.5000000000000001E-2</v>
      </c>
      <c r="K87" s="306" t="s">
        <v>4064</v>
      </c>
    </row>
    <row r="88" spans="1:11" s="140" customFormat="1" ht="52.2" customHeight="1">
      <c r="A88" s="322"/>
      <c r="B88" s="307"/>
      <c r="C88" s="139" t="s">
        <v>2398</v>
      </c>
      <c r="D88" s="179">
        <v>50000</v>
      </c>
      <c r="E88" s="167">
        <v>7.4999999999999997E-2</v>
      </c>
      <c r="F88" s="168">
        <v>15</v>
      </c>
      <c r="G88" s="29">
        <v>1</v>
      </c>
      <c r="H88" s="29">
        <f>D88*E88*F88*G88/30</f>
        <v>1875</v>
      </c>
      <c r="I88" s="29">
        <f>D88*(E88-J88)*F88*G88/30</f>
        <v>1250</v>
      </c>
      <c r="J88" s="137">
        <v>2.5000000000000001E-2</v>
      </c>
      <c r="K88" s="320"/>
    </row>
    <row r="89" spans="1:11" s="140" customFormat="1">
      <c r="A89" s="139" t="s">
        <v>938</v>
      </c>
      <c r="B89" s="139" t="s">
        <v>2462</v>
      </c>
      <c r="C89" s="139" t="s">
        <v>4065</v>
      </c>
      <c r="D89" s="179">
        <v>10000</v>
      </c>
      <c r="E89" s="167">
        <v>7.4999999999999997E-2</v>
      </c>
      <c r="F89" s="168">
        <v>15</v>
      </c>
      <c r="G89" s="29">
        <v>0</v>
      </c>
      <c r="H89" s="29">
        <f>D89*E89*F89*G89/30</f>
        <v>0</v>
      </c>
      <c r="I89" s="29">
        <f>D89*(E89-J89)*F89*G89/30</f>
        <v>0</v>
      </c>
      <c r="J89" s="137">
        <v>2.5000000000000001E-2</v>
      </c>
      <c r="K89" s="175" t="s">
        <v>2463</v>
      </c>
    </row>
    <row r="90" spans="1:11">
      <c r="A90" s="303" t="s">
        <v>3569</v>
      </c>
      <c r="B90" s="304"/>
      <c r="C90" s="304"/>
      <c r="D90" s="304"/>
      <c r="E90" s="304"/>
      <c r="F90" s="304"/>
      <c r="G90" s="305"/>
      <c r="H90" s="62">
        <f>SUBTOTAL(9,H75:H89)</f>
        <v>772500</v>
      </c>
      <c r="I90" s="62">
        <f>SUBTOTAL(9,I75:I89)</f>
        <v>514999.99999999988</v>
      </c>
      <c r="J90" s="137"/>
      <c r="K90" s="186"/>
    </row>
    <row r="91" spans="1:11" s="159" customFormat="1">
      <c r="A91" s="19" t="s">
        <v>3192</v>
      </c>
      <c r="B91" s="160" t="s">
        <v>1848</v>
      </c>
      <c r="C91" s="160" t="s">
        <v>2947</v>
      </c>
      <c r="D91" s="177">
        <v>70000</v>
      </c>
      <c r="E91" s="167">
        <v>7.4999999999999997E-2</v>
      </c>
      <c r="F91" s="168">
        <v>15</v>
      </c>
      <c r="G91" s="168" t="s">
        <v>385</v>
      </c>
      <c r="H91" s="168" t="s">
        <v>385</v>
      </c>
      <c r="I91" s="168" t="s">
        <v>385</v>
      </c>
      <c r="J91" s="137">
        <v>2.5000000000000001E-2</v>
      </c>
      <c r="K91" s="10" t="s">
        <v>1852</v>
      </c>
    </row>
    <row r="92" spans="1:11" s="159" customFormat="1">
      <c r="A92" s="19" t="s">
        <v>3192</v>
      </c>
      <c r="B92" s="160" t="s">
        <v>1849</v>
      </c>
      <c r="C92" s="160" t="s">
        <v>2978</v>
      </c>
      <c r="D92" s="177">
        <v>100000</v>
      </c>
      <c r="E92" s="167">
        <v>7.4999999999999997E-2</v>
      </c>
      <c r="F92" s="168">
        <v>15</v>
      </c>
      <c r="G92" s="168">
        <v>11</v>
      </c>
      <c r="H92" s="29">
        <f>D92*E92*F92*G92/30</f>
        <v>41250</v>
      </c>
      <c r="I92" s="29">
        <f>D92*(E92-J92)*F92*G92/30</f>
        <v>27500</v>
      </c>
      <c r="J92" s="137">
        <v>2.5000000000000001E-2</v>
      </c>
      <c r="K92" s="10" t="s">
        <v>1853</v>
      </c>
    </row>
    <row r="93" spans="1:11" s="159" customFormat="1">
      <c r="A93" s="19" t="s">
        <v>3192</v>
      </c>
      <c r="B93" s="160" t="s">
        <v>2980</v>
      </c>
      <c r="C93" s="160" t="s">
        <v>4067</v>
      </c>
      <c r="D93" s="177">
        <v>300000</v>
      </c>
      <c r="E93" s="167">
        <v>7.4999999999999997E-2</v>
      </c>
      <c r="F93" s="168">
        <v>15</v>
      </c>
      <c r="G93" s="168">
        <v>12</v>
      </c>
      <c r="H93" s="29">
        <f>D93*E93*F93*G93/30</f>
        <v>135000</v>
      </c>
      <c r="I93" s="29">
        <f>D93*(E93-J93)*F93*G93/30</f>
        <v>89999.999999999985</v>
      </c>
      <c r="J93" s="137">
        <v>2.5000000000000001E-2</v>
      </c>
      <c r="K93" s="12" t="s">
        <v>4066</v>
      </c>
    </row>
    <row r="94" spans="1:11" s="159" customFormat="1" ht="52.8" customHeight="1">
      <c r="A94" s="308" t="s">
        <v>3192</v>
      </c>
      <c r="B94" s="308" t="s">
        <v>1850</v>
      </c>
      <c r="C94" s="160" t="s">
        <v>2981</v>
      </c>
      <c r="D94" s="177">
        <v>30000</v>
      </c>
      <c r="E94" s="167">
        <v>0.06</v>
      </c>
      <c r="F94" s="193" t="s">
        <v>3200</v>
      </c>
      <c r="G94" s="168">
        <v>10</v>
      </c>
      <c r="H94" s="29">
        <f>150*3*10</f>
        <v>4500</v>
      </c>
      <c r="I94" s="152">
        <f>H94*(E94-J94)/E94</f>
        <v>2624.9999999999995</v>
      </c>
      <c r="J94" s="137">
        <v>2.5000000000000001E-2</v>
      </c>
      <c r="K94" s="306" t="s">
        <v>2377</v>
      </c>
    </row>
    <row r="95" spans="1:11" s="159" customFormat="1" ht="49.8" customHeight="1">
      <c r="A95" s="309"/>
      <c r="B95" s="309"/>
      <c r="C95" s="160" t="s">
        <v>2982</v>
      </c>
      <c r="D95" s="177">
        <v>10000</v>
      </c>
      <c r="E95" s="167">
        <v>7.0000000000000007E-2</v>
      </c>
      <c r="F95" s="193" t="s">
        <v>3200</v>
      </c>
      <c r="G95" s="168">
        <v>7</v>
      </c>
      <c r="H95" s="29">
        <f>175*7</f>
        <v>1225</v>
      </c>
      <c r="I95" s="152">
        <f>H95*(E95-J95)/E95</f>
        <v>787.5</v>
      </c>
      <c r="J95" s="137">
        <v>2.5000000000000001E-2</v>
      </c>
      <c r="K95" s="307"/>
    </row>
    <row r="96" spans="1:11" s="159" customFormat="1">
      <c r="A96" s="19" t="s">
        <v>3192</v>
      </c>
      <c r="B96" s="160" t="s">
        <v>2455</v>
      </c>
      <c r="C96" s="160" t="s">
        <v>2454</v>
      </c>
      <c r="D96" s="177">
        <v>30000</v>
      </c>
      <c r="E96" s="167">
        <v>7.4999999999999997E-2</v>
      </c>
      <c r="F96" s="168">
        <v>15</v>
      </c>
      <c r="G96" s="168" t="s">
        <v>1335</v>
      </c>
      <c r="H96" s="168" t="s">
        <v>1335</v>
      </c>
      <c r="I96" s="168" t="s">
        <v>1335</v>
      </c>
      <c r="J96" s="137">
        <v>2.5000000000000001E-2</v>
      </c>
      <c r="K96" s="164" t="s">
        <v>4068</v>
      </c>
    </row>
    <row r="97" spans="1:11" s="159" customFormat="1">
      <c r="A97" s="308" t="s">
        <v>3192</v>
      </c>
      <c r="B97" s="308" t="s">
        <v>4077</v>
      </c>
      <c r="C97" s="308" t="s">
        <v>4076</v>
      </c>
      <c r="D97" s="177">
        <v>280000</v>
      </c>
      <c r="E97" s="167">
        <v>7.4999999999999997E-2</v>
      </c>
      <c r="F97" s="168">
        <v>15</v>
      </c>
      <c r="G97" s="168">
        <v>6</v>
      </c>
      <c r="H97" s="29">
        <f>D97*E97*F97*G97/30</f>
        <v>63000</v>
      </c>
      <c r="I97" s="29">
        <f>D97*(E97-J97)*F97*G97/30</f>
        <v>41999.999999999993</v>
      </c>
      <c r="J97" s="137">
        <v>2.5000000000000001E-2</v>
      </c>
      <c r="K97" s="306" t="s">
        <v>4075</v>
      </c>
    </row>
    <row r="98" spans="1:11" s="159" customFormat="1">
      <c r="A98" s="309"/>
      <c r="B98" s="309"/>
      <c r="C98" s="309"/>
      <c r="D98" s="177">
        <v>180000</v>
      </c>
      <c r="E98" s="167">
        <v>7.4999999999999997E-2</v>
      </c>
      <c r="F98" s="168">
        <v>15</v>
      </c>
      <c r="G98" s="168">
        <v>20</v>
      </c>
      <c r="H98" s="29">
        <f>D98*E98*F98*G98/30</f>
        <v>135000</v>
      </c>
      <c r="I98" s="29">
        <f>D98*(E98-J98)*F98*G98/30</f>
        <v>90000</v>
      </c>
      <c r="J98" s="137">
        <v>2.5000000000000001E-2</v>
      </c>
      <c r="K98" s="307"/>
    </row>
    <row r="99" spans="1:11" s="159" customFormat="1">
      <c r="A99" s="19" t="s">
        <v>3192</v>
      </c>
      <c r="B99" s="160" t="s">
        <v>2464</v>
      </c>
      <c r="C99" s="160" t="s">
        <v>4074</v>
      </c>
      <c r="D99" s="177">
        <v>30000</v>
      </c>
      <c r="E99" s="167">
        <v>7.4999999999999997E-2</v>
      </c>
      <c r="F99" s="168">
        <v>15</v>
      </c>
      <c r="G99" s="168" t="s">
        <v>1335</v>
      </c>
      <c r="H99" s="168" t="s">
        <v>1335</v>
      </c>
      <c r="I99" s="168" t="s">
        <v>1335</v>
      </c>
      <c r="J99" s="137">
        <v>2.5000000000000001E-2</v>
      </c>
      <c r="K99" s="164" t="s">
        <v>4073</v>
      </c>
    </row>
    <row r="100" spans="1:11" s="159" customFormat="1" ht="48.6" customHeight="1">
      <c r="A100" s="316" t="s">
        <v>3192</v>
      </c>
      <c r="B100" s="308" t="s">
        <v>2465</v>
      </c>
      <c r="C100" s="200" t="s">
        <v>4070</v>
      </c>
      <c r="D100" s="177">
        <v>20000</v>
      </c>
      <c r="E100" s="167">
        <v>7.0000000000000007E-2</v>
      </c>
      <c r="F100" s="193" t="s">
        <v>2527</v>
      </c>
      <c r="G100" s="168">
        <v>10</v>
      </c>
      <c r="H100" s="29">
        <f>175*2*10</f>
        <v>3500</v>
      </c>
      <c r="I100" s="152">
        <f>H100*(E100-J100)/E100</f>
        <v>2250</v>
      </c>
      <c r="J100" s="137">
        <v>2.5000000000000001E-2</v>
      </c>
      <c r="K100" s="306" t="s">
        <v>4071</v>
      </c>
    </row>
    <row r="101" spans="1:11" s="159" customFormat="1">
      <c r="A101" s="317"/>
      <c r="B101" s="309"/>
      <c r="C101" s="26" t="s">
        <v>4069</v>
      </c>
      <c r="D101" s="177">
        <v>10000</v>
      </c>
      <c r="E101" s="167">
        <v>7.4999999999999997E-2</v>
      </c>
      <c r="F101" s="168">
        <v>15</v>
      </c>
      <c r="G101" s="168" t="s">
        <v>1335</v>
      </c>
      <c r="H101" s="168" t="s">
        <v>1335</v>
      </c>
      <c r="I101" s="168" t="s">
        <v>1335</v>
      </c>
      <c r="J101" s="137">
        <v>2.5000000000000001E-2</v>
      </c>
      <c r="K101" s="307"/>
    </row>
    <row r="102" spans="1:11" s="159" customFormat="1">
      <c r="A102" s="19" t="s">
        <v>3192</v>
      </c>
      <c r="B102" s="160" t="s">
        <v>1851</v>
      </c>
      <c r="C102" s="160" t="s">
        <v>4072</v>
      </c>
      <c r="D102" s="177">
        <v>60000</v>
      </c>
      <c r="E102" s="167">
        <v>7.4999999999999997E-2</v>
      </c>
      <c r="F102" s="168">
        <v>15</v>
      </c>
      <c r="G102" s="168">
        <v>36</v>
      </c>
      <c r="H102" s="29">
        <f>D102*E102*F102*G102/30</f>
        <v>81000</v>
      </c>
      <c r="I102" s="29">
        <f>D102*(E102-J102)*F102*G102/30</f>
        <v>53999.999999999993</v>
      </c>
      <c r="J102" s="137">
        <v>2.5000000000000001E-2</v>
      </c>
      <c r="K102" s="164" t="s">
        <v>4080</v>
      </c>
    </row>
    <row r="103" spans="1:11" s="159" customFormat="1" ht="32.4">
      <c r="A103" s="19" t="s">
        <v>3192</v>
      </c>
      <c r="B103" s="160" t="s">
        <v>4078</v>
      </c>
      <c r="C103" s="160" t="s">
        <v>3509</v>
      </c>
      <c r="D103" s="177">
        <v>20000</v>
      </c>
      <c r="E103" s="167">
        <v>7.4999999999999997E-2</v>
      </c>
      <c r="F103" s="168">
        <v>15</v>
      </c>
      <c r="G103" s="168" t="s">
        <v>1335</v>
      </c>
      <c r="H103" s="168" t="s">
        <v>1335</v>
      </c>
      <c r="I103" s="168" t="s">
        <v>1335</v>
      </c>
      <c r="J103" s="137">
        <v>2.5000000000000001E-2</v>
      </c>
      <c r="K103" s="164" t="s">
        <v>3510</v>
      </c>
    </row>
    <row r="104" spans="1:11">
      <c r="A104" s="303" t="s">
        <v>3193</v>
      </c>
      <c r="B104" s="304"/>
      <c r="C104" s="304"/>
      <c r="D104" s="304"/>
      <c r="E104" s="304"/>
      <c r="F104" s="304"/>
      <c r="G104" s="305"/>
      <c r="H104" s="62">
        <f>SUM(H91:H103)</f>
        <v>464475</v>
      </c>
      <c r="I104" s="62">
        <f>SUM(I91:I103)</f>
        <v>309162.49999999994</v>
      </c>
      <c r="J104" s="137"/>
      <c r="K104" s="186"/>
    </row>
    <row r="105" spans="1:11" s="159" customFormat="1" ht="32.4">
      <c r="A105" s="19" t="s">
        <v>2950</v>
      </c>
      <c r="B105" s="160" t="s">
        <v>2952</v>
      </c>
      <c r="C105" s="160" t="s">
        <v>2953</v>
      </c>
      <c r="D105" s="177">
        <v>380000</v>
      </c>
      <c r="E105" s="167">
        <v>7.4999999999999997E-2</v>
      </c>
      <c r="F105" s="168">
        <v>15</v>
      </c>
      <c r="G105" s="168">
        <v>50</v>
      </c>
      <c r="H105" s="29">
        <f>D105*E105*F105*G105/30</f>
        <v>712500</v>
      </c>
      <c r="I105" s="29">
        <f>D105*(E105-J105)*F105*G105/30</f>
        <v>475000</v>
      </c>
      <c r="J105" s="137">
        <v>2.5000000000000001E-2</v>
      </c>
      <c r="K105" s="10" t="s">
        <v>4079</v>
      </c>
    </row>
    <row r="106" spans="1:11" s="159" customFormat="1" ht="32.4">
      <c r="A106" s="19" t="s">
        <v>2950</v>
      </c>
      <c r="B106" s="160" t="s">
        <v>1854</v>
      </c>
      <c r="C106" s="160" t="s">
        <v>2961</v>
      </c>
      <c r="D106" s="177">
        <v>300000</v>
      </c>
      <c r="E106" s="167">
        <v>7.4999999999999997E-2</v>
      </c>
      <c r="F106" s="168">
        <v>15</v>
      </c>
      <c r="G106" s="168" t="s">
        <v>1335</v>
      </c>
      <c r="H106" s="168" t="s">
        <v>1335</v>
      </c>
      <c r="I106" s="168" t="s">
        <v>1335</v>
      </c>
      <c r="J106" s="137">
        <v>2.5000000000000001E-2</v>
      </c>
      <c r="K106" s="12" t="s">
        <v>1475</v>
      </c>
    </row>
    <row r="107" spans="1:11">
      <c r="A107" s="303" t="s">
        <v>2951</v>
      </c>
      <c r="B107" s="304"/>
      <c r="C107" s="304"/>
      <c r="D107" s="304"/>
      <c r="E107" s="304"/>
      <c r="F107" s="304"/>
      <c r="G107" s="305"/>
      <c r="H107" s="62">
        <f>SUM(H105:H106)</f>
        <v>712500</v>
      </c>
      <c r="I107" s="62">
        <f>SUM(I105:I106)</f>
        <v>475000</v>
      </c>
      <c r="J107" s="137"/>
      <c r="K107" s="186"/>
    </row>
    <row r="108" spans="1:11">
      <c r="A108" s="311" t="s">
        <v>3570</v>
      </c>
      <c r="B108" s="312"/>
      <c r="C108" s="312"/>
      <c r="D108" s="312"/>
      <c r="E108" s="312"/>
      <c r="F108" s="312"/>
      <c r="G108" s="313"/>
      <c r="H108" s="62">
        <f>H6+H28+H65+H74+H90+H104+H107</f>
        <v>3970500</v>
      </c>
      <c r="I108" s="62">
        <f>I6+I28+I65+I74+I90+I104+I107</f>
        <v>2514529.1666666665</v>
      </c>
      <c r="J108" s="137"/>
      <c r="K108" s="186"/>
    </row>
    <row r="109" spans="1:11">
      <c r="A109" s="174" t="s">
        <v>192</v>
      </c>
      <c r="B109" s="310" t="s">
        <v>3552</v>
      </c>
      <c r="C109" s="310"/>
      <c r="D109" s="310"/>
      <c r="E109" s="310"/>
      <c r="F109" s="310"/>
      <c r="G109" s="310"/>
      <c r="H109" s="310"/>
      <c r="I109" s="310"/>
      <c r="J109" s="310"/>
      <c r="K109" s="310"/>
    </row>
    <row r="110" spans="1:11" ht="40.200000000000003" customHeight="1">
      <c r="A110" s="174" t="s">
        <v>3553</v>
      </c>
      <c r="B110" s="283" t="s">
        <v>3379</v>
      </c>
      <c r="C110" s="283"/>
      <c r="D110" s="283"/>
      <c r="E110" s="283"/>
      <c r="F110" s="283"/>
      <c r="G110" s="283"/>
      <c r="H110" s="283"/>
      <c r="I110" s="283"/>
      <c r="J110" s="283"/>
      <c r="K110" s="283"/>
    </row>
    <row r="111" spans="1:11" ht="50.4" customHeight="1">
      <c r="A111" s="174" t="s">
        <v>3870</v>
      </c>
      <c r="B111" s="283" t="s">
        <v>3750</v>
      </c>
      <c r="C111" s="283"/>
      <c r="D111" s="283"/>
      <c r="E111" s="283"/>
      <c r="F111" s="283"/>
      <c r="G111" s="283"/>
      <c r="H111" s="283"/>
      <c r="I111" s="283"/>
      <c r="J111" s="283"/>
      <c r="K111" s="283"/>
    </row>
    <row r="112" spans="1:11" ht="20.399999999999999" customHeight="1">
      <c r="A112" s="174" t="s">
        <v>3640</v>
      </c>
      <c r="B112" s="52" t="s">
        <v>1196</v>
      </c>
    </row>
  </sheetData>
  <mergeCells count="78">
    <mergeCell ref="K7:K8"/>
    <mergeCell ref="B7:B8"/>
    <mergeCell ref="A7:A8"/>
    <mergeCell ref="A12:A13"/>
    <mergeCell ref="B12:B13"/>
    <mergeCell ref="K12:K13"/>
    <mergeCell ref="C12:C13"/>
    <mergeCell ref="A6:G6"/>
    <mergeCell ref="B36:B40"/>
    <mergeCell ref="C17:C18"/>
    <mergeCell ref="B32:B34"/>
    <mergeCell ref="A36:A40"/>
    <mergeCell ref="C38:C39"/>
    <mergeCell ref="A32:A34"/>
    <mergeCell ref="A17:A18"/>
    <mergeCell ref="B24:B25"/>
    <mergeCell ref="A24:A25"/>
    <mergeCell ref="B22:B23"/>
    <mergeCell ref="A22:A23"/>
    <mergeCell ref="K17:K18"/>
    <mergeCell ref="A42:A43"/>
    <mergeCell ref="B17:B18"/>
    <mergeCell ref="K36:K40"/>
    <mergeCell ref="K22:K23"/>
    <mergeCell ref="K24:K25"/>
    <mergeCell ref="A28:G28"/>
    <mergeCell ref="C42:C43"/>
    <mergeCell ref="K42:K43"/>
    <mergeCell ref="K32:K34"/>
    <mergeCell ref="B42:B43"/>
    <mergeCell ref="A65:G65"/>
    <mergeCell ref="K60:K63"/>
    <mergeCell ref="C62:C63"/>
    <mergeCell ref="K51:K54"/>
    <mergeCell ref="B51:B54"/>
    <mergeCell ref="A46:A47"/>
    <mergeCell ref="K46:K47"/>
    <mergeCell ref="K49:K50"/>
    <mergeCell ref="A51:A54"/>
    <mergeCell ref="C49:C50"/>
    <mergeCell ref="A49:A50"/>
    <mergeCell ref="B49:B50"/>
    <mergeCell ref="K66:K67"/>
    <mergeCell ref="A66:A67"/>
    <mergeCell ref="B66:B67"/>
    <mergeCell ref="A60:A63"/>
    <mergeCell ref="C60:C61"/>
    <mergeCell ref="B60:B63"/>
    <mergeCell ref="B46:B47"/>
    <mergeCell ref="B72:B73"/>
    <mergeCell ref="K75:K76"/>
    <mergeCell ref="K87:K88"/>
    <mergeCell ref="A74:G74"/>
    <mergeCell ref="A87:A88"/>
    <mergeCell ref="B75:B76"/>
    <mergeCell ref="A75:A76"/>
    <mergeCell ref="A72:A73"/>
    <mergeCell ref="H72:H73"/>
    <mergeCell ref="K100:K101"/>
    <mergeCell ref="I72:I73"/>
    <mergeCell ref="B87:B88"/>
    <mergeCell ref="A90:G90"/>
    <mergeCell ref="A100:A101"/>
    <mergeCell ref="A97:A98"/>
    <mergeCell ref="B97:B98"/>
    <mergeCell ref="C97:C98"/>
    <mergeCell ref="A94:A95"/>
    <mergeCell ref="K72:K73"/>
    <mergeCell ref="A104:G104"/>
    <mergeCell ref="K94:K95"/>
    <mergeCell ref="B94:B95"/>
    <mergeCell ref="B111:K111"/>
    <mergeCell ref="K97:K98"/>
    <mergeCell ref="B100:B101"/>
    <mergeCell ref="B110:K110"/>
    <mergeCell ref="A107:G107"/>
    <mergeCell ref="B109:K109"/>
    <mergeCell ref="A108:G108"/>
  </mergeCells>
  <phoneticPr fontId="2" type="noConversion"/>
  <pageMargins left="0.43307086614173229" right="0.19685039370078741" top="0.5" bottom="0.47244094488188981" header="0.31496062992125984" footer="0.31496062992125984"/>
  <pageSetup paperSize="9" scale="72" fitToHeight="6" orientation="landscape" r:id="rId1"/>
  <headerFooter>
    <oddHeader>&amp;C附表一之7:依被害人證述計算之犯罪所得（註1）</oddHeader>
    <oddFooter>&amp;C&amp;P</oddFooter>
  </headerFooter>
  <ignoredErrors>
    <ignoredError sqref="H105:I10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犯罪所得統計</vt:lpstr>
      <vt:lpstr>國泰當鋪</vt:lpstr>
      <vt:lpstr>元崗當鋪</vt:lpstr>
      <vt:lpstr>蕭睿軒非免訴部分</vt:lpstr>
      <vt:lpstr>元喆當鋪</vt:lpstr>
      <vt:lpstr>元一當鋪</vt:lpstr>
      <vt:lpstr>合豐當鋪</vt:lpstr>
      <vt:lpstr>瑞誠當鋪</vt:lpstr>
      <vt:lpstr>依被害人證述計算</vt:lpstr>
      <vt:lpstr>元崗當鋪!Print_Titles</vt:lpstr>
      <vt:lpstr>元喆當鋪!Print_Titles</vt:lpstr>
      <vt:lpstr>合豐當鋪!Print_Titles</vt:lpstr>
      <vt:lpstr>依被害人證述計算!Print_Titles</vt:lpstr>
      <vt:lpstr>國泰當鋪!Print_Titles</vt:lpstr>
      <vt:lpstr>瑞誠當鋪!Print_Titles</vt:lpstr>
      <vt:lpstr>蕭睿軒非免訴部分!Print_Titles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2014-01-10T09:12:32Z</cp:lastPrinted>
  <dcterms:created xsi:type="dcterms:W3CDTF">2006-09-16T00:00:00Z</dcterms:created>
  <dcterms:modified xsi:type="dcterms:W3CDTF">2014-01-10T09:12:37Z</dcterms:modified>
</cp:coreProperties>
</file>