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96" windowWidth="10536" windowHeight="333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33" i="1"/>
  <c r="N34" s="1"/>
  <c r="H33"/>
  <c r="H34" s="1"/>
  <c r="H29"/>
  <c r="H30" s="1"/>
  <c r="H28"/>
  <c r="H27"/>
  <c r="H25"/>
  <c r="H26" s="1"/>
  <c r="H24"/>
  <c r="H23"/>
  <c r="H21"/>
  <c r="H22" s="1"/>
  <c r="U19"/>
  <c r="T17"/>
  <c r="T18" s="1"/>
  <c r="U17"/>
  <c r="O17"/>
  <c r="N17"/>
  <c r="N18" s="1"/>
  <c r="I17"/>
  <c r="I19" s="1"/>
  <c r="C17"/>
  <c r="C19" s="1"/>
  <c r="U33"/>
  <c r="U29"/>
  <c r="U27"/>
  <c r="U25"/>
  <c r="U23"/>
  <c r="U21"/>
  <c r="O33"/>
  <c r="T33" s="1"/>
  <c r="T34" s="1"/>
  <c r="O29"/>
  <c r="T29" s="1"/>
  <c r="T30" s="1"/>
  <c r="O27"/>
  <c r="T27" s="1"/>
  <c r="T28" s="1"/>
  <c r="O25"/>
  <c r="T25" s="1"/>
  <c r="T26" s="1"/>
  <c r="O23"/>
  <c r="T23" s="1"/>
  <c r="T24" s="1"/>
  <c r="O21"/>
  <c r="N21" s="1"/>
  <c r="N22" s="1"/>
  <c r="I31"/>
  <c r="C31"/>
  <c r="H31" s="1"/>
  <c r="H32" s="1"/>
  <c r="N14"/>
  <c r="N13"/>
  <c r="N10"/>
  <c r="N9"/>
  <c r="N8"/>
  <c r="N7"/>
  <c r="N6"/>
  <c r="N5"/>
  <c r="AA11"/>
  <c r="AA15" s="1"/>
  <c r="Z14"/>
  <c r="Z13"/>
  <c r="Z10"/>
  <c r="Z9"/>
  <c r="Z8"/>
  <c r="Z7"/>
  <c r="Z6"/>
  <c r="Z5"/>
  <c r="Y11"/>
  <c r="X11" s="1"/>
  <c r="W11"/>
  <c r="W15" s="1"/>
  <c r="U11"/>
  <c r="U15" s="1"/>
  <c r="S11"/>
  <c r="S15" s="1"/>
  <c r="Q11"/>
  <c r="Q15" s="1"/>
  <c r="O11"/>
  <c r="O15" s="1"/>
  <c r="X13"/>
  <c r="V13"/>
  <c r="T13"/>
  <c r="X10"/>
  <c r="V10"/>
  <c r="T10"/>
  <c r="R10"/>
  <c r="P10"/>
  <c r="X9"/>
  <c r="V9"/>
  <c r="T9"/>
  <c r="R9"/>
  <c r="P9"/>
  <c r="X8"/>
  <c r="V8"/>
  <c r="T8"/>
  <c r="R8"/>
  <c r="P8"/>
  <c r="X7"/>
  <c r="V7"/>
  <c r="T7"/>
  <c r="R7"/>
  <c r="P7"/>
  <c r="X6"/>
  <c r="V6"/>
  <c r="T6"/>
  <c r="R6"/>
  <c r="P6"/>
  <c r="X5"/>
  <c r="V5"/>
  <c r="T5"/>
  <c r="R5"/>
  <c r="P5"/>
  <c r="L13"/>
  <c r="L11"/>
  <c r="L9"/>
  <c r="L7"/>
  <c r="J13"/>
  <c r="J11"/>
  <c r="J9"/>
  <c r="J7"/>
  <c r="H13"/>
  <c r="H11"/>
  <c r="H9"/>
  <c r="H7"/>
  <c r="F7"/>
  <c r="F9"/>
  <c r="F11"/>
  <c r="F13"/>
  <c r="D13"/>
  <c r="D11"/>
  <c r="D9"/>
  <c r="D7"/>
  <c r="L5"/>
  <c r="J5"/>
  <c r="H5"/>
  <c r="F5"/>
  <c r="D5"/>
  <c r="D6" s="1"/>
  <c r="L14"/>
  <c r="L12"/>
  <c r="L10"/>
  <c r="L8"/>
  <c r="L6"/>
  <c r="J14"/>
  <c r="J12"/>
  <c r="J10"/>
  <c r="J8"/>
  <c r="J6"/>
  <c r="H14"/>
  <c r="H12"/>
  <c r="H10"/>
  <c r="H8"/>
  <c r="H6"/>
  <c r="F14"/>
  <c r="F12"/>
  <c r="F10"/>
  <c r="F8"/>
  <c r="F6"/>
  <c r="D14"/>
  <c r="D12"/>
  <c r="D10"/>
  <c r="D8"/>
  <c r="M15"/>
  <c r="N15" s="1"/>
  <c r="K15"/>
  <c r="I15"/>
  <c r="G15"/>
  <c r="E15"/>
  <c r="C15"/>
  <c r="H17" l="1"/>
  <c r="H18" s="1"/>
  <c r="O19"/>
  <c r="N23"/>
  <c r="N24" s="1"/>
  <c r="N27"/>
  <c r="N28" s="1"/>
  <c r="T21"/>
  <c r="T22" s="1"/>
  <c r="N25"/>
  <c r="N26" s="1"/>
  <c r="N29"/>
  <c r="N30" s="1"/>
  <c r="U31"/>
  <c r="O31"/>
  <c r="T31" s="1"/>
  <c r="T32" s="1"/>
  <c r="T12"/>
  <c r="Z11"/>
  <c r="D15"/>
  <c r="L15"/>
  <c r="J15"/>
  <c r="T11"/>
  <c r="H15"/>
  <c r="N12"/>
  <c r="N16"/>
  <c r="X12"/>
  <c r="Y15"/>
  <c r="Z15" s="1"/>
  <c r="N11"/>
  <c r="F16"/>
  <c r="F15"/>
  <c r="V11"/>
  <c r="V12"/>
  <c r="Z12"/>
  <c r="P11"/>
  <c r="P12"/>
  <c r="R12"/>
  <c r="R11"/>
  <c r="V16"/>
  <c r="T15"/>
  <c r="V15"/>
  <c r="T16"/>
  <c r="J16"/>
  <c r="L16"/>
  <c r="D16"/>
  <c r="H16"/>
  <c r="N31" l="1"/>
  <c r="N32" s="1"/>
  <c r="X16"/>
  <c r="Z16"/>
  <c r="X15"/>
</calcChain>
</file>

<file path=xl/sharedStrings.xml><?xml version="1.0" encoding="utf-8"?>
<sst xmlns="http://schemas.openxmlformats.org/spreadsheetml/2006/main" count="70" uniqueCount="42">
  <si>
    <t>營業收入</t>
    <phoneticPr fontId="1" type="noConversion"/>
  </si>
  <si>
    <t>營業成本</t>
    <phoneticPr fontId="1" type="noConversion"/>
  </si>
  <si>
    <t>營業費用</t>
    <phoneticPr fontId="1" type="noConversion"/>
  </si>
  <si>
    <t>營業毛利=[營業收入]-[營業成本]</t>
    <phoneticPr fontId="1" type="noConversion"/>
  </si>
  <si>
    <t>營業利益=[營業毛利]-[營業費用]</t>
    <phoneticPr fontId="1" type="noConversion"/>
  </si>
  <si>
    <t>稅前淨利=[營業利益]+[營業外收入及支出]</t>
    <phoneticPr fontId="1" type="noConversion"/>
  </si>
  <si>
    <t>營業外收入及支出</t>
    <phoneticPr fontId="1" type="noConversion"/>
  </si>
  <si>
    <t>本期淨利=[稅前淨利]-[所得稅費用]</t>
    <phoneticPr fontId="1" type="noConversion"/>
  </si>
  <si>
    <t>所得稅費用</t>
    <phoneticPr fontId="1" type="noConversion"/>
  </si>
  <si>
    <t>本期淨利</t>
    <phoneticPr fontId="1" type="noConversion"/>
  </si>
  <si>
    <t>未記載,下為稅前淨利</t>
    <phoneticPr fontId="1" type="noConversion"/>
  </si>
  <si>
    <t>合併營業收入</t>
    <phoneticPr fontId="1" type="noConversion"/>
  </si>
  <si>
    <t>合併營業成本</t>
    <phoneticPr fontId="1" type="noConversion"/>
  </si>
  <si>
    <t>合併營業費用</t>
    <phoneticPr fontId="1" type="noConversion"/>
  </si>
  <si>
    <t>合併營業外收入及支出</t>
    <phoneticPr fontId="1" type="noConversion"/>
  </si>
  <si>
    <t>淨利歸屬於：母公司業主</t>
    <phoneticPr fontId="1" type="noConversion"/>
  </si>
  <si>
    <t>102年第2季</t>
    <phoneticPr fontId="1" type="noConversion"/>
  </si>
  <si>
    <t>102年第1季</t>
    <phoneticPr fontId="1" type="noConversion"/>
  </si>
  <si>
    <t>101年第4季</t>
    <phoneticPr fontId="1" type="noConversion"/>
  </si>
  <si>
    <t>101年第3季</t>
    <phoneticPr fontId="1" type="noConversion"/>
  </si>
  <si>
    <t>季營收</t>
    <phoneticPr fontId="1" type="noConversion"/>
  </si>
  <si>
    <t>占基因公司營收比例</t>
    <phoneticPr fontId="1" type="noConversion"/>
  </si>
  <si>
    <r>
      <t>基因公司(</t>
    </r>
    <r>
      <rPr>
        <sz val="8"/>
        <color theme="1"/>
        <rFont val="新細明體"/>
        <family val="1"/>
        <charset val="136"/>
        <scheme val="minor"/>
      </rPr>
      <t>資料來源:基因公司財務報告,見櫃買中心函附光碟資料</t>
    </r>
    <r>
      <rPr>
        <sz val="11"/>
        <color theme="1"/>
        <rFont val="新細明體"/>
        <family val="2"/>
        <charset val="136"/>
        <scheme val="minor"/>
      </rPr>
      <t>)</t>
    </r>
    <phoneticPr fontId="1" type="noConversion"/>
  </si>
  <si>
    <t>102年6月</t>
    <phoneticPr fontId="1" type="noConversion"/>
  </si>
  <si>
    <t>102年5月</t>
    <phoneticPr fontId="1" type="noConversion"/>
  </si>
  <si>
    <t>102年4月</t>
    <phoneticPr fontId="1" type="noConversion"/>
  </si>
  <si>
    <t>102年3月</t>
    <phoneticPr fontId="1" type="noConversion"/>
  </si>
  <si>
    <t>102年2月</t>
    <phoneticPr fontId="1" type="noConversion"/>
  </si>
  <si>
    <t>102年1月</t>
    <phoneticPr fontId="1" type="noConversion"/>
  </si>
  <si>
    <t>101年12月</t>
    <phoneticPr fontId="1" type="noConversion"/>
  </si>
  <si>
    <t>101年11月</t>
    <phoneticPr fontId="1" type="noConversion"/>
  </si>
  <si>
    <t>101年10月</t>
    <phoneticPr fontId="1" type="noConversion"/>
  </si>
  <si>
    <t>101年9月</t>
    <phoneticPr fontId="1" type="noConversion"/>
  </si>
  <si>
    <t>101年8月</t>
    <phoneticPr fontId="1" type="noConversion"/>
  </si>
  <si>
    <t>101年7月</t>
    <phoneticPr fontId="1" type="noConversion"/>
  </si>
  <si>
    <t>101年6月</t>
    <phoneticPr fontId="1" type="noConversion"/>
  </si>
  <si>
    <t>附表八</t>
    <phoneticPr fontId="1" type="noConversion"/>
  </si>
  <si>
    <r>
      <t>生技達人公司(</t>
    </r>
    <r>
      <rPr>
        <sz val="8"/>
        <color theme="1"/>
        <rFont val="新細明體"/>
        <family val="1"/>
        <charset val="136"/>
        <scheme val="minor"/>
      </rPr>
      <t>資料來源:生技達人公司部門別損益表,見偵字19826卷四第5～34頁</t>
    </r>
    <r>
      <rPr>
        <sz val="11"/>
        <color theme="1"/>
        <rFont val="新細明體"/>
        <family val="2"/>
        <charset val="136"/>
        <scheme val="minor"/>
      </rPr>
      <t>)</t>
    </r>
    <phoneticPr fontId="1" type="noConversion"/>
  </si>
  <si>
    <t>B:與前月(季)相較之變動幅度</t>
    <phoneticPr fontId="1" type="noConversion"/>
  </si>
  <si>
    <t>A:與前月(季)相較之變動差額</t>
    <phoneticPr fontId="1" type="noConversion"/>
  </si>
  <si>
    <t>A</t>
    <phoneticPr fontId="1" type="noConversion"/>
  </si>
  <si>
    <t>B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</si>
</sst>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8"/>
      <color rgb="FFFF0000"/>
      <name val="新細明體"/>
      <family val="2"/>
      <charset val="136"/>
      <scheme val="minor"/>
    </font>
    <font>
      <sz val="8"/>
      <color rgb="FFFF0000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10" fontId="2" fillId="0" borderId="0" xfId="0" applyNumberFormat="1" applyFont="1">
      <alignment vertical="center"/>
    </xf>
    <xf numFmtId="176" fontId="4" fillId="0" borderId="5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0" fontId="4" fillId="0" borderId="5" xfId="0" applyNumberFormat="1" applyFont="1" applyBorder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>
      <alignment vertical="center"/>
    </xf>
    <xf numFmtId="176" fontId="3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>
      <alignment vertical="center"/>
    </xf>
    <xf numFmtId="176" fontId="3" fillId="0" borderId="1" xfId="0" applyNumberFormat="1" applyFont="1" applyBorder="1" applyAlignment="1">
      <alignment vertical="center"/>
    </xf>
    <xf numFmtId="10" fontId="4" fillId="0" borderId="1" xfId="0" applyNumberFormat="1" applyFont="1" applyBorder="1" applyAlignment="1">
      <alignment vertical="center"/>
    </xf>
    <xf numFmtId="49" fontId="2" fillId="0" borderId="2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176" fontId="3" fillId="0" borderId="5" xfId="0" applyNumberFormat="1" applyFont="1" applyBorder="1" applyAlignment="1">
      <alignment vertical="center"/>
    </xf>
    <xf numFmtId="10" fontId="4" fillId="0" borderId="5" xfId="0" applyNumberFormat="1" applyFont="1" applyBorder="1" applyAlignment="1">
      <alignment vertical="center"/>
    </xf>
    <xf numFmtId="10" fontId="4" fillId="0" borderId="11" xfId="0" applyNumberFormat="1" applyFont="1" applyBorder="1" applyAlignment="1">
      <alignment vertical="center"/>
    </xf>
    <xf numFmtId="10" fontId="4" fillId="0" borderId="7" xfId="0" applyNumberFormat="1" applyFont="1" applyBorder="1" applyAlignment="1">
      <alignment vertical="center"/>
    </xf>
    <xf numFmtId="176" fontId="2" fillId="0" borderId="12" xfId="0" applyNumberFormat="1" applyFont="1" applyBorder="1">
      <alignment vertical="center"/>
    </xf>
    <xf numFmtId="176" fontId="3" fillId="0" borderId="11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10" fontId="4" fillId="0" borderId="1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0" fontId="2" fillId="0" borderId="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0" fontId="4" fillId="0" borderId="14" xfId="0" applyNumberFormat="1" applyFont="1" applyBorder="1">
      <alignment vertical="center"/>
    </xf>
    <xf numFmtId="176" fontId="3" fillId="0" borderId="14" xfId="0" applyNumberFormat="1" applyFont="1" applyBorder="1" applyAlignment="1">
      <alignment vertical="center"/>
    </xf>
    <xf numFmtId="10" fontId="4" fillId="0" borderId="15" xfId="0" applyNumberFormat="1" applyFont="1" applyBorder="1" applyAlignment="1">
      <alignment vertical="center"/>
    </xf>
    <xf numFmtId="176" fontId="2" fillId="0" borderId="16" xfId="0" applyNumberFormat="1" applyFont="1" applyBorder="1" applyAlignment="1">
      <alignment horizontal="center" vertical="center"/>
    </xf>
    <xf numFmtId="10" fontId="4" fillId="0" borderId="14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C40"/>
  <sheetViews>
    <sheetView tabSelected="1" workbookViewId="0">
      <selection activeCell="X2" sqref="X2"/>
    </sheetView>
  </sheetViews>
  <sheetFormatPr defaultRowHeight="15"/>
  <cols>
    <col min="1" max="1" width="7.88671875" style="1" customWidth="1"/>
    <col min="2" max="2" width="14" style="1" customWidth="1"/>
    <col min="3" max="3" width="9.5546875" style="1" customWidth="1"/>
    <col min="4" max="4" width="7.77734375" style="3" customWidth="1"/>
    <col min="5" max="5" width="9.77734375" style="1" customWidth="1"/>
    <col min="6" max="6" width="6.77734375" style="3" customWidth="1"/>
    <col min="7" max="7" width="9.77734375" style="1" customWidth="1"/>
    <col min="8" max="8" width="7.6640625" style="3" customWidth="1"/>
    <col min="9" max="9" width="9.77734375" style="1" customWidth="1"/>
    <col min="10" max="10" width="7.6640625" style="3" customWidth="1"/>
    <col min="11" max="11" width="9.5546875" style="1" customWidth="1"/>
    <col min="12" max="12" width="7.5546875" style="3" customWidth="1"/>
    <col min="13" max="13" width="8.5546875" style="1" customWidth="1"/>
    <col min="14" max="14" width="8" style="1" customWidth="1"/>
    <col min="15" max="27" width="8.88671875" style="1"/>
    <col min="28" max="28" width="8.44140625" style="1" customWidth="1"/>
    <col min="29" max="29" width="6.44140625" style="1" customWidth="1"/>
    <col min="30" max="16384" width="8.88671875" style="1"/>
  </cols>
  <sheetData>
    <row r="2" spans="1:29">
      <c r="K2" s="38" t="s">
        <v>39</v>
      </c>
      <c r="L2" s="38"/>
      <c r="M2" s="38"/>
      <c r="N2" s="38"/>
    </row>
    <row r="3" spans="1:29" ht="28.2" customHeight="1" thickBot="1">
      <c r="A3" s="22" t="s">
        <v>36</v>
      </c>
      <c r="K3" s="37" t="s">
        <v>38</v>
      </c>
      <c r="L3" s="37"/>
      <c r="M3" s="37"/>
      <c r="N3" s="37"/>
    </row>
    <row r="4" spans="1:29" s="6" customFormat="1">
      <c r="A4" s="14"/>
      <c r="B4" s="15"/>
      <c r="C4" s="36" t="s">
        <v>23</v>
      </c>
      <c r="D4" s="36"/>
      <c r="E4" s="36" t="s">
        <v>24</v>
      </c>
      <c r="F4" s="36"/>
      <c r="G4" s="36" t="s">
        <v>25</v>
      </c>
      <c r="H4" s="36"/>
      <c r="I4" s="36" t="s">
        <v>26</v>
      </c>
      <c r="J4" s="36"/>
      <c r="K4" s="36" t="s">
        <v>27</v>
      </c>
      <c r="L4" s="36"/>
      <c r="M4" s="36" t="s">
        <v>28</v>
      </c>
      <c r="N4" s="40"/>
      <c r="O4" s="51" t="s">
        <v>29</v>
      </c>
      <c r="P4" s="36"/>
      <c r="Q4" s="36" t="s">
        <v>30</v>
      </c>
      <c r="R4" s="36"/>
      <c r="S4" s="36" t="s">
        <v>31</v>
      </c>
      <c r="T4" s="36"/>
      <c r="U4" s="36" t="s">
        <v>32</v>
      </c>
      <c r="V4" s="36"/>
      <c r="W4" s="36" t="s">
        <v>33</v>
      </c>
      <c r="X4" s="36"/>
      <c r="Y4" s="36" t="s">
        <v>34</v>
      </c>
      <c r="Z4" s="40"/>
      <c r="AA4" s="51" t="s">
        <v>35</v>
      </c>
      <c r="AB4" s="39"/>
    </row>
    <row r="5" spans="1:29" s="2" customFormat="1" ht="16.2" customHeight="1">
      <c r="A5" s="25" t="s">
        <v>37</v>
      </c>
      <c r="B5" s="27" t="s">
        <v>0</v>
      </c>
      <c r="C5" s="27">
        <v>51303729</v>
      </c>
      <c r="D5" s="10">
        <f>C5-E5</f>
        <v>-14581657</v>
      </c>
      <c r="E5" s="27">
        <v>65885386</v>
      </c>
      <c r="F5" s="10">
        <f>E5-G5</f>
        <v>-8364363</v>
      </c>
      <c r="G5" s="27">
        <v>74249749</v>
      </c>
      <c r="H5" s="10">
        <f>G5-I5</f>
        <v>-4452837</v>
      </c>
      <c r="I5" s="27">
        <v>78702586</v>
      </c>
      <c r="J5" s="10">
        <f>I5-K5</f>
        <v>31431452</v>
      </c>
      <c r="K5" s="27">
        <v>47271134</v>
      </c>
      <c r="L5" s="10">
        <f>K5-M5</f>
        <v>-25843080</v>
      </c>
      <c r="M5" s="27">
        <v>73114214</v>
      </c>
      <c r="N5" s="41">
        <f>M5-O5</f>
        <v>19852971</v>
      </c>
      <c r="O5" s="34">
        <v>53261243</v>
      </c>
      <c r="P5" s="23">
        <f>O5-Q5</f>
        <v>10662880</v>
      </c>
      <c r="Q5" s="27">
        <v>42598363</v>
      </c>
      <c r="R5" s="23">
        <f>Q5-S5</f>
        <v>7392038</v>
      </c>
      <c r="S5" s="27">
        <v>35206325</v>
      </c>
      <c r="T5" s="23">
        <f>S5-U5</f>
        <v>10276348</v>
      </c>
      <c r="U5" s="27">
        <v>24929977</v>
      </c>
      <c r="V5" s="23">
        <f>U5-W5</f>
        <v>6618634</v>
      </c>
      <c r="W5" s="27">
        <v>18311343</v>
      </c>
      <c r="X5" s="23">
        <f>W5-Y5</f>
        <v>4658887</v>
      </c>
      <c r="Y5" s="27">
        <v>13652456</v>
      </c>
      <c r="Z5" s="41">
        <f t="shared" ref="Z5" si="0">Y5-AA5</f>
        <v>4735264</v>
      </c>
      <c r="AA5" s="34">
        <v>8917192</v>
      </c>
      <c r="AB5" s="55"/>
      <c r="AC5" s="2" t="s">
        <v>40</v>
      </c>
    </row>
    <row r="6" spans="1:29">
      <c r="A6" s="25"/>
      <c r="B6" s="27"/>
      <c r="C6" s="27"/>
      <c r="D6" s="11">
        <f>D5/E5</f>
        <v>-0.22131853336944857</v>
      </c>
      <c r="E6" s="27"/>
      <c r="F6" s="11">
        <f>(E5-G5)/G5</f>
        <v>-0.11265173435131746</v>
      </c>
      <c r="G6" s="27"/>
      <c r="H6" s="11">
        <f>(G5-I5)/I5</f>
        <v>-5.6578026546675354E-2</v>
      </c>
      <c r="I6" s="27"/>
      <c r="J6" s="11">
        <f>(I5-K5)/K5</f>
        <v>0.66491851031117633</v>
      </c>
      <c r="K6" s="27"/>
      <c r="L6" s="11">
        <f>(K5-M5)/M5</f>
        <v>-0.35346177693984371</v>
      </c>
      <c r="M6" s="27"/>
      <c r="N6" s="42">
        <f>(M5-O5)/O5</f>
        <v>0.37274704610254777</v>
      </c>
      <c r="O6" s="34"/>
      <c r="P6" s="11">
        <f>(O5-Q5)/Q5</f>
        <v>0.25031196621334956</v>
      </c>
      <c r="Q6" s="27"/>
      <c r="R6" s="11">
        <f>(Q5-S5)/S5</f>
        <v>0.20996335175568595</v>
      </c>
      <c r="S6" s="27"/>
      <c r="T6" s="11">
        <f>(S5-U5)/U5</f>
        <v>0.41220848298416002</v>
      </c>
      <c r="U6" s="27"/>
      <c r="V6" s="11">
        <f>(U5-W5)/W5</f>
        <v>0.36144994935652724</v>
      </c>
      <c r="W6" s="27"/>
      <c r="X6" s="11">
        <f>(W5-Y5)/Y5</f>
        <v>0.34124900310977013</v>
      </c>
      <c r="Y6" s="27"/>
      <c r="Z6" s="42">
        <f t="shared" ref="Z6" si="1">(Y5-AA5)/AA5</f>
        <v>0.53102635897040229</v>
      </c>
      <c r="AA6" s="34"/>
      <c r="AB6" s="4"/>
      <c r="AC6" s="1" t="s">
        <v>41</v>
      </c>
    </row>
    <row r="7" spans="1:29" ht="16.2" customHeight="1">
      <c r="A7" s="25"/>
      <c r="B7" s="27" t="s">
        <v>1</v>
      </c>
      <c r="C7" s="27">
        <v>33021101</v>
      </c>
      <c r="D7" s="10">
        <f>C7-E7</f>
        <v>-5187605</v>
      </c>
      <c r="E7" s="27">
        <v>38208706</v>
      </c>
      <c r="F7" s="10">
        <f>E7-G7</f>
        <v>325213</v>
      </c>
      <c r="G7" s="27">
        <v>37883493</v>
      </c>
      <c r="H7" s="10">
        <f>G7-I7</f>
        <v>-611248</v>
      </c>
      <c r="I7" s="27">
        <v>38494741</v>
      </c>
      <c r="J7" s="10">
        <f>I7-K7</f>
        <v>7087103</v>
      </c>
      <c r="K7" s="27">
        <v>31407638</v>
      </c>
      <c r="L7" s="10">
        <f>K7-M7</f>
        <v>-2185606</v>
      </c>
      <c r="M7" s="27">
        <v>33593244</v>
      </c>
      <c r="N7" s="41">
        <f>M7-O7</f>
        <v>3090478</v>
      </c>
      <c r="O7" s="34">
        <v>30502766</v>
      </c>
      <c r="P7" s="23">
        <f>O7-Q7</f>
        <v>10920231</v>
      </c>
      <c r="Q7" s="27">
        <v>19582535</v>
      </c>
      <c r="R7" s="23">
        <f>Q7-S7</f>
        <v>477886</v>
      </c>
      <c r="S7" s="27">
        <v>19104649</v>
      </c>
      <c r="T7" s="23">
        <f>S7-U7</f>
        <v>6772527</v>
      </c>
      <c r="U7" s="27">
        <v>12332122</v>
      </c>
      <c r="V7" s="23">
        <f>U7-W7</f>
        <v>4035527</v>
      </c>
      <c r="W7" s="27">
        <v>8296595</v>
      </c>
      <c r="X7" s="23">
        <f>W7-Y7</f>
        <v>379014</v>
      </c>
      <c r="Y7" s="27">
        <v>7917581</v>
      </c>
      <c r="Z7" s="41">
        <f t="shared" ref="Z7" si="2">Y7-AA7</f>
        <v>3199036</v>
      </c>
      <c r="AA7" s="34">
        <v>4718545</v>
      </c>
      <c r="AB7" s="4"/>
      <c r="AC7" s="2" t="s">
        <v>40</v>
      </c>
    </row>
    <row r="8" spans="1:29">
      <c r="A8" s="25"/>
      <c r="B8" s="27"/>
      <c r="C8" s="27"/>
      <c r="D8" s="11">
        <f>(C7-E7)/E7</f>
        <v>-0.13577023519194814</v>
      </c>
      <c r="E8" s="27"/>
      <c r="F8" s="11">
        <f>(E7-G7)/G7</f>
        <v>8.5845568675517857E-3</v>
      </c>
      <c r="G8" s="27"/>
      <c r="H8" s="11">
        <f>(G7-I7)/I7</f>
        <v>-1.5878740423269765E-2</v>
      </c>
      <c r="I8" s="27"/>
      <c r="J8" s="11">
        <f>(I7-K7)/K7</f>
        <v>0.22564902843060022</v>
      </c>
      <c r="K8" s="27"/>
      <c r="L8" s="11">
        <f>(K7-M7)/M7</f>
        <v>-6.5060879503033409E-2</v>
      </c>
      <c r="M8" s="27"/>
      <c r="N8" s="42">
        <f>(M7-O7)/O7</f>
        <v>0.10131795916475247</v>
      </c>
      <c r="O8" s="34"/>
      <c r="P8" s="11">
        <f>(O7-Q7)/Q7</f>
        <v>0.55765155022064306</v>
      </c>
      <c r="Q8" s="27"/>
      <c r="R8" s="11">
        <f>(Q7-S7)/S7</f>
        <v>2.5014120908476257E-2</v>
      </c>
      <c r="S8" s="27"/>
      <c r="T8" s="11">
        <f>(S7-U7)/U7</f>
        <v>0.54917774897134497</v>
      </c>
      <c r="U8" s="27"/>
      <c r="V8" s="11">
        <f>(U7-W7)/W7</f>
        <v>0.48640761661862486</v>
      </c>
      <c r="W8" s="27"/>
      <c r="X8" s="11">
        <f>(W7-Y7)/Y7</f>
        <v>4.7869923907314621E-2</v>
      </c>
      <c r="Y8" s="27"/>
      <c r="Z8" s="42">
        <f t="shared" ref="Z8" si="3">(Y7-AA7)/AA7</f>
        <v>0.67797085754189057</v>
      </c>
      <c r="AA8" s="34"/>
      <c r="AB8" s="4"/>
      <c r="AC8" s="1" t="s">
        <v>41</v>
      </c>
    </row>
    <row r="9" spans="1:29" ht="16.2" customHeight="1">
      <c r="A9" s="25"/>
      <c r="B9" s="27" t="s">
        <v>2</v>
      </c>
      <c r="C9" s="27">
        <v>17715120</v>
      </c>
      <c r="D9" s="10">
        <f>C9-E9</f>
        <v>14038</v>
      </c>
      <c r="E9" s="27">
        <v>17701082</v>
      </c>
      <c r="F9" s="10">
        <f>E9-G9</f>
        <v>-1793711</v>
      </c>
      <c r="G9" s="27">
        <v>19494793</v>
      </c>
      <c r="H9" s="10">
        <f>G9-I9</f>
        <v>-3058638</v>
      </c>
      <c r="I9" s="27">
        <v>22553431</v>
      </c>
      <c r="J9" s="10">
        <f>I9-K9</f>
        <v>4660768</v>
      </c>
      <c r="K9" s="27">
        <v>17892663</v>
      </c>
      <c r="L9" s="10">
        <f>K9-M9</f>
        <v>-353002</v>
      </c>
      <c r="M9" s="27">
        <v>18245665</v>
      </c>
      <c r="N9" s="41">
        <f>M9-O9</f>
        <v>1888402</v>
      </c>
      <c r="O9" s="34">
        <v>16357263</v>
      </c>
      <c r="P9" s="23">
        <f>O9-Q9</f>
        <v>6593835</v>
      </c>
      <c r="Q9" s="27">
        <v>9763428</v>
      </c>
      <c r="R9" s="23">
        <f>Q9-S9</f>
        <v>1581287</v>
      </c>
      <c r="S9" s="27">
        <v>8182141</v>
      </c>
      <c r="T9" s="23">
        <f>S9-U9</f>
        <v>197379</v>
      </c>
      <c r="U9" s="27">
        <v>7984762</v>
      </c>
      <c r="V9" s="23">
        <f>U9-W9</f>
        <v>3068468</v>
      </c>
      <c r="W9" s="27">
        <v>4916294</v>
      </c>
      <c r="X9" s="23">
        <f>W9-Y9</f>
        <v>675232</v>
      </c>
      <c r="Y9" s="27">
        <v>4241062</v>
      </c>
      <c r="Z9" s="41">
        <f t="shared" ref="Z9" si="4">Y9-AA9</f>
        <v>1028118</v>
      </c>
      <c r="AA9" s="34">
        <v>3212944</v>
      </c>
      <c r="AB9" s="4"/>
      <c r="AC9" s="2" t="s">
        <v>40</v>
      </c>
    </row>
    <row r="10" spans="1:29">
      <c r="A10" s="25"/>
      <c r="B10" s="27"/>
      <c r="C10" s="27"/>
      <c r="D10" s="11">
        <f>(C9-E9)/E9</f>
        <v>7.9305886498915715E-4</v>
      </c>
      <c r="E10" s="27"/>
      <c r="F10" s="11">
        <f>(E9-G9)/G9</f>
        <v>-9.2009748449239759E-2</v>
      </c>
      <c r="G10" s="27"/>
      <c r="H10" s="11">
        <f>(G9-I9)/I9</f>
        <v>-0.13561741448562747</v>
      </c>
      <c r="I10" s="27"/>
      <c r="J10" s="11">
        <f>(I9-K9)/K9</f>
        <v>0.26048487025100736</v>
      </c>
      <c r="K10" s="27"/>
      <c r="L10" s="11">
        <f>(K9-M9)/M9</f>
        <v>-1.9347170958142659E-2</v>
      </c>
      <c r="M10" s="27"/>
      <c r="N10" s="42">
        <f>(M9-O9)/O9</f>
        <v>0.11544730924727443</v>
      </c>
      <c r="O10" s="34"/>
      <c r="P10" s="11">
        <f>(O9-Q9)/Q9</f>
        <v>0.67536064177458988</v>
      </c>
      <c r="Q10" s="27"/>
      <c r="R10" s="11">
        <f>(Q9-S9)/S9</f>
        <v>0.19326078589943635</v>
      </c>
      <c r="S10" s="27"/>
      <c r="T10" s="11">
        <f>(S9-U9)/U9</f>
        <v>2.4719459390273625E-2</v>
      </c>
      <c r="U10" s="27"/>
      <c r="V10" s="11">
        <f>(U9-W9)/W9</f>
        <v>0.62414249432601066</v>
      </c>
      <c r="W10" s="27"/>
      <c r="X10" s="11">
        <f>(W9-Y9)/Y9</f>
        <v>0.15921295185026768</v>
      </c>
      <c r="Y10" s="27"/>
      <c r="Z10" s="42">
        <f t="shared" ref="Z10" si="5">(Y9-AA9)/AA9</f>
        <v>0.31999250531599677</v>
      </c>
      <c r="AA10" s="34"/>
      <c r="AB10" s="4"/>
      <c r="AC10" s="1" t="s">
        <v>41</v>
      </c>
    </row>
    <row r="11" spans="1:29" ht="16.2" customHeight="1">
      <c r="A11" s="25"/>
      <c r="B11" s="27" t="s">
        <v>6</v>
      </c>
      <c r="C11" s="27">
        <v>273558</v>
      </c>
      <c r="D11" s="10">
        <f>C11-E11</f>
        <v>1112158</v>
      </c>
      <c r="E11" s="27">
        <v>-838600</v>
      </c>
      <c r="F11" s="10">
        <f>E11-G11</f>
        <v>-902280</v>
      </c>
      <c r="G11" s="27">
        <v>63680</v>
      </c>
      <c r="H11" s="10">
        <f>G11-I11</f>
        <v>-515</v>
      </c>
      <c r="I11" s="27">
        <v>64195</v>
      </c>
      <c r="J11" s="10">
        <f>I11-K11</f>
        <v>-7931</v>
      </c>
      <c r="K11" s="27">
        <v>72126</v>
      </c>
      <c r="L11" s="10">
        <f>K11-M11</f>
        <v>5844</v>
      </c>
      <c r="M11" s="27">
        <v>66282</v>
      </c>
      <c r="N11" s="41">
        <f>M11-O11</f>
        <v>-162962</v>
      </c>
      <c r="O11" s="34">
        <f>230734-1490</f>
        <v>229244</v>
      </c>
      <c r="P11" s="23">
        <f>O11-Q11</f>
        <v>227030</v>
      </c>
      <c r="Q11" s="27">
        <f>3749-1535</f>
        <v>2214</v>
      </c>
      <c r="R11" s="23">
        <f>Q11-S11</f>
        <v>808</v>
      </c>
      <c r="S11" s="27">
        <f>2987-1581</f>
        <v>1406</v>
      </c>
      <c r="T11" s="23">
        <f>S11-U11</f>
        <v>-24</v>
      </c>
      <c r="U11" s="27">
        <f>2832-1402</f>
        <v>1430</v>
      </c>
      <c r="V11" s="23">
        <f>U11-W11</f>
        <v>498</v>
      </c>
      <c r="W11" s="27">
        <f>2832-1900</f>
        <v>932</v>
      </c>
      <c r="X11" s="23">
        <f>W11-Y11</f>
        <v>-180</v>
      </c>
      <c r="Y11" s="27">
        <f>2832-1720</f>
        <v>1112</v>
      </c>
      <c r="Z11" s="41">
        <f t="shared" ref="Z11" si="6">Y11-AA11</f>
        <v>-259205</v>
      </c>
      <c r="AA11" s="34">
        <f>262082-1765</f>
        <v>260317</v>
      </c>
      <c r="AB11" s="4"/>
      <c r="AC11" s="2" t="s">
        <v>40</v>
      </c>
    </row>
    <row r="12" spans="1:29">
      <c r="A12" s="25"/>
      <c r="B12" s="27"/>
      <c r="C12" s="27"/>
      <c r="D12" s="11">
        <f>(C11-E11)/E11</f>
        <v>-1.3262079656570473</v>
      </c>
      <c r="E12" s="27"/>
      <c r="F12" s="11">
        <f>(E11-G11)/G11</f>
        <v>-14.168969849246231</v>
      </c>
      <c r="G12" s="27"/>
      <c r="H12" s="11">
        <f>(G11-I11)/I11</f>
        <v>-8.0224316535555725E-3</v>
      </c>
      <c r="I12" s="27"/>
      <c r="J12" s="11">
        <f>(I11-K11)/K11</f>
        <v>-0.10996034717022987</v>
      </c>
      <c r="K12" s="27"/>
      <c r="L12" s="11">
        <f>(K11-M11)/M11</f>
        <v>8.8168733592830631E-2</v>
      </c>
      <c r="M12" s="27"/>
      <c r="N12" s="42">
        <f>(M11-O11)/O11</f>
        <v>-0.71086702378251998</v>
      </c>
      <c r="O12" s="34"/>
      <c r="P12" s="11">
        <f>(O11-Q11)/Q11</f>
        <v>102.54290876242096</v>
      </c>
      <c r="Q12" s="27"/>
      <c r="R12" s="11">
        <f>(Q11-S11)/S11</f>
        <v>0.57467994310099568</v>
      </c>
      <c r="S12" s="27"/>
      <c r="T12" s="11">
        <f>(S11-U11)/U11</f>
        <v>-1.6783216783216783E-2</v>
      </c>
      <c r="U12" s="27"/>
      <c r="V12" s="11">
        <f>(U11-W11)/W11</f>
        <v>0.53433476394849788</v>
      </c>
      <c r="W12" s="27"/>
      <c r="X12" s="11">
        <f>(W11-Y11)/Y11</f>
        <v>-0.16187050359712229</v>
      </c>
      <c r="Y12" s="27"/>
      <c r="Z12" s="42">
        <f t="shared" ref="Z12" si="7">(Y11-AA11)/AA11</f>
        <v>-0.99572828512928468</v>
      </c>
      <c r="AA12" s="34"/>
      <c r="AB12" s="4"/>
      <c r="AC12" s="1" t="s">
        <v>41</v>
      </c>
    </row>
    <row r="13" spans="1:29" ht="16.2" customHeight="1">
      <c r="A13" s="25"/>
      <c r="B13" s="27" t="s">
        <v>8</v>
      </c>
      <c r="C13" s="27">
        <v>59232</v>
      </c>
      <c r="D13" s="10">
        <f>C13-E13</f>
        <v>-1588153</v>
      </c>
      <c r="E13" s="27">
        <v>1647385</v>
      </c>
      <c r="F13" s="10">
        <f>E13-G13</f>
        <v>-1252615</v>
      </c>
      <c r="G13" s="27">
        <v>2900000</v>
      </c>
      <c r="H13" s="10">
        <f>G13-I13</f>
        <v>-112493</v>
      </c>
      <c r="I13" s="27">
        <v>3012493</v>
      </c>
      <c r="J13" s="10">
        <f>I13-K13</f>
        <v>3345190</v>
      </c>
      <c r="K13" s="27">
        <v>-332697</v>
      </c>
      <c r="L13" s="10">
        <f>K13-M13</f>
        <v>-3960767</v>
      </c>
      <c r="M13" s="27">
        <v>3628070</v>
      </c>
      <c r="N13" s="41">
        <f>M13-O13</f>
        <v>-3004454</v>
      </c>
      <c r="O13" s="34">
        <v>6632524</v>
      </c>
      <c r="P13" s="23"/>
      <c r="Q13" s="47" t="s">
        <v>10</v>
      </c>
      <c r="R13" s="23"/>
      <c r="S13" s="27">
        <v>0</v>
      </c>
      <c r="T13" s="23">
        <f>S13-U13</f>
        <v>0</v>
      </c>
      <c r="U13" s="27">
        <v>0</v>
      </c>
      <c r="V13" s="23">
        <f>U13-W13</f>
        <v>0</v>
      </c>
      <c r="W13" s="27">
        <v>0</v>
      </c>
      <c r="X13" s="23">
        <f>W13-Y13</f>
        <v>0</v>
      </c>
      <c r="Y13" s="27">
        <v>0</v>
      </c>
      <c r="Z13" s="41">
        <f t="shared" ref="Z13" si="8">Y13-AA13</f>
        <v>303745</v>
      </c>
      <c r="AA13" s="34">
        <v>-303745</v>
      </c>
      <c r="AB13" s="4"/>
      <c r="AC13" s="2" t="s">
        <v>40</v>
      </c>
    </row>
    <row r="14" spans="1:29">
      <c r="A14" s="25"/>
      <c r="B14" s="27"/>
      <c r="C14" s="27"/>
      <c r="D14" s="11">
        <f>(C13-E13)/E13</f>
        <v>-0.96404483469255819</v>
      </c>
      <c r="E14" s="27"/>
      <c r="F14" s="11">
        <f>(E13-G13)/G13</f>
        <v>-0.43193620689655171</v>
      </c>
      <c r="G14" s="27"/>
      <c r="H14" s="11">
        <f>(G13-I13)/I13</f>
        <v>-3.7342161458964386E-2</v>
      </c>
      <c r="I14" s="27"/>
      <c r="J14" s="11">
        <f>(I13-K13)/K13</f>
        <v>-10.054764545517394</v>
      </c>
      <c r="K14" s="27"/>
      <c r="L14" s="11">
        <f>(K13-M13)/M13</f>
        <v>-1.0917008216489759</v>
      </c>
      <c r="M14" s="27"/>
      <c r="N14" s="42">
        <f>(M13-O13)/O13</f>
        <v>-0.45298803291175427</v>
      </c>
      <c r="O14" s="34"/>
      <c r="P14" s="11"/>
      <c r="Q14" s="48"/>
      <c r="R14" s="11"/>
      <c r="S14" s="27"/>
      <c r="T14" s="11"/>
      <c r="U14" s="27"/>
      <c r="V14" s="11"/>
      <c r="W14" s="27"/>
      <c r="X14" s="11"/>
      <c r="Y14" s="27"/>
      <c r="Z14" s="42">
        <f t="shared" ref="Z14" si="9">(Y13-AA13)/AA13</f>
        <v>-1</v>
      </c>
      <c r="AA14" s="34"/>
      <c r="AB14" s="4"/>
      <c r="AC14" s="1" t="s">
        <v>41</v>
      </c>
    </row>
    <row r="15" spans="1:29" ht="16.2" customHeight="1">
      <c r="A15" s="25"/>
      <c r="B15" s="27" t="s">
        <v>9</v>
      </c>
      <c r="C15" s="27">
        <f>C5-C7-C9+C11-C13</f>
        <v>781834</v>
      </c>
      <c r="D15" s="10">
        <f>C15-E15</f>
        <v>-6707779</v>
      </c>
      <c r="E15" s="27">
        <f>E5-E7-E9+E11-E13</f>
        <v>7489613</v>
      </c>
      <c r="F15" s="10">
        <f>E15-G15</f>
        <v>-6545530</v>
      </c>
      <c r="G15" s="27">
        <f>G5-G7-G9+G11-G13</f>
        <v>14035143</v>
      </c>
      <c r="H15" s="10">
        <f>G15-I15</f>
        <v>-670973</v>
      </c>
      <c r="I15" s="27">
        <f>I5-I7-I9+I11-I13</f>
        <v>14706116</v>
      </c>
      <c r="J15" s="10">
        <f>I15-K15</f>
        <v>16330460</v>
      </c>
      <c r="K15" s="27">
        <f>K5-K7-K9+K11-K13</f>
        <v>-1624344</v>
      </c>
      <c r="L15" s="10">
        <f>K15-M15</f>
        <v>-19337861</v>
      </c>
      <c r="M15" s="27">
        <f>M5-M7-M9+M11-M13</f>
        <v>17713517</v>
      </c>
      <c r="N15" s="41">
        <f>M15-O15</f>
        <v>17715583</v>
      </c>
      <c r="O15" s="34">
        <f>O5-O7-O9+O11-O13</f>
        <v>-2066</v>
      </c>
      <c r="P15" s="23"/>
      <c r="Q15" s="27">
        <f>Q5-Q7-Q9+Q11</f>
        <v>13254614</v>
      </c>
      <c r="R15" s="23"/>
      <c r="S15" s="27">
        <f>S5-S7-S9+S11-S13</f>
        <v>7920941</v>
      </c>
      <c r="T15" s="23">
        <f>S15-U15</f>
        <v>3306418</v>
      </c>
      <c r="U15" s="27">
        <f>U5-U7-U9+U11-U13</f>
        <v>4614523</v>
      </c>
      <c r="V15" s="23">
        <f>U15-W15</f>
        <v>-484863</v>
      </c>
      <c r="W15" s="27">
        <f>W5-W7-W9+W11-W13</f>
        <v>5099386</v>
      </c>
      <c r="X15" s="23">
        <f>W15-Y15</f>
        <v>3604461</v>
      </c>
      <c r="Y15" s="27">
        <f>Y5-Y7-Y9+Y11-Y13</f>
        <v>1494925</v>
      </c>
      <c r="Z15" s="41">
        <f t="shared" ref="Z15" si="10">Y15-AA15</f>
        <v>-54840</v>
      </c>
      <c r="AA15" s="34">
        <f>AA5-AA7-AA9+AA11-AA13</f>
        <v>1549765</v>
      </c>
      <c r="AB15" s="4"/>
      <c r="AC15" s="2" t="s">
        <v>40</v>
      </c>
    </row>
    <row r="16" spans="1:29" ht="15.6" thickBot="1">
      <c r="A16" s="25"/>
      <c r="B16" s="27"/>
      <c r="C16" s="27"/>
      <c r="D16" s="11">
        <f>(C15-E15)/E15</f>
        <v>-0.89561089471512079</v>
      </c>
      <c r="E16" s="27"/>
      <c r="F16" s="11">
        <f>(E15-G15)/G15</f>
        <v>-0.4663671755962871</v>
      </c>
      <c r="G16" s="27"/>
      <c r="H16" s="11">
        <f>(G15-I15)/I15</f>
        <v>-4.5625439103023531E-2</v>
      </c>
      <c r="I16" s="27"/>
      <c r="J16" s="11">
        <f>(I15-K15)/K15</f>
        <v>-10.053572395994937</v>
      </c>
      <c r="K16" s="27"/>
      <c r="L16" s="11">
        <f>(K15-M15)/M15</f>
        <v>-1.0917008180814685</v>
      </c>
      <c r="M16" s="27"/>
      <c r="N16" s="42">
        <f>(M15-O15)/O15</f>
        <v>-8574.8223620522749</v>
      </c>
      <c r="O16" s="34"/>
      <c r="P16" s="11"/>
      <c r="Q16" s="27"/>
      <c r="R16" s="11"/>
      <c r="S16" s="27"/>
      <c r="T16" s="11">
        <f>(S15-U15)/U15</f>
        <v>0.71652432981697134</v>
      </c>
      <c r="U16" s="27"/>
      <c r="V16" s="11">
        <f>(U15-W15)/W15</f>
        <v>-9.5082623672732361E-2</v>
      </c>
      <c r="W16" s="27"/>
      <c r="X16" s="11">
        <f>(W15-Y15)/Y15</f>
        <v>2.4111316621235179</v>
      </c>
      <c r="Y16" s="27"/>
      <c r="Z16" s="42">
        <f t="shared" ref="Z16" si="11">(Y15-AA15)/AA15</f>
        <v>-3.5386010137020772E-2</v>
      </c>
      <c r="AA16" s="35"/>
      <c r="AB16" s="5"/>
      <c r="AC16" s="1" t="s">
        <v>41</v>
      </c>
    </row>
    <row r="17" spans="1:28" ht="16.8" customHeight="1">
      <c r="A17" s="25"/>
      <c r="B17" s="27" t="s">
        <v>20</v>
      </c>
      <c r="C17" s="27">
        <f>C5+E5+G5</f>
        <v>191438864</v>
      </c>
      <c r="D17" s="27"/>
      <c r="E17" s="27"/>
      <c r="F17" s="27"/>
      <c r="G17" s="27"/>
      <c r="H17" s="12">
        <f>C17-I17</f>
        <v>-7649070</v>
      </c>
      <c r="I17" s="27">
        <f>I5+K5+M5</f>
        <v>199087934</v>
      </c>
      <c r="J17" s="27"/>
      <c r="K17" s="27"/>
      <c r="L17" s="27"/>
      <c r="M17" s="27"/>
      <c r="N17" s="43">
        <f>I17-O17</f>
        <v>68022003</v>
      </c>
      <c r="O17" s="34">
        <f>O5+Q5+S5</f>
        <v>131065931</v>
      </c>
      <c r="P17" s="27"/>
      <c r="Q17" s="27"/>
      <c r="R17" s="27"/>
      <c r="S17" s="27"/>
      <c r="T17" s="12">
        <f>O17-U17</f>
        <v>74172155</v>
      </c>
      <c r="U17" s="27">
        <f>U5+W5+Y5</f>
        <v>56893776</v>
      </c>
      <c r="V17" s="27"/>
      <c r="W17" s="27"/>
      <c r="X17" s="27"/>
      <c r="Y17" s="27"/>
      <c r="Z17" s="16"/>
      <c r="AA17" s="2" t="s">
        <v>40</v>
      </c>
      <c r="AB17" s="9"/>
    </row>
    <row r="18" spans="1:28" ht="16.8" customHeight="1">
      <c r="A18" s="25"/>
      <c r="B18" s="27"/>
      <c r="C18" s="27"/>
      <c r="D18" s="27"/>
      <c r="E18" s="27"/>
      <c r="F18" s="27"/>
      <c r="G18" s="27"/>
      <c r="H18" s="11">
        <f>H17/I17</f>
        <v>-3.8420560434365654E-2</v>
      </c>
      <c r="I18" s="27"/>
      <c r="J18" s="27"/>
      <c r="K18" s="27"/>
      <c r="L18" s="27"/>
      <c r="M18" s="27"/>
      <c r="N18" s="42">
        <f>N17/O17</f>
        <v>0.51899072841438865</v>
      </c>
      <c r="O18" s="34"/>
      <c r="P18" s="27"/>
      <c r="Q18" s="27"/>
      <c r="R18" s="27"/>
      <c r="S18" s="27"/>
      <c r="T18" s="11">
        <f>T17/U17</f>
        <v>1.3036954165249992</v>
      </c>
      <c r="U18" s="27"/>
      <c r="V18" s="27"/>
      <c r="W18" s="27"/>
      <c r="X18" s="27"/>
      <c r="Y18" s="27"/>
      <c r="Z18" s="7"/>
      <c r="AA18" s="1" t="s">
        <v>41</v>
      </c>
      <c r="AB18" s="9"/>
    </row>
    <row r="19" spans="1:28" ht="16.8" customHeight="1" thickBot="1">
      <c r="A19" s="26"/>
      <c r="B19" s="21" t="s">
        <v>21</v>
      </c>
      <c r="C19" s="29">
        <f>C17/C21</f>
        <v>0.58624491733297401</v>
      </c>
      <c r="D19" s="29"/>
      <c r="E19" s="29"/>
      <c r="F19" s="29"/>
      <c r="G19" s="29"/>
      <c r="H19" s="18"/>
      <c r="I19" s="29">
        <f>I17/I21</f>
        <v>0.67310602315949619</v>
      </c>
      <c r="J19" s="29"/>
      <c r="K19" s="29"/>
      <c r="L19" s="29"/>
      <c r="M19" s="29"/>
      <c r="N19" s="44"/>
      <c r="O19" s="52">
        <f>O17/O21</f>
        <v>0.54431633788778599</v>
      </c>
      <c r="P19" s="49"/>
      <c r="Q19" s="49"/>
      <c r="R19" s="49"/>
      <c r="S19" s="49"/>
      <c r="T19" s="13"/>
      <c r="U19" s="49">
        <f>U17/U21</f>
        <v>0.32559102666819273</v>
      </c>
      <c r="V19" s="49"/>
      <c r="W19" s="49"/>
      <c r="X19" s="49"/>
      <c r="Y19" s="49"/>
      <c r="Z19" s="17"/>
      <c r="AA19" s="8"/>
      <c r="AB19" s="9"/>
    </row>
    <row r="20" spans="1:28" ht="16.8" customHeight="1">
      <c r="A20" s="24" t="s">
        <v>22</v>
      </c>
      <c r="B20" s="20"/>
      <c r="C20" s="33" t="s">
        <v>16</v>
      </c>
      <c r="D20" s="33"/>
      <c r="E20" s="33"/>
      <c r="F20" s="33"/>
      <c r="G20" s="33"/>
      <c r="H20" s="33"/>
      <c r="I20" s="33" t="s">
        <v>17</v>
      </c>
      <c r="J20" s="33"/>
      <c r="K20" s="33"/>
      <c r="L20" s="33"/>
      <c r="M20" s="33"/>
      <c r="N20" s="45"/>
      <c r="O20" s="53" t="s">
        <v>18</v>
      </c>
      <c r="P20" s="50"/>
      <c r="Q20" s="50"/>
      <c r="R20" s="50"/>
      <c r="S20" s="50"/>
      <c r="T20" s="50"/>
      <c r="U20" s="50" t="s">
        <v>19</v>
      </c>
      <c r="V20" s="50"/>
      <c r="W20" s="50"/>
      <c r="X20" s="50"/>
      <c r="Y20" s="50"/>
      <c r="Z20" s="54"/>
    </row>
    <row r="21" spans="1:28" s="2" customFormat="1" ht="16.2" customHeight="1">
      <c r="A21" s="25"/>
      <c r="B21" s="27" t="s">
        <v>11</v>
      </c>
      <c r="C21" s="27">
        <v>326551000</v>
      </c>
      <c r="D21" s="27"/>
      <c r="E21" s="27"/>
      <c r="F21" s="27"/>
      <c r="G21" s="27"/>
      <c r="H21" s="12">
        <f>C21-I21</f>
        <v>30776000</v>
      </c>
      <c r="I21" s="27">
        <v>295775000</v>
      </c>
      <c r="J21" s="27"/>
      <c r="K21" s="27"/>
      <c r="L21" s="27"/>
      <c r="M21" s="27"/>
      <c r="N21" s="43">
        <f>I21-O21</f>
        <v>54985000</v>
      </c>
      <c r="O21" s="34">
        <f>667048000-426258000</f>
        <v>240790000</v>
      </c>
      <c r="P21" s="27"/>
      <c r="Q21" s="27"/>
      <c r="R21" s="27"/>
      <c r="S21" s="27"/>
      <c r="T21" s="12">
        <f>O21-U21</f>
        <v>66050000</v>
      </c>
      <c r="U21" s="27">
        <f>426258000-251518000</f>
        <v>174740000</v>
      </c>
      <c r="V21" s="27"/>
      <c r="W21" s="27"/>
      <c r="X21" s="27"/>
      <c r="Y21" s="27"/>
      <c r="Z21" s="16"/>
      <c r="AA21" s="2" t="s">
        <v>40</v>
      </c>
    </row>
    <row r="22" spans="1:28" ht="16.8" customHeight="1">
      <c r="A22" s="25"/>
      <c r="B22" s="28"/>
      <c r="C22" s="27"/>
      <c r="D22" s="27"/>
      <c r="E22" s="27"/>
      <c r="F22" s="27"/>
      <c r="G22" s="27"/>
      <c r="H22" s="13">
        <f>H21/I21</f>
        <v>0.10405206660468261</v>
      </c>
      <c r="I22" s="27"/>
      <c r="J22" s="27"/>
      <c r="K22" s="27"/>
      <c r="L22" s="27"/>
      <c r="M22" s="27"/>
      <c r="N22" s="46">
        <f>N21/O21</f>
        <v>0.22835250633331949</v>
      </c>
      <c r="O22" s="34"/>
      <c r="P22" s="27"/>
      <c r="Q22" s="27"/>
      <c r="R22" s="27"/>
      <c r="S22" s="27"/>
      <c r="T22" s="13">
        <f>T21/U21</f>
        <v>0.37799015680439513</v>
      </c>
      <c r="U22" s="27"/>
      <c r="V22" s="27"/>
      <c r="W22" s="27"/>
      <c r="X22" s="27"/>
      <c r="Y22" s="27"/>
      <c r="Z22" s="17"/>
      <c r="AA22" s="1" t="s">
        <v>41</v>
      </c>
    </row>
    <row r="23" spans="1:28" ht="16.2" customHeight="1">
      <c r="A23" s="25"/>
      <c r="B23" s="27" t="s">
        <v>12</v>
      </c>
      <c r="C23" s="27">
        <v>187500000</v>
      </c>
      <c r="D23" s="27"/>
      <c r="E23" s="27"/>
      <c r="F23" s="27"/>
      <c r="G23" s="27"/>
      <c r="H23" s="12">
        <f t="shared" ref="H23" si="12">C23-I23</f>
        <v>20204000</v>
      </c>
      <c r="I23" s="27">
        <v>167296000</v>
      </c>
      <c r="J23" s="27"/>
      <c r="K23" s="27"/>
      <c r="L23" s="27"/>
      <c r="M23" s="27"/>
      <c r="N23" s="43">
        <f t="shared" ref="N23" si="13">I23-O23</f>
        <v>27633000</v>
      </c>
      <c r="O23" s="34">
        <f>410783000-271120000</f>
        <v>139663000</v>
      </c>
      <c r="P23" s="27"/>
      <c r="Q23" s="27"/>
      <c r="R23" s="27"/>
      <c r="S23" s="27"/>
      <c r="T23" s="12">
        <f t="shared" ref="T23" si="14">O23-U23</f>
        <v>29690000</v>
      </c>
      <c r="U23" s="27">
        <f>271120000-161147000</f>
        <v>109973000</v>
      </c>
      <c r="V23" s="27"/>
      <c r="W23" s="27"/>
      <c r="X23" s="27"/>
      <c r="Y23" s="27"/>
      <c r="Z23" s="16"/>
      <c r="AA23" s="2" t="s">
        <v>40</v>
      </c>
    </row>
    <row r="24" spans="1:28" ht="16.8" customHeight="1">
      <c r="A24" s="25"/>
      <c r="B24" s="27"/>
      <c r="C24" s="27"/>
      <c r="D24" s="27"/>
      <c r="E24" s="27"/>
      <c r="F24" s="27"/>
      <c r="G24" s="27"/>
      <c r="H24" s="13">
        <f t="shared" ref="H24" si="15">H23/I23</f>
        <v>0.12076798010711554</v>
      </c>
      <c r="I24" s="27"/>
      <c r="J24" s="27"/>
      <c r="K24" s="27"/>
      <c r="L24" s="27"/>
      <c r="M24" s="27"/>
      <c r="N24" s="46">
        <f t="shared" ref="N24" si="16">N23/O23</f>
        <v>0.1978548362844848</v>
      </c>
      <c r="O24" s="34"/>
      <c r="P24" s="27"/>
      <c r="Q24" s="27"/>
      <c r="R24" s="27"/>
      <c r="S24" s="27"/>
      <c r="T24" s="13">
        <f t="shared" ref="T24" si="17">T23/U23</f>
        <v>0.26997535758777153</v>
      </c>
      <c r="U24" s="27"/>
      <c r="V24" s="27"/>
      <c r="W24" s="27"/>
      <c r="X24" s="27"/>
      <c r="Y24" s="27"/>
      <c r="Z24" s="17"/>
      <c r="AA24" s="1" t="s">
        <v>41</v>
      </c>
    </row>
    <row r="25" spans="1:28" ht="16.2" customHeight="1">
      <c r="A25" s="25"/>
      <c r="B25" s="27" t="s">
        <v>13</v>
      </c>
      <c r="C25" s="27">
        <v>83933000</v>
      </c>
      <c r="D25" s="27"/>
      <c r="E25" s="27"/>
      <c r="F25" s="27"/>
      <c r="G25" s="27"/>
      <c r="H25" s="12">
        <f t="shared" ref="H25" si="18">C25-I25</f>
        <v>-3505000</v>
      </c>
      <c r="I25" s="27">
        <v>87438000</v>
      </c>
      <c r="J25" s="27"/>
      <c r="K25" s="27"/>
      <c r="L25" s="27"/>
      <c r="M25" s="27"/>
      <c r="N25" s="43">
        <f t="shared" ref="N25" si="19">I25-O25</f>
        <v>40748000</v>
      </c>
      <c r="O25" s="34">
        <f>120474000-73784000</f>
        <v>46690000</v>
      </c>
      <c r="P25" s="27"/>
      <c r="Q25" s="27"/>
      <c r="R25" s="27"/>
      <c r="S25" s="27"/>
      <c r="T25" s="12">
        <f t="shared" ref="T25" si="20">O25-U25</f>
        <v>12841000</v>
      </c>
      <c r="U25" s="27">
        <f>73784000-39935000</f>
        <v>33849000</v>
      </c>
      <c r="V25" s="27"/>
      <c r="W25" s="27"/>
      <c r="X25" s="27"/>
      <c r="Y25" s="27"/>
      <c r="Z25" s="16"/>
      <c r="AA25" s="2" t="s">
        <v>40</v>
      </c>
    </row>
    <row r="26" spans="1:28" ht="16.8" customHeight="1">
      <c r="A26" s="25"/>
      <c r="B26" s="27"/>
      <c r="C26" s="27"/>
      <c r="D26" s="27"/>
      <c r="E26" s="27"/>
      <c r="F26" s="27"/>
      <c r="G26" s="27"/>
      <c r="H26" s="13">
        <f t="shared" ref="H26" si="21">H25/I25</f>
        <v>-4.0085546329970953E-2</v>
      </c>
      <c r="I26" s="27"/>
      <c r="J26" s="27"/>
      <c r="K26" s="27"/>
      <c r="L26" s="27"/>
      <c r="M26" s="27"/>
      <c r="N26" s="46">
        <f t="shared" ref="N26" si="22">N25/O25</f>
        <v>0.87273506104090814</v>
      </c>
      <c r="O26" s="34"/>
      <c r="P26" s="27"/>
      <c r="Q26" s="27"/>
      <c r="R26" s="27"/>
      <c r="S26" s="27"/>
      <c r="T26" s="13">
        <f t="shared" ref="T26" si="23">T25/U25</f>
        <v>0.37936128098319005</v>
      </c>
      <c r="U26" s="27"/>
      <c r="V26" s="27"/>
      <c r="W26" s="27"/>
      <c r="X26" s="27"/>
      <c r="Y26" s="27"/>
      <c r="Z26" s="17"/>
      <c r="AA26" s="1" t="s">
        <v>41</v>
      </c>
    </row>
    <row r="27" spans="1:28" ht="16.2" customHeight="1">
      <c r="A27" s="25"/>
      <c r="B27" s="30" t="s">
        <v>14</v>
      </c>
      <c r="C27" s="27">
        <v>-856000</v>
      </c>
      <c r="D27" s="27"/>
      <c r="E27" s="27"/>
      <c r="F27" s="27"/>
      <c r="G27" s="27"/>
      <c r="H27" s="12">
        <f t="shared" ref="H27" si="24">C27-I27</f>
        <v>-1346000</v>
      </c>
      <c r="I27" s="27">
        <v>490000</v>
      </c>
      <c r="J27" s="27"/>
      <c r="K27" s="27"/>
      <c r="L27" s="27"/>
      <c r="M27" s="27"/>
      <c r="N27" s="43">
        <f t="shared" ref="N27" si="25">I27-O27</f>
        <v>23000</v>
      </c>
      <c r="O27" s="34">
        <f>1137000-1987000-613000+1930000</f>
        <v>467000</v>
      </c>
      <c r="P27" s="27"/>
      <c r="Q27" s="27"/>
      <c r="R27" s="27"/>
      <c r="S27" s="27"/>
      <c r="T27" s="12">
        <f t="shared" ref="T27" si="26">O27-U27</f>
        <v>473000</v>
      </c>
      <c r="U27" s="27">
        <f>613000-1930000-531000+1842000</f>
        <v>-6000</v>
      </c>
      <c r="V27" s="27"/>
      <c r="W27" s="27"/>
      <c r="X27" s="27"/>
      <c r="Y27" s="27"/>
      <c r="Z27" s="16"/>
      <c r="AA27" s="2" t="s">
        <v>40</v>
      </c>
    </row>
    <row r="28" spans="1:28" ht="16.8" customHeight="1">
      <c r="A28" s="25"/>
      <c r="B28" s="30"/>
      <c r="C28" s="27"/>
      <c r="D28" s="27"/>
      <c r="E28" s="27"/>
      <c r="F28" s="27"/>
      <c r="G28" s="27"/>
      <c r="H28" s="13">
        <f t="shared" ref="H28" si="27">H27/I27</f>
        <v>-2.7469387755102042</v>
      </c>
      <c r="I28" s="27"/>
      <c r="J28" s="27"/>
      <c r="K28" s="27"/>
      <c r="L28" s="27"/>
      <c r="M28" s="27"/>
      <c r="N28" s="46">
        <f t="shared" ref="N28" si="28">N27/O27</f>
        <v>4.9250535331905779E-2</v>
      </c>
      <c r="O28" s="34"/>
      <c r="P28" s="27"/>
      <c r="Q28" s="27"/>
      <c r="R28" s="27"/>
      <c r="S28" s="27"/>
      <c r="T28" s="13">
        <f t="shared" ref="T28" si="29">T27/U27</f>
        <v>-78.833333333333329</v>
      </c>
      <c r="U28" s="27"/>
      <c r="V28" s="27"/>
      <c r="W28" s="27"/>
      <c r="X28" s="27"/>
      <c r="Y28" s="27"/>
      <c r="Z28" s="17"/>
      <c r="AA28" s="1" t="s">
        <v>41</v>
      </c>
    </row>
    <row r="29" spans="1:28" ht="16.2" customHeight="1">
      <c r="A29" s="25"/>
      <c r="B29" s="27" t="s">
        <v>8</v>
      </c>
      <c r="C29" s="27">
        <v>9037000</v>
      </c>
      <c r="D29" s="27"/>
      <c r="E29" s="27"/>
      <c r="F29" s="27"/>
      <c r="G29" s="27"/>
      <c r="H29" s="12">
        <f t="shared" ref="H29" si="30">C29-I29</f>
        <v>1107000</v>
      </c>
      <c r="I29" s="27">
        <v>7930000</v>
      </c>
      <c r="J29" s="27"/>
      <c r="K29" s="27"/>
      <c r="L29" s="27"/>
      <c r="M29" s="27"/>
      <c r="N29" s="43">
        <f t="shared" ref="N29" si="31">I29-O29</f>
        <v>-3269000</v>
      </c>
      <c r="O29" s="34">
        <f>23294000-12095000</f>
        <v>11199000</v>
      </c>
      <c r="P29" s="27"/>
      <c r="Q29" s="27"/>
      <c r="R29" s="27"/>
      <c r="S29" s="27"/>
      <c r="T29" s="12">
        <f t="shared" ref="T29" si="32">O29-U29</f>
        <v>7792000</v>
      </c>
      <c r="U29" s="27">
        <f>12095000-8688000</f>
        <v>3407000</v>
      </c>
      <c r="V29" s="27"/>
      <c r="W29" s="27"/>
      <c r="X29" s="27"/>
      <c r="Y29" s="27"/>
      <c r="Z29" s="16"/>
      <c r="AA29" s="2" t="s">
        <v>40</v>
      </c>
    </row>
    <row r="30" spans="1:28" ht="16.8" customHeight="1">
      <c r="A30" s="25"/>
      <c r="B30" s="27"/>
      <c r="C30" s="27"/>
      <c r="D30" s="27"/>
      <c r="E30" s="27"/>
      <c r="F30" s="27"/>
      <c r="G30" s="27"/>
      <c r="H30" s="13">
        <f t="shared" ref="H30" si="33">H29/I29</f>
        <v>0.13959646910466583</v>
      </c>
      <c r="I30" s="27"/>
      <c r="J30" s="27"/>
      <c r="K30" s="27"/>
      <c r="L30" s="27"/>
      <c r="M30" s="27"/>
      <c r="N30" s="46">
        <f t="shared" ref="N30" si="34">N29/O29</f>
        <v>-0.29190106259487453</v>
      </c>
      <c r="O30" s="34"/>
      <c r="P30" s="27"/>
      <c r="Q30" s="27"/>
      <c r="R30" s="27"/>
      <c r="S30" s="27"/>
      <c r="T30" s="13">
        <f t="shared" ref="T30" si="35">T29/U29</f>
        <v>2.287056061050778</v>
      </c>
      <c r="U30" s="27"/>
      <c r="V30" s="27"/>
      <c r="W30" s="27"/>
      <c r="X30" s="27"/>
      <c r="Y30" s="27"/>
      <c r="Z30" s="17"/>
      <c r="AA30" s="1" t="s">
        <v>41</v>
      </c>
    </row>
    <row r="31" spans="1:28" ht="16.2" customHeight="1">
      <c r="A31" s="25"/>
      <c r="B31" s="27" t="s">
        <v>9</v>
      </c>
      <c r="C31" s="27">
        <f>C21-C23-C25+C27-C29</f>
        <v>45225000</v>
      </c>
      <c r="D31" s="27"/>
      <c r="E31" s="27"/>
      <c r="F31" s="27"/>
      <c r="G31" s="27"/>
      <c r="H31" s="12">
        <f t="shared" ref="H31" si="36">C31-I31</f>
        <v>11624000</v>
      </c>
      <c r="I31" s="27">
        <f>I21-I23-I25+I27-I29</f>
        <v>33601000</v>
      </c>
      <c r="J31" s="27"/>
      <c r="K31" s="27"/>
      <c r="L31" s="27"/>
      <c r="M31" s="27"/>
      <c r="N31" s="43">
        <f t="shared" ref="N31" si="37">I31-O31</f>
        <v>-10104000</v>
      </c>
      <c r="O31" s="34">
        <f>O21-O23-O25+O27-O29</f>
        <v>43705000</v>
      </c>
      <c r="P31" s="27"/>
      <c r="Q31" s="27"/>
      <c r="R31" s="27"/>
      <c r="S31" s="27"/>
      <c r="T31" s="12">
        <f t="shared" ref="T31" si="38">O31-U31</f>
        <v>16200000</v>
      </c>
      <c r="U31" s="27">
        <f>U21-U23-U25+U27-U29</f>
        <v>27505000</v>
      </c>
      <c r="V31" s="27"/>
      <c r="W31" s="27"/>
      <c r="X31" s="27"/>
      <c r="Y31" s="27"/>
      <c r="Z31" s="16"/>
      <c r="AA31" s="2" t="s">
        <v>40</v>
      </c>
    </row>
    <row r="32" spans="1:28" ht="16.8" customHeight="1">
      <c r="A32" s="25"/>
      <c r="B32" s="27"/>
      <c r="C32" s="27"/>
      <c r="D32" s="27"/>
      <c r="E32" s="27"/>
      <c r="F32" s="27"/>
      <c r="G32" s="27"/>
      <c r="H32" s="13">
        <f t="shared" ref="H32" si="39">H31/I31</f>
        <v>0.34594208505699237</v>
      </c>
      <c r="I32" s="27"/>
      <c r="J32" s="27"/>
      <c r="K32" s="27"/>
      <c r="L32" s="27"/>
      <c r="M32" s="27"/>
      <c r="N32" s="46">
        <f t="shared" ref="N32" si="40">N31/O31</f>
        <v>-0.23118636311634824</v>
      </c>
      <c r="O32" s="34"/>
      <c r="P32" s="27"/>
      <c r="Q32" s="27"/>
      <c r="R32" s="27"/>
      <c r="S32" s="27"/>
      <c r="T32" s="13">
        <f t="shared" ref="T32" si="41">T31/U31</f>
        <v>0.58898382112343206</v>
      </c>
      <c r="U32" s="27"/>
      <c r="V32" s="27"/>
      <c r="W32" s="27"/>
      <c r="X32" s="27"/>
      <c r="Y32" s="27"/>
      <c r="Z32" s="17"/>
      <c r="AA32" s="1" t="s">
        <v>41</v>
      </c>
    </row>
    <row r="33" spans="1:27" ht="16.2" customHeight="1">
      <c r="A33" s="25"/>
      <c r="B33" s="30" t="s">
        <v>15</v>
      </c>
      <c r="C33" s="27">
        <v>31734000</v>
      </c>
      <c r="D33" s="27"/>
      <c r="E33" s="27"/>
      <c r="F33" s="27"/>
      <c r="G33" s="27"/>
      <c r="H33" s="12">
        <f t="shared" ref="H33" si="42">C33-I33</f>
        <v>8339000</v>
      </c>
      <c r="I33" s="27">
        <v>23395000</v>
      </c>
      <c r="J33" s="27"/>
      <c r="K33" s="27"/>
      <c r="L33" s="27"/>
      <c r="M33" s="27"/>
      <c r="N33" s="43">
        <f t="shared" ref="N33" si="43">I33-O33</f>
        <v>-9625000</v>
      </c>
      <c r="O33" s="34">
        <f>96238000-63218000</f>
        <v>33020000</v>
      </c>
      <c r="P33" s="27"/>
      <c r="Q33" s="27"/>
      <c r="R33" s="27"/>
      <c r="S33" s="27"/>
      <c r="T33" s="12">
        <f t="shared" ref="T33" si="44">O33-U33</f>
        <v>10980000</v>
      </c>
      <c r="U33" s="27">
        <f>63218000-41178000</f>
        <v>22040000</v>
      </c>
      <c r="V33" s="27"/>
      <c r="W33" s="27"/>
      <c r="X33" s="27"/>
      <c r="Y33" s="27"/>
      <c r="Z33" s="16"/>
      <c r="AA33" s="2" t="s">
        <v>40</v>
      </c>
    </row>
    <row r="34" spans="1:27" ht="16.8" customHeight="1" thickBot="1">
      <c r="A34" s="26"/>
      <c r="B34" s="31"/>
      <c r="C34" s="32"/>
      <c r="D34" s="32"/>
      <c r="E34" s="32"/>
      <c r="F34" s="32"/>
      <c r="G34" s="32"/>
      <c r="H34" s="18">
        <f t="shared" ref="H34" si="45">H33/I33</f>
        <v>0.35644368454798031</v>
      </c>
      <c r="I34" s="32"/>
      <c r="J34" s="32"/>
      <c r="K34" s="32"/>
      <c r="L34" s="32"/>
      <c r="M34" s="32"/>
      <c r="N34" s="44">
        <f t="shared" ref="N34" si="46">N33/O33</f>
        <v>-0.2914900060569352</v>
      </c>
      <c r="O34" s="35"/>
      <c r="P34" s="32"/>
      <c r="Q34" s="32"/>
      <c r="R34" s="32"/>
      <c r="S34" s="32"/>
      <c r="T34" s="18">
        <f t="shared" ref="T34" si="47">T33/U33</f>
        <v>0.49818511796733211</v>
      </c>
      <c r="U34" s="32"/>
      <c r="V34" s="32"/>
      <c r="W34" s="32"/>
      <c r="X34" s="32"/>
      <c r="Y34" s="32"/>
      <c r="Z34" s="19"/>
      <c r="AA34" s="1" t="s">
        <v>41</v>
      </c>
    </row>
    <row r="36" spans="1:27" ht="16.2" customHeight="1"/>
    <row r="37" spans="1:27">
      <c r="B37" s="1" t="s">
        <v>3</v>
      </c>
    </row>
    <row r="38" spans="1:27">
      <c r="B38" s="1" t="s">
        <v>4</v>
      </c>
    </row>
    <row r="39" spans="1:27">
      <c r="B39" s="1" t="s">
        <v>5</v>
      </c>
    </row>
    <row r="40" spans="1:27">
      <c r="B40" s="1" t="s">
        <v>7</v>
      </c>
    </row>
  </sheetData>
  <mergeCells count="149">
    <mergeCell ref="K3:N3"/>
    <mergeCell ref="K2:N2"/>
    <mergeCell ref="O33:S34"/>
    <mergeCell ref="U21:Y22"/>
    <mergeCell ref="U23:Y24"/>
    <mergeCell ref="U25:Y26"/>
    <mergeCell ref="U27:Y28"/>
    <mergeCell ref="U29:Y30"/>
    <mergeCell ref="U31:Y32"/>
    <mergeCell ref="U33:Y34"/>
    <mergeCell ref="M9:M10"/>
    <mergeCell ref="M11:M12"/>
    <mergeCell ref="M13:M14"/>
    <mergeCell ref="M15:M16"/>
    <mergeCell ref="M4:N4"/>
    <mergeCell ref="S4:T4"/>
    <mergeCell ref="U4:V4"/>
    <mergeCell ref="W4:X4"/>
    <mergeCell ref="E15:E16"/>
    <mergeCell ref="B17:B18"/>
    <mergeCell ref="U17:Y18"/>
    <mergeCell ref="B25:B26"/>
    <mergeCell ref="B23:B24"/>
    <mergeCell ref="B29:B30"/>
    <mergeCell ref="B27:B28"/>
    <mergeCell ref="C27:G28"/>
    <mergeCell ref="C29:G30"/>
    <mergeCell ref="I27:M28"/>
    <mergeCell ref="I29:M30"/>
    <mergeCell ref="O27:S28"/>
    <mergeCell ref="O29:S30"/>
    <mergeCell ref="O21:S22"/>
    <mergeCell ref="O23:S24"/>
    <mergeCell ref="O25:S26"/>
    <mergeCell ref="C17:G18"/>
    <mergeCell ref="O17:S18"/>
    <mergeCell ref="I17:M18"/>
    <mergeCell ref="C4:D4"/>
    <mergeCell ref="E4:F4"/>
    <mergeCell ref="G4:H4"/>
    <mergeCell ref="I4:J4"/>
    <mergeCell ref="K4:L4"/>
    <mergeCell ref="G9:G10"/>
    <mergeCell ref="G11:G12"/>
    <mergeCell ref="G13:G14"/>
    <mergeCell ref="I11:I12"/>
    <mergeCell ref="I13:I14"/>
    <mergeCell ref="C9:C10"/>
    <mergeCell ref="C11:C12"/>
    <mergeCell ref="C13:C14"/>
    <mergeCell ref="E9:E10"/>
    <mergeCell ref="E11:E12"/>
    <mergeCell ref="E13:E14"/>
    <mergeCell ref="C7:C8"/>
    <mergeCell ref="E7:E8"/>
    <mergeCell ref="G15:G16"/>
    <mergeCell ref="I9:I10"/>
    <mergeCell ref="U5:U6"/>
    <mergeCell ref="W5:W6"/>
    <mergeCell ref="Y5:Y6"/>
    <mergeCell ref="Y11:Y12"/>
    <mergeCell ref="Y7:Y8"/>
    <mergeCell ref="U9:U10"/>
    <mergeCell ref="W9:W10"/>
    <mergeCell ref="Y9:Y10"/>
    <mergeCell ref="S7:S8"/>
    <mergeCell ref="U7:U8"/>
    <mergeCell ref="W11:W12"/>
    <mergeCell ref="W7:W8"/>
    <mergeCell ref="C5:C6"/>
    <mergeCell ref="E5:E6"/>
    <mergeCell ref="G5:G6"/>
    <mergeCell ref="I5:I6"/>
    <mergeCell ref="K5:K6"/>
    <mergeCell ref="M5:M6"/>
    <mergeCell ref="I15:I16"/>
    <mergeCell ref="C15:C16"/>
    <mergeCell ref="B5:B6"/>
    <mergeCell ref="B7:B8"/>
    <mergeCell ref="B9:B10"/>
    <mergeCell ref="B11:B12"/>
    <mergeCell ref="B13:B14"/>
    <mergeCell ref="B15:B16"/>
    <mergeCell ref="K9:K10"/>
    <mergeCell ref="S11:S12"/>
    <mergeCell ref="U11:U12"/>
    <mergeCell ref="O9:O10"/>
    <mergeCell ref="Q9:Q10"/>
    <mergeCell ref="S9:S10"/>
    <mergeCell ref="K7:K8"/>
    <mergeCell ref="M7:M8"/>
    <mergeCell ref="G7:G8"/>
    <mergeCell ref="I7:I8"/>
    <mergeCell ref="K11:K12"/>
    <mergeCell ref="K13:K14"/>
    <mergeCell ref="K15:K16"/>
    <mergeCell ref="O7:O8"/>
    <mergeCell ref="Q7:Q8"/>
    <mergeCell ref="O5:O6"/>
    <mergeCell ref="Q5:Q6"/>
    <mergeCell ref="S5:S6"/>
    <mergeCell ref="AA15:AA16"/>
    <mergeCell ref="AA4:AB4"/>
    <mergeCell ref="AA5:AA6"/>
    <mergeCell ref="AA7:AA8"/>
    <mergeCell ref="AA9:AA10"/>
    <mergeCell ref="AA11:AA12"/>
    <mergeCell ref="AA13:AA14"/>
    <mergeCell ref="O15:O16"/>
    <mergeCell ref="Q15:Q16"/>
    <mergeCell ref="S15:S16"/>
    <mergeCell ref="U15:U16"/>
    <mergeCell ref="W15:W16"/>
    <mergeCell ref="Y15:Y16"/>
    <mergeCell ref="O13:O14"/>
    <mergeCell ref="Q13:Q14"/>
    <mergeCell ref="S13:S14"/>
    <mergeCell ref="U13:U14"/>
    <mergeCell ref="W13:W14"/>
    <mergeCell ref="Y13:Y14"/>
    <mergeCell ref="O11:O12"/>
    <mergeCell ref="Q11:Q12"/>
    <mergeCell ref="O4:P4"/>
    <mergeCell ref="Q4:R4"/>
    <mergeCell ref="Y4:Z4"/>
    <mergeCell ref="A20:A34"/>
    <mergeCell ref="B21:B22"/>
    <mergeCell ref="U20:Z20"/>
    <mergeCell ref="O19:S19"/>
    <mergeCell ref="U19:Y19"/>
    <mergeCell ref="C19:G19"/>
    <mergeCell ref="I19:M19"/>
    <mergeCell ref="B33:B34"/>
    <mergeCell ref="B31:B32"/>
    <mergeCell ref="C31:G32"/>
    <mergeCell ref="C33:G34"/>
    <mergeCell ref="I31:M32"/>
    <mergeCell ref="I33:M34"/>
    <mergeCell ref="O31:S32"/>
    <mergeCell ref="C20:H20"/>
    <mergeCell ref="I20:N20"/>
    <mergeCell ref="O20:T20"/>
    <mergeCell ref="A5:A19"/>
    <mergeCell ref="C21:G22"/>
    <mergeCell ref="C23:G24"/>
    <mergeCell ref="C25:G26"/>
    <mergeCell ref="I21:M22"/>
    <mergeCell ref="I23:M24"/>
    <mergeCell ref="I25:M26"/>
  </mergeCells>
  <phoneticPr fontId="1" type="noConversion"/>
  <pageMargins left="0.70866141732283472" right="0.70866141732283472" top="0.39370078740157483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tphcp001</dc:creator>
  <cp:lastModifiedBy>tphcp001</cp:lastModifiedBy>
  <cp:lastPrinted>2016-12-29T06:09:18Z</cp:lastPrinted>
  <dcterms:created xsi:type="dcterms:W3CDTF">2016-09-23T03:27:41Z</dcterms:created>
  <dcterms:modified xsi:type="dcterms:W3CDTF">2017-01-03T10:06:43Z</dcterms:modified>
</cp:coreProperties>
</file>