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22940" yWindow="-110" windowWidth="23250" windowHeight="12570"/>
  </bookViews>
  <sheets>
    <sheet name="更一審附表3" sheetId="1" r:id="rId1"/>
  </sheets>
  <definedNames>
    <definedName name="_xlnm._FilterDatabase" localSheetId="0" hidden="1">更一審附表3!$Q$1:$Q$115</definedName>
    <definedName name="_xlnm.Print_Titles" localSheetId="0">更一審附表3!$1:$2</definedName>
    <definedName name="吉1_SRB330_主檔" localSheetId="0">更一審附表3!$B$1:$S$104</definedName>
    <definedName name="吉1_SRB330_帳號檔" localSheetId="0">更一審附表3!#REF!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3" i="1" l="1"/>
  <c r="G102" i="1"/>
  <c r="G101" i="1"/>
  <c r="G100" i="1"/>
  <c r="G98" i="1"/>
  <c r="G97" i="1"/>
  <c r="G93" i="1"/>
  <c r="G92" i="1"/>
  <c r="G89" i="1"/>
  <c r="G88" i="1"/>
  <c r="G90" i="1"/>
  <c r="G87" i="1"/>
  <c r="G85" i="1"/>
  <c r="G84" i="1"/>
  <c r="G83" i="1"/>
  <c r="G82" i="1"/>
  <c r="G81" i="1"/>
  <c r="G80" i="1"/>
  <c r="G79" i="1" l="1"/>
  <c r="G78" i="1"/>
  <c r="G77" i="1"/>
  <c r="G76" i="1"/>
  <c r="G75" i="1"/>
  <c r="G74" i="1"/>
  <c r="G72" i="1"/>
  <c r="G71" i="1"/>
  <c r="G69" i="1"/>
  <c r="G68" i="1"/>
  <c r="G67" i="1"/>
  <c r="G65" i="1"/>
  <c r="G64" i="1"/>
  <c r="G63" i="1"/>
  <c r="G62" i="1"/>
  <c r="G61" i="1"/>
  <c r="G58" i="1"/>
  <c r="G56" i="1"/>
  <c r="G55" i="1"/>
  <c r="G53" i="1"/>
  <c r="G50" i="1"/>
  <c r="G49" i="1"/>
  <c r="G47" i="1"/>
  <c r="G45" i="1"/>
  <c r="G44" i="1"/>
  <c r="G42" i="1"/>
  <c r="G43" i="1"/>
  <c r="G39" i="1"/>
  <c r="G38" i="1"/>
  <c r="G35" i="1"/>
  <c r="G37" i="1"/>
  <c r="G36" i="1"/>
  <c r="G34" i="1"/>
  <c r="G33" i="1"/>
  <c r="G32" i="1"/>
  <c r="G28" i="1"/>
  <c r="G29" i="1"/>
  <c r="G30" i="1"/>
  <c r="G31" i="1"/>
  <c r="G27" i="1"/>
  <c r="G26" i="1"/>
  <c r="G25" i="1"/>
  <c r="G24" i="1"/>
  <c r="G22" i="1"/>
  <c r="G21" i="1"/>
  <c r="G20" i="1"/>
  <c r="G18" i="1"/>
  <c r="G17" i="1"/>
  <c r="G12" i="1" l="1"/>
  <c r="G11" i="1"/>
  <c r="G9" i="1"/>
  <c r="G8" i="1"/>
  <c r="G6" i="1"/>
  <c r="G5" i="1"/>
  <c r="G3" i="1"/>
  <c r="E104" i="1"/>
</calcChain>
</file>

<file path=xl/connections.xml><?xml version="1.0" encoding="utf-8"?>
<connections xmlns="http://schemas.openxmlformats.org/spreadsheetml/2006/main">
  <connection id="1" name="吉1_SRB330_主檔1" type="6" refreshedVersion="6" background="1" saveData="1">
    <textPr codePage="950" sourceFile="C:\Users\cltsai\Documents\108金上重更一7 (刑新) 吉祥佳必琪炒作案\WP\txt\吉1_SRB330_主檔.TXT" delimited="0">
      <textFields count="17">
        <textField type="YMD"/>
        <textField type="text" position="11"/>
        <textField position="21"/>
        <textField position="28"/>
        <textField type="text" position="38"/>
        <textField type="text" position="50"/>
        <textField type="text" position="58"/>
        <textField position="66"/>
        <textField position="75"/>
        <textField type="text" position="85"/>
        <textField type="text" position="92"/>
        <textField type="text" position="104"/>
        <textField type="text" position="114"/>
        <textField position="122"/>
        <textField position="131"/>
        <textField type="text" position="141"/>
        <textField position="148"/>
      </textFields>
    </textPr>
  </connection>
</connections>
</file>

<file path=xl/sharedStrings.xml><?xml version="1.0" encoding="utf-8"?>
<sst xmlns="http://schemas.openxmlformats.org/spreadsheetml/2006/main" count="1143" uniqueCount="303">
  <si>
    <t>編號</t>
    <phoneticPr fontId="2" type="noConversion"/>
  </si>
  <si>
    <t>成交資料</t>
  </si>
  <si>
    <t>買方資料</t>
    <phoneticPr fontId="3" type="noConversion"/>
  </si>
  <si>
    <t>賣方資料</t>
    <phoneticPr fontId="3" type="noConversion"/>
  </si>
  <si>
    <t>日期</t>
  </si>
  <si>
    <t>時間</t>
    <phoneticPr fontId="3" type="noConversion"/>
  </si>
  <si>
    <t>成交價</t>
  </si>
  <si>
    <t>成交股數</t>
    <phoneticPr fontId="3" type="noConversion"/>
  </si>
  <si>
    <t>交易價金</t>
    <phoneticPr fontId="3" type="noConversion"/>
  </si>
  <si>
    <t>證商名稱</t>
    <phoneticPr fontId="3" type="noConversion"/>
  </si>
  <si>
    <t>帳號</t>
    <phoneticPr fontId="3" type="noConversion"/>
  </si>
  <si>
    <t>委託時間</t>
  </si>
  <si>
    <t>委託價格</t>
  </si>
  <si>
    <t>委託股數</t>
  </si>
  <si>
    <t>帳號</t>
  </si>
  <si>
    <t>13:24:31</t>
  </si>
  <si>
    <t>9414</t>
  </si>
  <si>
    <t>翁秋南</t>
    <phoneticPr fontId="2" type="noConversion"/>
  </si>
  <si>
    <t>翁秋南</t>
  </si>
  <si>
    <t>13:24:20</t>
  </si>
  <si>
    <t>6205</t>
  </si>
  <si>
    <t>鄭光育</t>
    <phoneticPr fontId="2" type="noConversion"/>
  </si>
  <si>
    <t>郭慧敏</t>
  </si>
  <si>
    <t>13:23:55</t>
  </si>
  <si>
    <t>11:02:59</t>
  </si>
  <si>
    <t>華南台中</t>
  </si>
  <si>
    <t>柯月華</t>
  </si>
  <si>
    <t>10:42:10</t>
  </si>
  <si>
    <t>翁淑麗</t>
  </si>
  <si>
    <t>11:02:51</t>
  </si>
  <si>
    <t>12:57:03</t>
  </si>
  <si>
    <t>12:56:54</t>
  </si>
  <si>
    <t>聯邦嘉義</t>
  </si>
  <si>
    <t>楊美鈴</t>
  </si>
  <si>
    <t>12:43:37</t>
  </si>
  <si>
    <t>11:24:37</t>
  </si>
  <si>
    <t>11:24:36</t>
  </si>
  <si>
    <t>11:24:19</t>
  </si>
  <si>
    <t>10:47:07</t>
  </si>
  <si>
    <t>09:45:09</t>
  </si>
  <si>
    <t>康和</t>
  </si>
  <si>
    <t>詹淑惠</t>
  </si>
  <si>
    <t>10:46:45</t>
  </si>
  <si>
    <t>12:20:00</t>
  </si>
  <si>
    <t>12:19:47</t>
  </si>
  <si>
    <t>12:13:14</t>
  </si>
  <si>
    <t>11:35:05</t>
  </si>
  <si>
    <t>11:30:44</t>
  </si>
  <si>
    <t>11:34:58</t>
  </si>
  <si>
    <t>11:35:30</t>
  </si>
  <si>
    <t>11:35:27</t>
  </si>
  <si>
    <t>13:30:00</t>
  </si>
  <si>
    <t>13:26:39</t>
  </si>
  <si>
    <t>13:22:55</t>
  </si>
  <si>
    <t>09:18:23</t>
  </si>
  <si>
    <t>曾重凱</t>
  </si>
  <si>
    <t>09:13:16</t>
  </si>
  <si>
    <t>09:18:15</t>
  </si>
  <si>
    <t>09:19:38</t>
  </si>
  <si>
    <t>曾一峰</t>
  </si>
  <si>
    <t>09:19:25</t>
  </si>
  <si>
    <t>12:22:31</t>
  </si>
  <si>
    <t>12:22:15</t>
  </si>
  <si>
    <t>12:19:58</t>
  </si>
  <si>
    <t>12:06:20</t>
  </si>
  <si>
    <t>12:06:03</t>
  </si>
  <si>
    <t>12:04:55</t>
  </si>
  <si>
    <t>5186</t>
  </si>
  <si>
    <t>張鄭幸枝</t>
  </si>
  <si>
    <t>13:13:58</t>
  </si>
  <si>
    <t>13:26:09</t>
  </si>
  <si>
    <t>13:27:26</t>
  </si>
  <si>
    <t>13:26:41</t>
  </si>
  <si>
    <t>13:27:31</t>
  </si>
  <si>
    <t>09:07:09</t>
  </si>
  <si>
    <t>09:06:58</t>
  </si>
  <si>
    <t>09:01:52</t>
  </si>
  <si>
    <t>10:01:15</t>
  </si>
  <si>
    <t>10:01:04</t>
  </si>
  <si>
    <t>09:56:56</t>
  </si>
  <si>
    <t>10:01:08</t>
  </si>
  <si>
    <t>09:57:03</t>
  </si>
  <si>
    <t>09:33:26</t>
  </si>
  <si>
    <t>09:32:03</t>
  </si>
  <si>
    <t>09:33:02</t>
  </si>
  <si>
    <t>5187</t>
  </si>
  <si>
    <t>13:25:54</t>
  </si>
  <si>
    <t>13:28:34</t>
  </si>
  <si>
    <t>翁瑞隆</t>
  </si>
  <si>
    <t>13:15:49</t>
  </si>
  <si>
    <t>王志仁</t>
  </si>
  <si>
    <t>13:15:46</t>
  </si>
  <si>
    <t>11:12:53</t>
  </si>
  <si>
    <t>張宣程</t>
  </si>
  <si>
    <t>13:23:49</t>
  </si>
  <si>
    <t>13:25:35</t>
  </si>
  <si>
    <t>13:24:02</t>
  </si>
  <si>
    <t>13:20:06</t>
  </si>
  <si>
    <t>13:19:42</t>
  </si>
  <si>
    <t>13:17:05</t>
  </si>
  <si>
    <t>13:21:47</t>
  </si>
  <si>
    <t>13:21:30</t>
  </si>
  <si>
    <t>13:21:37</t>
  </si>
  <si>
    <t>13:22:10</t>
  </si>
  <si>
    <t>13:22:01</t>
  </si>
  <si>
    <t>13:22:35</t>
  </si>
  <si>
    <t>13:22:20</t>
  </si>
  <si>
    <t>13:22:23</t>
  </si>
  <si>
    <t>13:28:46</t>
  </si>
  <si>
    <t>13:29:20</t>
  </si>
  <si>
    <t>13:29:24</t>
  </si>
  <si>
    <t>12:00:04</t>
  </si>
  <si>
    <t>11:55:56</t>
  </si>
  <si>
    <t>11:58:54</t>
  </si>
  <si>
    <t>12:40:05</t>
  </si>
  <si>
    <t>12:35:30</t>
  </si>
  <si>
    <t>12:24:24</t>
  </si>
  <si>
    <t>12:24:38</t>
  </si>
  <si>
    <t>12:35:43</t>
  </si>
  <si>
    <t>12:40:04</t>
  </si>
  <si>
    <t>12:39:48</t>
  </si>
  <si>
    <t>12:12:54</t>
  </si>
  <si>
    <t>11:27:06</t>
  </si>
  <si>
    <t>11:27:05</t>
  </si>
  <si>
    <t>11:18:41</t>
  </si>
  <si>
    <t>09:41:15</t>
  </si>
  <si>
    <t>09:40:52</t>
  </si>
  <si>
    <t>09:39:14</t>
  </si>
  <si>
    <t>09:41:40</t>
  </si>
  <si>
    <t>09:41:24</t>
  </si>
  <si>
    <t>09:42:05</t>
  </si>
  <si>
    <t>09:41:47</t>
  </si>
  <si>
    <t>09:42:30</t>
  </si>
  <si>
    <t>09:42:17</t>
  </si>
  <si>
    <t>09:39:35</t>
  </si>
  <si>
    <t>09:46:15</t>
  </si>
  <si>
    <t>09:45:53</t>
  </si>
  <si>
    <t>09:45:19</t>
  </si>
  <si>
    <t>09:46:40</t>
  </si>
  <si>
    <t>09:46:29</t>
  </si>
  <si>
    <t>09:47:55</t>
  </si>
  <si>
    <t>09:47:54</t>
  </si>
  <si>
    <t>09:50:00</t>
  </si>
  <si>
    <t>09:49:46</t>
  </si>
  <si>
    <t>09:53:20</t>
  </si>
  <si>
    <t>09:53:11</t>
  </si>
  <si>
    <t>582F</t>
  </si>
  <si>
    <t>09:52:35</t>
  </si>
  <si>
    <t>09:54:35</t>
  </si>
  <si>
    <t>09:54:23</t>
  </si>
  <si>
    <t>09:55:00</t>
  </si>
  <si>
    <t>09:54:44</t>
  </si>
  <si>
    <t>11:52:05</t>
  </si>
  <si>
    <t>11:52:02</t>
  </si>
  <si>
    <t>10:45:08</t>
  </si>
  <si>
    <t>11:52:55</t>
  </si>
  <si>
    <t>11:52:53</t>
  </si>
  <si>
    <t>09:22:30</t>
  </si>
  <si>
    <t>09:22:24</t>
  </si>
  <si>
    <t>09:01:02</t>
  </si>
  <si>
    <t>10:34:09</t>
  </si>
  <si>
    <t>10:33:46</t>
  </si>
  <si>
    <t>10:30:13</t>
  </si>
  <si>
    <t>12:33:45</t>
  </si>
  <si>
    <t>12:33:21</t>
  </si>
  <si>
    <t>12:28:46</t>
  </si>
  <si>
    <t>12:36:40</t>
  </si>
  <si>
    <t>12:36:26</t>
  </si>
  <si>
    <t>12:36:29</t>
  </si>
  <si>
    <t>12:12:30</t>
  </si>
  <si>
    <t>12:12:06</t>
  </si>
  <si>
    <t>12:12:19</t>
  </si>
  <si>
    <t>12:12:55</t>
  </si>
  <si>
    <t>12:11:36</t>
  </si>
  <si>
    <t>12:12:47</t>
  </si>
  <si>
    <t>12:40:50</t>
  </si>
  <si>
    <t>12:38:57</t>
  </si>
  <si>
    <t>12:40:31</t>
  </si>
  <si>
    <t>12:16:41</t>
  </si>
  <si>
    <t>張宣宸</t>
  </si>
  <si>
    <t>12:16:29</t>
  </si>
  <si>
    <t>12:16:39</t>
  </si>
  <si>
    <t>12:17:32</t>
  </si>
  <si>
    <t>12:17:15</t>
  </si>
  <si>
    <t>12:17:09</t>
  </si>
  <si>
    <t>11:51:17</t>
  </si>
  <si>
    <t>11:50:58</t>
  </si>
  <si>
    <t>11:49:14</t>
  </si>
  <si>
    <t>11:51:42</t>
  </si>
  <si>
    <t>11:51:23</t>
  </si>
  <si>
    <t>11:52:07</t>
  </si>
  <si>
    <t>11:51:47</t>
  </si>
  <si>
    <t>11:52:58</t>
  </si>
  <si>
    <t>11:52:39</t>
  </si>
  <si>
    <t>11:53:22</t>
  </si>
  <si>
    <t>11:53:04</t>
  </si>
  <si>
    <t>11:54:12</t>
  </si>
  <si>
    <t>11:53:54</t>
  </si>
  <si>
    <t>11:54:38</t>
  </si>
  <si>
    <t>11:54:20</t>
  </si>
  <si>
    <t>11:55:02</t>
  </si>
  <si>
    <t>11:54:49</t>
  </si>
  <si>
    <t>11:55:27</t>
  </si>
  <si>
    <t>11:55:12</t>
  </si>
  <si>
    <t>12:35:02</t>
  </si>
  <si>
    <t>12:03:09</t>
  </si>
  <si>
    <t>12:34:51</t>
  </si>
  <si>
    <t>12:40:00</t>
  </si>
  <si>
    <t>12:39:38</t>
  </si>
  <si>
    <t>12:39:00</t>
  </si>
  <si>
    <t>11:38:19</t>
  </si>
  <si>
    <t>王家修</t>
  </si>
  <si>
    <t>11:37:57</t>
  </si>
  <si>
    <t>11:37:41</t>
  </si>
  <si>
    <t>11:38:44</t>
  </si>
  <si>
    <t>11:38:30</t>
  </si>
  <si>
    <t>11:37:44</t>
  </si>
  <si>
    <t>11:39:09</t>
  </si>
  <si>
    <t>11:39:00</t>
  </si>
  <si>
    <t>11:39:34</t>
  </si>
  <si>
    <t>11:39:21</t>
  </si>
  <si>
    <t>11:37:11</t>
  </si>
  <si>
    <t>11:39:59</t>
  </si>
  <si>
    <t>11:39:48</t>
  </si>
  <si>
    <t>11:37:19</t>
  </si>
  <si>
    <t>10:24:10</t>
  </si>
  <si>
    <t>10:23:49</t>
  </si>
  <si>
    <t>10:06:52</t>
  </si>
  <si>
    <t>10:24:36</t>
  </si>
  <si>
    <t>10:24:17</t>
  </si>
  <si>
    <t>10:03:59</t>
  </si>
  <si>
    <t>10:25:00</t>
  </si>
  <si>
    <t>10:24:47</t>
  </si>
  <si>
    <t>10:26:15</t>
  </si>
  <si>
    <t>10:04:04</t>
  </si>
  <si>
    <t>13:05:48</t>
  </si>
  <si>
    <t>13:05:31</t>
  </si>
  <si>
    <t>13:01:08</t>
  </si>
  <si>
    <t>13:06:13</t>
  </si>
  <si>
    <t>13:05:56</t>
  </si>
  <si>
    <t>13:01:14</t>
  </si>
  <si>
    <t>13:06:38</t>
  </si>
  <si>
    <t>13:06:24</t>
  </si>
  <si>
    <t>13:01:20</t>
  </si>
  <si>
    <t>13:01:30</t>
  </si>
  <si>
    <t>13:07:53</t>
  </si>
  <si>
    <t>13:07:37</t>
  </si>
  <si>
    <t>08:44:34</t>
  </si>
  <si>
    <t>08:56:07</t>
  </si>
  <si>
    <t>13:09:58</t>
  </si>
  <si>
    <t>13:08:30</t>
  </si>
  <si>
    <t>13:09:39</t>
  </si>
  <si>
    <t>10:28:21</t>
  </si>
  <si>
    <t>09:43:22</t>
  </si>
  <si>
    <t>10:28:12</t>
  </si>
  <si>
    <t>11:00:01</t>
  </si>
  <si>
    <t>10:02:36</t>
  </si>
  <si>
    <t>姚朝順</t>
  </si>
  <si>
    <t>10:59:55</t>
  </si>
  <si>
    <t>09:47:57</t>
  </si>
  <si>
    <t>09:47:51</t>
  </si>
  <si>
    <t>09:05:57</t>
  </si>
  <si>
    <t>09:48:22</t>
  </si>
  <si>
    <t>09:48:12</t>
  </si>
  <si>
    <t>09:56:42</t>
  </si>
  <si>
    <t>09:56:33</t>
  </si>
  <si>
    <t>09:50:31</t>
  </si>
  <si>
    <t>09:57:07</t>
  </si>
  <si>
    <t>09:56:59</t>
  </si>
  <si>
    <t>09:57:57</t>
  </si>
  <si>
    <t>09:57:25</t>
  </si>
  <si>
    <t>09:57:48</t>
  </si>
  <si>
    <t>10:18:22</t>
  </si>
  <si>
    <t>10:18:19</t>
  </si>
  <si>
    <t>10:18:10</t>
  </si>
  <si>
    <t>11:22:31</t>
  </si>
  <si>
    <t>11:22:23</t>
  </si>
  <si>
    <t>10:53:50</t>
  </si>
  <si>
    <t>11:27:31</t>
  </si>
  <si>
    <t>11:27:11</t>
  </si>
  <si>
    <t>13:13:47</t>
  </si>
  <si>
    <t>13:13:40</t>
  </si>
  <si>
    <t>13:11:19</t>
  </si>
  <si>
    <t>13:14:12</t>
  </si>
  <si>
    <t>13:14:01</t>
  </si>
  <si>
    <t>13:14:37</t>
  </si>
  <si>
    <t>13:14:26</t>
  </si>
  <si>
    <t>總計成交</t>
    <phoneticPr fontId="2" type="noConversion"/>
  </si>
  <si>
    <t>股</t>
    <phoneticPr fontId="2" type="noConversion"/>
  </si>
  <si>
    <t>使用人</t>
    <phoneticPr fontId="3" type="noConversion"/>
  </si>
  <si>
    <t>戶名</t>
    <phoneticPr fontId="3" type="noConversion"/>
  </si>
  <si>
    <t>相對成交佔當盤比重</t>
    <phoneticPr fontId="2" type="noConversion"/>
  </si>
  <si>
    <t>揭示委賣價</t>
    <phoneticPr fontId="2" type="noConversion"/>
  </si>
  <si>
    <t>13:07:28</t>
    <phoneticPr fontId="2" type="noConversion"/>
  </si>
  <si>
    <t>資料出處：</t>
    <phoneticPr fontId="2" type="noConversion"/>
  </si>
  <si>
    <t>1. 證交所110.1.22臺證密字第1100001312號函吉祥全球 (代號: 2491) 96年3月16日至96年11月8日SRB330表, 檔名: SRB330_202101211105340054_rpt.doc</t>
    <phoneticPr fontId="2" type="noConversion"/>
  </si>
  <si>
    <t>2. 相對成交佔當盤比重: 證交所110.1.22臺證密字第1100001312號函吉祥全球 (代號: 2491) 96年3月16日至96年11月8日SRB680表 (檔名: SRB680_202101211105340059_1_rpt.doc、SRB680_202101211105340059_2_rpt.doc), 各筆委託資料成交當筆之「成交比」乘以本表成交股數後, 除以SRB680表各筆委託資料成交當筆之「成交量」(換算為千股)</t>
    <phoneticPr fontId="2" type="noConversion"/>
  </si>
  <si>
    <t>3. 揭示委賣價: 證交所110.1.22臺證密字第1100001312號函吉祥全球 (代號: 2491) 96年3月16日至96年11月8日SRB680表 (檔名: SRB680_202101211105340059_1_rpt.doc、SRB680_202101211105340059_2_rpt.doc), 本表各筆賣方資料下單時最高揭示賣價。</t>
    <phoneticPr fontId="2" type="noConversion"/>
  </si>
  <si>
    <t>本表不含黃錦章</t>
    <phoneticPr fontId="2" type="noConversion"/>
  </si>
  <si>
    <t>註：依成交日期時間排序
買方資料委託價格欄黃底表示漲停價委買, 賣方資料委託價格欄黃底表示跌停價委賣。</t>
    <phoneticPr fontId="2" type="noConversion"/>
  </si>
  <si>
    <t>0</t>
    <phoneticPr fontId="2" type="noConversion"/>
  </si>
  <si>
    <t>0</t>
    <phoneticPr fontId="2" type="noConversion"/>
  </si>
  <si>
    <t>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</si>
</sst>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#,##0_ "/>
  </numFmts>
  <fonts count="4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2" borderId="4" xfId="1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0" fontId="0" fillId="0" borderId="2" xfId="2" applyNumberFormat="1" applyFont="1" applyBorder="1" applyAlignment="1">
      <alignment horizontal="center" vertical="center" wrapText="1"/>
    </xf>
    <xf numFmtId="10" fontId="0" fillId="0" borderId="2" xfId="2" applyNumberFormat="1" applyFont="1" applyBorder="1" applyAlignment="1">
      <alignment horizontal="center" vertical="center"/>
    </xf>
    <xf numFmtId="10" fontId="0" fillId="2" borderId="4" xfId="2" applyNumberFormat="1" applyFont="1" applyFill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吉1_SRB330_主檔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11"/>
  <sheetViews>
    <sheetView tabSelected="1" zoomScaleNormal="100" zoomScaleSheetLayoutView="100" workbookViewId="0">
      <pane xSplit="7" ySplit="2" topLeftCell="L3" activePane="bottomRight" state="frozen"/>
      <selection pane="topRight" activeCell="H1" sqref="H1"/>
      <selection pane="bottomLeft" activeCell="A3" sqref="A3"/>
      <selection pane="bottomRight" activeCell="P5" sqref="P5"/>
    </sheetView>
  </sheetViews>
  <sheetFormatPr defaultColWidth="8.90625" defaultRowHeight="25.4" customHeight="1" x14ac:dyDescent="0.4"/>
  <cols>
    <col min="1" max="1" width="5.453125" style="6" bestFit="1" customWidth="1"/>
    <col min="2" max="2" width="10.453125" style="6" bestFit="1" customWidth="1"/>
    <col min="3" max="3" width="8.453125" style="6" bestFit="1" customWidth="1"/>
    <col min="4" max="4" width="7.453125" style="6" customWidth="1"/>
    <col min="5" max="5" width="9.453125" style="6" bestFit="1" customWidth="1"/>
    <col min="6" max="6" width="10" style="11" bestFit="1" customWidth="1"/>
    <col min="7" max="7" width="10.08984375" style="17" customWidth="1"/>
    <col min="8" max="9" width="9.453125" style="6" bestFit="1" customWidth="1"/>
    <col min="10" max="10" width="8.08984375" style="6" bestFit="1" customWidth="1"/>
    <col min="11" max="11" width="10.26953125" style="6" bestFit="1" customWidth="1"/>
    <col min="12" max="15" width="9.453125" style="6" bestFit="1" customWidth="1"/>
    <col min="16" max="16" width="8.453125" style="6" customWidth="1"/>
    <col min="17" max="17" width="8.08984375" style="6" bestFit="1" customWidth="1"/>
    <col min="18" max="18" width="10.26953125" style="6" bestFit="1" customWidth="1"/>
    <col min="19" max="21" width="9.453125" style="6" bestFit="1" customWidth="1"/>
    <col min="22" max="16384" width="8.90625" style="6"/>
  </cols>
  <sheetData>
    <row r="1" spans="1:22" customFormat="1" ht="25.4" customHeight="1" x14ac:dyDescent="0.4">
      <c r="A1" s="25" t="s">
        <v>0</v>
      </c>
      <c r="B1" s="22" t="s">
        <v>1</v>
      </c>
      <c r="C1" s="23"/>
      <c r="D1" s="23"/>
      <c r="E1" s="23"/>
      <c r="F1" s="23"/>
      <c r="G1" s="27"/>
      <c r="H1" s="22" t="s">
        <v>2</v>
      </c>
      <c r="I1" s="23"/>
      <c r="J1" s="23"/>
      <c r="K1" s="23"/>
      <c r="L1" s="23"/>
      <c r="M1" s="23"/>
      <c r="N1" s="27"/>
      <c r="O1" s="22" t="s">
        <v>3</v>
      </c>
      <c r="P1" s="23"/>
      <c r="Q1" s="23"/>
      <c r="R1" s="23"/>
      <c r="S1" s="23"/>
      <c r="T1" s="23"/>
      <c r="U1" s="23"/>
      <c r="V1" s="24"/>
    </row>
    <row r="2" spans="1:22" customFormat="1" ht="51" x14ac:dyDescent="0.4">
      <c r="A2" s="26"/>
      <c r="B2" s="1" t="s">
        <v>4</v>
      </c>
      <c r="C2" s="1" t="s">
        <v>5</v>
      </c>
      <c r="D2" s="1" t="s">
        <v>6</v>
      </c>
      <c r="E2" s="1" t="s">
        <v>7</v>
      </c>
      <c r="F2" s="2" t="s">
        <v>8</v>
      </c>
      <c r="G2" s="14" t="s">
        <v>291</v>
      </c>
      <c r="H2" s="1" t="s">
        <v>9</v>
      </c>
      <c r="I2" s="1" t="s">
        <v>10</v>
      </c>
      <c r="J2" s="1" t="s">
        <v>289</v>
      </c>
      <c r="K2" s="1" t="s">
        <v>290</v>
      </c>
      <c r="L2" s="1" t="s">
        <v>11</v>
      </c>
      <c r="M2" s="1" t="s">
        <v>12</v>
      </c>
      <c r="N2" s="1" t="s">
        <v>13</v>
      </c>
      <c r="O2" s="1" t="s">
        <v>9</v>
      </c>
      <c r="P2" s="1" t="s">
        <v>14</v>
      </c>
      <c r="Q2" s="1" t="s">
        <v>289</v>
      </c>
      <c r="R2" s="1" t="s">
        <v>290</v>
      </c>
      <c r="S2" s="1" t="s">
        <v>11</v>
      </c>
      <c r="T2" s="1" t="s">
        <v>12</v>
      </c>
      <c r="U2" s="1" t="s">
        <v>13</v>
      </c>
      <c r="V2" s="20" t="s">
        <v>292</v>
      </c>
    </row>
    <row r="3" spans="1:22" ht="25.4" customHeight="1" x14ac:dyDescent="0.4">
      <c r="A3" s="1">
        <v>1</v>
      </c>
      <c r="B3" s="3">
        <v>39241</v>
      </c>
      <c r="C3" s="4" t="s">
        <v>15</v>
      </c>
      <c r="D3" s="1">
        <v>10.55</v>
      </c>
      <c r="E3" s="5">
        <v>12000</v>
      </c>
      <c r="F3" s="2">
        <v>126600.00000000001</v>
      </c>
      <c r="G3" s="15">
        <f>12/62</f>
        <v>0.19354838709677419</v>
      </c>
      <c r="H3" s="4" t="s">
        <v>16</v>
      </c>
      <c r="I3" s="4" t="s">
        <v>301</v>
      </c>
      <c r="J3" s="1" t="s">
        <v>17</v>
      </c>
      <c r="K3" s="4" t="s">
        <v>18</v>
      </c>
      <c r="L3" s="4" t="s">
        <v>19</v>
      </c>
      <c r="M3" s="1">
        <v>10.55</v>
      </c>
      <c r="N3" s="5">
        <v>300000</v>
      </c>
      <c r="O3" s="4" t="s">
        <v>20</v>
      </c>
      <c r="P3" s="4" t="s">
        <v>302</v>
      </c>
      <c r="Q3" s="1" t="s">
        <v>21</v>
      </c>
      <c r="R3" s="4" t="s">
        <v>22</v>
      </c>
      <c r="S3" s="4" t="s">
        <v>23</v>
      </c>
      <c r="T3" s="1">
        <v>10.55</v>
      </c>
      <c r="U3" s="5">
        <v>12000</v>
      </c>
      <c r="V3" s="12">
        <v>10.5</v>
      </c>
    </row>
    <row r="4" spans="1:22" ht="25.4" customHeight="1" x14ac:dyDescent="0.4">
      <c r="A4" s="1">
        <v>2</v>
      </c>
      <c r="B4" s="3">
        <v>39256</v>
      </c>
      <c r="C4" s="4" t="s">
        <v>24</v>
      </c>
      <c r="D4" s="1">
        <v>13.2</v>
      </c>
      <c r="E4" s="5">
        <v>16000</v>
      </c>
      <c r="F4" s="2">
        <v>211200</v>
      </c>
      <c r="G4" s="15">
        <v>0.14810000000000001</v>
      </c>
      <c r="H4" s="4" t="s">
        <v>25</v>
      </c>
      <c r="I4" s="4" t="s">
        <v>301</v>
      </c>
      <c r="J4" s="1" t="s">
        <v>21</v>
      </c>
      <c r="K4" s="4" t="s">
        <v>26</v>
      </c>
      <c r="L4" s="4" t="s">
        <v>27</v>
      </c>
      <c r="M4" s="1">
        <v>13.2</v>
      </c>
      <c r="N4" s="5">
        <v>100000</v>
      </c>
      <c r="O4" s="4" t="s">
        <v>20</v>
      </c>
      <c r="P4" s="4" t="s">
        <v>302</v>
      </c>
      <c r="Q4" s="1" t="s">
        <v>21</v>
      </c>
      <c r="R4" s="4" t="s">
        <v>28</v>
      </c>
      <c r="S4" s="4" t="s">
        <v>29</v>
      </c>
      <c r="T4" s="1">
        <v>13.2</v>
      </c>
      <c r="U4" s="5">
        <v>100000</v>
      </c>
      <c r="V4" s="12">
        <v>13.3</v>
      </c>
    </row>
    <row r="5" spans="1:22" ht="25.4" customHeight="1" x14ac:dyDescent="0.4">
      <c r="A5" s="18">
        <v>3</v>
      </c>
      <c r="B5" s="3">
        <v>39266</v>
      </c>
      <c r="C5" s="4" t="s">
        <v>30</v>
      </c>
      <c r="D5" s="1">
        <v>15.35</v>
      </c>
      <c r="E5" s="5">
        <v>25000</v>
      </c>
      <c r="F5" s="2">
        <v>383750</v>
      </c>
      <c r="G5" s="15">
        <f>25/421</f>
        <v>5.9382422802850353E-2</v>
      </c>
      <c r="H5" s="4" t="s">
        <v>16</v>
      </c>
      <c r="I5" s="4" t="s">
        <v>301</v>
      </c>
      <c r="J5" s="1" t="s">
        <v>17</v>
      </c>
      <c r="K5" s="4" t="s">
        <v>18</v>
      </c>
      <c r="L5" s="4" t="s">
        <v>31</v>
      </c>
      <c r="M5" s="1">
        <v>15.35</v>
      </c>
      <c r="N5" s="5">
        <v>300000</v>
      </c>
      <c r="O5" s="4" t="s">
        <v>32</v>
      </c>
      <c r="P5" s="4" t="s">
        <v>302</v>
      </c>
      <c r="Q5" s="1" t="s">
        <v>17</v>
      </c>
      <c r="R5" s="4" t="s">
        <v>33</v>
      </c>
      <c r="S5" s="4" t="s">
        <v>34</v>
      </c>
      <c r="T5" s="19">
        <v>15.35</v>
      </c>
      <c r="U5" s="5">
        <v>25000</v>
      </c>
      <c r="V5" s="12">
        <v>15.35</v>
      </c>
    </row>
    <row r="6" spans="1:22" ht="25.4" customHeight="1" x14ac:dyDescent="0.4">
      <c r="A6" s="18">
        <v>4</v>
      </c>
      <c r="B6" s="3">
        <v>39267</v>
      </c>
      <c r="C6" s="4" t="s">
        <v>35</v>
      </c>
      <c r="D6" s="1">
        <v>15.8</v>
      </c>
      <c r="E6" s="5">
        <v>79000</v>
      </c>
      <c r="F6" s="2">
        <v>1248200</v>
      </c>
      <c r="G6" s="15">
        <f>79/201</f>
        <v>0.39303482587064675</v>
      </c>
      <c r="H6" s="4" t="s">
        <v>16</v>
      </c>
      <c r="I6" s="4" t="s">
        <v>301</v>
      </c>
      <c r="J6" s="1" t="s">
        <v>17</v>
      </c>
      <c r="K6" s="4" t="s">
        <v>18</v>
      </c>
      <c r="L6" s="4" t="s">
        <v>36</v>
      </c>
      <c r="M6" s="1">
        <v>15.8</v>
      </c>
      <c r="N6" s="5">
        <v>400000</v>
      </c>
      <c r="O6" s="4" t="s">
        <v>20</v>
      </c>
      <c r="P6" s="4" t="s">
        <v>301</v>
      </c>
      <c r="Q6" s="1" t="s">
        <v>21</v>
      </c>
      <c r="R6" s="4" t="s">
        <v>22</v>
      </c>
      <c r="S6" s="4" t="s">
        <v>37</v>
      </c>
      <c r="T6" s="1">
        <v>15.7</v>
      </c>
      <c r="U6" s="5">
        <v>100000</v>
      </c>
      <c r="V6" s="12">
        <v>15.8</v>
      </c>
    </row>
    <row r="7" spans="1:22" ht="25.4" customHeight="1" x14ac:dyDescent="0.4">
      <c r="A7" s="18">
        <v>5</v>
      </c>
      <c r="B7" s="3">
        <v>39272</v>
      </c>
      <c r="C7" s="4" t="s">
        <v>38</v>
      </c>
      <c r="D7" s="1">
        <v>16.95</v>
      </c>
      <c r="E7" s="5">
        <v>153000</v>
      </c>
      <c r="F7" s="2">
        <v>2593350</v>
      </c>
      <c r="G7" s="15">
        <v>0.69540000000000002</v>
      </c>
      <c r="H7" s="4" t="s">
        <v>16</v>
      </c>
      <c r="I7" s="4" t="s">
        <v>301</v>
      </c>
      <c r="J7" s="1" t="s">
        <v>17</v>
      </c>
      <c r="K7" s="4" t="s">
        <v>18</v>
      </c>
      <c r="L7" s="4" t="s">
        <v>39</v>
      </c>
      <c r="M7" s="19">
        <v>16.95</v>
      </c>
      <c r="N7" s="5">
        <v>200000</v>
      </c>
      <c r="O7" s="4" t="s">
        <v>40</v>
      </c>
      <c r="P7" s="4" t="s">
        <v>301</v>
      </c>
      <c r="Q7" s="1" t="s">
        <v>21</v>
      </c>
      <c r="R7" s="4" t="s">
        <v>41</v>
      </c>
      <c r="S7" s="4" t="s">
        <v>42</v>
      </c>
      <c r="T7" s="19">
        <v>14.75</v>
      </c>
      <c r="U7" s="5">
        <v>182000</v>
      </c>
      <c r="V7" s="12">
        <v>0</v>
      </c>
    </row>
    <row r="8" spans="1:22" ht="25.4" customHeight="1" x14ac:dyDescent="0.4">
      <c r="A8" s="18">
        <v>6</v>
      </c>
      <c r="B8" s="3">
        <v>39281</v>
      </c>
      <c r="C8" s="4" t="s">
        <v>43</v>
      </c>
      <c r="D8" s="1">
        <v>18</v>
      </c>
      <c r="E8" s="5">
        <v>89000</v>
      </c>
      <c r="F8" s="2">
        <v>1602000</v>
      </c>
      <c r="G8" s="15">
        <f>89/154</f>
        <v>0.57792207792207795</v>
      </c>
      <c r="H8" s="4" t="s">
        <v>16</v>
      </c>
      <c r="I8" s="4" t="s">
        <v>301</v>
      </c>
      <c r="J8" s="1" t="s">
        <v>17</v>
      </c>
      <c r="K8" s="4" t="s">
        <v>18</v>
      </c>
      <c r="L8" s="4" t="s">
        <v>44</v>
      </c>
      <c r="M8" s="1">
        <v>18</v>
      </c>
      <c r="N8" s="5">
        <v>200000</v>
      </c>
      <c r="O8" s="4" t="s">
        <v>20</v>
      </c>
      <c r="P8" s="4" t="s">
        <v>301</v>
      </c>
      <c r="Q8" s="1" t="s">
        <v>21</v>
      </c>
      <c r="R8" s="4" t="s">
        <v>22</v>
      </c>
      <c r="S8" s="4" t="s">
        <v>45</v>
      </c>
      <c r="T8" s="1">
        <v>18</v>
      </c>
      <c r="U8" s="5">
        <v>89000</v>
      </c>
      <c r="V8" s="12">
        <v>17.8</v>
      </c>
    </row>
    <row r="9" spans="1:22" ht="25.4" customHeight="1" x14ac:dyDescent="0.4">
      <c r="A9" s="18">
        <v>7</v>
      </c>
      <c r="B9" s="3">
        <v>39282</v>
      </c>
      <c r="C9" s="4" t="s">
        <v>46</v>
      </c>
      <c r="D9" s="1">
        <v>17.8</v>
      </c>
      <c r="E9" s="5">
        <v>16000</v>
      </c>
      <c r="F9" s="2">
        <v>284800</v>
      </c>
      <c r="G9" s="15">
        <f>16/87</f>
        <v>0.18390804597701149</v>
      </c>
      <c r="H9" s="4" t="s">
        <v>16</v>
      </c>
      <c r="I9" s="4" t="s">
        <v>301</v>
      </c>
      <c r="J9" s="1" t="s">
        <v>17</v>
      </c>
      <c r="K9" s="4" t="s">
        <v>18</v>
      </c>
      <c r="L9" s="4" t="s">
        <v>47</v>
      </c>
      <c r="M9" s="1">
        <v>17.8</v>
      </c>
      <c r="N9" s="5">
        <v>100000</v>
      </c>
      <c r="O9" s="4" t="s">
        <v>20</v>
      </c>
      <c r="P9" s="4" t="s">
        <v>301</v>
      </c>
      <c r="Q9" s="1" t="s">
        <v>21</v>
      </c>
      <c r="R9" s="4" t="s">
        <v>22</v>
      </c>
      <c r="S9" s="4" t="s">
        <v>48</v>
      </c>
      <c r="T9" s="1">
        <v>17.8</v>
      </c>
      <c r="U9" s="5">
        <v>98000</v>
      </c>
      <c r="V9" s="12">
        <v>17.899999999999999</v>
      </c>
    </row>
    <row r="10" spans="1:22" ht="25.4" customHeight="1" x14ac:dyDescent="0.4">
      <c r="A10" s="18">
        <v>8</v>
      </c>
      <c r="B10" s="3">
        <v>39282</v>
      </c>
      <c r="C10" s="4" t="s">
        <v>49</v>
      </c>
      <c r="D10" s="1">
        <v>17.8</v>
      </c>
      <c r="E10" s="5">
        <v>17000</v>
      </c>
      <c r="F10" s="2">
        <v>302600</v>
      </c>
      <c r="G10" s="15">
        <v>0.77270000000000005</v>
      </c>
      <c r="H10" s="4" t="s">
        <v>16</v>
      </c>
      <c r="I10" s="4" t="s">
        <v>301</v>
      </c>
      <c r="J10" s="1" t="s">
        <v>17</v>
      </c>
      <c r="K10" s="4" t="s">
        <v>18</v>
      </c>
      <c r="L10" s="4" t="s">
        <v>50</v>
      </c>
      <c r="M10" s="1">
        <v>17.8</v>
      </c>
      <c r="N10" s="5">
        <v>100000</v>
      </c>
      <c r="O10" s="4" t="s">
        <v>20</v>
      </c>
      <c r="P10" s="4" t="s">
        <v>301</v>
      </c>
      <c r="Q10" s="1" t="s">
        <v>21</v>
      </c>
      <c r="R10" s="4" t="s">
        <v>22</v>
      </c>
      <c r="S10" s="4" t="s">
        <v>48</v>
      </c>
      <c r="T10" s="1">
        <v>17.8</v>
      </c>
      <c r="U10" s="5">
        <v>98000</v>
      </c>
      <c r="V10" s="12">
        <v>17.899999999999999</v>
      </c>
    </row>
    <row r="11" spans="1:22" ht="25.4" customHeight="1" x14ac:dyDescent="0.4">
      <c r="A11" s="18">
        <v>9</v>
      </c>
      <c r="B11" s="3">
        <v>39283</v>
      </c>
      <c r="C11" s="4" t="s">
        <v>51</v>
      </c>
      <c r="D11" s="1">
        <v>17.899999999999999</v>
      </c>
      <c r="E11" s="5">
        <v>116000</v>
      </c>
      <c r="F11" s="2">
        <v>2076399.9999999998</v>
      </c>
      <c r="G11" s="15">
        <f>116/343</f>
        <v>0.33819241982507287</v>
      </c>
      <c r="H11" s="4" t="s">
        <v>16</v>
      </c>
      <c r="I11" s="4" t="s">
        <v>301</v>
      </c>
      <c r="J11" s="1" t="s">
        <v>17</v>
      </c>
      <c r="K11" s="4" t="s">
        <v>18</v>
      </c>
      <c r="L11" s="4" t="s">
        <v>52</v>
      </c>
      <c r="M11" s="1">
        <v>17.899999999999999</v>
      </c>
      <c r="N11" s="5">
        <v>200000</v>
      </c>
      <c r="O11" s="4" t="s">
        <v>20</v>
      </c>
      <c r="P11" s="4" t="s">
        <v>301</v>
      </c>
      <c r="Q11" s="1" t="s">
        <v>21</v>
      </c>
      <c r="R11" s="4" t="s">
        <v>22</v>
      </c>
      <c r="S11" s="4" t="s">
        <v>53</v>
      </c>
      <c r="T11" s="1">
        <v>17.899999999999999</v>
      </c>
      <c r="U11" s="5">
        <v>200000</v>
      </c>
      <c r="V11" s="12">
        <v>17.95</v>
      </c>
    </row>
    <row r="12" spans="1:22" ht="25.4" customHeight="1" x14ac:dyDescent="0.4">
      <c r="A12" s="18">
        <v>10</v>
      </c>
      <c r="B12" s="3">
        <v>39288</v>
      </c>
      <c r="C12" s="4" t="s">
        <v>54</v>
      </c>
      <c r="D12" s="1">
        <v>17.850000000000001</v>
      </c>
      <c r="E12" s="5">
        <v>96000</v>
      </c>
      <c r="F12" s="2">
        <v>1713600.0000000002</v>
      </c>
      <c r="G12" s="15">
        <f>96/98</f>
        <v>0.97959183673469385</v>
      </c>
      <c r="H12" s="4" t="s">
        <v>25</v>
      </c>
      <c r="I12" s="4" t="s">
        <v>301</v>
      </c>
      <c r="J12" s="1" t="s">
        <v>21</v>
      </c>
      <c r="K12" s="4" t="s">
        <v>55</v>
      </c>
      <c r="L12" s="4" t="s">
        <v>56</v>
      </c>
      <c r="M12" s="1">
        <v>17.850000000000001</v>
      </c>
      <c r="N12" s="5">
        <v>100000</v>
      </c>
      <c r="O12" s="4" t="s">
        <v>16</v>
      </c>
      <c r="P12" s="4" t="s">
        <v>301</v>
      </c>
      <c r="Q12" s="1" t="s">
        <v>17</v>
      </c>
      <c r="R12" s="4" t="s">
        <v>18</v>
      </c>
      <c r="S12" s="4" t="s">
        <v>57</v>
      </c>
      <c r="T12" s="1">
        <v>17.850000000000001</v>
      </c>
      <c r="U12" s="5">
        <v>100000</v>
      </c>
      <c r="V12" s="12">
        <v>17.899999999999999</v>
      </c>
    </row>
    <row r="13" spans="1:22" ht="25.4" customHeight="1" x14ac:dyDescent="0.4">
      <c r="A13" s="18">
        <v>11</v>
      </c>
      <c r="B13" s="3">
        <v>39288</v>
      </c>
      <c r="C13" s="4" t="s">
        <v>58</v>
      </c>
      <c r="D13" s="1">
        <v>17.850000000000001</v>
      </c>
      <c r="E13" s="5">
        <v>1000</v>
      </c>
      <c r="F13" s="2">
        <v>17850</v>
      </c>
      <c r="G13" s="15">
        <v>0.01</v>
      </c>
      <c r="H13" s="4" t="s">
        <v>25</v>
      </c>
      <c r="I13" s="4" t="s">
        <v>301</v>
      </c>
      <c r="J13" s="1" t="s">
        <v>21</v>
      </c>
      <c r="K13" s="4" t="s">
        <v>59</v>
      </c>
      <c r="L13" s="4" t="s">
        <v>60</v>
      </c>
      <c r="M13" s="1">
        <v>17.899999999999999</v>
      </c>
      <c r="N13" s="5">
        <v>100000</v>
      </c>
      <c r="O13" s="4" t="s">
        <v>16</v>
      </c>
      <c r="P13" s="4" t="s">
        <v>301</v>
      </c>
      <c r="Q13" s="1" t="s">
        <v>17</v>
      </c>
      <c r="R13" s="4" t="s">
        <v>18</v>
      </c>
      <c r="S13" s="4" t="s">
        <v>57</v>
      </c>
      <c r="T13" s="1">
        <v>17.850000000000001</v>
      </c>
      <c r="U13" s="5">
        <v>100000</v>
      </c>
      <c r="V13" s="12">
        <v>17.899999999999999</v>
      </c>
    </row>
    <row r="14" spans="1:22" ht="25.4" customHeight="1" x14ac:dyDescent="0.4">
      <c r="A14" s="18">
        <v>12</v>
      </c>
      <c r="B14" s="3">
        <v>39289</v>
      </c>
      <c r="C14" s="4" t="s">
        <v>61</v>
      </c>
      <c r="D14" s="1">
        <v>17.850000000000001</v>
      </c>
      <c r="E14" s="5">
        <v>82000</v>
      </c>
      <c r="F14" s="2">
        <v>1463700.0000000002</v>
      </c>
      <c r="G14" s="15">
        <v>0.81179999999999997</v>
      </c>
      <c r="H14" s="4" t="s">
        <v>25</v>
      </c>
      <c r="I14" s="4" t="s">
        <v>301</v>
      </c>
      <c r="J14" s="1" t="s">
        <v>21</v>
      </c>
      <c r="K14" s="4" t="s">
        <v>26</v>
      </c>
      <c r="L14" s="4" t="s">
        <v>62</v>
      </c>
      <c r="M14" s="1">
        <v>17.850000000000001</v>
      </c>
      <c r="N14" s="5">
        <v>100000</v>
      </c>
      <c r="O14" s="4" t="s">
        <v>20</v>
      </c>
      <c r="P14" s="4" t="s">
        <v>301</v>
      </c>
      <c r="Q14" s="1" t="s">
        <v>21</v>
      </c>
      <c r="R14" s="4" t="s">
        <v>22</v>
      </c>
      <c r="S14" s="4" t="s">
        <v>63</v>
      </c>
      <c r="T14" s="1">
        <v>17.850000000000001</v>
      </c>
      <c r="U14" s="5">
        <v>100000</v>
      </c>
      <c r="V14" s="12">
        <v>17.850000000000001</v>
      </c>
    </row>
    <row r="15" spans="1:22" ht="25.4" customHeight="1" x14ac:dyDescent="0.4">
      <c r="A15" s="18">
        <v>13</v>
      </c>
      <c r="B15" s="3">
        <v>39290</v>
      </c>
      <c r="C15" s="4" t="s">
        <v>64</v>
      </c>
      <c r="D15" s="1">
        <v>17.600000000000001</v>
      </c>
      <c r="E15" s="5">
        <v>151000</v>
      </c>
      <c r="F15" s="2">
        <v>2657600</v>
      </c>
      <c r="G15" s="15">
        <v>0.44280000000000003</v>
      </c>
      <c r="H15" s="4" t="s">
        <v>16</v>
      </c>
      <c r="I15" s="4" t="s">
        <v>301</v>
      </c>
      <c r="J15" s="1" t="s">
        <v>17</v>
      </c>
      <c r="K15" s="4" t="s">
        <v>18</v>
      </c>
      <c r="L15" s="4" t="s">
        <v>65</v>
      </c>
      <c r="M15" s="1">
        <v>17.600000000000001</v>
      </c>
      <c r="N15" s="5">
        <v>300000</v>
      </c>
      <c r="O15" s="4" t="s">
        <v>25</v>
      </c>
      <c r="P15" s="4" t="s">
        <v>301</v>
      </c>
      <c r="Q15" s="1" t="s">
        <v>21</v>
      </c>
      <c r="R15" s="4" t="s">
        <v>26</v>
      </c>
      <c r="S15" s="4" t="s">
        <v>66</v>
      </c>
      <c r="T15" s="1">
        <v>17.600000000000001</v>
      </c>
      <c r="U15" s="5">
        <v>200000</v>
      </c>
      <c r="V15" s="12">
        <v>17.8</v>
      </c>
    </row>
    <row r="16" spans="1:22" ht="25.4" customHeight="1" x14ac:dyDescent="0.4">
      <c r="A16" s="18">
        <v>14</v>
      </c>
      <c r="B16" s="3">
        <v>39293</v>
      </c>
      <c r="C16" s="4" t="s">
        <v>51</v>
      </c>
      <c r="D16" s="1">
        <v>17</v>
      </c>
      <c r="E16" s="5">
        <v>200000</v>
      </c>
      <c r="F16" s="2">
        <v>3400000</v>
      </c>
      <c r="G16" s="15">
        <v>5.6099999999999997E-2</v>
      </c>
      <c r="H16" s="4" t="s">
        <v>67</v>
      </c>
      <c r="I16" s="4" t="s">
        <v>301</v>
      </c>
      <c r="J16" s="1" t="s">
        <v>21</v>
      </c>
      <c r="K16" s="4" t="s">
        <v>68</v>
      </c>
      <c r="L16" s="4" t="s">
        <v>69</v>
      </c>
      <c r="M16" s="1">
        <v>17</v>
      </c>
      <c r="N16" s="5">
        <v>200000</v>
      </c>
      <c r="O16" s="4" t="s">
        <v>16</v>
      </c>
      <c r="P16" s="4" t="s">
        <v>301</v>
      </c>
      <c r="Q16" s="1" t="s">
        <v>17</v>
      </c>
      <c r="R16" s="4" t="s">
        <v>18</v>
      </c>
      <c r="S16" s="4" t="s">
        <v>70</v>
      </c>
      <c r="T16" s="1">
        <v>17</v>
      </c>
      <c r="U16" s="5">
        <v>300000</v>
      </c>
      <c r="V16" s="12">
        <v>17.05</v>
      </c>
    </row>
    <row r="17" spans="1:22" ht="25.4" customHeight="1" x14ac:dyDescent="0.4">
      <c r="A17" s="18">
        <v>15</v>
      </c>
      <c r="B17" s="3">
        <v>39300</v>
      </c>
      <c r="C17" s="4" t="s">
        <v>51</v>
      </c>
      <c r="D17" s="1">
        <v>15.7</v>
      </c>
      <c r="E17" s="5">
        <v>122000</v>
      </c>
      <c r="F17" s="2">
        <v>1915400</v>
      </c>
      <c r="G17" s="15">
        <f>24.93%*122/200</f>
        <v>0.15207300000000001</v>
      </c>
      <c r="H17" s="4" t="s">
        <v>20</v>
      </c>
      <c r="I17" s="4" t="s">
        <v>301</v>
      </c>
      <c r="J17" s="1" t="s">
        <v>21</v>
      </c>
      <c r="K17" s="4" t="s">
        <v>22</v>
      </c>
      <c r="L17" s="4" t="s">
        <v>71</v>
      </c>
      <c r="M17" s="1">
        <v>15.7</v>
      </c>
      <c r="N17" s="5">
        <v>200000</v>
      </c>
      <c r="O17" s="4" t="s">
        <v>16</v>
      </c>
      <c r="P17" s="4" t="s">
        <v>301</v>
      </c>
      <c r="Q17" s="1" t="s">
        <v>17</v>
      </c>
      <c r="R17" s="4" t="s">
        <v>18</v>
      </c>
      <c r="S17" s="4" t="s">
        <v>72</v>
      </c>
      <c r="T17" s="1">
        <v>15.7</v>
      </c>
      <c r="U17" s="5">
        <v>200000</v>
      </c>
      <c r="V17" s="12">
        <v>15.7</v>
      </c>
    </row>
    <row r="18" spans="1:22" ht="25.4" customHeight="1" x14ac:dyDescent="0.4">
      <c r="A18" s="18">
        <v>16</v>
      </c>
      <c r="B18" s="3">
        <v>39300</v>
      </c>
      <c r="C18" s="4" t="s">
        <v>51</v>
      </c>
      <c r="D18" s="1">
        <v>15.7</v>
      </c>
      <c r="E18" s="5">
        <v>78000</v>
      </c>
      <c r="F18" s="2">
        <v>1224600</v>
      </c>
      <c r="G18" s="15">
        <f>24.93%*78/200</f>
        <v>9.7226999999999994E-2</v>
      </c>
      <c r="H18" s="4" t="s">
        <v>20</v>
      </c>
      <c r="I18" s="4" t="s">
        <v>301</v>
      </c>
      <c r="J18" s="1" t="s">
        <v>21</v>
      </c>
      <c r="K18" s="4" t="s">
        <v>22</v>
      </c>
      <c r="L18" s="4" t="s">
        <v>71</v>
      </c>
      <c r="M18" s="1">
        <v>15.7</v>
      </c>
      <c r="N18" s="5">
        <v>200000</v>
      </c>
      <c r="O18" s="4" t="s">
        <v>16</v>
      </c>
      <c r="P18" s="4" t="s">
        <v>301</v>
      </c>
      <c r="Q18" s="1" t="s">
        <v>17</v>
      </c>
      <c r="R18" s="4" t="s">
        <v>18</v>
      </c>
      <c r="S18" s="4" t="s">
        <v>73</v>
      </c>
      <c r="T18" s="1">
        <v>15.7</v>
      </c>
      <c r="U18" s="5">
        <v>200000</v>
      </c>
      <c r="V18" s="12">
        <v>15.7</v>
      </c>
    </row>
    <row r="19" spans="1:22" ht="25.4" customHeight="1" x14ac:dyDescent="0.4">
      <c r="A19" s="18">
        <v>17</v>
      </c>
      <c r="B19" s="3">
        <v>39301</v>
      </c>
      <c r="C19" s="4" t="s">
        <v>74</v>
      </c>
      <c r="D19" s="1">
        <v>16</v>
      </c>
      <c r="E19" s="5">
        <v>10000</v>
      </c>
      <c r="F19" s="2">
        <v>160000</v>
      </c>
      <c r="G19" s="15">
        <v>0.1666</v>
      </c>
      <c r="H19" s="4" t="s">
        <v>16</v>
      </c>
      <c r="I19" s="4" t="s">
        <v>301</v>
      </c>
      <c r="J19" s="1" t="s">
        <v>17</v>
      </c>
      <c r="K19" s="4" t="s">
        <v>18</v>
      </c>
      <c r="L19" s="4" t="s">
        <v>75</v>
      </c>
      <c r="M19" s="1">
        <v>16</v>
      </c>
      <c r="N19" s="5">
        <v>400000</v>
      </c>
      <c r="O19" s="4" t="s">
        <v>16</v>
      </c>
      <c r="P19" s="4" t="s">
        <v>301</v>
      </c>
      <c r="Q19" s="1" t="s">
        <v>17</v>
      </c>
      <c r="R19" s="4" t="s">
        <v>18</v>
      </c>
      <c r="S19" s="4" t="s">
        <v>76</v>
      </c>
      <c r="T19" s="1">
        <v>16</v>
      </c>
      <c r="U19" s="5">
        <v>10000</v>
      </c>
      <c r="V19" s="12">
        <v>16.100000000000001</v>
      </c>
    </row>
    <row r="20" spans="1:22" ht="25.4" customHeight="1" x14ac:dyDescent="0.4">
      <c r="A20" s="18">
        <v>18</v>
      </c>
      <c r="B20" s="3">
        <v>39303</v>
      </c>
      <c r="C20" s="4" t="s">
        <v>77</v>
      </c>
      <c r="D20" s="1">
        <v>16.5</v>
      </c>
      <c r="E20" s="5">
        <v>295000</v>
      </c>
      <c r="F20" s="2">
        <v>4867500</v>
      </c>
      <c r="G20" s="15">
        <f>58.56%*(295/400)</f>
        <v>0.43188000000000004</v>
      </c>
      <c r="H20" s="4" t="s">
        <v>16</v>
      </c>
      <c r="I20" s="4" t="s">
        <v>301</v>
      </c>
      <c r="J20" s="1" t="s">
        <v>17</v>
      </c>
      <c r="K20" s="4" t="s">
        <v>18</v>
      </c>
      <c r="L20" s="4" t="s">
        <v>78</v>
      </c>
      <c r="M20" s="1">
        <v>16.5</v>
      </c>
      <c r="N20" s="5">
        <v>400000</v>
      </c>
      <c r="O20" s="4" t="s">
        <v>20</v>
      </c>
      <c r="P20" s="4" t="s">
        <v>301</v>
      </c>
      <c r="Q20" s="1" t="s">
        <v>21</v>
      </c>
      <c r="R20" s="4" t="s">
        <v>28</v>
      </c>
      <c r="S20" s="4" t="s">
        <v>79</v>
      </c>
      <c r="T20" s="1">
        <v>16.5</v>
      </c>
      <c r="U20" s="5">
        <v>400000</v>
      </c>
      <c r="V20" s="12">
        <v>16.45</v>
      </c>
    </row>
    <row r="21" spans="1:22" ht="25.4" customHeight="1" x14ac:dyDescent="0.4">
      <c r="A21" s="18">
        <v>19</v>
      </c>
      <c r="B21" s="3">
        <v>39303</v>
      </c>
      <c r="C21" s="4" t="s">
        <v>77</v>
      </c>
      <c r="D21" s="1">
        <v>16.5</v>
      </c>
      <c r="E21" s="5">
        <v>105000</v>
      </c>
      <c r="F21" s="2">
        <v>1732500</v>
      </c>
      <c r="G21" s="15">
        <f>37.04%*(105/253)</f>
        <v>0.15372332015810278</v>
      </c>
      <c r="H21" s="4" t="s">
        <v>16</v>
      </c>
      <c r="I21" s="4" t="s">
        <v>301</v>
      </c>
      <c r="J21" s="1" t="s">
        <v>17</v>
      </c>
      <c r="K21" s="4" t="s">
        <v>18</v>
      </c>
      <c r="L21" s="4" t="s">
        <v>80</v>
      </c>
      <c r="M21" s="1">
        <v>16.5</v>
      </c>
      <c r="N21" s="5">
        <v>400000</v>
      </c>
      <c r="O21" s="4" t="s">
        <v>20</v>
      </c>
      <c r="P21" s="4" t="s">
        <v>301</v>
      </c>
      <c r="Q21" s="1" t="s">
        <v>21</v>
      </c>
      <c r="R21" s="4" t="s">
        <v>28</v>
      </c>
      <c r="S21" s="4" t="s">
        <v>79</v>
      </c>
      <c r="T21" s="1">
        <v>16.5</v>
      </c>
      <c r="U21" s="5">
        <v>400000</v>
      </c>
      <c r="V21" s="12">
        <v>16.45</v>
      </c>
    </row>
    <row r="22" spans="1:22" ht="25.4" customHeight="1" x14ac:dyDescent="0.4">
      <c r="A22" s="18">
        <v>20</v>
      </c>
      <c r="B22" s="3">
        <v>39303</v>
      </c>
      <c r="C22" s="4" t="s">
        <v>77</v>
      </c>
      <c r="D22" s="1">
        <v>16.5</v>
      </c>
      <c r="E22" s="5">
        <v>100000</v>
      </c>
      <c r="F22" s="2">
        <v>1650000</v>
      </c>
      <c r="G22" s="15">
        <f>37.04%*(100/253)</f>
        <v>0.14640316205533596</v>
      </c>
      <c r="H22" s="4" t="s">
        <v>16</v>
      </c>
      <c r="I22" s="4" t="s">
        <v>300</v>
      </c>
      <c r="J22" s="1" t="s">
        <v>17</v>
      </c>
      <c r="K22" s="4" t="s">
        <v>18</v>
      </c>
      <c r="L22" s="4" t="s">
        <v>80</v>
      </c>
      <c r="M22" s="1">
        <v>16.5</v>
      </c>
      <c r="N22" s="5">
        <v>400000</v>
      </c>
      <c r="O22" s="4" t="s">
        <v>20</v>
      </c>
      <c r="P22" s="4" t="s">
        <v>301</v>
      </c>
      <c r="Q22" s="1" t="s">
        <v>21</v>
      </c>
      <c r="R22" s="4" t="s">
        <v>28</v>
      </c>
      <c r="S22" s="4" t="s">
        <v>81</v>
      </c>
      <c r="T22" s="1">
        <v>16.5</v>
      </c>
      <c r="U22" s="5">
        <v>100000</v>
      </c>
      <c r="V22" s="12">
        <v>16.45</v>
      </c>
    </row>
    <row r="23" spans="1:22" ht="25.4" customHeight="1" x14ac:dyDescent="0.4">
      <c r="A23" s="18">
        <v>21</v>
      </c>
      <c r="B23" s="3">
        <v>39304</v>
      </c>
      <c r="C23" s="4" t="s">
        <v>82</v>
      </c>
      <c r="D23" s="1">
        <v>16.649999999999999</v>
      </c>
      <c r="E23" s="5">
        <v>8000</v>
      </c>
      <c r="F23" s="2">
        <v>133200</v>
      </c>
      <c r="G23" s="15">
        <v>3.4000000000000002E-2</v>
      </c>
      <c r="H23" s="4" t="s">
        <v>16</v>
      </c>
      <c r="I23" s="4" t="s">
        <v>300</v>
      </c>
      <c r="J23" s="1" t="s">
        <v>17</v>
      </c>
      <c r="K23" s="4" t="s">
        <v>18</v>
      </c>
      <c r="L23" s="4" t="s">
        <v>83</v>
      </c>
      <c r="M23" s="1">
        <v>16.649999999999999</v>
      </c>
      <c r="N23" s="5">
        <v>200000</v>
      </c>
      <c r="O23" s="4" t="s">
        <v>25</v>
      </c>
      <c r="P23" s="4" t="s">
        <v>301</v>
      </c>
      <c r="Q23" s="1" t="s">
        <v>21</v>
      </c>
      <c r="R23" s="4" t="s">
        <v>26</v>
      </c>
      <c r="S23" s="4" t="s">
        <v>84</v>
      </c>
      <c r="T23" s="1">
        <v>16.649999999999999</v>
      </c>
      <c r="U23" s="5">
        <v>400000</v>
      </c>
      <c r="V23" s="12">
        <v>16.7</v>
      </c>
    </row>
    <row r="24" spans="1:22" ht="25.4" customHeight="1" x14ac:dyDescent="0.4">
      <c r="A24" s="18">
        <v>22</v>
      </c>
      <c r="B24" s="3">
        <v>39304</v>
      </c>
      <c r="C24" s="4" t="s">
        <v>51</v>
      </c>
      <c r="D24" s="1">
        <v>16.649999999999999</v>
      </c>
      <c r="E24" s="5">
        <v>247000</v>
      </c>
      <c r="F24" s="2">
        <v>4112549.9999999995</v>
      </c>
      <c r="G24" s="15">
        <f>19.09%*(247/400)</f>
        <v>0.11788075000000001</v>
      </c>
      <c r="H24" s="4" t="s">
        <v>85</v>
      </c>
      <c r="I24" s="4" t="s">
        <v>300</v>
      </c>
      <c r="J24" s="1" t="s">
        <v>17</v>
      </c>
      <c r="K24" s="4" t="s">
        <v>18</v>
      </c>
      <c r="L24" s="4" t="s">
        <v>86</v>
      </c>
      <c r="M24" s="1">
        <v>16.7</v>
      </c>
      <c r="N24" s="5">
        <v>400000</v>
      </c>
      <c r="O24" s="4" t="s">
        <v>20</v>
      </c>
      <c r="P24" s="4" t="s">
        <v>301</v>
      </c>
      <c r="Q24" s="1" t="s">
        <v>21</v>
      </c>
      <c r="R24" s="4" t="s">
        <v>28</v>
      </c>
      <c r="S24" s="4" t="s">
        <v>87</v>
      </c>
      <c r="T24" s="1">
        <v>16.649999999999999</v>
      </c>
      <c r="U24" s="5">
        <v>296000</v>
      </c>
      <c r="V24" s="12">
        <v>17</v>
      </c>
    </row>
    <row r="25" spans="1:22" ht="25.4" customHeight="1" x14ac:dyDescent="0.4">
      <c r="A25" s="18">
        <v>23</v>
      </c>
      <c r="B25" s="3">
        <v>39311</v>
      </c>
      <c r="C25" s="4" t="s">
        <v>89</v>
      </c>
      <c r="D25" s="1">
        <v>17.45</v>
      </c>
      <c r="E25" s="5">
        <v>139000</v>
      </c>
      <c r="F25" s="2">
        <v>2425550</v>
      </c>
      <c r="G25" s="15">
        <f>93.08%*(139/148)</f>
        <v>0.87419729729729723</v>
      </c>
      <c r="H25" s="4" t="s">
        <v>20</v>
      </c>
      <c r="I25" s="4" t="s">
        <v>300</v>
      </c>
      <c r="J25" s="1" t="s">
        <v>21</v>
      </c>
      <c r="K25" s="4" t="s">
        <v>90</v>
      </c>
      <c r="L25" s="4" t="s">
        <v>91</v>
      </c>
      <c r="M25" s="1">
        <v>17.45</v>
      </c>
      <c r="N25" s="5">
        <v>200000</v>
      </c>
      <c r="O25" s="4" t="s">
        <v>67</v>
      </c>
      <c r="P25" s="4" t="s">
        <v>301</v>
      </c>
      <c r="Q25" s="1" t="s">
        <v>21</v>
      </c>
      <c r="R25" s="4" t="s">
        <v>68</v>
      </c>
      <c r="S25" s="4" t="s">
        <v>92</v>
      </c>
      <c r="T25" s="1">
        <v>17.45</v>
      </c>
      <c r="U25" s="5">
        <v>150000</v>
      </c>
      <c r="V25" s="12">
        <v>17.399999999999999</v>
      </c>
    </row>
    <row r="26" spans="1:22" ht="25.4" customHeight="1" x14ac:dyDescent="0.4">
      <c r="A26" s="18">
        <v>24</v>
      </c>
      <c r="B26" s="3">
        <v>39316</v>
      </c>
      <c r="C26" s="4" t="s">
        <v>51</v>
      </c>
      <c r="D26" s="1">
        <v>17.95</v>
      </c>
      <c r="E26" s="5">
        <v>54000</v>
      </c>
      <c r="F26" s="2">
        <v>969300</v>
      </c>
      <c r="G26" s="15">
        <f>47.83%*(54/155)</f>
        <v>0.16663354838709676</v>
      </c>
      <c r="H26" s="4" t="s">
        <v>67</v>
      </c>
      <c r="I26" s="4" t="s">
        <v>300</v>
      </c>
      <c r="J26" s="1" t="s">
        <v>21</v>
      </c>
      <c r="K26" s="4" t="s">
        <v>93</v>
      </c>
      <c r="L26" s="4" t="s">
        <v>94</v>
      </c>
      <c r="M26" s="1">
        <v>17.95</v>
      </c>
      <c r="N26" s="5">
        <v>167000</v>
      </c>
      <c r="O26" s="4" t="s">
        <v>16</v>
      </c>
      <c r="P26" s="4" t="s">
        <v>301</v>
      </c>
      <c r="Q26" s="1" t="s">
        <v>17</v>
      </c>
      <c r="R26" s="4" t="s">
        <v>18</v>
      </c>
      <c r="S26" s="4" t="s">
        <v>95</v>
      </c>
      <c r="T26" s="1">
        <v>17.95</v>
      </c>
      <c r="U26" s="5">
        <v>400000</v>
      </c>
      <c r="V26" s="12">
        <v>18</v>
      </c>
    </row>
    <row r="27" spans="1:22" ht="25.4" customHeight="1" x14ac:dyDescent="0.4">
      <c r="A27" s="18">
        <v>25</v>
      </c>
      <c r="B27" s="3">
        <v>39316</v>
      </c>
      <c r="C27" s="4" t="s">
        <v>51</v>
      </c>
      <c r="D27" s="1">
        <v>17.95</v>
      </c>
      <c r="E27" s="5">
        <v>7000</v>
      </c>
      <c r="F27" s="2">
        <v>125650</v>
      </c>
      <c r="G27" s="15">
        <f>47.83%*(7/155)</f>
        <v>2.1600645161290323E-2</v>
      </c>
      <c r="H27" s="4" t="s">
        <v>67</v>
      </c>
      <c r="I27" s="4" t="s">
        <v>300</v>
      </c>
      <c r="J27" s="1" t="s">
        <v>21</v>
      </c>
      <c r="K27" s="4" t="s">
        <v>93</v>
      </c>
      <c r="L27" s="4" t="s">
        <v>96</v>
      </c>
      <c r="M27" s="1">
        <v>17.95</v>
      </c>
      <c r="N27" s="5">
        <v>7000</v>
      </c>
      <c r="O27" s="4" t="s">
        <v>16</v>
      </c>
      <c r="P27" s="4" t="s">
        <v>301</v>
      </c>
      <c r="Q27" s="1" t="s">
        <v>17</v>
      </c>
      <c r="R27" s="4" t="s">
        <v>18</v>
      </c>
      <c r="S27" s="4" t="s">
        <v>95</v>
      </c>
      <c r="T27" s="1">
        <v>17.95</v>
      </c>
      <c r="U27" s="5">
        <v>400000</v>
      </c>
      <c r="V27" s="12">
        <v>18</v>
      </c>
    </row>
    <row r="28" spans="1:22" ht="25.4" customHeight="1" x14ac:dyDescent="0.4">
      <c r="A28" s="18">
        <v>26</v>
      </c>
      <c r="B28" s="3">
        <v>39324</v>
      </c>
      <c r="C28" s="4" t="s">
        <v>97</v>
      </c>
      <c r="D28" s="1">
        <v>23.1</v>
      </c>
      <c r="E28" s="5">
        <v>18000</v>
      </c>
      <c r="F28" s="2">
        <v>415800</v>
      </c>
      <c r="G28" s="15">
        <f>66.66%*(18/22)</f>
        <v>0.5454</v>
      </c>
      <c r="H28" s="4" t="s">
        <v>16</v>
      </c>
      <c r="I28" s="4" t="s">
        <v>300</v>
      </c>
      <c r="J28" s="1" t="s">
        <v>17</v>
      </c>
      <c r="K28" s="4" t="s">
        <v>18</v>
      </c>
      <c r="L28" s="4" t="s">
        <v>98</v>
      </c>
      <c r="M28" s="1">
        <v>23.1</v>
      </c>
      <c r="N28" s="5">
        <v>300000</v>
      </c>
      <c r="O28" s="4" t="s">
        <v>20</v>
      </c>
      <c r="P28" s="4" t="s">
        <v>301</v>
      </c>
      <c r="Q28" s="1" t="s">
        <v>21</v>
      </c>
      <c r="R28" s="4" t="s">
        <v>22</v>
      </c>
      <c r="S28" s="4" t="s">
        <v>99</v>
      </c>
      <c r="T28" s="1">
        <v>23.1</v>
      </c>
      <c r="U28" s="5">
        <v>50000</v>
      </c>
      <c r="V28" s="12">
        <v>23.15</v>
      </c>
    </row>
    <row r="29" spans="1:22" ht="25.4" customHeight="1" x14ac:dyDescent="0.4">
      <c r="A29" s="18">
        <v>27</v>
      </c>
      <c r="B29" s="3">
        <v>39324</v>
      </c>
      <c r="C29" s="4" t="s">
        <v>100</v>
      </c>
      <c r="D29" s="1">
        <v>23</v>
      </c>
      <c r="E29" s="5">
        <v>14000</v>
      </c>
      <c r="F29" s="2">
        <v>322000</v>
      </c>
      <c r="G29" s="15">
        <f>89.74%*(14/70)</f>
        <v>0.17948</v>
      </c>
      <c r="H29" s="4" t="s">
        <v>16</v>
      </c>
      <c r="I29" s="4" t="s">
        <v>300</v>
      </c>
      <c r="J29" s="1" t="s">
        <v>17</v>
      </c>
      <c r="K29" s="4" t="s">
        <v>18</v>
      </c>
      <c r="L29" s="4" t="s">
        <v>101</v>
      </c>
      <c r="M29" s="1">
        <v>23.05</v>
      </c>
      <c r="N29" s="5">
        <v>14000</v>
      </c>
      <c r="O29" s="4" t="s">
        <v>20</v>
      </c>
      <c r="P29" s="4" t="s">
        <v>301</v>
      </c>
      <c r="Q29" s="1" t="s">
        <v>21</v>
      </c>
      <c r="R29" s="4" t="s">
        <v>22</v>
      </c>
      <c r="S29" s="4" t="s">
        <v>102</v>
      </c>
      <c r="T29" s="1">
        <v>23</v>
      </c>
      <c r="U29" s="5">
        <v>100000</v>
      </c>
      <c r="V29" s="12">
        <v>23.05</v>
      </c>
    </row>
    <row r="30" spans="1:22" ht="25.4" customHeight="1" x14ac:dyDescent="0.4">
      <c r="A30" s="18">
        <v>28</v>
      </c>
      <c r="B30" s="3">
        <v>39324</v>
      </c>
      <c r="C30" s="4" t="s">
        <v>103</v>
      </c>
      <c r="D30" s="1">
        <v>23</v>
      </c>
      <c r="E30" s="5">
        <v>30000</v>
      </c>
      <c r="F30" s="2">
        <v>690000</v>
      </c>
      <c r="G30" s="15">
        <f>89.65%*(30/52)</f>
        <v>0.51721153846153844</v>
      </c>
      <c r="H30" s="4" t="s">
        <v>16</v>
      </c>
      <c r="I30" s="4" t="s">
        <v>300</v>
      </c>
      <c r="J30" s="1" t="s">
        <v>17</v>
      </c>
      <c r="K30" s="4" t="s">
        <v>18</v>
      </c>
      <c r="L30" s="4" t="s">
        <v>104</v>
      </c>
      <c r="M30" s="1">
        <v>23</v>
      </c>
      <c r="N30" s="5">
        <v>200000</v>
      </c>
      <c r="O30" s="4" t="s">
        <v>20</v>
      </c>
      <c r="P30" s="4" t="s">
        <v>301</v>
      </c>
      <c r="Q30" s="1" t="s">
        <v>21</v>
      </c>
      <c r="R30" s="4" t="s">
        <v>22</v>
      </c>
      <c r="S30" s="4" t="s">
        <v>102</v>
      </c>
      <c r="T30" s="1">
        <v>23</v>
      </c>
      <c r="U30" s="5">
        <v>100000</v>
      </c>
      <c r="V30" s="12">
        <v>23.05</v>
      </c>
    </row>
    <row r="31" spans="1:22" ht="25.4" customHeight="1" x14ac:dyDescent="0.4">
      <c r="A31" s="18">
        <v>29</v>
      </c>
      <c r="B31" s="3">
        <v>39324</v>
      </c>
      <c r="C31" s="4" t="s">
        <v>105</v>
      </c>
      <c r="D31" s="1">
        <v>23.05</v>
      </c>
      <c r="E31" s="5">
        <v>100000</v>
      </c>
      <c r="F31" s="2">
        <v>2305000</v>
      </c>
      <c r="G31" s="15">
        <f>84.95%*(100/209)</f>
        <v>0.40645933014354069</v>
      </c>
      <c r="H31" s="4" t="s">
        <v>16</v>
      </c>
      <c r="I31" s="4" t="s">
        <v>300</v>
      </c>
      <c r="J31" s="1" t="s">
        <v>17</v>
      </c>
      <c r="K31" s="4" t="s">
        <v>18</v>
      </c>
      <c r="L31" s="4" t="s">
        <v>106</v>
      </c>
      <c r="M31" s="1">
        <v>23.05</v>
      </c>
      <c r="N31" s="5">
        <v>499000</v>
      </c>
      <c r="O31" s="4" t="s">
        <v>20</v>
      </c>
      <c r="P31" s="4" t="s">
        <v>301</v>
      </c>
      <c r="Q31" s="1" t="s">
        <v>21</v>
      </c>
      <c r="R31" s="4" t="s">
        <v>22</v>
      </c>
      <c r="S31" s="4" t="s">
        <v>107</v>
      </c>
      <c r="T31" s="1">
        <v>23</v>
      </c>
      <c r="U31" s="5">
        <v>100000</v>
      </c>
      <c r="V31" s="12">
        <v>23.05</v>
      </c>
    </row>
    <row r="32" spans="1:22" ht="25.4" customHeight="1" x14ac:dyDescent="0.4">
      <c r="A32" s="18">
        <v>30</v>
      </c>
      <c r="B32" s="3">
        <v>39325</v>
      </c>
      <c r="C32" s="4" t="s">
        <v>51</v>
      </c>
      <c r="D32" s="1">
        <v>23.35</v>
      </c>
      <c r="E32" s="5">
        <v>90000</v>
      </c>
      <c r="F32" s="2">
        <v>2101500</v>
      </c>
      <c r="G32" s="15">
        <f>13.45%*(90/400)</f>
        <v>3.0262499999999998E-2</v>
      </c>
      <c r="H32" s="4" t="s">
        <v>16</v>
      </c>
      <c r="I32" s="4" t="s">
        <v>300</v>
      </c>
      <c r="J32" s="1" t="s">
        <v>17</v>
      </c>
      <c r="K32" s="4" t="s">
        <v>18</v>
      </c>
      <c r="L32" s="4" t="s">
        <v>108</v>
      </c>
      <c r="M32" s="1">
        <v>23.35</v>
      </c>
      <c r="N32" s="5">
        <v>400000</v>
      </c>
      <c r="O32" s="4" t="s">
        <v>16</v>
      </c>
      <c r="P32" s="4" t="s">
        <v>301</v>
      </c>
      <c r="Q32" s="1" t="s">
        <v>17</v>
      </c>
      <c r="R32" s="4" t="s">
        <v>18</v>
      </c>
      <c r="S32" s="4" t="s">
        <v>109</v>
      </c>
      <c r="T32" s="1">
        <v>23.35</v>
      </c>
      <c r="U32" s="5">
        <v>499000</v>
      </c>
      <c r="V32" s="12">
        <v>23.4</v>
      </c>
    </row>
    <row r="33" spans="1:22" ht="25.4" customHeight="1" x14ac:dyDescent="0.4">
      <c r="A33" s="18">
        <v>31</v>
      </c>
      <c r="B33" s="3">
        <v>39325</v>
      </c>
      <c r="C33" s="4" t="s">
        <v>51</v>
      </c>
      <c r="D33" s="1">
        <v>23.35</v>
      </c>
      <c r="E33" s="5">
        <v>310000</v>
      </c>
      <c r="F33" s="2">
        <v>7238500</v>
      </c>
      <c r="G33" s="15">
        <f>13.45%*(310/400)</f>
        <v>0.10423749999999998</v>
      </c>
      <c r="H33" s="4" t="s">
        <v>16</v>
      </c>
      <c r="I33" s="4" t="s">
        <v>300</v>
      </c>
      <c r="J33" s="1" t="s">
        <v>17</v>
      </c>
      <c r="K33" s="4" t="s">
        <v>18</v>
      </c>
      <c r="L33" s="4" t="s">
        <v>108</v>
      </c>
      <c r="M33" s="1">
        <v>23.35</v>
      </c>
      <c r="N33" s="5">
        <v>400000</v>
      </c>
      <c r="O33" s="4" t="s">
        <v>16</v>
      </c>
      <c r="P33" s="4" t="s">
        <v>301</v>
      </c>
      <c r="Q33" s="1" t="s">
        <v>17</v>
      </c>
      <c r="R33" s="4" t="s">
        <v>18</v>
      </c>
      <c r="S33" s="4" t="s">
        <v>110</v>
      </c>
      <c r="T33" s="1">
        <v>23.35</v>
      </c>
      <c r="U33" s="5">
        <v>499000</v>
      </c>
      <c r="V33" s="12">
        <v>23.4</v>
      </c>
    </row>
    <row r="34" spans="1:22" ht="25.4" customHeight="1" x14ac:dyDescent="0.4">
      <c r="A34" s="18">
        <v>32</v>
      </c>
      <c r="B34" s="3">
        <v>39330</v>
      </c>
      <c r="C34" s="4" t="s">
        <v>111</v>
      </c>
      <c r="D34" s="1">
        <v>25.05</v>
      </c>
      <c r="E34" s="5">
        <v>67000</v>
      </c>
      <c r="F34" s="2">
        <v>1678350</v>
      </c>
      <c r="G34" s="15">
        <f>72.59%*(67/400)</f>
        <v>0.12158825000000001</v>
      </c>
      <c r="H34" s="4" t="s">
        <v>16</v>
      </c>
      <c r="I34" s="4" t="s">
        <v>300</v>
      </c>
      <c r="J34" s="1" t="s">
        <v>17</v>
      </c>
      <c r="K34" s="4" t="s">
        <v>18</v>
      </c>
      <c r="L34" s="4" t="s">
        <v>112</v>
      </c>
      <c r="M34" s="19">
        <v>26.65</v>
      </c>
      <c r="N34" s="5">
        <v>400000</v>
      </c>
      <c r="O34" s="4" t="s">
        <v>16</v>
      </c>
      <c r="P34" s="4" t="s">
        <v>301</v>
      </c>
      <c r="Q34" s="1" t="s">
        <v>17</v>
      </c>
      <c r="R34" s="4" t="s">
        <v>18</v>
      </c>
      <c r="S34" s="4" t="s">
        <v>113</v>
      </c>
      <c r="T34" s="1">
        <v>25.05</v>
      </c>
      <c r="U34" s="5">
        <v>400000</v>
      </c>
      <c r="V34" s="12">
        <v>24.9</v>
      </c>
    </row>
    <row r="35" spans="1:22" ht="25.4" customHeight="1" x14ac:dyDescent="0.4">
      <c r="A35" s="18">
        <v>33</v>
      </c>
      <c r="B35" s="3">
        <v>39330</v>
      </c>
      <c r="C35" s="4" t="s">
        <v>114</v>
      </c>
      <c r="D35" s="1">
        <v>25.5</v>
      </c>
      <c r="E35" s="5">
        <v>100000</v>
      </c>
      <c r="F35" s="2">
        <v>2550000</v>
      </c>
      <c r="G35" s="15">
        <f>18.69%*(100/100)</f>
        <v>0.18690000000000001</v>
      </c>
      <c r="H35" s="4" t="s">
        <v>16</v>
      </c>
      <c r="I35" s="4" t="s">
        <v>300</v>
      </c>
      <c r="J35" s="1" t="s">
        <v>17</v>
      </c>
      <c r="K35" s="4" t="s">
        <v>18</v>
      </c>
      <c r="L35" s="4" t="s">
        <v>115</v>
      </c>
      <c r="M35" s="1">
        <v>25.5</v>
      </c>
      <c r="N35" s="5">
        <v>400000</v>
      </c>
      <c r="O35" s="4" t="s">
        <v>25</v>
      </c>
      <c r="P35" s="4" t="s">
        <v>301</v>
      </c>
      <c r="Q35" s="1" t="s">
        <v>21</v>
      </c>
      <c r="R35" s="4" t="s">
        <v>59</v>
      </c>
      <c r="S35" s="4" t="s">
        <v>116</v>
      </c>
      <c r="T35" s="1">
        <v>25.5</v>
      </c>
      <c r="U35" s="5">
        <v>100000</v>
      </c>
      <c r="V35" s="12">
        <v>25.1</v>
      </c>
    </row>
    <row r="36" spans="1:22" ht="25.4" customHeight="1" x14ac:dyDescent="0.4">
      <c r="A36" s="18">
        <v>34</v>
      </c>
      <c r="B36" s="3">
        <v>39330</v>
      </c>
      <c r="C36" s="4" t="s">
        <v>114</v>
      </c>
      <c r="D36" s="1">
        <v>25.5</v>
      </c>
      <c r="E36" s="5">
        <v>39000</v>
      </c>
      <c r="F36" s="2">
        <v>994500</v>
      </c>
      <c r="G36" s="15">
        <f>18.69%*(39/100)</f>
        <v>7.2891000000000011E-2</v>
      </c>
      <c r="H36" s="4" t="s">
        <v>16</v>
      </c>
      <c r="I36" s="4" t="s">
        <v>300</v>
      </c>
      <c r="J36" s="1" t="s">
        <v>17</v>
      </c>
      <c r="K36" s="4" t="s">
        <v>18</v>
      </c>
      <c r="L36" s="4" t="s">
        <v>115</v>
      </c>
      <c r="M36" s="1">
        <v>25.5</v>
      </c>
      <c r="N36" s="5">
        <v>400000</v>
      </c>
      <c r="O36" s="4" t="s">
        <v>25</v>
      </c>
      <c r="P36" s="4" t="s">
        <v>301</v>
      </c>
      <c r="Q36" s="1" t="s">
        <v>21</v>
      </c>
      <c r="R36" s="4" t="s">
        <v>55</v>
      </c>
      <c r="S36" s="4" t="s">
        <v>117</v>
      </c>
      <c r="T36" s="1">
        <v>25.5</v>
      </c>
      <c r="U36" s="5">
        <v>100000</v>
      </c>
      <c r="V36" s="12">
        <v>25.1</v>
      </c>
    </row>
    <row r="37" spans="1:22" ht="25.4" customHeight="1" x14ac:dyDescent="0.4">
      <c r="A37" s="18">
        <v>35</v>
      </c>
      <c r="B37" s="3">
        <v>39330</v>
      </c>
      <c r="C37" s="4" t="s">
        <v>114</v>
      </c>
      <c r="D37" s="1">
        <v>25.5</v>
      </c>
      <c r="E37" s="5">
        <v>61000</v>
      </c>
      <c r="F37" s="2">
        <v>1555500</v>
      </c>
      <c r="G37" s="15">
        <f>18.69%*(61/100)</f>
        <v>0.114009</v>
      </c>
      <c r="H37" s="4" t="s">
        <v>16</v>
      </c>
      <c r="I37" s="4" t="s">
        <v>300</v>
      </c>
      <c r="J37" s="1" t="s">
        <v>17</v>
      </c>
      <c r="K37" s="4" t="s">
        <v>18</v>
      </c>
      <c r="L37" s="4" t="s">
        <v>118</v>
      </c>
      <c r="M37" s="1">
        <v>25.5</v>
      </c>
      <c r="N37" s="5">
        <v>400000</v>
      </c>
      <c r="O37" s="4" t="s">
        <v>25</v>
      </c>
      <c r="P37" s="4" t="s">
        <v>301</v>
      </c>
      <c r="Q37" s="1" t="s">
        <v>21</v>
      </c>
      <c r="R37" s="4" t="s">
        <v>55</v>
      </c>
      <c r="S37" s="4" t="s">
        <v>117</v>
      </c>
      <c r="T37" s="1">
        <v>25.5</v>
      </c>
      <c r="U37" s="5">
        <v>100000</v>
      </c>
      <c r="V37" s="12">
        <v>25.1</v>
      </c>
    </row>
    <row r="38" spans="1:22" ht="25.4" customHeight="1" x14ac:dyDescent="0.4">
      <c r="A38" s="18">
        <v>36</v>
      </c>
      <c r="B38" s="3">
        <v>39332</v>
      </c>
      <c r="C38" s="4" t="s">
        <v>119</v>
      </c>
      <c r="D38" s="1">
        <v>26.5</v>
      </c>
      <c r="E38" s="5">
        <v>53000</v>
      </c>
      <c r="F38" s="2">
        <v>1404500</v>
      </c>
      <c r="G38" s="15">
        <f>84.38%*(53/400)</f>
        <v>0.1118035</v>
      </c>
      <c r="H38" s="4" t="s">
        <v>16</v>
      </c>
      <c r="I38" s="4" t="s">
        <v>300</v>
      </c>
      <c r="J38" s="1" t="s">
        <v>17</v>
      </c>
      <c r="K38" s="4" t="s">
        <v>18</v>
      </c>
      <c r="L38" s="4" t="s">
        <v>120</v>
      </c>
      <c r="M38" s="1">
        <v>26.5</v>
      </c>
      <c r="N38" s="5">
        <v>400000</v>
      </c>
      <c r="O38" s="4" t="s">
        <v>25</v>
      </c>
      <c r="P38" s="4" t="s">
        <v>301</v>
      </c>
      <c r="Q38" s="1" t="s">
        <v>21</v>
      </c>
      <c r="R38" s="4" t="s">
        <v>26</v>
      </c>
      <c r="S38" s="4" t="s">
        <v>121</v>
      </c>
      <c r="T38" s="1">
        <v>26.5</v>
      </c>
      <c r="U38" s="5">
        <v>100000</v>
      </c>
      <c r="V38" s="12">
        <v>26.4</v>
      </c>
    </row>
    <row r="39" spans="1:22" ht="25.4" customHeight="1" x14ac:dyDescent="0.4">
      <c r="A39" s="18">
        <v>37</v>
      </c>
      <c r="B39" s="3">
        <v>39338</v>
      </c>
      <c r="C39" s="4" t="s">
        <v>122</v>
      </c>
      <c r="D39" s="1">
        <v>30.2</v>
      </c>
      <c r="E39" s="5">
        <v>91000</v>
      </c>
      <c r="F39" s="2">
        <v>2748200</v>
      </c>
      <c r="G39" s="15">
        <f>85.45%*(91/94)</f>
        <v>0.82722872340425535</v>
      </c>
      <c r="H39" s="4" t="s">
        <v>16</v>
      </c>
      <c r="I39" s="4" t="s">
        <v>300</v>
      </c>
      <c r="J39" s="1" t="s">
        <v>17</v>
      </c>
      <c r="K39" s="4" t="s">
        <v>18</v>
      </c>
      <c r="L39" s="4" t="s">
        <v>123</v>
      </c>
      <c r="M39" s="1">
        <v>30.2</v>
      </c>
      <c r="N39" s="5">
        <v>110000</v>
      </c>
      <c r="O39" s="4" t="s">
        <v>25</v>
      </c>
      <c r="P39" s="4" t="s">
        <v>301</v>
      </c>
      <c r="Q39" s="1" t="s">
        <v>21</v>
      </c>
      <c r="R39" s="4" t="s">
        <v>26</v>
      </c>
      <c r="S39" s="4" t="s">
        <v>124</v>
      </c>
      <c r="T39" s="1">
        <v>30.2</v>
      </c>
      <c r="U39" s="5">
        <v>100000</v>
      </c>
      <c r="V39" s="12">
        <v>30.1</v>
      </c>
    </row>
    <row r="40" spans="1:22" ht="25.4" customHeight="1" x14ac:dyDescent="0.4">
      <c r="A40" s="18">
        <v>38</v>
      </c>
      <c r="B40" s="3">
        <v>39339</v>
      </c>
      <c r="C40" s="4" t="s">
        <v>125</v>
      </c>
      <c r="D40" s="1">
        <v>29.7</v>
      </c>
      <c r="E40" s="5">
        <v>17000</v>
      </c>
      <c r="F40" s="2">
        <v>504900</v>
      </c>
      <c r="G40" s="15">
        <v>0.54830000000000001</v>
      </c>
      <c r="H40" s="4" t="s">
        <v>67</v>
      </c>
      <c r="I40" s="4" t="s">
        <v>300</v>
      </c>
      <c r="J40" s="1" t="s">
        <v>21</v>
      </c>
      <c r="K40" s="4" t="s">
        <v>93</v>
      </c>
      <c r="L40" s="4" t="s">
        <v>126</v>
      </c>
      <c r="M40" s="1">
        <v>29.7</v>
      </c>
      <c r="N40" s="5">
        <v>30000</v>
      </c>
      <c r="O40" s="4" t="s">
        <v>67</v>
      </c>
      <c r="P40" s="4" t="s">
        <v>301</v>
      </c>
      <c r="Q40" s="1" t="s">
        <v>21</v>
      </c>
      <c r="R40" s="4" t="s">
        <v>93</v>
      </c>
      <c r="S40" s="4" t="s">
        <v>127</v>
      </c>
      <c r="T40" s="1">
        <v>29.7</v>
      </c>
      <c r="U40" s="5">
        <v>90000</v>
      </c>
      <c r="V40" s="12">
        <v>29.75</v>
      </c>
    </row>
    <row r="41" spans="1:22" ht="25.4" customHeight="1" x14ac:dyDescent="0.4">
      <c r="A41" s="18">
        <v>39</v>
      </c>
      <c r="B41" s="3">
        <v>39339</v>
      </c>
      <c r="C41" s="4" t="s">
        <v>128</v>
      </c>
      <c r="D41" s="1">
        <v>29.7</v>
      </c>
      <c r="E41" s="5">
        <v>23000</v>
      </c>
      <c r="F41" s="2">
        <v>683100</v>
      </c>
      <c r="G41" s="15">
        <v>0.48930000000000001</v>
      </c>
      <c r="H41" s="4" t="s">
        <v>67</v>
      </c>
      <c r="I41" s="4" t="s">
        <v>300</v>
      </c>
      <c r="J41" s="1" t="s">
        <v>21</v>
      </c>
      <c r="K41" s="4" t="s">
        <v>93</v>
      </c>
      <c r="L41" s="4" t="s">
        <v>129</v>
      </c>
      <c r="M41" s="1">
        <v>29.7</v>
      </c>
      <c r="N41" s="5">
        <v>30000</v>
      </c>
      <c r="O41" s="4" t="s">
        <v>67</v>
      </c>
      <c r="P41" s="4" t="s">
        <v>301</v>
      </c>
      <c r="Q41" s="1" t="s">
        <v>21</v>
      </c>
      <c r="R41" s="4" t="s">
        <v>93</v>
      </c>
      <c r="S41" s="4" t="s">
        <v>127</v>
      </c>
      <c r="T41" s="1">
        <v>29.7</v>
      </c>
      <c r="U41" s="5">
        <v>90000</v>
      </c>
      <c r="V41" s="12">
        <v>29.75</v>
      </c>
    </row>
    <row r="42" spans="1:22" ht="25.4" customHeight="1" x14ac:dyDescent="0.4">
      <c r="A42" s="18">
        <v>40</v>
      </c>
      <c r="B42" s="3">
        <v>39339</v>
      </c>
      <c r="C42" s="4" t="s">
        <v>130</v>
      </c>
      <c r="D42" s="1">
        <v>29.7</v>
      </c>
      <c r="E42" s="5">
        <v>20000</v>
      </c>
      <c r="F42" s="2">
        <v>594000</v>
      </c>
      <c r="G42" s="15">
        <f>72%*(20/36)</f>
        <v>0.4</v>
      </c>
      <c r="H42" s="4" t="s">
        <v>67</v>
      </c>
      <c r="I42" s="4" t="s">
        <v>300</v>
      </c>
      <c r="J42" s="1" t="s">
        <v>21</v>
      </c>
      <c r="K42" s="4" t="s">
        <v>93</v>
      </c>
      <c r="L42" s="4" t="s">
        <v>131</v>
      </c>
      <c r="M42" s="1">
        <v>29.7</v>
      </c>
      <c r="N42" s="5">
        <v>30000</v>
      </c>
      <c r="O42" s="4" t="s">
        <v>67</v>
      </c>
      <c r="P42" s="4" t="s">
        <v>301</v>
      </c>
      <c r="Q42" s="1" t="s">
        <v>21</v>
      </c>
      <c r="R42" s="4" t="s">
        <v>93</v>
      </c>
      <c r="S42" s="4" t="s">
        <v>127</v>
      </c>
      <c r="T42" s="1">
        <v>29.7</v>
      </c>
      <c r="U42" s="5">
        <v>90000</v>
      </c>
      <c r="V42" s="12">
        <v>29.75</v>
      </c>
    </row>
    <row r="43" spans="1:22" ht="25.4" customHeight="1" x14ac:dyDescent="0.4">
      <c r="A43" s="18">
        <v>41</v>
      </c>
      <c r="B43" s="3">
        <v>39339</v>
      </c>
      <c r="C43" s="4" t="s">
        <v>132</v>
      </c>
      <c r="D43" s="1">
        <v>29.7</v>
      </c>
      <c r="E43" s="5">
        <v>10000</v>
      </c>
      <c r="F43" s="2">
        <v>297000</v>
      </c>
      <c r="G43" s="15">
        <f>97.77%*(10/88)</f>
        <v>0.11110227272727273</v>
      </c>
      <c r="H43" s="4" t="s">
        <v>67</v>
      </c>
      <c r="I43" s="4" t="s">
        <v>300</v>
      </c>
      <c r="J43" s="1" t="s">
        <v>21</v>
      </c>
      <c r="K43" s="4" t="s">
        <v>93</v>
      </c>
      <c r="L43" s="4" t="s">
        <v>133</v>
      </c>
      <c r="M43" s="1">
        <v>29.7</v>
      </c>
      <c r="N43" s="5">
        <v>10000</v>
      </c>
      <c r="O43" s="4" t="s">
        <v>67</v>
      </c>
      <c r="P43" s="4" t="s">
        <v>301</v>
      </c>
      <c r="Q43" s="1" t="s">
        <v>21</v>
      </c>
      <c r="R43" s="4" t="s">
        <v>93</v>
      </c>
      <c r="S43" s="4" t="s">
        <v>134</v>
      </c>
      <c r="T43" s="1">
        <v>29.7</v>
      </c>
      <c r="U43" s="5">
        <v>100000</v>
      </c>
      <c r="V43" s="12">
        <v>29.75</v>
      </c>
    </row>
    <row r="44" spans="1:22" ht="25.4" customHeight="1" x14ac:dyDescent="0.4">
      <c r="A44" s="18">
        <v>42</v>
      </c>
      <c r="B44" s="3">
        <v>39339</v>
      </c>
      <c r="C44" s="4" t="s">
        <v>135</v>
      </c>
      <c r="D44" s="1">
        <v>29.8</v>
      </c>
      <c r="E44" s="5">
        <v>5000</v>
      </c>
      <c r="F44" s="2">
        <v>149000</v>
      </c>
      <c r="G44" s="15">
        <f>66.66%*(5/20)</f>
        <v>0.16664999999999999</v>
      </c>
      <c r="H44" s="4" t="s">
        <v>16</v>
      </c>
      <c r="I44" s="4" t="s">
        <v>300</v>
      </c>
      <c r="J44" s="1" t="s">
        <v>17</v>
      </c>
      <c r="K44" s="4" t="s">
        <v>18</v>
      </c>
      <c r="L44" s="4" t="s">
        <v>136</v>
      </c>
      <c r="M44" s="1">
        <v>29.8</v>
      </c>
      <c r="N44" s="5">
        <v>20000</v>
      </c>
      <c r="O44" s="4" t="s">
        <v>85</v>
      </c>
      <c r="P44" s="4" t="s">
        <v>301</v>
      </c>
      <c r="Q44" s="1" t="s">
        <v>17</v>
      </c>
      <c r="R44" s="4" t="s">
        <v>18</v>
      </c>
      <c r="S44" s="4" t="s">
        <v>137</v>
      </c>
      <c r="T44" s="1">
        <v>29.8</v>
      </c>
      <c r="U44" s="5">
        <v>200000</v>
      </c>
      <c r="V44" s="12">
        <v>29.7</v>
      </c>
    </row>
    <row r="45" spans="1:22" ht="25.4" customHeight="1" x14ac:dyDescent="0.4">
      <c r="A45" s="18">
        <v>43</v>
      </c>
      <c r="B45" s="3">
        <v>39339</v>
      </c>
      <c r="C45" s="4" t="s">
        <v>138</v>
      </c>
      <c r="D45" s="1">
        <v>29.8</v>
      </c>
      <c r="E45" s="5">
        <v>29000</v>
      </c>
      <c r="F45" s="2">
        <v>864200</v>
      </c>
      <c r="G45" s="15">
        <f>100%*(29/30)</f>
        <v>0.96666666666666667</v>
      </c>
      <c r="H45" s="4" t="s">
        <v>16</v>
      </c>
      <c r="I45" s="4" t="s">
        <v>300</v>
      </c>
      <c r="J45" s="1" t="s">
        <v>17</v>
      </c>
      <c r="K45" s="4" t="s">
        <v>18</v>
      </c>
      <c r="L45" s="4" t="s">
        <v>139</v>
      </c>
      <c r="M45" s="1">
        <v>29.8</v>
      </c>
      <c r="N45" s="5">
        <v>30000</v>
      </c>
      <c r="O45" s="4" t="s">
        <v>85</v>
      </c>
      <c r="P45" s="4" t="s">
        <v>301</v>
      </c>
      <c r="Q45" s="1" t="s">
        <v>17</v>
      </c>
      <c r="R45" s="4" t="s">
        <v>18</v>
      </c>
      <c r="S45" s="4" t="s">
        <v>137</v>
      </c>
      <c r="T45" s="1">
        <v>29.8</v>
      </c>
      <c r="U45" s="5">
        <v>200000</v>
      </c>
      <c r="V45" s="12">
        <v>29.7</v>
      </c>
    </row>
    <row r="46" spans="1:22" ht="25.4" customHeight="1" x14ac:dyDescent="0.4">
      <c r="A46" s="18">
        <v>44</v>
      </c>
      <c r="B46" s="3">
        <v>39339</v>
      </c>
      <c r="C46" s="4" t="s">
        <v>140</v>
      </c>
      <c r="D46" s="1">
        <v>29.8</v>
      </c>
      <c r="E46" s="5">
        <v>20000</v>
      </c>
      <c r="F46" s="2">
        <v>596000</v>
      </c>
      <c r="G46" s="15">
        <v>0.58819999999999995</v>
      </c>
      <c r="H46" s="4" t="s">
        <v>16</v>
      </c>
      <c r="I46" s="4" t="s">
        <v>300</v>
      </c>
      <c r="J46" s="1" t="s">
        <v>17</v>
      </c>
      <c r="K46" s="4" t="s">
        <v>18</v>
      </c>
      <c r="L46" s="4" t="s">
        <v>141</v>
      </c>
      <c r="M46" s="1">
        <v>29.8</v>
      </c>
      <c r="N46" s="5">
        <v>20000</v>
      </c>
      <c r="O46" s="4" t="s">
        <v>85</v>
      </c>
      <c r="P46" s="4" t="s">
        <v>301</v>
      </c>
      <c r="Q46" s="1" t="s">
        <v>17</v>
      </c>
      <c r="R46" s="4" t="s">
        <v>18</v>
      </c>
      <c r="S46" s="4" t="s">
        <v>137</v>
      </c>
      <c r="T46" s="1">
        <v>29.8</v>
      </c>
      <c r="U46" s="5">
        <v>200000</v>
      </c>
      <c r="V46" s="12">
        <v>29.7</v>
      </c>
    </row>
    <row r="47" spans="1:22" ht="25.4" customHeight="1" x14ac:dyDescent="0.4">
      <c r="A47" s="18">
        <v>45</v>
      </c>
      <c r="B47" s="3">
        <v>39339</v>
      </c>
      <c r="C47" s="4" t="s">
        <v>142</v>
      </c>
      <c r="D47" s="1">
        <v>29.8</v>
      </c>
      <c r="E47" s="5">
        <v>26000</v>
      </c>
      <c r="F47" s="2">
        <v>774800</v>
      </c>
      <c r="G47" s="15">
        <f>100%*(26/30)</f>
        <v>0.8666666666666667</v>
      </c>
      <c r="H47" s="4" t="s">
        <v>16</v>
      </c>
      <c r="I47" s="4" t="s">
        <v>300</v>
      </c>
      <c r="J47" s="1" t="s">
        <v>17</v>
      </c>
      <c r="K47" s="4" t="s">
        <v>18</v>
      </c>
      <c r="L47" s="4" t="s">
        <v>143</v>
      </c>
      <c r="M47" s="1">
        <v>29.8</v>
      </c>
      <c r="N47" s="5">
        <v>30000</v>
      </c>
      <c r="O47" s="4" t="s">
        <v>85</v>
      </c>
      <c r="P47" s="4" t="s">
        <v>301</v>
      </c>
      <c r="Q47" s="1" t="s">
        <v>17</v>
      </c>
      <c r="R47" s="4" t="s">
        <v>18</v>
      </c>
      <c r="S47" s="4" t="s">
        <v>137</v>
      </c>
      <c r="T47" s="1">
        <v>29.8</v>
      </c>
      <c r="U47" s="5">
        <v>200000</v>
      </c>
      <c r="V47" s="12">
        <v>29.7</v>
      </c>
    </row>
    <row r="48" spans="1:22" ht="25.4" customHeight="1" x14ac:dyDescent="0.4">
      <c r="A48" s="18">
        <v>46</v>
      </c>
      <c r="B48" s="3">
        <v>39339</v>
      </c>
      <c r="C48" s="4" t="s">
        <v>144</v>
      </c>
      <c r="D48" s="1">
        <v>29.85</v>
      </c>
      <c r="E48" s="5">
        <v>20000</v>
      </c>
      <c r="F48" s="2">
        <v>597000</v>
      </c>
      <c r="G48" s="15">
        <v>0.55549999999999999</v>
      </c>
      <c r="H48" s="4" t="s">
        <v>16</v>
      </c>
      <c r="I48" s="4" t="s">
        <v>300</v>
      </c>
      <c r="J48" s="1" t="s">
        <v>17</v>
      </c>
      <c r="K48" s="4" t="s">
        <v>18</v>
      </c>
      <c r="L48" s="4" t="s">
        <v>145</v>
      </c>
      <c r="M48" s="1">
        <v>29.85</v>
      </c>
      <c r="N48" s="5">
        <v>20000</v>
      </c>
      <c r="O48" s="4" t="s">
        <v>146</v>
      </c>
      <c r="P48" s="4" t="s">
        <v>301</v>
      </c>
      <c r="Q48" s="1" t="s">
        <v>17</v>
      </c>
      <c r="R48" s="4" t="s">
        <v>18</v>
      </c>
      <c r="S48" s="4" t="s">
        <v>147</v>
      </c>
      <c r="T48" s="1">
        <v>29.85</v>
      </c>
      <c r="U48" s="5">
        <v>200000</v>
      </c>
      <c r="V48" s="12">
        <v>29.85</v>
      </c>
    </row>
    <row r="49" spans="1:22" ht="25.4" customHeight="1" x14ac:dyDescent="0.4">
      <c r="A49" s="18">
        <v>47</v>
      </c>
      <c r="B49" s="3">
        <v>39339</v>
      </c>
      <c r="C49" s="4" t="s">
        <v>148</v>
      </c>
      <c r="D49" s="1">
        <v>29.85</v>
      </c>
      <c r="E49" s="5">
        <v>30000</v>
      </c>
      <c r="F49" s="2">
        <v>895500</v>
      </c>
      <c r="G49" s="15">
        <f>94.33%*(30/50)</f>
        <v>0.56598000000000004</v>
      </c>
      <c r="H49" s="4" t="s">
        <v>67</v>
      </c>
      <c r="I49" s="4" t="s">
        <v>300</v>
      </c>
      <c r="J49" s="1" t="s">
        <v>21</v>
      </c>
      <c r="K49" s="4" t="s">
        <v>93</v>
      </c>
      <c r="L49" s="4" t="s">
        <v>149</v>
      </c>
      <c r="M49" s="19">
        <v>32.15</v>
      </c>
      <c r="N49" s="5">
        <v>50000</v>
      </c>
      <c r="O49" s="4" t="s">
        <v>146</v>
      </c>
      <c r="P49" s="4" t="s">
        <v>301</v>
      </c>
      <c r="Q49" s="1" t="s">
        <v>17</v>
      </c>
      <c r="R49" s="4" t="s">
        <v>18</v>
      </c>
      <c r="S49" s="4" t="s">
        <v>147</v>
      </c>
      <c r="T49" s="1">
        <v>29.85</v>
      </c>
      <c r="U49" s="5">
        <v>200000</v>
      </c>
      <c r="V49" s="12">
        <v>29.85</v>
      </c>
    </row>
    <row r="50" spans="1:22" ht="25.4" customHeight="1" x14ac:dyDescent="0.4">
      <c r="A50" s="18">
        <v>48</v>
      </c>
      <c r="B50" s="3">
        <v>39339</v>
      </c>
      <c r="C50" s="4" t="s">
        <v>150</v>
      </c>
      <c r="D50" s="1">
        <v>29.85</v>
      </c>
      <c r="E50" s="5">
        <v>26000</v>
      </c>
      <c r="F50" s="2">
        <v>776100</v>
      </c>
      <c r="G50" s="15">
        <f>71.42%*(26/40)</f>
        <v>0.46423000000000003</v>
      </c>
      <c r="H50" s="4" t="s">
        <v>67</v>
      </c>
      <c r="I50" s="4" t="s">
        <v>300</v>
      </c>
      <c r="J50" s="1" t="s">
        <v>21</v>
      </c>
      <c r="K50" s="4" t="s">
        <v>93</v>
      </c>
      <c r="L50" s="4" t="s">
        <v>151</v>
      </c>
      <c r="M50" s="19">
        <v>32.15</v>
      </c>
      <c r="N50" s="5">
        <v>40000</v>
      </c>
      <c r="O50" s="4" t="s">
        <v>146</v>
      </c>
      <c r="P50" s="4" t="s">
        <v>301</v>
      </c>
      <c r="Q50" s="1" t="s">
        <v>17</v>
      </c>
      <c r="R50" s="4" t="s">
        <v>18</v>
      </c>
      <c r="S50" s="4" t="s">
        <v>147</v>
      </c>
      <c r="T50" s="1">
        <v>29.85</v>
      </c>
      <c r="U50" s="5">
        <v>200000</v>
      </c>
      <c r="V50" s="12">
        <v>29.85</v>
      </c>
    </row>
    <row r="51" spans="1:22" ht="25.4" customHeight="1" x14ac:dyDescent="0.4">
      <c r="A51" s="18">
        <v>49</v>
      </c>
      <c r="B51" s="3">
        <v>39346</v>
      </c>
      <c r="C51" s="4" t="s">
        <v>152</v>
      </c>
      <c r="D51" s="1">
        <v>26.4</v>
      </c>
      <c r="E51" s="5">
        <v>30000</v>
      </c>
      <c r="F51" s="2">
        <v>792000</v>
      </c>
      <c r="G51" s="15">
        <v>0.71419999999999995</v>
      </c>
      <c r="H51" s="4" t="s">
        <v>16</v>
      </c>
      <c r="I51" s="4" t="s">
        <v>300</v>
      </c>
      <c r="J51" s="1" t="s">
        <v>17</v>
      </c>
      <c r="K51" s="4" t="s">
        <v>18</v>
      </c>
      <c r="L51" s="4" t="s">
        <v>153</v>
      </c>
      <c r="M51" s="1">
        <v>26.4</v>
      </c>
      <c r="N51" s="5">
        <v>30000</v>
      </c>
      <c r="O51" s="4" t="s">
        <v>16</v>
      </c>
      <c r="P51" s="4" t="s">
        <v>301</v>
      </c>
      <c r="Q51" s="1" t="s">
        <v>17</v>
      </c>
      <c r="R51" s="4" t="s">
        <v>18</v>
      </c>
      <c r="S51" s="4" t="s">
        <v>154</v>
      </c>
      <c r="T51" s="1">
        <v>26.4</v>
      </c>
      <c r="U51" s="5">
        <v>300000</v>
      </c>
      <c r="V51" s="12">
        <v>25.9</v>
      </c>
    </row>
    <row r="52" spans="1:22" ht="25.4" customHeight="1" x14ac:dyDescent="0.4">
      <c r="A52" s="18">
        <v>50</v>
      </c>
      <c r="B52" s="3">
        <v>39346</v>
      </c>
      <c r="C52" s="4" t="s">
        <v>155</v>
      </c>
      <c r="D52" s="1">
        <v>26.4</v>
      </c>
      <c r="E52" s="5">
        <v>50000</v>
      </c>
      <c r="F52" s="2">
        <v>1320000</v>
      </c>
      <c r="G52" s="15">
        <v>0.2702</v>
      </c>
      <c r="H52" s="4" t="s">
        <v>16</v>
      </c>
      <c r="I52" s="4" t="s">
        <v>300</v>
      </c>
      <c r="J52" s="1" t="s">
        <v>17</v>
      </c>
      <c r="K52" s="4" t="s">
        <v>18</v>
      </c>
      <c r="L52" s="4" t="s">
        <v>156</v>
      </c>
      <c r="M52" s="1">
        <v>26.4</v>
      </c>
      <c r="N52" s="5">
        <v>50000</v>
      </c>
      <c r="O52" s="4" t="s">
        <v>16</v>
      </c>
      <c r="P52" s="4" t="s">
        <v>301</v>
      </c>
      <c r="Q52" s="1" t="s">
        <v>17</v>
      </c>
      <c r="R52" s="4" t="s">
        <v>18</v>
      </c>
      <c r="S52" s="4" t="s">
        <v>154</v>
      </c>
      <c r="T52" s="1">
        <v>26.4</v>
      </c>
      <c r="U52" s="5">
        <v>300000</v>
      </c>
      <c r="V52" s="12">
        <v>25.9</v>
      </c>
    </row>
    <row r="53" spans="1:22" ht="25.4" customHeight="1" x14ac:dyDescent="0.4">
      <c r="A53" s="18">
        <v>51</v>
      </c>
      <c r="B53" s="3">
        <v>39352</v>
      </c>
      <c r="C53" s="4" t="s">
        <v>157</v>
      </c>
      <c r="D53" s="1">
        <v>28.1</v>
      </c>
      <c r="E53" s="5">
        <v>12000</v>
      </c>
      <c r="F53" s="2">
        <v>337200</v>
      </c>
      <c r="G53" s="15">
        <f>20.45%*(12/18)</f>
        <v>0.13633333333333331</v>
      </c>
      <c r="H53" s="4" t="s">
        <v>16</v>
      </c>
      <c r="I53" s="4" t="s">
        <v>300</v>
      </c>
      <c r="J53" s="1" t="s">
        <v>17</v>
      </c>
      <c r="K53" s="4" t="s">
        <v>18</v>
      </c>
      <c r="L53" s="4" t="s">
        <v>158</v>
      </c>
      <c r="M53" s="1">
        <v>28.1</v>
      </c>
      <c r="N53" s="5">
        <v>200000</v>
      </c>
      <c r="O53" s="4" t="s">
        <v>67</v>
      </c>
      <c r="P53" s="4" t="s">
        <v>301</v>
      </c>
      <c r="Q53" s="1" t="s">
        <v>21</v>
      </c>
      <c r="R53" s="4" t="s">
        <v>93</v>
      </c>
      <c r="S53" s="4" t="s">
        <v>159</v>
      </c>
      <c r="T53" s="1">
        <v>28.1</v>
      </c>
      <c r="U53" s="5">
        <v>70000</v>
      </c>
      <c r="V53" s="12">
        <v>27.4</v>
      </c>
    </row>
    <row r="54" spans="1:22" ht="25.4" customHeight="1" x14ac:dyDescent="0.4">
      <c r="A54" s="18">
        <v>52</v>
      </c>
      <c r="B54" s="3">
        <v>39352</v>
      </c>
      <c r="C54" s="4" t="s">
        <v>160</v>
      </c>
      <c r="D54" s="1">
        <v>28.15</v>
      </c>
      <c r="E54" s="5">
        <v>73000</v>
      </c>
      <c r="F54" s="2">
        <v>2054950</v>
      </c>
      <c r="G54" s="15">
        <v>0.73</v>
      </c>
      <c r="H54" s="4" t="s">
        <v>20</v>
      </c>
      <c r="I54" s="4" t="s">
        <v>300</v>
      </c>
      <c r="J54" s="1" t="s">
        <v>21</v>
      </c>
      <c r="K54" s="4" t="s">
        <v>28</v>
      </c>
      <c r="L54" s="4" t="s">
        <v>161</v>
      </c>
      <c r="M54" s="19">
        <v>29.1</v>
      </c>
      <c r="N54" s="5">
        <v>100000</v>
      </c>
      <c r="O54" s="4" t="s">
        <v>67</v>
      </c>
      <c r="P54" s="4" t="s">
        <v>301</v>
      </c>
      <c r="Q54" s="1" t="s">
        <v>21</v>
      </c>
      <c r="R54" s="4" t="s">
        <v>93</v>
      </c>
      <c r="S54" s="4" t="s">
        <v>162</v>
      </c>
      <c r="T54" s="1">
        <v>28.15</v>
      </c>
      <c r="U54" s="5">
        <v>100000</v>
      </c>
      <c r="V54" s="12">
        <v>28.2</v>
      </c>
    </row>
    <row r="55" spans="1:22" ht="25.4" customHeight="1" x14ac:dyDescent="0.4">
      <c r="A55" s="18">
        <v>53</v>
      </c>
      <c r="B55" s="3">
        <v>39353</v>
      </c>
      <c r="C55" s="4" t="s">
        <v>163</v>
      </c>
      <c r="D55" s="1">
        <v>29.3</v>
      </c>
      <c r="E55" s="5">
        <v>18000</v>
      </c>
      <c r="F55" s="2">
        <v>527400</v>
      </c>
      <c r="G55" s="15">
        <f>93.93%*(18/31)</f>
        <v>0.5454</v>
      </c>
      <c r="H55" s="4" t="s">
        <v>85</v>
      </c>
      <c r="I55" s="4" t="s">
        <v>300</v>
      </c>
      <c r="J55" s="1" t="s">
        <v>17</v>
      </c>
      <c r="K55" s="4" t="s">
        <v>18</v>
      </c>
      <c r="L55" s="4" t="s">
        <v>164</v>
      </c>
      <c r="M55" s="1">
        <v>29.3</v>
      </c>
      <c r="N55" s="5">
        <v>499000</v>
      </c>
      <c r="O55" s="4" t="s">
        <v>20</v>
      </c>
      <c r="P55" s="4" t="s">
        <v>301</v>
      </c>
      <c r="Q55" s="1" t="s">
        <v>21</v>
      </c>
      <c r="R55" s="4" t="s">
        <v>22</v>
      </c>
      <c r="S55" s="4" t="s">
        <v>165</v>
      </c>
      <c r="T55" s="1">
        <v>29.3</v>
      </c>
      <c r="U55" s="5">
        <v>20000</v>
      </c>
      <c r="V55" s="12">
        <v>29.3</v>
      </c>
    </row>
    <row r="56" spans="1:22" ht="25.4" customHeight="1" x14ac:dyDescent="0.4">
      <c r="A56" s="18">
        <v>54</v>
      </c>
      <c r="B56" s="3">
        <v>39353</v>
      </c>
      <c r="C56" s="4" t="s">
        <v>166</v>
      </c>
      <c r="D56" s="1">
        <v>29.4</v>
      </c>
      <c r="E56" s="5">
        <v>10000</v>
      </c>
      <c r="F56" s="2">
        <v>294000</v>
      </c>
      <c r="G56" s="15">
        <f>95.45%*(10/42)</f>
        <v>0.22726190476190475</v>
      </c>
      <c r="H56" s="4" t="s">
        <v>85</v>
      </c>
      <c r="I56" s="4" t="s">
        <v>300</v>
      </c>
      <c r="J56" s="1" t="s">
        <v>17</v>
      </c>
      <c r="K56" s="4" t="s">
        <v>18</v>
      </c>
      <c r="L56" s="4" t="s">
        <v>167</v>
      </c>
      <c r="M56" s="1">
        <v>29.4</v>
      </c>
      <c r="N56" s="5">
        <v>499000</v>
      </c>
      <c r="O56" s="4" t="s">
        <v>20</v>
      </c>
      <c r="P56" s="4" t="s">
        <v>301</v>
      </c>
      <c r="Q56" s="1" t="s">
        <v>21</v>
      </c>
      <c r="R56" s="4" t="s">
        <v>22</v>
      </c>
      <c r="S56" s="4" t="s">
        <v>168</v>
      </c>
      <c r="T56" s="1">
        <v>29.35</v>
      </c>
      <c r="U56" s="5">
        <v>10000</v>
      </c>
      <c r="V56" s="12">
        <v>29.4</v>
      </c>
    </row>
    <row r="57" spans="1:22" ht="25.4" customHeight="1" x14ac:dyDescent="0.4">
      <c r="A57" s="18">
        <v>55</v>
      </c>
      <c r="B57" s="3">
        <v>39357</v>
      </c>
      <c r="C57" s="4" t="s">
        <v>169</v>
      </c>
      <c r="D57" s="1">
        <v>28.35</v>
      </c>
      <c r="E57" s="5">
        <v>50000</v>
      </c>
      <c r="F57" s="2">
        <v>1417500</v>
      </c>
      <c r="G57" s="15">
        <v>0.5</v>
      </c>
      <c r="H57" s="4" t="s">
        <v>85</v>
      </c>
      <c r="I57" s="4" t="s">
        <v>300</v>
      </c>
      <c r="J57" s="1" t="s">
        <v>17</v>
      </c>
      <c r="K57" s="4" t="s">
        <v>18</v>
      </c>
      <c r="L57" s="4" t="s">
        <v>170</v>
      </c>
      <c r="M57" s="1">
        <v>28.35</v>
      </c>
      <c r="N57" s="5">
        <v>100000</v>
      </c>
      <c r="O57" s="4" t="s">
        <v>16</v>
      </c>
      <c r="P57" s="4" t="s">
        <v>301</v>
      </c>
      <c r="Q57" s="1" t="s">
        <v>17</v>
      </c>
      <c r="R57" s="4" t="s">
        <v>18</v>
      </c>
      <c r="S57" s="4" t="s">
        <v>171</v>
      </c>
      <c r="T57" s="1">
        <v>28.3</v>
      </c>
      <c r="U57" s="5">
        <v>50000</v>
      </c>
      <c r="V57" s="12">
        <v>28.35</v>
      </c>
    </row>
    <row r="58" spans="1:22" ht="25.4" customHeight="1" x14ac:dyDescent="0.4">
      <c r="A58" s="18">
        <v>56</v>
      </c>
      <c r="B58" s="3">
        <v>39357</v>
      </c>
      <c r="C58" s="4" t="s">
        <v>172</v>
      </c>
      <c r="D58" s="1">
        <v>28.3</v>
      </c>
      <c r="E58" s="5">
        <v>35000</v>
      </c>
      <c r="F58" s="2">
        <v>990500</v>
      </c>
      <c r="G58" s="15">
        <f>100%*(35/50)</f>
        <v>0.7</v>
      </c>
      <c r="H58" s="4" t="s">
        <v>85</v>
      </c>
      <c r="I58" s="4" t="s">
        <v>300</v>
      </c>
      <c r="J58" s="1" t="s">
        <v>17</v>
      </c>
      <c r="K58" s="4" t="s">
        <v>18</v>
      </c>
      <c r="L58" s="4" t="s">
        <v>173</v>
      </c>
      <c r="M58" s="1">
        <v>28.3</v>
      </c>
      <c r="N58" s="5">
        <v>80000</v>
      </c>
      <c r="O58" s="4" t="s">
        <v>16</v>
      </c>
      <c r="P58" s="4" t="s">
        <v>301</v>
      </c>
      <c r="Q58" s="1" t="s">
        <v>17</v>
      </c>
      <c r="R58" s="4" t="s">
        <v>18</v>
      </c>
      <c r="S58" s="4" t="s">
        <v>174</v>
      </c>
      <c r="T58" s="1">
        <v>28.3</v>
      </c>
      <c r="U58" s="5">
        <v>50000</v>
      </c>
      <c r="V58" s="12">
        <v>28.35</v>
      </c>
    </row>
    <row r="59" spans="1:22" ht="25.4" customHeight="1" x14ac:dyDescent="0.4">
      <c r="A59" s="18">
        <v>57</v>
      </c>
      <c r="B59" s="3">
        <v>39358</v>
      </c>
      <c r="C59" s="4" t="s">
        <v>175</v>
      </c>
      <c r="D59" s="1">
        <v>27.95</v>
      </c>
      <c r="E59" s="5">
        <v>20000</v>
      </c>
      <c r="F59" s="2">
        <v>559000</v>
      </c>
      <c r="G59" s="15">
        <v>0.71419999999999995</v>
      </c>
      <c r="H59" s="4" t="s">
        <v>16</v>
      </c>
      <c r="I59" s="4" t="s">
        <v>300</v>
      </c>
      <c r="J59" s="1" t="s">
        <v>17</v>
      </c>
      <c r="K59" s="4" t="s">
        <v>18</v>
      </c>
      <c r="L59" s="4" t="s">
        <v>176</v>
      </c>
      <c r="M59" s="1">
        <v>27.95</v>
      </c>
      <c r="N59" s="5">
        <v>20000</v>
      </c>
      <c r="O59" s="4" t="s">
        <v>85</v>
      </c>
      <c r="P59" s="4" t="s">
        <v>301</v>
      </c>
      <c r="Q59" s="1" t="s">
        <v>17</v>
      </c>
      <c r="R59" s="4" t="s">
        <v>18</v>
      </c>
      <c r="S59" s="4" t="s">
        <v>177</v>
      </c>
      <c r="T59" s="1">
        <v>27.95</v>
      </c>
      <c r="U59" s="5">
        <v>30000</v>
      </c>
      <c r="V59" s="12">
        <v>28</v>
      </c>
    </row>
    <row r="60" spans="1:22" ht="25.4" customHeight="1" x14ac:dyDescent="0.4">
      <c r="A60" s="18">
        <v>58</v>
      </c>
      <c r="B60" s="3">
        <v>39360</v>
      </c>
      <c r="C60" s="4" t="s">
        <v>178</v>
      </c>
      <c r="D60" s="1">
        <v>27</v>
      </c>
      <c r="E60" s="5">
        <v>10000</v>
      </c>
      <c r="F60" s="2">
        <v>270000</v>
      </c>
      <c r="G60" s="15">
        <v>0.2</v>
      </c>
      <c r="H60" s="4" t="s">
        <v>67</v>
      </c>
      <c r="I60" s="4" t="s">
        <v>300</v>
      </c>
      <c r="J60" s="1" t="s">
        <v>21</v>
      </c>
      <c r="K60" s="4" t="s">
        <v>179</v>
      </c>
      <c r="L60" s="4" t="s">
        <v>180</v>
      </c>
      <c r="M60" s="1">
        <v>27</v>
      </c>
      <c r="N60" s="5">
        <v>100000</v>
      </c>
      <c r="O60" s="4" t="s">
        <v>85</v>
      </c>
      <c r="P60" s="4" t="s">
        <v>301</v>
      </c>
      <c r="Q60" s="1" t="s">
        <v>17</v>
      </c>
      <c r="R60" s="4" t="s">
        <v>18</v>
      </c>
      <c r="S60" s="4" t="s">
        <v>181</v>
      </c>
      <c r="T60" s="1">
        <v>27</v>
      </c>
      <c r="U60" s="5">
        <v>50000</v>
      </c>
      <c r="V60" s="12">
        <v>27.1</v>
      </c>
    </row>
    <row r="61" spans="1:22" ht="25.4" customHeight="1" x14ac:dyDescent="0.4">
      <c r="A61" s="18">
        <v>59</v>
      </c>
      <c r="B61" s="3">
        <v>39360</v>
      </c>
      <c r="C61" s="4" t="s">
        <v>182</v>
      </c>
      <c r="D61" s="1">
        <v>27</v>
      </c>
      <c r="E61" s="5">
        <v>26000</v>
      </c>
      <c r="F61" s="2">
        <v>702000</v>
      </c>
      <c r="G61" s="15">
        <f>29.7%*(26/30)</f>
        <v>0.25740000000000002</v>
      </c>
      <c r="H61" s="4" t="s">
        <v>67</v>
      </c>
      <c r="I61" s="4" t="s">
        <v>300</v>
      </c>
      <c r="J61" s="1" t="s">
        <v>21</v>
      </c>
      <c r="K61" s="4" t="s">
        <v>179</v>
      </c>
      <c r="L61" s="4" t="s">
        <v>183</v>
      </c>
      <c r="M61" s="19">
        <v>29.5</v>
      </c>
      <c r="N61" s="5">
        <v>30000</v>
      </c>
      <c r="O61" s="4" t="s">
        <v>85</v>
      </c>
      <c r="P61" s="4" t="s">
        <v>301</v>
      </c>
      <c r="Q61" s="1" t="s">
        <v>17</v>
      </c>
      <c r="R61" s="4" t="s">
        <v>18</v>
      </c>
      <c r="S61" s="4" t="s">
        <v>184</v>
      </c>
      <c r="T61" s="1">
        <v>27</v>
      </c>
      <c r="U61" s="5">
        <v>90000</v>
      </c>
      <c r="V61" s="12">
        <v>27.05</v>
      </c>
    </row>
    <row r="62" spans="1:22" ht="25.4" customHeight="1" x14ac:dyDescent="0.4">
      <c r="A62" s="18">
        <v>60</v>
      </c>
      <c r="B62" s="3">
        <v>39360</v>
      </c>
      <c r="C62" s="4" t="s">
        <v>182</v>
      </c>
      <c r="D62" s="1">
        <v>27</v>
      </c>
      <c r="E62" s="5">
        <v>64000</v>
      </c>
      <c r="F62" s="2">
        <v>1728000</v>
      </c>
      <c r="G62" s="15">
        <f>70.29%*(64/71)</f>
        <v>0.63360000000000005</v>
      </c>
      <c r="H62" s="4" t="s">
        <v>67</v>
      </c>
      <c r="I62" s="4" t="s">
        <v>300</v>
      </c>
      <c r="J62" s="1" t="s">
        <v>21</v>
      </c>
      <c r="K62" s="4" t="s">
        <v>179</v>
      </c>
      <c r="L62" s="4" t="s">
        <v>180</v>
      </c>
      <c r="M62" s="1">
        <v>27</v>
      </c>
      <c r="N62" s="5">
        <v>100000</v>
      </c>
      <c r="O62" s="4" t="s">
        <v>85</v>
      </c>
      <c r="P62" s="4" t="s">
        <v>301</v>
      </c>
      <c r="Q62" s="1" t="s">
        <v>17</v>
      </c>
      <c r="R62" s="4" t="s">
        <v>18</v>
      </c>
      <c r="S62" s="4" t="s">
        <v>184</v>
      </c>
      <c r="T62" s="1">
        <v>27</v>
      </c>
      <c r="U62" s="5">
        <v>90000</v>
      </c>
      <c r="V62" s="12">
        <v>27.05</v>
      </c>
    </row>
    <row r="63" spans="1:22" ht="25.4" customHeight="1" x14ac:dyDescent="0.4">
      <c r="A63" s="18">
        <v>61</v>
      </c>
      <c r="B63" s="3">
        <v>39366</v>
      </c>
      <c r="C63" s="4" t="s">
        <v>185</v>
      </c>
      <c r="D63" s="1">
        <v>23</v>
      </c>
      <c r="E63" s="5">
        <v>9000</v>
      </c>
      <c r="F63" s="2">
        <v>207000</v>
      </c>
      <c r="G63" s="15">
        <f>90.9%*(9/10)</f>
        <v>0.81810000000000005</v>
      </c>
      <c r="H63" s="4" t="s">
        <v>20</v>
      </c>
      <c r="I63" s="4" t="s">
        <v>300</v>
      </c>
      <c r="J63" s="1" t="s">
        <v>21</v>
      </c>
      <c r="K63" s="4" t="s">
        <v>22</v>
      </c>
      <c r="L63" s="4" t="s">
        <v>186</v>
      </c>
      <c r="M63" s="19">
        <v>26.3</v>
      </c>
      <c r="N63" s="5">
        <v>10000</v>
      </c>
      <c r="O63" s="4" t="s">
        <v>67</v>
      </c>
      <c r="P63" s="4" t="s">
        <v>301</v>
      </c>
      <c r="Q63" s="1" t="s">
        <v>21</v>
      </c>
      <c r="R63" s="4" t="s">
        <v>179</v>
      </c>
      <c r="S63" s="4" t="s">
        <v>187</v>
      </c>
      <c r="T63" s="1">
        <v>23</v>
      </c>
      <c r="U63" s="5">
        <v>499000</v>
      </c>
      <c r="V63" s="12">
        <v>23.05</v>
      </c>
    </row>
    <row r="64" spans="1:22" ht="25.4" customHeight="1" x14ac:dyDescent="0.4">
      <c r="A64" s="18">
        <v>62</v>
      </c>
      <c r="B64" s="3">
        <v>39366</v>
      </c>
      <c r="C64" s="4" t="s">
        <v>188</v>
      </c>
      <c r="D64" s="1">
        <v>23</v>
      </c>
      <c r="E64" s="5">
        <v>19000</v>
      </c>
      <c r="F64" s="2">
        <v>437000</v>
      </c>
      <c r="G64" s="15">
        <f>100%*(19/20)</f>
        <v>0.95</v>
      </c>
      <c r="H64" s="4" t="s">
        <v>20</v>
      </c>
      <c r="I64" s="4" t="s">
        <v>300</v>
      </c>
      <c r="J64" s="1" t="s">
        <v>21</v>
      </c>
      <c r="K64" s="4" t="s">
        <v>22</v>
      </c>
      <c r="L64" s="4" t="s">
        <v>189</v>
      </c>
      <c r="M64" s="19">
        <v>26.3</v>
      </c>
      <c r="N64" s="5">
        <v>20000</v>
      </c>
      <c r="O64" s="4" t="s">
        <v>67</v>
      </c>
      <c r="P64" s="4" t="s">
        <v>301</v>
      </c>
      <c r="Q64" s="1" t="s">
        <v>21</v>
      </c>
      <c r="R64" s="4" t="s">
        <v>179</v>
      </c>
      <c r="S64" s="4" t="s">
        <v>187</v>
      </c>
      <c r="T64" s="1">
        <v>23</v>
      </c>
      <c r="U64" s="5">
        <v>499000</v>
      </c>
      <c r="V64" s="12">
        <v>23.05</v>
      </c>
    </row>
    <row r="65" spans="1:22" ht="25.4" customHeight="1" x14ac:dyDescent="0.4">
      <c r="A65" s="18">
        <v>63</v>
      </c>
      <c r="B65" s="3">
        <v>39366</v>
      </c>
      <c r="C65" s="4" t="s">
        <v>190</v>
      </c>
      <c r="D65" s="1">
        <v>23</v>
      </c>
      <c r="E65" s="5">
        <v>18000</v>
      </c>
      <c r="F65" s="2">
        <v>414000</v>
      </c>
      <c r="G65" s="15">
        <f>96.77%*(18/30)</f>
        <v>0.58062000000000002</v>
      </c>
      <c r="H65" s="4" t="s">
        <v>20</v>
      </c>
      <c r="I65" s="4" t="s">
        <v>300</v>
      </c>
      <c r="J65" s="1" t="s">
        <v>21</v>
      </c>
      <c r="K65" s="4" t="s">
        <v>22</v>
      </c>
      <c r="L65" s="4" t="s">
        <v>191</v>
      </c>
      <c r="M65" s="19">
        <v>26.3</v>
      </c>
      <c r="N65" s="5">
        <v>30000</v>
      </c>
      <c r="O65" s="4" t="s">
        <v>67</v>
      </c>
      <c r="P65" s="4" t="s">
        <v>301</v>
      </c>
      <c r="Q65" s="1" t="s">
        <v>21</v>
      </c>
      <c r="R65" s="4" t="s">
        <v>179</v>
      </c>
      <c r="S65" s="4" t="s">
        <v>187</v>
      </c>
      <c r="T65" s="1">
        <v>23</v>
      </c>
      <c r="U65" s="5">
        <v>499000</v>
      </c>
      <c r="V65" s="12">
        <v>23.05</v>
      </c>
    </row>
    <row r="66" spans="1:22" ht="25.4" customHeight="1" x14ac:dyDescent="0.4">
      <c r="A66" s="18">
        <v>64</v>
      </c>
      <c r="B66" s="3">
        <v>39366</v>
      </c>
      <c r="C66" s="4" t="s">
        <v>192</v>
      </c>
      <c r="D66" s="1">
        <v>23</v>
      </c>
      <c r="E66" s="5">
        <v>20000</v>
      </c>
      <c r="F66" s="2">
        <v>460000</v>
      </c>
      <c r="G66" s="15">
        <v>0.95230000000000004</v>
      </c>
      <c r="H66" s="4" t="s">
        <v>20</v>
      </c>
      <c r="I66" s="4" t="s">
        <v>300</v>
      </c>
      <c r="J66" s="1" t="s">
        <v>21</v>
      </c>
      <c r="K66" s="4" t="s">
        <v>22</v>
      </c>
      <c r="L66" s="4" t="s">
        <v>193</v>
      </c>
      <c r="M66" s="19">
        <v>26.3</v>
      </c>
      <c r="N66" s="5">
        <v>20000</v>
      </c>
      <c r="O66" s="4" t="s">
        <v>67</v>
      </c>
      <c r="P66" s="4" t="s">
        <v>301</v>
      </c>
      <c r="Q66" s="1" t="s">
        <v>21</v>
      </c>
      <c r="R66" s="4" t="s">
        <v>179</v>
      </c>
      <c r="S66" s="4" t="s">
        <v>187</v>
      </c>
      <c r="T66" s="1">
        <v>23</v>
      </c>
      <c r="U66" s="5">
        <v>499000</v>
      </c>
      <c r="V66" s="12">
        <v>23.05</v>
      </c>
    </row>
    <row r="67" spans="1:22" ht="25.4" customHeight="1" x14ac:dyDescent="0.4">
      <c r="A67" s="18">
        <v>65</v>
      </c>
      <c r="B67" s="3">
        <v>39366</v>
      </c>
      <c r="C67" s="4" t="s">
        <v>194</v>
      </c>
      <c r="D67" s="1">
        <v>23</v>
      </c>
      <c r="E67" s="5">
        <v>9000</v>
      </c>
      <c r="F67" s="2">
        <v>207000</v>
      </c>
      <c r="G67" s="15">
        <f>88.23%*(9/15)</f>
        <v>0.52938000000000007</v>
      </c>
      <c r="H67" s="4" t="s">
        <v>20</v>
      </c>
      <c r="I67" s="4" t="s">
        <v>300</v>
      </c>
      <c r="J67" s="1" t="s">
        <v>21</v>
      </c>
      <c r="K67" s="4" t="s">
        <v>22</v>
      </c>
      <c r="L67" s="4" t="s">
        <v>195</v>
      </c>
      <c r="M67" s="19">
        <v>26.3</v>
      </c>
      <c r="N67" s="5">
        <v>15000</v>
      </c>
      <c r="O67" s="4" t="s">
        <v>67</v>
      </c>
      <c r="P67" s="4" t="s">
        <v>301</v>
      </c>
      <c r="Q67" s="1" t="s">
        <v>21</v>
      </c>
      <c r="R67" s="4" t="s">
        <v>179</v>
      </c>
      <c r="S67" s="4" t="s">
        <v>187</v>
      </c>
      <c r="T67" s="1">
        <v>23</v>
      </c>
      <c r="U67" s="5">
        <v>499000</v>
      </c>
      <c r="V67" s="12">
        <v>23.05</v>
      </c>
    </row>
    <row r="68" spans="1:22" ht="25.4" customHeight="1" x14ac:dyDescent="0.4">
      <c r="A68" s="18">
        <v>66</v>
      </c>
      <c r="B68" s="3">
        <v>39366</v>
      </c>
      <c r="C68" s="4" t="s">
        <v>196</v>
      </c>
      <c r="D68" s="1">
        <v>23</v>
      </c>
      <c r="E68" s="5">
        <v>40000</v>
      </c>
      <c r="F68" s="2">
        <v>920000</v>
      </c>
      <c r="G68" s="15">
        <f>83.33%*(40/50)</f>
        <v>0.66664000000000001</v>
      </c>
      <c r="H68" s="4" t="s">
        <v>20</v>
      </c>
      <c r="I68" s="4" t="s">
        <v>300</v>
      </c>
      <c r="J68" s="1" t="s">
        <v>21</v>
      </c>
      <c r="K68" s="4" t="s">
        <v>22</v>
      </c>
      <c r="L68" s="4" t="s">
        <v>197</v>
      </c>
      <c r="M68" s="19">
        <v>26.3</v>
      </c>
      <c r="N68" s="5">
        <v>50000</v>
      </c>
      <c r="O68" s="4" t="s">
        <v>67</v>
      </c>
      <c r="P68" s="4" t="s">
        <v>301</v>
      </c>
      <c r="Q68" s="1" t="s">
        <v>21</v>
      </c>
      <c r="R68" s="4" t="s">
        <v>179</v>
      </c>
      <c r="S68" s="4" t="s">
        <v>187</v>
      </c>
      <c r="T68" s="1">
        <v>23</v>
      </c>
      <c r="U68" s="5">
        <v>499000</v>
      </c>
      <c r="V68" s="12">
        <v>23.05</v>
      </c>
    </row>
    <row r="69" spans="1:22" ht="25.4" customHeight="1" x14ac:dyDescent="0.4">
      <c r="A69" s="18">
        <v>67</v>
      </c>
      <c r="B69" s="3">
        <v>39366</v>
      </c>
      <c r="C69" s="4" t="s">
        <v>198</v>
      </c>
      <c r="D69" s="1">
        <v>23</v>
      </c>
      <c r="E69" s="5">
        <v>20000</v>
      </c>
      <c r="F69" s="2">
        <v>460000</v>
      </c>
      <c r="G69" s="15">
        <f>92.3%*(20/60)</f>
        <v>0.30766666666666664</v>
      </c>
      <c r="H69" s="4" t="s">
        <v>20</v>
      </c>
      <c r="I69" s="4" t="s">
        <v>300</v>
      </c>
      <c r="J69" s="1" t="s">
        <v>21</v>
      </c>
      <c r="K69" s="4" t="s">
        <v>22</v>
      </c>
      <c r="L69" s="4" t="s">
        <v>199</v>
      </c>
      <c r="M69" s="19">
        <v>26.3</v>
      </c>
      <c r="N69" s="5">
        <v>60000</v>
      </c>
      <c r="O69" s="4" t="s">
        <v>67</v>
      </c>
      <c r="P69" s="4" t="s">
        <v>301</v>
      </c>
      <c r="Q69" s="1" t="s">
        <v>21</v>
      </c>
      <c r="R69" s="4" t="s">
        <v>179</v>
      </c>
      <c r="S69" s="4" t="s">
        <v>187</v>
      </c>
      <c r="T69" s="1">
        <v>23</v>
      </c>
      <c r="U69" s="5">
        <v>499000</v>
      </c>
      <c r="V69" s="12">
        <v>23.05</v>
      </c>
    </row>
    <row r="70" spans="1:22" ht="25.4" customHeight="1" x14ac:dyDescent="0.4">
      <c r="A70" s="18">
        <v>68</v>
      </c>
      <c r="B70" s="3">
        <v>39366</v>
      </c>
      <c r="C70" s="4" t="s">
        <v>200</v>
      </c>
      <c r="D70" s="1">
        <v>23</v>
      </c>
      <c r="E70" s="5">
        <v>41000</v>
      </c>
      <c r="F70" s="2">
        <v>943000</v>
      </c>
      <c r="G70" s="15">
        <v>0.97609999999999997</v>
      </c>
      <c r="H70" s="4" t="s">
        <v>20</v>
      </c>
      <c r="I70" s="4" t="s">
        <v>300</v>
      </c>
      <c r="J70" s="1" t="s">
        <v>21</v>
      </c>
      <c r="K70" s="4" t="s">
        <v>22</v>
      </c>
      <c r="L70" s="4" t="s">
        <v>201</v>
      </c>
      <c r="M70" s="19">
        <v>26.3</v>
      </c>
      <c r="N70" s="5">
        <v>41000</v>
      </c>
      <c r="O70" s="4" t="s">
        <v>67</v>
      </c>
      <c r="P70" s="4" t="s">
        <v>301</v>
      </c>
      <c r="Q70" s="1" t="s">
        <v>21</v>
      </c>
      <c r="R70" s="4" t="s">
        <v>179</v>
      </c>
      <c r="S70" s="4" t="s">
        <v>187</v>
      </c>
      <c r="T70" s="1">
        <v>23</v>
      </c>
      <c r="U70" s="5">
        <v>499000</v>
      </c>
      <c r="V70" s="12">
        <v>23.05</v>
      </c>
    </row>
    <row r="71" spans="1:22" ht="25.4" customHeight="1" x14ac:dyDescent="0.4">
      <c r="A71" s="18">
        <v>69</v>
      </c>
      <c r="B71" s="3">
        <v>39366</v>
      </c>
      <c r="C71" s="4" t="s">
        <v>202</v>
      </c>
      <c r="D71" s="1">
        <v>23</v>
      </c>
      <c r="E71" s="5">
        <v>97000</v>
      </c>
      <c r="F71" s="2">
        <v>2231000</v>
      </c>
      <c r="G71" s="15">
        <f>100%*(97/100)</f>
        <v>0.97</v>
      </c>
      <c r="H71" s="4" t="s">
        <v>20</v>
      </c>
      <c r="I71" s="4" t="s">
        <v>300</v>
      </c>
      <c r="J71" s="1" t="s">
        <v>21</v>
      </c>
      <c r="K71" s="4" t="s">
        <v>22</v>
      </c>
      <c r="L71" s="4" t="s">
        <v>203</v>
      </c>
      <c r="M71" s="19">
        <v>26.3</v>
      </c>
      <c r="N71" s="5">
        <v>100000</v>
      </c>
      <c r="O71" s="4" t="s">
        <v>67</v>
      </c>
      <c r="P71" s="4" t="s">
        <v>301</v>
      </c>
      <c r="Q71" s="1" t="s">
        <v>21</v>
      </c>
      <c r="R71" s="4" t="s">
        <v>179</v>
      </c>
      <c r="S71" s="4" t="s">
        <v>187</v>
      </c>
      <c r="T71" s="1">
        <v>23</v>
      </c>
      <c r="U71" s="5">
        <v>499000</v>
      </c>
      <c r="V71" s="12">
        <v>23.05</v>
      </c>
    </row>
    <row r="72" spans="1:22" ht="25.4" customHeight="1" x14ac:dyDescent="0.4">
      <c r="A72" s="18">
        <v>70</v>
      </c>
      <c r="B72" s="3">
        <v>39377</v>
      </c>
      <c r="C72" s="4" t="s">
        <v>204</v>
      </c>
      <c r="D72" s="1">
        <v>17.75</v>
      </c>
      <c r="E72" s="5">
        <v>13000</v>
      </c>
      <c r="F72" s="2">
        <v>230750</v>
      </c>
      <c r="G72" s="15">
        <f>75%*(13/15)</f>
        <v>0.65</v>
      </c>
      <c r="H72" s="4" t="s">
        <v>16</v>
      </c>
      <c r="I72" s="4" t="s">
        <v>300</v>
      </c>
      <c r="J72" s="1" t="s">
        <v>17</v>
      </c>
      <c r="K72" s="4" t="s">
        <v>18</v>
      </c>
      <c r="L72" s="4" t="s">
        <v>205</v>
      </c>
      <c r="M72" s="1">
        <v>17.75</v>
      </c>
      <c r="N72" s="5">
        <v>30000</v>
      </c>
      <c r="O72" s="4" t="s">
        <v>20</v>
      </c>
      <c r="P72" s="4" t="s">
        <v>301</v>
      </c>
      <c r="Q72" s="1" t="s">
        <v>21</v>
      </c>
      <c r="R72" s="4" t="s">
        <v>22</v>
      </c>
      <c r="S72" s="4" t="s">
        <v>206</v>
      </c>
      <c r="T72" s="1">
        <v>17.75</v>
      </c>
      <c r="U72" s="5">
        <v>20000</v>
      </c>
      <c r="V72" s="12">
        <v>17.8</v>
      </c>
    </row>
    <row r="73" spans="1:22" ht="25.4" customHeight="1" x14ac:dyDescent="0.4">
      <c r="A73" s="18">
        <v>71</v>
      </c>
      <c r="B73" s="3">
        <v>39377</v>
      </c>
      <c r="C73" s="4" t="s">
        <v>207</v>
      </c>
      <c r="D73" s="1">
        <v>17.75</v>
      </c>
      <c r="E73" s="5">
        <v>8000</v>
      </c>
      <c r="F73" s="2">
        <v>142000</v>
      </c>
      <c r="G73" s="15">
        <v>1</v>
      </c>
      <c r="H73" s="4" t="s">
        <v>16</v>
      </c>
      <c r="I73" s="4" t="s">
        <v>300</v>
      </c>
      <c r="J73" s="1" t="s">
        <v>17</v>
      </c>
      <c r="K73" s="4" t="s">
        <v>18</v>
      </c>
      <c r="L73" s="4" t="s">
        <v>208</v>
      </c>
      <c r="M73" s="1">
        <v>17.75</v>
      </c>
      <c r="N73" s="5">
        <v>30000</v>
      </c>
      <c r="O73" s="4" t="s">
        <v>20</v>
      </c>
      <c r="P73" s="4" t="s">
        <v>301</v>
      </c>
      <c r="Q73" s="1" t="s">
        <v>21</v>
      </c>
      <c r="R73" s="4" t="s">
        <v>22</v>
      </c>
      <c r="S73" s="4" t="s">
        <v>209</v>
      </c>
      <c r="T73" s="1">
        <v>17.75</v>
      </c>
      <c r="U73" s="5">
        <v>20000</v>
      </c>
      <c r="V73" s="12">
        <v>17.8</v>
      </c>
    </row>
    <row r="74" spans="1:22" ht="25.4" customHeight="1" x14ac:dyDescent="0.4">
      <c r="A74" s="18">
        <v>72</v>
      </c>
      <c r="B74" s="3">
        <v>39380</v>
      </c>
      <c r="C74" s="4" t="s">
        <v>210</v>
      </c>
      <c r="D74" s="1">
        <v>16.3</v>
      </c>
      <c r="E74" s="5">
        <v>97000</v>
      </c>
      <c r="F74" s="2">
        <v>1581100</v>
      </c>
      <c r="G74" s="15">
        <f>96.15%*(97/100)</f>
        <v>0.93265500000000001</v>
      </c>
      <c r="H74" s="4" t="s">
        <v>20</v>
      </c>
      <c r="I74" s="4" t="s">
        <v>300</v>
      </c>
      <c r="J74" s="1" t="s">
        <v>21</v>
      </c>
      <c r="K74" s="4" t="s">
        <v>211</v>
      </c>
      <c r="L74" s="4" t="s">
        <v>212</v>
      </c>
      <c r="M74" s="19">
        <v>17.850000000000001</v>
      </c>
      <c r="N74" s="5">
        <v>100000</v>
      </c>
      <c r="O74" s="4" t="s">
        <v>20</v>
      </c>
      <c r="P74" s="4" t="s">
        <v>301</v>
      </c>
      <c r="Q74" s="1" t="s">
        <v>21</v>
      </c>
      <c r="R74" s="4" t="s">
        <v>28</v>
      </c>
      <c r="S74" s="4" t="s">
        <v>213</v>
      </c>
      <c r="T74" s="1">
        <v>16.2</v>
      </c>
      <c r="U74" s="5">
        <v>100000</v>
      </c>
      <c r="V74" s="12">
        <v>16.149999999999999</v>
      </c>
    </row>
    <row r="75" spans="1:22" ht="25.4" customHeight="1" x14ac:dyDescent="0.4">
      <c r="A75" s="18">
        <v>73</v>
      </c>
      <c r="B75" s="3">
        <v>39380</v>
      </c>
      <c r="C75" s="4" t="s">
        <v>214</v>
      </c>
      <c r="D75" s="1">
        <v>16.3</v>
      </c>
      <c r="E75" s="5">
        <v>80000</v>
      </c>
      <c r="F75" s="2">
        <v>1304000</v>
      </c>
      <c r="G75" s="15">
        <f>96.15%*(80/100)</f>
        <v>0.76920000000000011</v>
      </c>
      <c r="H75" s="4" t="s">
        <v>20</v>
      </c>
      <c r="I75" s="4" t="s">
        <v>300</v>
      </c>
      <c r="J75" s="1" t="s">
        <v>21</v>
      </c>
      <c r="K75" s="4" t="s">
        <v>211</v>
      </c>
      <c r="L75" s="4" t="s">
        <v>215</v>
      </c>
      <c r="M75" s="19">
        <v>17.850000000000001</v>
      </c>
      <c r="N75" s="5">
        <v>100000</v>
      </c>
      <c r="O75" s="4" t="s">
        <v>20</v>
      </c>
      <c r="P75" s="4" t="s">
        <v>301</v>
      </c>
      <c r="Q75" s="1" t="s">
        <v>21</v>
      </c>
      <c r="R75" s="4" t="s">
        <v>28</v>
      </c>
      <c r="S75" s="4" t="s">
        <v>216</v>
      </c>
      <c r="T75" s="1">
        <v>16.3</v>
      </c>
      <c r="U75" s="5">
        <v>100000</v>
      </c>
      <c r="V75" s="12">
        <v>16.149999999999999</v>
      </c>
    </row>
    <row r="76" spans="1:22" ht="25.4" customHeight="1" x14ac:dyDescent="0.4">
      <c r="A76" s="18">
        <v>74</v>
      </c>
      <c r="B76" s="3">
        <v>39380</v>
      </c>
      <c r="C76" s="4" t="s">
        <v>217</v>
      </c>
      <c r="D76" s="1">
        <v>16.399999999999999</v>
      </c>
      <c r="E76" s="5">
        <v>16000</v>
      </c>
      <c r="F76" s="2">
        <v>262400</v>
      </c>
      <c r="G76" s="15">
        <f>98.36%*(16/60)</f>
        <v>0.26229333333333332</v>
      </c>
      <c r="H76" s="4" t="s">
        <v>20</v>
      </c>
      <c r="I76" s="4" t="s">
        <v>300</v>
      </c>
      <c r="J76" s="1" t="s">
        <v>21</v>
      </c>
      <c r="K76" s="4" t="s">
        <v>211</v>
      </c>
      <c r="L76" s="4" t="s">
        <v>218</v>
      </c>
      <c r="M76" s="19">
        <v>17.850000000000001</v>
      </c>
      <c r="N76" s="5">
        <v>60000</v>
      </c>
      <c r="O76" s="4" t="s">
        <v>20</v>
      </c>
      <c r="P76" s="4" t="s">
        <v>301</v>
      </c>
      <c r="Q76" s="1" t="s">
        <v>21</v>
      </c>
      <c r="R76" s="4" t="s">
        <v>28</v>
      </c>
      <c r="S76" s="4" t="s">
        <v>216</v>
      </c>
      <c r="T76" s="1">
        <v>16.3</v>
      </c>
      <c r="U76" s="5">
        <v>100000</v>
      </c>
      <c r="V76" s="12">
        <v>16.149999999999999</v>
      </c>
    </row>
    <row r="77" spans="1:22" ht="25.4" customHeight="1" x14ac:dyDescent="0.4">
      <c r="A77" s="18">
        <v>75</v>
      </c>
      <c r="B77" s="3">
        <v>39380</v>
      </c>
      <c r="C77" s="4" t="s">
        <v>219</v>
      </c>
      <c r="D77" s="1">
        <v>16.399999999999999</v>
      </c>
      <c r="E77" s="5">
        <v>94000</v>
      </c>
      <c r="F77" s="2">
        <v>1541599.9999999998</v>
      </c>
      <c r="G77" s="15">
        <f>90.09%*(94/100)</f>
        <v>0.84684599999999999</v>
      </c>
      <c r="H77" s="4" t="s">
        <v>20</v>
      </c>
      <c r="I77" s="4" t="s">
        <v>300</v>
      </c>
      <c r="J77" s="1" t="s">
        <v>21</v>
      </c>
      <c r="K77" s="4" t="s">
        <v>211</v>
      </c>
      <c r="L77" s="4" t="s">
        <v>220</v>
      </c>
      <c r="M77" s="1">
        <v>16.399999999999999</v>
      </c>
      <c r="N77" s="5">
        <v>100000</v>
      </c>
      <c r="O77" s="4" t="s">
        <v>20</v>
      </c>
      <c r="P77" s="4" t="s">
        <v>301</v>
      </c>
      <c r="Q77" s="1" t="s">
        <v>21</v>
      </c>
      <c r="R77" s="4" t="s">
        <v>22</v>
      </c>
      <c r="S77" s="4" t="s">
        <v>221</v>
      </c>
      <c r="T77" s="1">
        <v>16.399999999999999</v>
      </c>
      <c r="U77" s="5">
        <v>100000</v>
      </c>
      <c r="V77" s="12">
        <v>16.149999999999999</v>
      </c>
    </row>
    <row r="78" spans="1:22" ht="25.4" customHeight="1" x14ac:dyDescent="0.4">
      <c r="A78" s="18">
        <v>76</v>
      </c>
      <c r="B78" s="3">
        <v>39380</v>
      </c>
      <c r="C78" s="4" t="s">
        <v>222</v>
      </c>
      <c r="D78" s="1">
        <v>16.5</v>
      </c>
      <c r="E78" s="5">
        <v>2000</v>
      </c>
      <c r="F78" s="2">
        <v>33000</v>
      </c>
      <c r="G78" s="15">
        <f>74.07%*(2/100)</f>
        <v>1.4813999999999999E-2</v>
      </c>
      <c r="H78" s="4" t="s">
        <v>20</v>
      </c>
      <c r="I78" s="4" t="s">
        <v>300</v>
      </c>
      <c r="J78" s="1" t="s">
        <v>21</v>
      </c>
      <c r="K78" s="4" t="s">
        <v>211</v>
      </c>
      <c r="L78" s="4" t="s">
        <v>223</v>
      </c>
      <c r="M78" s="19">
        <v>17.850000000000001</v>
      </c>
      <c r="N78" s="5">
        <v>100000</v>
      </c>
      <c r="O78" s="4" t="s">
        <v>20</v>
      </c>
      <c r="P78" s="4" t="s">
        <v>301</v>
      </c>
      <c r="Q78" s="1" t="s">
        <v>21</v>
      </c>
      <c r="R78" s="4" t="s">
        <v>22</v>
      </c>
      <c r="S78" s="4" t="s">
        <v>221</v>
      </c>
      <c r="T78" s="1">
        <v>16.399999999999999</v>
      </c>
      <c r="U78" s="5">
        <v>100000</v>
      </c>
      <c r="V78" s="12">
        <v>16.149999999999999</v>
      </c>
    </row>
    <row r="79" spans="1:22" ht="25.4" customHeight="1" x14ac:dyDescent="0.4">
      <c r="A79" s="18">
        <v>77</v>
      </c>
      <c r="B79" s="3">
        <v>39380</v>
      </c>
      <c r="C79" s="4" t="s">
        <v>222</v>
      </c>
      <c r="D79" s="1">
        <v>16.5</v>
      </c>
      <c r="E79" s="5">
        <v>9000</v>
      </c>
      <c r="F79" s="2">
        <v>148500</v>
      </c>
      <c r="G79" s="15">
        <f>74.07%*(9/100)</f>
        <v>6.6662999999999986E-2</v>
      </c>
      <c r="H79" s="4" t="s">
        <v>20</v>
      </c>
      <c r="I79" s="4" t="s">
        <v>300</v>
      </c>
      <c r="J79" s="1" t="s">
        <v>21</v>
      </c>
      <c r="K79" s="4" t="s">
        <v>211</v>
      </c>
      <c r="L79" s="4" t="s">
        <v>223</v>
      </c>
      <c r="M79" s="19">
        <v>17.850000000000001</v>
      </c>
      <c r="N79" s="5">
        <v>100000</v>
      </c>
      <c r="O79" s="4" t="s">
        <v>20</v>
      </c>
      <c r="P79" s="4" t="s">
        <v>301</v>
      </c>
      <c r="Q79" s="1" t="s">
        <v>21</v>
      </c>
      <c r="R79" s="4" t="s">
        <v>22</v>
      </c>
      <c r="S79" s="4" t="s">
        <v>224</v>
      </c>
      <c r="T79" s="1">
        <v>16.5</v>
      </c>
      <c r="U79" s="5">
        <v>91000</v>
      </c>
      <c r="V79" s="12">
        <v>16.149999999999999</v>
      </c>
    </row>
    <row r="80" spans="1:22" ht="25.4" customHeight="1" x14ac:dyDescent="0.4">
      <c r="A80" s="18">
        <v>78</v>
      </c>
      <c r="B80" s="3">
        <v>39381</v>
      </c>
      <c r="C80" s="4" t="s">
        <v>225</v>
      </c>
      <c r="D80" s="1">
        <v>16.8</v>
      </c>
      <c r="E80" s="5">
        <v>15000</v>
      </c>
      <c r="F80" s="2">
        <v>252000</v>
      </c>
      <c r="G80" s="15">
        <f>100%*(15/100)</f>
        <v>0.15</v>
      </c>
      <c r="H80" s="4" t="s">
        <v>20</v>
      </c>
      <c r="I80" s="4" t="s">
        <v>300</v>
      </c>
      <c r="J80" s="1" t="s">
        <v>21</v>
      </c>
      <c r="K80" s="4" t="s">
        <v>88</v>
      </c>
      <c r="L80" s="4" t="s">
        <v>226</v>
      </c>
      <c r="M80" s="19">
        <v>17.75</v>
      </c>
      <c r="N80" s="5">
        <v>100000</v>
      </c>
      <c r="O80" s="4" t="s">
        <v>16</v>
      </c>
      <c r="P80" s="4" t="s">
        <v>301</v>
      </c>
      <c r="Q80" s="1" t="s">
        <v>17</v>
      </c>
      <c r="R80" s="4" t="s">
        <v>18</v>
      </c>
      <c r="S80" s="4" t="s">
        <v>227</v>
      </c>
      <c r="T80" s="1">
        <v>16.7</v>
      </c>
      <c r="U80" s="5">
        <v>40000</v>
      </c>
      <c r="V80" s="12">
        <v>16.75</v>
      </c>
    </row>
    <row r="81" spans="1:22" ht="25.4" customHeight="1" x14ac:dyDescent="0.4">
      <c r="A81" s="18">
        <v>79</v>
      </c>
      <c r="B81" s="3">
        <v>39381</v>
      </c>
      <c r="C81" s="4" t="s">
        <v>228</v>
      </c>
      <c r="D81" s="1">
        <v>16.899999999999999</v>
      </c>
      <c r="E81" s="5">
        <v>20000</v>
      </c>
      <c r="F81" s="2">
        <v>338000</v>
      </c>
      <c r="G81" s="15">
        <f>94.33%*(20/100)</f>
        <v>0.18866000000000002</v>
      </c>
      <c r="H81" s="4" t="s">
        <v>20</v>
      </c>
      <c r="I81" s="4" t="s">
        <v>300</v>
      </c>
      <c r="J81" s="1" t="s">
        <v>21</v>
      </c>
      <c r="K81" s="4" t="s">
        <v>88</v>
      </c>
      <c r="L81" s="4" t="s">
        <v>229</v>
      </c>
      <c r="M81" s="19">
        <v>17.75</v>
      </c>
      <c r="N81" s="5">
        <v>100000</v>
      </c>
      <c r="O81" s="4" t="s">
        <v>20</v>
      </c>
      <c r="P81" s="4" t="s">
        <v>301</v>
      </c>
      <c r="Q81" s="1" t="s">
        <v>21</v>
      </c>
      <c r="R81" s="4" t="s">
        <v>88</v>
      </c>
      <c r="S81" s="4" t="s">
        <v>230</v>
      </c>
      <c r="T81" s="1">
        <v>16.899999999999999</v>
      </c>
      <c r="U81" s="5">
        <v>100000</v>
      </c>
      <c r="V81" s="12">
        <v>16.649999999999999</v>
      </c>
    </row>
    <row r="82" spans="1:22" ht="25.4" customHeight="1" x14ac:dyDescent="0.4">
      <c r="A82" s="18">
        <v>80</v>
      </c>
      <c r="B82" s="3">
        <v>39381</v>
      </c>
      <c r="C82" s="4" t="s">
        <v>231</v>
      </c>
      <c r="D82" s="1">
        <v>17</v>
      </c>
      <c r="E82" s="5">
        <v>69000</v>
      </c>
      <c r="F82" s="2">
        <v>1173000</v>
      </c>
      <c r="G82" s="15">
        <f>74.62%*(69/100)</f>
        <v>0.51487800000000006</v>
      </c>
      <c r="H82" s="4" t="s">
        <v>20</v>
      </c>
      <c r="I82" s="4" t="s">
        <v>300</v>
      </c>
      <c r="J82" s="1" t="s">
        <v>21</v>
      </c>
      <c r="K82" s="4" t="s">
        <v>88</v>
      </c>
      <c r="L82" s="4" t="s">
        <v>232</v>
      </c>
      <c r="M82" s="19">
        <v>17.75</v>
      </c>
      <c r="N82" s="5">
        <v>100000</v>
      </c>
      <c r="O82" s="4" t="s">
        <v>20</v>
      </c>
      <c r="P82" s="4" t="s">
        <v>301</v>
      </c>
      <c r="Q82" s="1" t="s">
        <v>21</v>
      </c>
      <c r="R82" s="4" t="s">
        <v>88</v>
      </c>
      <c r="S82" s="4" t="s">
        <v>230</v>
      </c>
      <c r="T82" s="1">
        <v>16.899999999999999</v>
      </c>
      <c r="U82" s="5">
        <v>100000</v>
      </c>
      <c r="V82" s="12">
        <v>16.649999999999999</v>
      </c>
    </row>
    <row r="83" spans="1:22" ht="25.4" customHeight="1" x14ac:dyDescent="0.4">
      <c r="A83" s="18">
        <v>81</v>
      </c>
      <c r="B83" s="3">
        <v>39381</v>
      </c>
      <c r="C83" s="4" t="s">
        <v>233</v>
      </c>
      <c r="D83" s="1">
        <v>17</v>
      </c>
      <c r="E83" s="5">
        <v>71000</v>
      </c>
      <c r="F83" s="2">
        <v>1207000</v>
      </c>
      <c r="G83" s="15">
        <f>61.34%*(71/100)</f>
        <v>0.43551400000000001</v>
      </c>
      <c r="H83" s="4" t="s">
        <v>20</v>
      </c>
      <c r="I83" s="4" t="s">
        <v>300</v>
      </c>
      <c r="J83" s="1" t="s">
        <v>21</v>
      </c>
      <c r="K83" s="4" t="s">
        <v>88</v>
      </c>
      <c r="L83" s="4" t="s">
        <v>233</v>
      </c>
      <c r="M83" s="19">
        <v>17.75</v>
      </c>
      <c r="N83" s="5">
        <v>100000</v>
      </c>
      <c r="O83" s="4" t="s">
        <v>20</v>
      </c>
      <c r="P83" s="4" t="s">
        <v>301</v>
      </c>
      <c r="Q83" s="1" t="s">
        <v>21</v>
      </c>
      <c r="R83" s="4" t="s">
        <v>211</v>
      </c>
      <c r="S83" s="4" t="s">
        <v>234</v>
      </c>
      <c r="T83" s="1">
        <v>17</v>
      </c>
      <c r="U83" s="5">
        <v>200000</v>
      </c>
      <c r="V83" s="12">
        <v>16.649999999999999</v>
      </c>
    </row>
    <row r="84" spans="1:22" ht="25.4" customHeight="1" x14ac:dyDescent="0.4">
      <c r="A84" s="18">
        <v>82</v>
      </c>
      <c r="B84" s="3">
        <v>39381</v>
      </c>
      <c r="C84" s="4" t="s">
        <v>235</v>
      </c>
      <c r="D84" s="1">
        <v>17.100000000000001</v>
      </c>
      <c r="E84" s="5">
        <v>100000</v>
      </c>
      <c r="F84" s="2">
        <v>1710000.0000000002</v>
      </c>
      <c r="G84" s="15">
        <f>85.2%*(100/167)</f>
        <v>0.51017964071856281</v>
      </c>
      <c r="H84" s="4" t="s">
        <v>67</v>
      </c>
      <c r="I84" s="4" t="s">
        <v>300</v>
      </c>
      <c r="J84" s="1" t="s">
        <v>21</v>
      </c>
      <c r="K84" s="4" t="s">
        <v>179</v>
      </c>
      <c r="L84" s="4" t="s">
        <v>236</v>
      </c>
      <c r="M84" s="1">
        <v>17.100000000000001</v>
      </c>
      <c r="N84" s="5">
        <v>200000</v>
      </c>
      <c r="O84" s="4" t="s">
        <v>67</v>
      </c>
      <c r="P84" s="4" t="s">
        <v>301</v>
      </c>
      <c r="Q84" s="1" t="s">
        <v>21</v>
      </c>
      <c r="R84" s="4" t="s">
        <v>179</v>
      </c>
      <c r="S84" s="4" t="s">
        <v>237</v>
      </c>
      <c r="T84" s="1">
        <v>17.100000000000001</v>
      </c>
      <c r="U84" s="5">
        <v>100000</v>
      </c>
      <c r="V84" s="12">
        <v>16.8</v>
      </c>
    </row>
    <row r="85" spans="1:22" ht="25.4" customHeight="1" x14ac:dyDescent="0.4">
      <c r="A85" s="18">
        <v>83</v>
      </c>
      <c r="B85" s="3">
        <v>39381</v>
      </c>
      <c r="C85" s="4" t="s">
        <v>238</v>
      </c>
      <c r="D85" s="1">
        <v>17.2</v>
      </c>
      <c r="E85" s="5">
        <v>100000</v>
      </c>
      <c r="F85" s="2">
        <v>1720000</v>
      </c>
      <c r="G85" s="15">
        <f>57.29%*(100/157)</f>
        <v>0.36490445859872606</v>
      </c>
      <c r="H85" s="4" t="s">
        <v>67</v>
      </c>
      <c r="I85" s="4" t="s">
        <v>300</v>
      </c>
      <c r="J85" s="1" t="s">
        <v>21</v>
      </c>
      <c r="K85" s="4" t="s">
        <v>179</v>
      </c>
      <c r="L85" s="4" t="s">
        <v>239</v>
      </c>
      <c r="M85" s="1">
        <v>17.2</v>
      </c>
      <c r="N85" s="5">
        <v>300000</v>
      </c>
      <c r="O85" s="4" t="s">
        <v>67</v>
      </c>
      <c r="P85" s="4" t="s">
        <v>301</v>
      </c>
      <c r="Q85" s="1" t="s">
        <v>21</v>
      </c>
      <c r="R85" s="4" t="s">
        <v>179</v>
      </c>
      <c r="S85" s="4" t="s">
        <v>240</v>
      </c>
      <c r="T85" s="1">
        <v>17.2</v>
      </c>
      <c r="U85" s="5">
        <v>100000</v>
      </c>
      <c r="V85" s="12">
        <v>16.75</v>
      </c>
    </row>
    <row r="86" spans="1:22" ht="25.4" customHeight="1" x14ac:dyDescent="0.4">
      <c r="A86" s="18">
        <v>84</v>
      </c>
      <c r="B86" s="3">
        <v>39381</v>
      </c>
      <c r="C86" s="4" t="s">
        <v>241</v>
      </c>
      <c r="D86" s="1">
        <v>17.3</v>
      </c>
      <c r="E86" s="5">
        <v>98000</v>
      </c>
      <c r="F86" s="2">
        <v>1695400</v>
      </c>
      <c r="G86" s="15">
        <v>0.45369999999999999</v>
      </c>
      <c r="H86" s="4" t="s">
        <v>20</v>
      </c>
      <c r="I86" s="4" t="s">
        <v>300</v>
      </c>
      <c r="J86" s="1" t="s">
        <v>21</v>
      </c>
      <c r="K86" s="4" t="s">
        <v>28</v>
      </c>
      <c r="L86" s="4" t="s">
        <v>242</v>
      </c>
      <c r="M86" s="1">
        <v>17.3</v>
      </c>
      <c r="N86" s="5">
        <v>100000</v>
      </c>
      <c r="O86" s="4" t="s">
        <v>67</v>
      </c>
      <c r="P86" s="4" t="s">
        <v>301</v>
      </c>
      <c r="Q86" s="1" t="s">
        <v>21</v>
      </c>
      <c r="R86" s="4" t="s">
        <v>179</v>
      </c>
      <c r="S86" s="4" t="s">
        <v>243</v>
      </c>
      <c r="T86" s="1">
        <v>17.3</v>
      </c>
      <c r="U86" s="5">
        <v>100000</v>
      </c>
      <c r="V86" s="12">
        <v>16.75</v>
      </c>
    </row>
    <row r="87" spans="1:22" ht="25.4" customHeight="1" x14ac:dyDescent="0.4">
      <c r="A87" s="18">
        <v>85</v>
      </c>
      <c r="B87" s="3">
        <v>39381</v>
      </c>
      <c r="C87" s="4" t="s">
        <v>293</v>
      </c>
      <c r="D87" s="1">
        <v>17.399999999999999</v>
      </c>
      <c r="E87" s="5">
        <v>149000</v>
      </c>
      <c r="F87" s="2">
        <v>2592600</v>
      </c>
      <c r="G87" s="15">
        <f>74.5%*(149/266)</f>
        <v>0.41731203007518797</v>
      </c>
      <c r="H87" s="4" t="s">
        <v>20</v>
      </c>
      <c r="I87" s="4" t="s">
        <v>300</v>
      </c>
      <c r="J87" s="1" t="s">
        <v>21</v>
      </c>
      <c r="K87" s="4" t="s">
        <v>90</v>
      </c>
      <c r="L87" s="1"/>
      <c r="M87" s="1"/>
      <c r="N87" s="1"/>
      <c r="O87" s="4" t="s">
        <v>67</v>
      </c>
      <c r="P87" s="4" t="s">
        <v>301</v>
      </c>
      <c r="Q87" s="1" t="s">
        <v>21</v>
      </c>
      <c r="R87" s="4" t="s">
        <v>179</v>
      </c>
      <c r="S87" s="4" t="s">
        <v>244</v>
      </c>
      <c r="T87" s="1">
        <v>17.399999999999999</v>
      </c>
      <c r="U87" s="5">
        <v>149000</v>
      </c>
      <c r="V87" s="12">
        <v>16.75</v>
      </c>
    </row>
    <row r="88" spans="1:22" ht="25.4" customHeight="1" x14ac:dyDescent="0.4">
      <c r="A88" s="18">
        <v>86</v>
      </c>
      <c r="B88" s="3">
        <v>39381</v>
      </c>
      <c r="C88" s="4" t="s">
        <v>245</v>
      </c>
      <c r="D88" s="1">
        <v>17.600000000000001</v>
      </c>
      <c r="E88" s="5">
        <v>5000</v>
      </c>
      <c r="F88" s="2">
        <v>88000</v>
      </c>
      <c r="G88" s="15">
        <f>33.67%*(5/200)</f>
        <v>8.4174999999999996E-3</v>
      </c>
      <c r="H88" s="4" t="s">
        <v>67</v>
      </c>
      <c r="I88" s="4" t="s">
        <v>300</v>
      </c>
      <c r="J88" s="1" t="s">
        <v>21</v>
      </c>
      <c r="K88" s="4" t="s">
        <v>179</v>
      </c>
      <c r="L88" s="4" t="s">
        <v>246</v>
      </c>
      <c r="M88" s="19">
        <v>17.75</v>
      </c>
      <c r="N88" s="5">
        <v>200000</v>
      </c>
      <c r="O88" s="4" t="s">
        <v>67</v>
      </c>
      <c r="P88" s="4" t="s">
        <v>301</v>
      </c>
      <c r="Q88" s="1" t="s">
        <v>21</v>
      </c>
      <c r="R88" s="4" t="s">
        <v>68</v>
      </c>
      <c r="S88" s="4" t="s">
        <v>247</v>
      </c>
      <c r="T88" s="1">
        <v>17.5</v>
      </c>
      <c r="U88" s="5">
        <v>5000</v>
      </c>
      <c r="V88" s="12">
        <v>0</v>
      </c>
    </row>
    <row r="89" spans="1:22" ht="25.4" customHeight="1" x14ac:dyDescent="0.4">
      <c r="A89" s="18">
        <v>87</v>
      </c>
      <c r="B89" s="3">
        <v>39381</v>
      </c>
      <c r="C89" s="4" t="s">
        <v>245</v>
      </c>
      <c r="D89" s="1">
        <v>17.600000000000001</v>
      </c>
      <c r="E89" s="5">
        <v>5000</v>
      </c>
      <c r="F89" s="2">
        <v>88000</v>
      </c>
      <c r="G89" s="15">
        <f>33.67%*(5/200)</f>
        <v>8.4174999999999996E-3</v>
      </c>
      <c r="H89" s="4" t="s">
        <v>67</v>
      </c>
      <c r="I89" s="4" t="s">
        <v>300</v>
      </c>
      <c r="J89" s="1" t="s">
        <v>21</v>
      </c>
      <c r="K89" s="4" t="s">
        <v>179</v>
      </c>
      <c r="L89" s="4" t="s">
        <v>246</v>
      </c>
      <c r="M89" s="19">
        <v>17.75</v>
      </c>
      <c r="N89" s="5">
        <v>200000</v>
      </c>
      <c r="O89" s="4" t="s">
        <v>67</v>
      </c>
      <c r="P89" s="4" t="s">
        <v>301</v>
      </c>
      <c r="Q89" s="1" t="s">
        <v>21</v>
      </c>
      <c r="R89" s="4" t="s">
        <v>68</v>
      </c>
      <c r="S89" s="4" t="s">
        <v>248</v>
      </c>
      <c r="T89" s="1">
        <v>17.5</v>
      </c>
      <c r="U89" s="5">
        <v>5000</v>
      </c>
      <c r="V89" s="12">
        <v>0</v>
      </c>
    </row>
    <row r="90" spans="1:22" ht="25.4" customHeight="1" x14ac:dyDescent="0.4">
      <c r="A90" s="18">
        <v>88</v>
      </c>
      <c r="B90" s="3">
        <v>39381</v>
      </c>
      <c r="C90" s="4" t="s">
        <v>249</v>
      </c>
      <c r="D90" s="1">
        <v>17.75</v>
      </c>
      <c r="E90" s="5">
        <v>10000</v>
      </c>
      <c r="F90" s="2">
        <v>177500</v>
      </c>
      <c r="G90" s="15">
        <f>30.55%*(10/22)</f>
        <v>0.13886363636363636</v>
      </c>
      <c r="H90" s="4" t="s">
        <v>67</v>
      </c>
      <c r="I90" s="4" t="s">
        <v>300</v>
      </c>
      <c r="J90" s="1" t="s">
        <v>21</v>
      </c>
      <c r="K90" s="4" t="s">
        <v>179</v>
      </c>
      <c r="L90" s="4" t="s">
        <v>250</v>
      </c>
      <c r="M90" s="19">
        <v>17.75</v>
      </c>
      <c r="N90" s="5">
        <v>200000</v>
      </c>
      <c r="O90" s="4" t="s">
        <v>67</v>
      </c>
      <c r="P90" s="4" t="s">
        <v>301</v>
      </c>
      <c r="Q90" s="1" t="s">
        <v>21</v>
      </c>
      <c r="R90" s="4" t="s">
        <v>68</v>
      </c>
      <c r="S90" s="4" t="s">
        <v>251</v>
      </c>
      <c r="T90" s="19">
        <v>15.45</v>
      </c>
      <c r="U90" s="5">
        <v>10000</v>
      </c>
      <c r="V90" s="12">
        <v>0</v>
      </c>
    </row>
    <row r="91" spans="1:22" ht="25.4" customHeight="1" x14ac:dyDescent="0.4">
      <c r="A91" s="18">
        <v>89</v>
      </c>
      <c r="B91" s="3">
        <v>39387</v>
      </c>
      <c r="C91" s="4" t="s">
        <v>252</v>
      </c>
      <c r="D91" s="1">
        <v>18.25</v>
      </c>
      <c r="E91" s="5">
        <v>7000</v>
      </c>
      <c r="F91" s="2">
        <v>127750</v>
      </c>
      <c r="G91" s="15">
        <v>7.1999999999999998E-3</v>
      </c>
      <c r="H91" s="4" t="s">
        <v>32</v>
      </c>
      <c r="I91" s="4" t="s">
        <v>300</v>
      </c>
      <c r="J91" s="1" t="s">
        <v>17</v>
      </c>
      <c r="K91" s="4" t="s">
        <v>33</v>
      </c>
      <c r="L91" s="4" t="s">
        <v>253</v>
      </c>
      <c r="M91" s="19">
        <v>18.25</v>
      </c>
      <c r="N91" s="5">
        <v>7000</v>
      </c>
      <c r="O91" s="4" t="s">
        <v>20</v>
      </c>
      <c r="P91" s="4" t="s">
        <v>301</v>
      </c>
      <c r="Q91" s="1" t="s">
        <v>21</v>
      </c>
      <c r="R91" s="4" t="s">
        <v>88</v>
      </c>
      <c r="S91" s="4" t="s">
        <v>254</v>
      </c>
      <c r="T91" s="19">
        <v>15.95</v>
      </c>
      <c r="U91" s="5">
        <v>499000</v>
      </c>
      <c r="V91" s="12">
        <v>0</v>
      </c>
    </row>
    <row r="92" spans="1:22" ht="25.4" customHeight="1" x14ac:dyDescent="0.4">
      <c r="A92" s="18">
        <v>90</v>
      </c>
      <c r="B92" s="3">
        <v>39391</v>
      </c>
      <c r="C92" s="4" t="s">
        <v>255</v>
      </c>
      <c r="D92" s="1">
        <v>19.2</v>
      </c>
      <c r="E92" s="5">
        <v>49000</v>
      </c>
      <c r="F92" s="2">
        <v>940800</v>
      </c>
      <c r="G92" s="15">
        <f>65.78%*(49/50)</f>
        <v>0.64464399999999999</v>
      </c>
      <c r="H92" s="4" t="s">
        <v>67</v>
      </c>
      <c r="I92" s="4" t="s">
        <v>300</v>
      </c>
      <c r="J92" s="1" t="s">
        <v>21</v>
      </c>
      <c r="K92" s="4" t="s">
        <v>179</v>
      </c>
      <c r="L92" s="4" t="s">
        <v>256</v>
      </c>
      <c r="M92" s="1">
        <v>19.2</v>
      </c>
      <c r="N92" s="5">
        <v>50000</v>
      </c>
      <c r="O92" s="4" t="s">
        <v>16</v>
      </c>
      <c r="P92" s="4" t="s">
        <v>301</v>
      </c>
      <c r="Q92" s="1" t="s">
        <v>17</v>
      </c>
      <c r="R92" s="4" t="s">
        <v>257</v>
      </c>
      <c r="S92" s="4" t="s">
        <v>258</v>
      </c>
      <c r="T92" s="1">
        <v>19.2</v>
      </c>
      <c r="U92" s="5">
        <v>100000</v>
      </c>
      <c r="V92" s="12">
        <v>19.3</v>
      </c>
    </row>
    <row r="93" spans="1:22" ht="25.4" customHeight="1" x14ac:dyDescent="0.4">
      <c r="A93" s="18">
        <v>91</v>
      </c>
      <c r="B93" s="3">
        <v>39392</v>
      </c>
      <c r="C93" s="4" t="s">
        <v>259</v>
      </c>
      <c r="D93" s="1">
        <v>20</v>
      </c>
      <c r="E93" s="5">
        <v>47000</v>
      </c>
      <c r="F93" s="2">
        <v>940000</v>
      </c>
      <c r="G93" s="15">
        <f>42.19%*(47/100)</f>
        <v>0.198293</v>
      </c>
      <c r="H93" s="4" t="s">
        <v>16</v>
      </c>
      <c r="I93" s="4" t="s">
        <v>300</v>
      </c>
      <c r="J93" s="1" t="s">
        <v>17</v>
      </c>
      <c r="K93" s="4" t="s">
        <v>18</v>
      </c>
      <c r="L93" s="4" t="s">
        <v>260</v>
      </c>
      <c r="M93" s="1">
        <v>20</v>
      </c>
      <c r="N93" s="5">
        <v>100000</v>
      </c>
      <c r="O93" s="4" t="s">
        <v>16</v>
      </c>
      <c r="P93" s="4" t="s">
        <v>301</v>
      </c>
      <c r="Q93" s="1" t="s">
        <v>17</v>
      </c>
      <c r="R93" s="4" t="s">
        <v>18</v>
      </c>
      <c r="S93" s="4" t="s">
        <v>261</v>
      </c>
      <c r="T93" s="1">
        <v>20</v>
      </c>
      <c r="U93" s="5">
        <v>400000</v>
      </c>
      <c r="V93" s="12">
        <v>19.5</v>
      </c>
    </row>
    <row r="94" spans="1:22" ht="25.4" customHeight="1" x14ac:dyDescent="0.4">
      <c r="A94" s="18">
        <v>92</v>
      </c>
      <c r="B94" s="3">
        <v>39392</v>
      </c>
      <c r="C94" s="4" t="s">
        <v>262</v>
      </c>
      <c r="D94" s="1">
        <v>20</v>
      </c>
      <c r="E94" s="5">
        <v>100000</v>
      </c>
      <c r="F94" s="2">
        <v>2000000</v>
      </c>
      <c r="G94" s="15">
        <v>0.56810000000000005</v>
      </c>
      <c r="H94" s="4" t="s">
        <v>16</v>
      </c>
      <c r="I94" s="4" t="s">
        <v>300</v>
      </c>
      <c r="J94" s="1" t="s">
        <v>17</v>
      </c>
      <c r="K94" s="4" t="s">
        <v>18</v>
      </c>
      <c r="L94" s="4" t="s">
        <v>263</v>
      </c>
      <c r="M94" s="1">
        <v>20</v>
      </c>
      <c r="N94" s="5">
        <v>100000</v>
      </c>
      <c r="O94" s="4" t="s">
        <v>16</v>
      </c>
      <c r="P94" s="4" t="s">
        <v>301</v>
      </c>
      <c r="Q94" s="1" t="s">
        <v>17</v>
      </c>
      <c r="R94" s="4" t="s">
        <v>18</v>
      </c>
      <c r="S94" s="4" t="s">
        <v>261</v>
      </c>
      <c r="T94" s="1">
        <v>20</v>
      </c>
      <c r="U94" s="5">
        <v>400000</v>
      </c>
      <c r="V94" s="12">
        <v>19.5</v>
      </c>
    </row>
    <row r="95" spans="1:22" ht="25.4" customHeight="1" x14ac:dyDescent="0.4">
      <c r="A95" s="18">
        <v>93</v>
      </c>
      <c r="B95" s="3">
        <v>39392</v>
      </c>
      <c r="C95" s="4" t="s">
        <v>264</v>
      </c>
      <c r="D95" s="1">
        <v>20</v>
      </c>
      <c r="E95" s="5">
        <v>20000</v>
      </c>
      <c r="F95" s="2">
        <v>400000</v>
      </c>
      <c r="G95" s="15">
        <v>0.47610000000000002</v>
      </c>
      <c r="H95" s="4" t="s">
        <v>16</v>
      </c>
      <c r="I95" s="4" t="s">
        <v>300</v>
      </c>
      <c r="J95" s="1" t="s">
        <v>17</v>
      </c>
      <c r="K95" s="4" t="s">
        <v>18</v>
      </c>
      <c r="L95" s="4" t="s">
        <v>265</v>
      </c>
      <c r="M95" s="1">
        <v>20</v>
      </c>
      <c r="N95" s="5">
        <v>20000</v>
      </c>
      <c r="O95" s="4" t="s">
        <v>16</v>
      </c>
      <c r="P95" s="4" t="s">
        <v>301</v>
      </c>
      <c r="Q95" s="1" t="s">
        <v>17</v>
      </c>
      <c r="R95" s="4" t="s">
        <v>18</v>
      </c>
      <c r="S95" s="4" t="s">
        <v>266</v>
      </c>
      <c r="T95" s="1">
        <v>20</v>
      </c>
      <c r="U95" s="5">
        <v>200000</v>
      </c>
      <c r="V95" s="12">
        <v>20.2</v>
      </c>
    </row>
    <row r="96" spans="1:22" ht="25.4" customHeight="1" x14ac:dyDescent="0.4">
      <c r="A96" s="18">
        <v>94</v>
      </c>
      <c r="B96" s="3">
        <v>39392</v>
      </c>
      <c r="C96" s="4" t="s">
        <v>267</v>
      </c>
      <c r="D96" s="1">
        <v>20</v>
      </c>
      <c r="E96" s="5">
        <v>30000</v>
      </c>
      <c r="F96" s="2">
        <v>600000</v>
      </c>
      <c r="G96" s="15">
        <v>0.71419999999999995</v>
      </c>
      <c r="H96" s="4" t="s">
        <v>16</v>
      </c>
      <c r="I96" s="4" t="s">
        <v>300</v>
      </c>
      <c r="J96" s="1" t="s">
        <v>17</v>
      </c>
      <c r="K96" s="4" t="s">
        <v>18</v>
      </c>
      <c r="L96" s="4" t="s">
        <v>268</v>
      </c>
      <c r="M96" s="1">
        <v>20</v>
      </c>
      <c r="N96" s="5">
        <v>30000</v>
      </c>
      <c r="O96" s="4" t="s">
        <v>16</v>
      </c>
      <c r="P96" s="4" t="s">
        <v>301</v>
      </c>
      <c r="Q96" s="1" t="s">
        <v>17</v>
      </c>
      <c r="R96" s="4" t="s">
        <v>18</v>
      </c>
      <c r="S96" s="4" t="s">
        <v>266</v>
      </c>
      <c r="T96" s="1">
        <v>20</v>
      </c>
      <c r="U96" s="5">
        <v>200000</v>
      </c>
      <c r="V96" s="12">
        <v>20.2</v>
      </c>
    </row>
    <row r="97" spans="1:22" ht="25.4" customHeight="1" x14ac:dyDescent="0.4">
      <c r="A97" s="18">
        <v>95</v>
      </c>
      <c r="B97" s="3">
        <v>39392</v>
      </c>
      <c r="C97" s="4" t="s">
        <v>269</v>
      </c>
      <c r="D97" s="1">
        <v>20</v>
      </c>
      <c r="E97" s="5">
        <v>30000</v>
      </c>
      <c r="F97" s="2">
        <v>600000</v>
      </c>
      <c r="G97" s="15">
        <f>30/189</f>
        <v>0.15873015873015872</v>
      </c>
      <c r="H97" s="4" t="s">
        <v>16</v>
      </c>
      <c r="I97" s="4" t="s">
        <v>300</v>
      </c>
      <c r="J97" s="1" t="s">
        <v>17</v>
      </c>
      <c r="K97" s="4" t="s">
        <v>18</v>
      </c>
      <c r="L97" s="4" t="s">
        <v>270</v>
      </c>
      <c r="M97" s="1">
        <v>20</v>
      </c>
      <c r="N97" s="5">
        <v>30000</v>
      </c>
      <c r="O97" s="4" t="s">
        <v>16</v>
      </c>
      <c r="P97" s="4" t="s">
        <v>301</v>
      </c>
      <c r="Q97" s="1" t="s">
        <v>17</v>
      </c>
      <c r="R97" s="4" t="s">
        <v>18</v>
      </c>
      <c r="S97" s="4" t="s">
        <v>271</v>
      </c>
      <c r="T97" s="1">
        <v>20</v>
      </c>
      <c r="U97" s="5">
        <v>200000</v>
      </c>
      <c r="V97" s="12">
        <v>20.100000000000001</v>
      </c>
    </row>
    <row r="98" spans="1:22" ht="25.4" customHeight="1" x14ac:dyDescent="0.4">
      <c r="A98" s="18">
        <v>96</v>
      </c>
      <c r="B98" s="3">
        <v>39392</v>
      </c>
      <c r="C98" s="4" t="s">
        <v>272</v>
      </c>
      <c r="D98" s="1">
        <v>20.05</v>
      </c>
      <c r="E98" s="5">
        <v>35000</v>
      </c>
      <c r="F98" s="2">
        <v>701750</v>
      </c>
      <c r="G98" s="15">
        <f>91.22%*(35/291)</f>
        <v>0.1097147766323024</v>
      </c>
      <c r="H98" s="4" t="s">
        <v>16</v>
      </c>
      <c r="I98" s="4" t="s">
        <v>300</v>
      </c>
      <c r="J98" s="1" t="s">
        <v>17</v>
      </c>
      <c r="K98" s="4" t="s">
        <v>18</v>
      </c>
      <c r="L98" s="4" t="s">
        <v>273</v>
      </c>
      <c r="M98" s="1">
        <v>20.05</v>
      </c>
      <c r="N98" s="5">
        <v>400000</v>
      </c>
      <c r="O98" s="4" t="s">
        <v>20</v>
      </c>
      <c r="P98" s="4" t="s">
        <v>301</v>
      </c>
      <c r="Q98" s="1" t="s">
        <v>21</v>
      </c>
      <c r="R98" s="4" t="s">
        <v>22</v>
      </c>
      <c r="S98" s="4" t="s">
        <v>274</v>
      </c>
      <c r="T98" s="1">
        <v>20</v>
      </c>
      <c r="U98" s="5">
        <v>40000</v>
      </c>
      <c r="V98" s="12">
        <v>20.05</v>
      </c>
    </row>
    <row r="99" spans="1:22" ht="25.4" customHeight="1" x14ac:dyDescent="0.4">
      <c r="A99" s="18">
        <v>97</v>
      </c>
      <c r="B99" s="3">
        <v>39392</v>
      </c>
      <c r="C99" s="4" t="s">
        <v>275</v>
      </c>
      <c r="D99" s="1">
        <v>19.95</v>
      </c>
      <c r="E99" s="5">
        <v>30000</v>
      </c>
      <c r="F99" s="2">
        <v>598500</v>
      </c>
      <c r="G99" s="15">
        <v>1</v>
      </c>
      <c r="H99" s="4" t="s">
        <v>16</v>
      </c>
      <c r="I99" s="4" t="s">
        <v>300</v>
      </c>
      <c r="J99" s="1" t="s">
        <v>17</v>
      </c>
      <c r="K99" s="4" t="s">
        <v>257</v>
      </c>
      <c r="L99" s="4" t="s">
        <v>276</v>
      </c>
      <c r="M99" s="1">
        <v>19.95</v>
      </c>
      <c r="N99" s="5">
        <v>30000</v>
      </c>
      <c r="O99" s="4" t="s">
        <v>16</v>
      </c>
      <c r="P99" s="4" t="s">
        <v>301</v>
      </c>
      <c r="Q99" s="1" t="s">
        <v>17</v>
      </c>
      <c r="R99" s="4" t="s">
        <v>18</v>
      </c>
      <c r="S99" s="4" t="s">
        <v>277</v>
      </c>
      <c r="T99" s="1">
        <v>19.95</v>
      </c>
      <c r="U99" s="5">
        <v>100000</v>
      </c>
      <c r="V99" s="12">
        <v>20</v>
      </c>
    </row>
    <row r="100" spans="1:22" ht="25.4" customHeight="1" x14ac:dyDescent="0.4">
      <c r="A100" s="18">
        <v>98</v>
      </c>
      <c r="B100" s="3">
        <v>39392</v>
      </c>
      <c r="C100" s="4" t="s">
        <v>278</v>
      </c>
      <c r="D100" s="1">
        <v>19.95</v>
      </c>
      <c r="E100" s="5">
        <v>18000</v>
      </c>
      <c r="F100" s="2">
        <v>359100</v>
      </c>
      <c r="G100" s="15">
        <f>100%*(18/20)</f>
        <v>0.9</v>
      </c>
      <c r="H100" s="4" t="s">
        <v>16</v>
      </c>
      <c r="I100" s="4" t="s">
        <v>300</v>
      </c>
      <c r="J100" s="1" t="s">
        <v>17</v>
      </c>
      <c r="K100" s="4" t="s">
        <v>257</v>
      </c>
      <c r="L100" s="4" t="s">
        <v>279</v>
      </c>
      <c r="M100" s="1">
        <v>19.95</v>
      </c>
      <c r="N100" s="5">
        <v>20000</v>
      </c>
      <c r="O100" s="4" t="s">
        <v>16</v>
      </c>
      <c r="P100" s="4" t="s">
        <v>301</v>
      </c>
      <c r="Q100" s="1" t="s">
        <v>17</v>
      </c>
      <c r="R100" s="4" t="s">
        <v>18</v>
      </c>
      <c r="S100" s="4" t="s">
        <v>277</v>
      </c>
      <c r="T100" s="1">
        <v>19.95</v>
      </c>
      <c r="U100" s="5">
        <v>100000</v>
      </c>
      <c r="V100" s="12">
        <v>20</v>
      </c>
    </row>
    <row r="101" spans="1:22" ht="25.4" customHeight="1" x14ac:dyDescent="0.4">
      <c r="A101" s="18">
        <v>99</v>
      </c>
      <c r="B101" s="3">
        <v>39394</v>
      </c>
      <c r="C101" s="4" t="s">
        <v>280</v>
      </c>
      <c r="D101" s="1">
        <v>18.899999999999999</v>
      </c>
      <c r="E101" s="5">
        <v>54000</v>
      </c>
      <c r="F101" s="2">
        <v>1020599.9999999999</v>
      </c>
      <c r="G101" s="15">
        <f>86.2%*(54/100)</f>
        <v>0.46548</v>
      </c>
      <c r="H101" s="4" t="s">
        <v>16</v>
      </c>
      <c r="I101" s="4" t="s">
        <v>300</v>
      </c>
      <c r="J101" s="1" t="s">
        <v>17</v>
      </c>
      <c r="K101" s="4" t="s">
        <v>18</v>
      </c>
      <c r="L101" s="4" t="s">
        <v>281</v>
      </c>
      <c r="M101" s="1">
        <v>18.899999999999999</v>
      </c>
      <c r="N101" s="5">
        <v>100000</v>
      </c>
      <c r="O101" s="4" t="s">
        <v>16</v>
      </c>
      <c r="P101" s="4" t="s">
        <v>301</v>
      </c>
      <c r="Q101" s="1" t="s">
        <v>17</v>
      </c>
      <c r="R101" s="4" t="s">
        <v>18</v>
      </c>
      <c r="S101" s="4" t="s">
        <v>282</v>
      </c>
      <c r="T101" s="1">
        <v>18.899999999999999</v>
      </c>
      <c r="U101" s="5">
        <v>400000</v>
      </c>
      <c r="V101" s="12">
        <v>18.600000000000001</v>
      </c>
    </row>
    <row r="102" spans="1:22" ht="25.4" customHeight="1" x14ac:dyDescent="0.4">
      <c r="A102" s="18">
        <v>100</v>
      </c>
      <c r="B102" s="3">
        <v>39394</v>
      </c>
      <c r="C102" s="4" t="s">
        <v>283</v>
      </c>
      <c r="D102" s="1">
        <v>18.899999999999999</v>
      </c>
      <c r="E102" s="5">
        <v>83000</v>
      </c>
      <c r="F102" s="2">
        <v>1568699.9999999998</v>
      </c>
      <c r="G102" s="15">
        <f>81.96%*(83/100)</f>
        <v>0.68026799999999987</v>
      </c>
      <c r="H102" s="4" t="s">
        <v>16</v>
      </c>
      <c r="I102" s="4" t="s">
        <v>300</v>
      </c>
      <c r="J102" s="1" t="s">
        <v>17</v>
      </c>
      <c r="K102" s="4" t="s">
        <v>18</v>
      </c>
      <c r="L102" s="4" t="s">
        <v>284</v>
      </c>
      <c r="M102" s="1">
        <v>18.899999999999999</v>
      </c>
      <c r="N102" s="5">
        <v>100000</v>
      </c>
      <c r="O102" s="4" t="s">
        <v>16</v>
      </c>
      <c r="P102" s="4" t="s">
        <v>301</v>
      </c>
      <c r="Q102" s="1" t="s">
        <v>17</v>
      </c>
      <c r="R102" s="4" t="s">
        <v>18</v>
      </c>
      <c r="S102" s="4" t="s">
        <v>282</v>
      </c>
      <c r="T102" s="1">
        <v>18.899999999999999</v>
      </c>
      <c r="U102" s="5">
        <v>400000</v>
      </c>
      <c r="V102" s="12">
        <v>18.600000000000001</v>
      </c>
    </row>
    <row r="103" spans="1:22" ht="25.4" customHeight="1" x14ac:dyDescent="0.4">
      <c r="A103" s="18">
        <v>101</v>
      </c>
      <c r="B103" s="3">
        <v>39394</v>
      </c>
      <c r="C103" s="4" t="s">
        <v>285</v>
      </c>
      <c r="D103" s="1">
        <v>18.899999999999999</v>
      </c>
      <c r="E103" s="5">
        <v>175000</v>
      </c>
      <c r="F103" s="2">
        <v>3307499.9999999995</v>
      </c>
      <c r="G103" s="15">
        <f>100%*(175/200)</f>
        <v>0.875</v>
      </c>
      <c r="H103" s="4" t="s">
        <v>16</v>
      </c>
      <c r="I103" s="4" t="s">
        <v>300</v>
      </c>
      <c r="J103" s="1" t="s">
        <v>17</v>
      </c>
      <c r="K103" s="4" t="s">
        <v>18</v>
      </c>
      <c r="L103" s="4" t="s">
        <v>286</v>
      </c>
      <c r="M103" s="1">
        <v>18.899999999999999</v>
      </c>
      <c r="N103" s="5">
        <v>200000</v>
      </c>
      <c r="O103" s="4" t="s">
        <v>16</v>
      </c>
      <c r="P103" s="4" t="s">
        <v>301</v>
      </c>
      <c r="Q103" s="1" t="s">
        <v>17</v>
      </c>
      <c r="R103" s="4" t="s">
        <v>18</v>
      </c>
      <c r="S103" s="4" t="s">
        <v>282</v>
      </c>
      <c r="T103" s="1">
        <v>18.899999999999999</v>
      </c>
      <c r="U103" s="5">
        <v>400000</v>
      </c>
      <c r="V103" s="12">
        <v>18.600000000000001</v>
      </c>
    </row>
    <row r="104" spans="1:22" customFormat="1" ht="17" x14ac:dyDescent="0.4">
      <c r="A104" s="28" t="s">
        <v>287</v>
      </c>
      <c r="B104" s="29"/>
      <c r="C104" s="29"/>
      <c r="D104" s="29"/>
      <c r="E104" s="7">
        <f>SUM(E3:E103)</f>
        <v>5727000</v>
      </c>
      <c r="F104" s="8" t="s">
        <v>288</v>
      </c>
      <c r="G104" s="16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13"/>
      <c r="V104" s="9"/>
    </row>
    <row r="106" spans="1:22" ht="25.4" customHeight="1" x14ac:dyDescent="0.4">
      <c r="A106" s="10" t="s">
        <v>294</v>
      </c>
    </row>
    <row r="107" spans="1:22" ht="25.4" customHeight="1" x14ac:dyDescent="0.4">
      <c r="A107" s="21" t="s">
        <v>295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</row>
    <row r="108" spans="1:22" ht="47.5" customHeight="1" x14ac:dyDescent="0.4">
      <c r="A108" s="21" t="s">
        <v>296</v>
      </c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</row>
    <row r="109" spans="1:22" ht="46" customHeight="1" x14ac:dyDescent="0.4">
      <c r="A109" s="21" t="s">
        <v>297</v>
      </c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</row>
    <row r="110" spans="1:22" ht="42" customHeight="1" x14ac:dyDescent="0.4">
      <c r="A110" s="21" t="s">
        <v>299</v>
      </c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</row>
    <row r="111" spans="1:22" ht="25.4" customHeight="1" x14ac:dyDescent="0.4">
      <c r="A111" s="10" t="s">
        <v>298</v>
      </c>
    </row>
  </sheetData>
  <sortState ref="A93:U100">
    <sortCondition ref="C93:C100"/>
  </sortState>
  <mergeCells count="9">
    <mergeCell ref="A110:V110"/>
    <mergeCell ref="A108:V108"/>
    <mergeCell ref="A107:V107"/>
    <mergeCell ref="A109:V109"/>
    <mergeCell ref="O1:V1"/>
    <mergeCell ref="A1:A2"/>
    <mergeCell ref="H1:N1"/>
    <mergeCell ref="A104:D104"/>
    <mergeCell ref="B1:G1"/>
  </mergeCells>
  <phoneticPr fontId="2" type="noConversion"/>
  <pageMargins left="0.70866141732283472" right="0.70866141732283472" top="0.98425196850393704" bottom="0.98425196850393704" header="0.70866141732283472" footer="0.70866141732283472"/>
  <pageSetup paperSize="9" scale="65" fitToHeight="100" orientation="landscape" r:id="rId1"/>
  <headerFooter>
    <oddHeader>&amp;L附表三：吉祥全球第一段期間相對成交表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更一審附表3</vt:lpstr>
      <vt:lpstr>更一審附表3!Print_Titles</vt:lpstr>
      <vt:lpstr>更一審附表3!吉1_SRB330_主檔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Hippo Tsai</dc:creator>
  <cp:lastModifiedBy>張亮美</cp:lastModifiedBy>
  <cp:lastPrinted>2021-08-03T08:59:23Z</cp:lastPrinted>
  <dcterms:created xsi:type="dcterms:W3CDTF">2021-07-07T03:35:31Z</dcterms:created>
  <dcterms:modified xsi:type="dcterms:W3CDTF">2021-08-03T09:06:13Z</dcterms:modified>
</cp:coreProperties>
</file>