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jud3\temp\"/>
    </mc:Choice>
  </mc:AlternateContent>
  <bookViews>
    <workbookView xWindow="22940" yWindow="-110" windowWidth="23250" windowHeight="12570"/>
  </bookViews>
  <sheets>
    <sheet name="更一審附表5" sheetId="1" r:id="rId1"/>
  </sheets>
  <definedNames>
    <definedName name="_xlnm._FilterDatabase" localSheetId="0" hidden="1">更一審附表5!$O$1:$R$195</definedName>
    <definedName name="_xlnm.Print_Titles" localSheetId="0">更一審附表5!$1:$2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91" i="1" l="1"/>
  <c r="G189" i="1"/>
  <c r="G185" i="1"/>
  <c r="G186" i="1"/>
  <c r="G183" i="1"/>
  <c r="G181" i="1"/>
  <c r="G180" i="1"/>
  <c r="G179" i="1"/>
  <c r="G178" i="1"/>
  <c r="G177" i="1"/>
  <c r="G176" i="1"/>
  <c r="G175" i="1"/>
  <c r="G174" i="1"/>
  <c r="G173" i="1"/>
  <c r="G172" i="1"/>
  <c r="G169" i="1"/>
  <c r="G168" i="1"/>
  <c r="G167" i="1"/>
  <c r="G166" i="1"/>
  <c r="G164" i="1"/>
  <c r="G163" i="1"/>
  <c r="G162" i="1"/>
  <c r="G161" i="1"/>
  <c r="G160" i="1"/>
  <c r="G157" i="1"/>
  <c r="G156" i="1"/>
  <c r="G155" i="1"/>
  <c r="G154" i="1"/>
  <c r="G153" i="1"/>
  <c r="G152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7" i="1"/>
  <c r="G104" i="1"/>
  <c r="G103" i="1"/>
  <c r="G102" i="1"/>
  <c r="G101" i="1"/>
  <c r="G100" i="1" l="1"/>
  <c r="G99" i="1"/>
  <c r="G98" i="1"/>
  <c r="G97" i="1"/>
  <c r="G96" i="1"/>
  <c r="G95" i="1"/>
  <c r="G92" i="1"/>
  <c r="G87" i="1"/>
  <c r="G85" i="1"/>
  <c r="G86" i="1"/>
  <c r="G83" i="1"/>
  <c r="G81" i="1"/>
  <c r="G80" i="1"/>
  <c r="G78" i="1"/>
  <c r="G77" i="1"/>
  <c r="G76" i="1"/>
  <c r="G74" i="1"/>
  <c r="G73" i="1"/>
  <c r="G72" i="1"/>
  <c r="G71" i="1"/>
  <c r="G70" i="1"/>
  <c r="G69" i="1"/>
  <c r="G68" i="1"/>
  <c r="G67" i="1"/>
  <c r="G66" i="1"/>
  <c r="G65" i="1"/>
  <c r="G64" i="1"/>
  <c r="G62" i="1"/>
  <c r="G61" i="1"/>
  <c r="G60" i="1"/>
  <c r="G59" i="1"/>
  <c r="G58" i="1"/>
  <c r="G57" i="1"/>
  <c r="G56" i="1"/>
  <c r="G53" i="1"/>
  <c r="G52" i="1"/>
  <c r="G51" i="1"/>
  <c r="G50" i="1"/>
  <c r="G49" i="1"/>
  <c r="G48" i="1"/>
  <c r="G45" i="1"/>
  <c r="G44" i="1"/>
  <c r="G41" i="1"/>
  <c r="G39" i="1"/>
  <c r="G38" i="1"/>
  <c r="G37" i="1"/>
  <c r="G36" i="1"/>
  <c r="G35" i="1"/>
  <c r="G34" i="1"/>
  <c r="G32" i="1"/>
  <c r="G31" i="1"/>
  <c r="G27" i="1"/>
  <c r="G26" i="1"/>
  <c r="G25" i="1"/>
  <c r="G24" i="1"/>
  <c r="G23" i="1"/>
  <c r="G22" i="1"/>
  <c r="G20" i="1"/>
  <c r="G19" i="1"/>
  <c r="G17" i="1"/>
  <c r="G16" i="1"/>
  <c r="G15" i="1"/>
  <c r="G14" i="1"/>
  <c r="G13" i="1"/>
  <c r="G8" i="1"/>
  <c r="G6" i="1"/>
  <c r="E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</calcChain>
</file>

<file path=xl/sharedStrings.xml><?xml version="1.0" encoding="utf-8"?>
<sst xmlns="http://schemas.openxmlformats.org/spreadsheetml/2006/main" count="2118" uniqueCount="498">
  <si>
    <t>編號</t>
    <phoneticPr fontId="1" type="noConversion"/>
  </si>
  <si>
    <t>成交資料</t>
  </si>
  <si>
    <t>買方資料</t>
    <phoneticPr fontId="2" type="noConversion"/>
  </si>
  <si>
    <t>賣方資料</t>
    <phoneticPr fontId="2" type="noConversion"/>
  </si>
  <si>
    <t>日期</t>
  </si>
  <si>
    <t>時間</t>
    <phoneticPr fontId="2" type="noConversion"/>
  </si>
  <si>
    <t>成交價</t>
  </si>
  <si>
    <t>成交股數</t>
    <phoneticPr fontId="2" type="noConversion"/>
  </si>
  <si>
    <t>交易價金</t>
    <phoneticPr fontId="2" type="noConversion"/>
  </si>
  <si>
    <t>證商名稱</t>
    <phoneticPr fontId="2" type="noConversion"/>
  </si>
  <si>
    <t>帳號</t>
    <phoneticPr fontId="2" type="noConversion"/>
  </si>
  <si>
    <t>委託時間</t>
  </si>
  <si>
    <t>委託價格</t>
  </si>
  <si>
    <t>委託股數</t>
  </si>
  <si>
    <t>帳號</t>
  </si>
  <si>
    <t>09:51:43</t>
  </si>
  <si>
    <t>527V</t>
  </si>
  <si>
    <t>鄭光育</t>
    <phoneticPr fontId="1" type="noConversion"/>
  </si>
  <si>
    <t>張宣宸</t>
  </si>
  <si>
    <t>09:45:16</t>
  </si>
  <si>
    <t>日盛台南</t>
  </si>
  <si>
    <t>翁秋南</t>
    <phoneticPr fontId="1" type="noConversion"/>
  </si>
  <si>
    <t>翁秋南</t>
  </si>
  <si>
    <t>09:51:22</t>
  </si>
  <si>
    <t>09:58:50</t>
  </si>
  <si>
    <t>09:58:33</t>
  </si>
  <si>
    <t>09:58:32</t>
  </si>
  <si>
    <t>09:59:40</t>
  </si>
  <si>
    <t>09:59:26</t>
  </si>
  <si>
    <t>10:00:03</t>
  </si>
  <si>
    <t>09:59:49</t>
  </si>
  <si>
    <t>10:00:30</t>
  </si>
  <si>
    <t>10:00:09</t>
  </si>
  <si>
    <t>13:17:10</t>
  </si>
  <si>
    <t>9414</t>
  </si>
  <si>
    <t>13:17:06</t>
  </si>
  <si>
    <t>582F</t>
  </si>
  <si>
    <t>13:14:25</t>
  </si>
  <si>
    <t>13:17:33</t>
  </si>
  <si>
    <t>13:17:28</t>
  </si>
  <si>
    <t>09:01:47</t>
  </si>
  <si>
    <t>09:01:38</t>
  </si>
  <si>
    <t>08:33:59</t>
  </si>
  <si>
    <t>09:02:14</t>
  </si>
  <si>
    <t>09:02:01</t>
  </si>
  <si>
    <t>09:03:02</t>
  </si>
  <si>
    <t>09:02:54</t>
  </si>
  <si>
    <t>08:30:02</t>
  </si>
  <si>
    <t>09:05:09</t>
  </si>
  <si>
    <t>09:04:10</t>
  </si>
  <si>
    <t>09:04:58</t>
  </si>
  <si>
    <t>13:19:12</t>
  </si>
  <si>
    <t>13:19:06</t>
  </si>
  <si>
    <t>12:45:10</t>
  </si>
  <si>
    <t>12:45:32</t>
  </si>
  <si>
    <t>13:24:12</t>
  </si>
  <si>
    <t>09:02:36</t>
  </si>
  <si>
    <t>09:02:26</t>
  </si>
  <si>
    <t>08:50:53</t>
  </si>
  <si>
    <t>09:03:27</t>
  </si>
  <si>
    <t>09:03:12</t>
  </si>
  <si>
    <t>09:03:51</t>
  </si>
  <si>
    <t>09:03:49</t>
  </si>
  <si>
    <t>09:04:41</t>
  </si>
  <si>
    <t>09:04:31</t>
  </si>
  <si>
    <t>08:51:22</t>
  </si>
  <si>
    <t>09:05:56</t>
  </si>
  <si>
    <t>09:05:55</t>
  </si>
  <si>
    <t>08:51:37</t>
  </si>
  <si>
    <t>09:07:37</t>
  </si>
  <si>
    <t>09:07:31</t>
  </si>
  <si>
    <t>08:52:03</t>
  </si>
  <si>
    <t>09:09:41</t>
  </si>
  <si>
    <t>09:09:30</t>
  </si>
  <si>
    <t>08:50:26</t>
  </si>
  <si>
    <t>09:10:06</t>
  </si>
  <si>
    <t>09:09:56</t>
  </si>
  <si>
    <t>兆豐嘉義</t>
  </si>
  <si>
    <t>08:48:33</t>
  </si>
  <si>
    <t>08:50:11</t>
  </si>
  <si>
    <t>09:19:41</t>
  </si>
  <si>
    <t>09:19:32</t>
  </si>
  <si>
    <t>09:18:05</t>
  </si>
  <si>
    <t>09:20:06</t>
  </si>
  <si>
    <t>09:20:01</t>
  </si>
  <si>
    <t>09:20:58</t>
  </si>
  <si>
    <t>09:20:54</t>
  </si>
  <si>
    <t>09:21:46</t>
  </si>
  <si>
    <t>09:19:10</t>
  </si>
  <si>
    <t>09:21:44</t>
  </si>
  <si>
    <t>11:10:53</t>
  </si>
  <si>
    <t>11:10:39</t>
  </si>
  <si>
    <t>08:33:55</t>
  </si>
  <si>
    <t>09:09:39</t>
  </si>
  <si>
    <t>09:09:27</t>
  </si>
  <si>
    <t>08:30:08</t>
  </si>
  <si>
    <t>09:11:20</t>
  </si>
  <si>
    <t>09:11:12</t>
  </si>
  <si>
    <t>08:30:12</t>
  </si>
  <si>
    <t>09:12:11</t>
  </si>
  <si>
    <t>09:11:58</t>
  </si>
  <si>
    <t>08:30:15</t>
  </si>
  <si>
    <t>09:13:24</t>
  </si>
  <si>
    <t>09:13:19</t>
  </si>
  <si>
    <t>08:30:20</t>
  </si>
  <si>
    <t>09:13:50</t>
  </si>
  <si>
    <t>09:13:47</t>
  </si>
  <si>
    <t>08:30:33</t>
  </si>
  <si>
    <t>08:30:26</t>
  </si>
  <si>
    <t>09:02:34</t>
  </si>
  <si>
    <t>09:02:25</t>
  </si>
  <si>
    <t>08:53:36</t>
  </si>
  <si>
    <t>09:02:55</t>
  </si>
  <si>
    <t>09:03:23</t>
  </si>
  <si>
    <t>09:03:20</t>
  </si>
  <si>
    <t>08:54:25</t>
  </si>
  <si>
    <t>09:04:13</t>
  </si>
  <si>
    <t>09:04:04</t>
  </si>
  <si>
    <t>09:13:52</t>
  </si>
  <si>
    <t>09:13:37</t>
  </si>
  <si>
    <t>08:53:42</t>
  </si>
  <si>
    <t>09:15:05</t>
  </si>
  <si>
    <t>09:15:00</t>
  </si>
  <si>
    <t>09:34:39</t>
  </si>
  <si>
    <t>5186</t>
  </si>
  <si>
    <t>張鄭幸枝</t>
  </si>
  <si>
    <t>09:23:39</t>
  </si>
  <si>
    <t>09:34:38</t>
  </si>
  <si>
    <t>09:45:29</t>
  </si>
  <si>
    <t>09:45:00</t>
  </si>
  <si>
    <t>08:31:16</t>
  </si>
  <si>
    <t>09:13:40</t>
  </si>
  <si>
    <t>08:30:01</t>
  </si>
  <si>
    <t>09:14:40</t>
  </si>
  <si>
    <t>09:14:36</t>
  </si>
  <si>
    <t>09:16:22</t>
  </si>
  <si>
    <t>09:16:16</t>
  </si>
  <si>
    <t>08:30:05</t>
  </si>
  <si>
    <t>09:16:45</t>
  </si>
  <si>
    <t>09:16:43</t>
  </si>
  <si>
    <t>09:06:47</t>
  </si>
  <si>
    <t>09:06:27</t>
  </si>
  <si>
    <t>08:47:39</t>
  </si>
  <si>
    <t>10:55:26</t>
  </si>
  <si>
    <t>10:55:24</t>
  </si>
  <si>
    <t>09:39:39</t>
  </si>
  <si>
    <t>09:01:24</t>
  </si>
  <si>
    <t>09:01:21</t>
  </si>
  <si>
    <t>08:30:03</t>
  </si>
  <si>
    <t>12:53:25</t>
  </si>
  <si>
    <t>12:53:14</t>
  </si>
  <si>
    <t>12:50:57</t>
  </si>
  <si>
    <t>13:05:31</t>
  </si>
  <si>
    <t>13:05:24</t>
  </si>
  <si>
    <t>13:06:46</t>
  </si>
  <si>
    <t>13:06:44</t>
  </si>
  <si>
    <t>09:22:39</t>
  </si>
  <si>
    <t>6205</t>
  </si>
  <si>
    <t>翁淑麗</t>
  </si>
  <si>
    <t>09:21:29</t>
  </si>
  <si>
    <t>09:22:23</t>
  </si>
  <si>
    <t>09:23:56</t>
  </si>
  <si>
    <t>09:23:44</t>
  </si>
  <si>
    <t>08:30:17</t>
  </si>
  <si>
    <t>09:24:21</t>
  </si>
  <si>
    <t>09:24:14</t>
  </si>
  <si>
    <t>翁國富</t>
  </si>
  <si>
    <t>09:24:15</t>
  </si>
  <si>
    <t>09:41:47</t>
  </si>
  <si>
    <t>09:41:43</t>
  </si>
  <si>
    <t>09:07:38</t>
  </si>
  <si>
    <t>09:07:14</t>
  </si>
  <si>
    <t>08:48:24</t>
  </si>
  <si>
    <t>12:55:28</t>
  </si>
  <si>
    <t>12:55:22</t>
  </si>
  <si>
    <t>09:05:28</t>
  </si>
  <si>
    <t>09:05:07</t>
  </si>
  <si>
    <t>08:45:22</t>
  </si>
  <si>
    <t>13:12:10</t>
  </si>
  <si>
    <t>13:12:06</t>
  </si>
  <si>
    <t>582I</t>
  </si>
  <si>
    <t>曾潔慧</t>
  </si>
  <si>
    <t>12:57:18</t>
  </si>
  <si>
    <t>10:34:42</t>
  </si>
  <si>
    <t>10:34:21</t>
  </si>
  <si>
    <t>10:32:53</t>
  </si>
  <si>
    <t>11:18:02</t>
  </si>
  <si>
    <t>11:17:54</t>
  </si>
  <si>
    <t>08:43:20</t>
  </si>
  <si>
    <t>11:19:15</t>
  </si>
  <si>
    <t>11:19:11</t>
  </si>
  <si>
    <t>08:38:58</t>
  </si>
  <si>
    <t>12:18:00</t>
  </si>
  <si>
    <t>翁姚靜花</t>
  </si>
  <si>
    <t>12:17:53</t>
  </si>
  <si>
    <t>08:43:25</t>
  </si>
  <si>
    <t>12:18:50</t>
  </si>
  <si>
    <t>12:18:27</t>
  </si>
  <si>
    <t>08:39:02</t>
  </si>
  <si>
    <t>09:01:41</t>
  </si>
  <si>
    <t>09:01:37</t>
  </si>
  <si>
    <t>08:53:56</t>
  </si>
  <si>
    <t>09:02:06</t>
  </si>
  <si>
    <t>09:01:58</t>
  </si>
  <si>
    <t>08:48:45</t>
  </si>
  <si>
    <t>09:02:58</t>
  </si>
  <si>
    <t>09:02:40</t>
  </si>
  <si>
    <t>09:03:25</t>
  </si>
  <si>
    <t>09:03:21</t>
  </si>
  <si>
    <t>08:54:00</t>
  </si>
  <si>
    <t>09:03:57</t>
  </si>
  <si>
    <t>08:48:49</t>
  </si>
  <si>
    <t>09:05:51</t>
  </si>
  <si>
    <t>09:05:47</t>
  </si>
  <si>
    <t>08:36:13</t>
  </si>
  <si>
    <t>12:59:59</t>
  </si>
  <si>
    <t>12:59:50</t>
  </si>
  <si>
    <t>12:59:11</t>
  </si>
  <si>
    <t>13:00:52</t>
  </si>
  <si>
    <t>13:00:45</t>
  </si>
  <si>
    <t>13:03:21</t>
  </si>
  <si>
    <t>13:03:13</t>
  </si>
  <si>
    <t>13:24:39</t>
  </si>
  <si>
    <t>13:24:24</t>
  </si>
  <si>
    <t>13:23:46</t>
  </si>
  <si>
    <t>13:30:00</t>
  </si>
  <si>
    <t>13:27:45</t>
  </si>
  <si>
    <t>13:28:46</t>
  </si>
  <si>
    <t>10:12:07</t>
  </si>
  <si>
    <t>10:09:50</t>
  </si>
  <si>
    <t>10:11:57</t>
  </si>
  <si>
    <t>13:29:00</t>
  </si>
  <si>
    <t>13:29:56</t>
  </si>
  <si>
    <t>12:01:22</t>
  </si>
  <si>
    <t>12:01:09</t>
  </si>
  <si>
    <t>11:50:30</t>
  </si>
  <si>
    <t>12:03:04</t>
  </si>
  <si>
    <t>12:02:42</t>
  </si>
  <si>
    <t>09:02:39</t>
  </si>
  <si>
    <t>09:00:51</t>
  </si>
  <si>
    <t>09:03:54</t>
  </si>
  <si>
    <t>08:30:14</t>
  </si>
  <si>
    <t>09:06:23</t>
  </si>
  <si>
    <t>09:06:20</t>
  </si>
  <si>
    <t>08:30:18</t>
  </si>
  <si>
    <t>09:09:16</t>
  </si>
  <si>
    <t>09:09:09</t>
  </si>
  <si>
    <t>09:13:32</t>
  </si>
  <si>
    <t>09:13:25</t>
  </si>
  <si>
    <t>08:30:22</t>
  </si>
  <si>
    <t>09:37:41</t>
  </si>
  <si>
    <t>09:37:19</t>
  </si>
  <si>
    <t>09:47:37</t>
  </si>
  <si>
    <t>09:47:25</t>
  </si>
  <si>
    <t>09:35:57</t>
  </si>
  <si>
    <t>10:55:04</t>
  </si>
  <si>
    <t>10:54:43</t>
  </si>
  <si>
    <t>10:54:03</t>
  </si>
  <si>
    <t>11:03:26</t>
  </si>
  <si>
    <t>11:03:23</t>
  </si>
  <si>
    <t>11:08:03</t>
  </si>
  <si>
    <t>11:07:43</t>
  </si>
  <si>
    <t>11:06:36</t>
  </si>
  <si>
    <t>11:34:41</t>
  </si>
  <si>
    <t>11:34:23</t>
  </si>
  <si>
    <t>11:33:35</t>
  </si>
  <si>
    <t>11:37:59</t>
  </si>
  <si>
    <t>11:37:52</t>
  </si>
  <si>
    <t>13:27:52</t>
  </si>
  <si>
    <t>13:26:47</t>
  </si>
  <si>
    <t>13:26:52</t>
  </si>
  <si>
    <t>5187</t>
  </si>
  <si>
    <t>13:26:53</t>
  </si>
  <si>
    <t>13:27:19</t>
  </si>
  <si>
    <t>13:27:59</t>
  </si>
  <si>
    <t>12:30:53</t>
  </si>
  <si>
    <t>12:30:28</t>
  </si>
  <si>
    <t>12:30:38</t>
  </si>
  <si>
    <t>09:30:57</t>
  </si>
  <si>
    <t>09:30:51</t>
  </si>
  <si>
    <t>09:30:48</t>
  </si>
  <si>
    <t>09:31:22</t>
  </si>
  <si>
    <t>09:31:17</t>
  </si>
  <si>
    <t>09:31:13</t>
  </si>
  <si>
    <t>09:10:29</t>
  </si>
  <si>
    <t>09:10:25</t>
  </si>
  <si>
    <t>08:32:34</t>
  </si>
  <si>
    <t>09:12:34</t>
  </si>
  <si>
    <t>09:12:31</t>
  </si>
  <si>
    <t>08:32:38</t>
  </si>
  <si>
    <t>09:13:01</t>
  </si>
  <si>
    <t>09:12:52</t>
  </si>
  <si>
    <t>09:51:19</t>
  </si>
  <si>
    <t>09:51:10</t>
  </si>
  <si>
    <t>09:46:04</t>
  </si>
  <si>
    <t>09:07:35</t>
  </si>
  <si>
    <t>09:07:34</t>
  </si>
  <si>
    <t>09:05:05</t>
  </si>
  <si>
    <t>10:09:18</t>
  </si>
  <si>
    <t>翁瑞隆</t>
  </si>
  <si>
    <t>10:09:07</t>
  </si>
  <si>
    <t>10:09:08</t>
  </si>
  <si>
    <t>10:13:23</t>
  </si>
  <si>
    <t>10:13:19</t>
  </si>
  <si>
    <t>10:13:02</t>
  </si>
  <si>
    <t>10:13:53</t>
  </si>
  <si>
    <t>10:13:44</t>
  </si>
  <si>
    <t>10:10:56</t>
  </si>
  <si>
    <t>10:14:12</t>
  </si>
  <si>
    <t>10:14:01</t>
  </si>
  <si>
    <t>10:15:02</t>
  </si>
  <si>
    <t>10:11:01</t>
  </si>
  <si>
    <t>10:15:29</t>
  </si>
  <si>
    <t>姚朝順</t>
  </si>
  <si>
    <t>10:15:07</t>
  </si>
  <si>
    <t>10:15:16</t>
  </si>
  <si>
    <t>11:07:33</t>
  </si>
  <si>
    <t>11:07:13</t>
  </si>
  <si>
    <t>11:07:14</t>
  </si>
  <si>
    <t>11:38:24</t>
  </si>
  <si>
    <t>王家修</t>
  </si>
  <si>
    <t>11:38:08</t>
  </si>
  <si>
    <t>11:37:28</t>
  </si>
  <si>
    <t>11:38:48</t>
  </si>
  <si>
    <t>11:38:27</t>
  </si>
  <si>
    <t>11:37:21</t>
  </si>
  <si>
    <t>11:39:13</t>
  </si>
  <si>
    <t>11:38:52</t>
  </si>
  <si>
    <t>11:37:51</t>
  </si>
  <si>
    <t>11:43:22</t>
  </si>
  <si>
    <t>11:43:10</t>
  </si>
  <si>
    <t>11:43:13</t>
  </si>
  <si>
    <t>11:42:48</t>
  </si>
  <si>
    <t>11:43:49</t>
  </si>
  <si>
    <t>11:43:48</t>
  </si>
  <si>
    <t>11:43:32</t>
  </si>
  <si>
    <t>11:42:57</t>
  </si>
  <si>
    <t>11:40:28</t>
  </si>
  <si>
    <t>11:44:37</t>
  </si>
  <si>
    <t>11:44:31</t>
  </si>
  <si>
    <t>11:44:21</t>
  </si>
  <si>
    <t>11:44:30</t>
  </si>
  <si>
    <t>11:45:29</t>
  </si>
  <si>
    <t>11:45:22</t>
  </si>
  <si>
    <t>11:46:17</t>
  </si>
  <si>
    <t>11:46:03</t>
  </si>
  <si>
    <t>11:46:46</t>
  </si>
  <si>
    <t>11:46:30</t>
  </si>
  <si>
    <t>11:47:07</t>
  </si>
  <si>
    <t>11:46:55</t>
  </si>
  <si>
    <t>11:53:01</t>
  </si>
  <si>
    <t>11:52:38</t>
  </si>
  <si>
    <t>11:51:57</t>
  </si>
  <si>
    <t>11:53:24</t>
  </si>
  <si>
    <t>11:53:16</t>
  </si>
  <si>
    <t>11:52:08</t>
  </si>
  <si>
    <t>11:52:11</t>
  </si>
  <si>
    <t>11:52:14</t>
  </si>
  <si>
    <t>11:53:53</t>
  </si>
  <si>
    <t>11:53:42</t>
  </si>
  <si>
    <t>11:52:28</t>
  </si>
  <si>
    <t>11:54:16</t>
  </si>
  <si>
    <t>11:54:09</t>
  </si>
  <si>
    <t>11:52:48</t>
  </si>
  <si>
    <t>康和</t>
  </si>
  <si>
    <t>詹淑惠</t>
  </si>
  <si>
    <t>13:27:07</t>
  </si>
  <si>
    <t>翁莉芳</t>
  </si>
  <si>
    <t>13:25:42</t>
  </si>
  <si>
    <t>翁意茹</t>
  </si>
  <si>
    <t>13:25:46</t>
  </si>
  <si>
    <t>13:26:02</t>
  </si>
  <si>
    <t>郭慧敏</t>
  </si>
  <si>
    <t>13:27:42</t>
  </si>
  <si>
    <t>11:45:34</t>
  </si>
  <si>
    <t>11:45:26</t>
  </si>
  <si>
    <t>11:44:53</t>
  </si>
  <si>
    <t>13:06:20</t>
  </si>
  <si>
    <t>13:05:02</t>
  </si>
  <si>
    <t>13:06:07</t>
  </si>
  <si>
    <t>13:07:07</t>
  </si>
  <si>
    <t>13:06:58</t>
  </si>
  <si>
    <t>13:08:23</t>
  </si>
  <si>
    <t>13:08:01</t>
  </si>
  <si>
    <t>13:09:40</t>
  </si>
  <si>
    <t>13:09:28</t>
  </si>
  <si>
    <t>13:22:35</t>
  </si>
  <si>
    <t>13:22:32</t>
  </si>
  <si>
    <t>12:55:18</t>
  </si>
  <si>
    <t>13:23:25</t>
  </si>
  <si>
    <t>13:23:22</t>
  </si>
  <si>
    <t>12:55:36</t>
  </si>
  <si>
    <t>13:20:30</t>
  </si>
  <si>
    <t>13:20:08</t>
  </si>
  <si>
    <t>13:20:53</t>
  </si>
  <si>
    <t>13:20:50</t>
  </si>
  <si>
    <t>10:11:24</t>
  </si>
  <si>
    <t>10:11:14</t>
  </si>
  <si>
    <t>09:59:30</t>
  </si>
  <si>
    <t>12:55:24</t>
  </si>
  <si>
    <t>楊美鈴</t>
  </si>
  <si>
    <t>12:37:12</t>
  </si>
  <si>
    <t>09:12:13</t>
  </si>
  <si>
    <t>09:12:00</t>
  </si>
  <si>
    <t>09:10:41</t>
  </si>
  <si>
    <t>09:19:43</t>
  </si>
  <si>
    <t>09:27:36</t>
  </si>
  <si>
    <t>09:27:28</t>
  </si>
  <si>
    <t>09:13:55</t>
  </si>
  <si>
    <t>13:23:02</t>
  </si>
  <si>
    <t>13:22:47</t>
  </si>
  <si>
    <t>10:19:38</t>
  </si>
  <si>
    <t>10:19:19</t>
  </si>
  <si>
    <t>10:17:37</t>
  </si>
  <si>
    <t>10:20:30</t>
  </si>
  <si>
    <t>10:20:17</t>
  </si>
  <si>
    <t>10:23:21</t>
  </si>
  <si>
    <t>10:18:55</t>
  </si>
  <si>
    <t>10:23:11</t>
  </si>
  <si>
    <t>10:45:05</t>
  </si>
  <si>
    <t>10:44:52</t>
  </si>
  <si>
    <t>10:44:36</t>
  </si>
  <si>
    <t>10:48:21</t>
  </si>
  <si>
    <t>10:47:58</t>
  </si>
  <si>
    <t>10:48:04</t>
  </si>
  <si>
    <t>10:21:26</t>
  </si>
  <si>
    <t>10:48:49</t>
  </si>
  <si>
    <t>10:48:32</t>
  </si>
  <si>
    <t>09:58:22</t>
  </si>
  <si>
    <t>09:57:53</t>
  </si>
  <si>
    <t>09:58:00</t>
  </si>
  <si>
    <t>10:06:44</t>
  </si>
  <si>
    <t>日盛</t>
  </si>
  <si>
    <t>10:06:23</t>
  </si>
  <si>
    <t>10:24:39</t>
  </si>
  <si>
    <t>10:24:20</t>
  </si>
  <si>
    <t>10:23:55</t>
  </si>
  <si>
    <t>10:25:03</t>
  </si>
  <si>
    <t>10:25:02</t>
  </si>
  <si>
    <t>10:25:54</t>
  </si>
  <si>
    <t>10:25:31</t>
  </si>
  <si>
    <t>10:24:01</t>
  </si>
  <si>
    <t>10:30:05</t>
  </si>
  <si>
    <t>10:20:05</t>
  </si>
  <si>
    <t>10:29:56</t>
  </si>
  <si>
    <t>10:31:43</t>
  </si>
  <si>
    <t>10:31:34</t>
  </si>
  <si>
    <t>12:33:22</t>
  </si>
  <si>
    <t>12:31:34</t>
  </si>
  <si>
    <t>12:33:18</t>
  </si>
  <si>
    <t>12:51:19</t>
  </si>
  <si>
    <t>12:23:40</t>
  </si>
  <si>
    <t>12:51:16</t>
  </si>
  <si>
    <t>13:29:17</t>
  </si>
  <si>
    <t>11:57:39</t>
  </si>
  <si>
    <t>11:57:29</t>
  </si>
  <si>
    <t>11:55:17</t>
  </si>
  <si>
    <t>11:58:00</t>
  </si>
  <si>
    <t>11:57:46</t>
  </si>
  <si>
    <t>11:58:50</t>
  </si>
  <si>
    <t>11:58:31</t>
  </si>
  <si>
    <t>11:54:57</t>
  </si>
  <si>
    <t>09:00:10</t>
  </si>
  <si>
    <t>08:55:39</t>
  </si>
  <si>
    <t>08:52:47</t>
  </si>
  <si>
    <t>08:54:57</t>
  </si>
  <si>
    <t>08:54:53</t>
  </si>
  <si>
    <t>08:50:10</t>
  </si>
  <si>
    <t>09:44:11</t>
  </si>
  <si>
    <t>09:43:52</t>
  </si>
  <si>
    <t>08:49:58</t>
  </si>
  <si>
    <t>09:44:36</t>
  </si>
  <si>
    <t>09:44:17</t>
  </si>
  <si>
    <t>08:52:52</t>
  </si>
  <si>
    <t>10:22:56</t>
  </si>
  <si>
    <t>10:22:47</t>
  </si>
  <si>
    <t>08:54:07</t>
  </si>
  <si>
    <t>10:24:09</t>
  </si>
  <si>
    <t>10:25:49</t>
  </si>
  <si>
    <t>10:25:32</t>
  </si>
  <si>
    <t>08:55:26</t>
  </si>
  <si>
    <t>10:32:06</t>
  </si>
  <si>
    <t>10:31:51</t>
  </si>
  <si>
    <t>華南台中</t>
  </si>
  <si>
    <t>柯月華</t>
  </si>
  <si>
    <t>09:39:43</t>
  </si>
  <si>
    <t>總計成交</t>
    <phoneticPr fontId="1" type="noConversion"/>
  </si>
  <si>
    <t>股</t>
    <phoneticPr fontId="1" type="noConversion"/>
  </si>
  <si>
    <t>使用人</t>
    <phoneticPr fontId="2" type="noConversion"/>
  </si>
  <si>
    <t>戶名</t>
    <phoneticPr fontId="2" type="noConversion"/>
  </si>
  <si>
    <t>相對成交佔當盤比重</t>
    <phoneticPr fontId="1" type="noConversion"/>
  </si>
  <si>
    <t>揭示委賣價</t>
    <phoneticPr fontId="1" type="noConversion"/>
  </si>
  <si>
    <t>2. 相對成交佔當盤比重: 證交所110.1.22臺證密字第1100001312號函吉祥全球 (代號: 2491) 96年3月16日至96年11月8日SRB680表 (檔名: SRB680_202101211105340059_1_rpt.doc、SRB680_202101211105340059_2_rpt.doc), 各筆委託資料成交當筆之「成交比」乘以本表成交股數後, 除以SRB680表各筆委託資料成交當筆之「成交量」(換算為千股)</t>
    <phoneticPr fontId="2" type="noConversion"/>
  </si>
  <si>
    <t>資料出處：</t>
    <phoneticPr fontId="1" type="noConversion"/>
  </si>
  <si>
    <t>1. 證交所110.1.22臺證密字第1100001312號函吉祥全球 (代號: 2491) 97年1月17日至97年8月27日SRB330表, 檔名: SRB330_202101211105340055_rpt.doc</t>
    <phoneticPr fontId="2" type="noConversion"/>
  </si>
  <si>
    <t>3. 揭示委賣價: 證交所110.1.22臺證密字第1100001312號函吉祥全球 (代號: 2491) 96年3月16日至96年11月8日SRB680表 (檔名: SRB680_202101211105340059_1_rpt.doc、SRB680_202101211105340059_2_rpt.doc), 本表各筆賣方資料下單時最高揭示賣價。</t>
    <phoneticPr fontId="2" type="noConversion"/>
  </si>
  <si>
    <t>註：依成交日期時間排序
買方資料委託價格欄黃底表示漲停價委買, 賣方資料委託價格欄黃底表示跌停價委賣。</t>
    <phoneticPr fontId="1" type="noConversion"/>
  </si>
  <si>
    <t>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</si>
</sst>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4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9" fontId="3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7" xfId="0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3" fontId="0" fillId="2" borderId="10" xfId="0" applyNumberForma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10" fontId="0" fillId="0" borderId="7" xfId="1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/>
    </xf>
    <xf numFmtId="10" fontId="0" fillId="0" borderId="7" xfId="1" applyNumberFormat="1" applyFont="1" applyBorder="1" applyAlignment="1">
      <alignment horizontal="center" vertical="center"/>
    </xf>
    <xf numFmtId="10" fontId="0" fillId="2" borderId="10" xfId="1" applyNumberFormat="1" applyFont="1" applyFill="1" applyBorder="1" applyAlignment="1">
      <alignment horizontal="center" vertical="center"/>
    </xf>
    <xf numFmtId="10" fontId="0" fillId="0" borderId="0" xfId="1" applyNumberFormat="1" applyFont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一般" xfId="0" builtinId="0"/>
    <cellStyle name="百分比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99"/>
  <sheetViews>
    <sheetView tabSelected="1" workbookViewId="0">
      <pane ySplit="2" topLeftCell="A198" activePane="bottomLeft" state="frozen"/>
      <selection pane="bottomLeft" activeCell="P192" sqref="P192"/>
    </sheetView>
  </sheetViews>
  <sheetFormatPr defaultRowHeight="23.5" customHeight="1" x14ac:dyDescent="0.4"/>
  <cols>
    <col min="1" max="1" width="6" style="9" bestFit="1" customWidth="1"/>
    <col min="2" max="2" width="9.453125" style="9" bestFit="1" customWidth="1"/>
    <col min="3" max="3" width="8.453125" style="9" bestFit="1" customWidth="1"/>
    <col min="4" max="4" width="7.453125" style="9" bestFit="1" customWidth="1"/>
    <col min="5" max="5" width="10.453125" style="9" bestFit="1" customWidth="1"/>
    <col min="6" max="6" width="10" style="10" bestFit="1" customWidth="1"/>
    <col min="7" max="7" width="10" style="17" customWidth="1"/>
    <col min="8" max="8" width="9.453125" style="9" bestFit="1" customWidth="1"/>
    <col min="9" max="9" width="8.453125" style="9" bestFit="1" customWidth="1"/>
    <col min="10" max="10" width="8.08984375" style="9" bestFit="1" customWidth="1"/>
    <col min="11" max="11" width="10.26953125" style="9" bestFit="1" customWidth="1"/>
    <col min="12" max="12" width="9.453125" style="9" bestFit="1" customWidth="1"/>
    <col min="13" max="14" width="10.453125" style="9" bestFit="1" customWidth="1"/>
    <col min="15" max="15" width="9.453125" style="9" bestFit="1" customWidth="1"/>
    <col min="16" max="16" width="8.453125" style="9" bestFit="1" customWidth="1"/>
    <col min="17" max="17" width="8.08984375" style="9" bestFit="1" customWidth="1"/>
    <col min="18" max="18" width="10.26953125" style="9" bestFit="1" customWidth="1"/>
    <col min="19" max="21" width="9.453125" style="9" bestFit="1" customWidth="1"/>
    <col min="22" max="22" width="8.7265625" style="9"/>
  </cols>
  <sheetData>
    <row r="1" spans="1:22" ht="23.5" customHeight="1" x14ac:dyDescent="0.4">
      <c r="A1" s="20" t="s">
        <v>0</v>
      </c>
      <c r="B1" s="22" t="s">
        <v>1</v>
      </c>
      <c r="C1" s="23"/>
      <c r="D1" s="23"/>
      <c r="E1" s="23"/>
      <c r="F1" s="23"/>
      <c r="G1" s="24"/>
      <c r="H1" s="22" t="s">
        <v>2</v>
      </c>
      <c r="I1" s="23"/>
      <c r="J1" s="23"/>
      <c r="K1" s="23"/>
      <c r="L1" s="23"/>
      <c r="M1" s="23"/>
      <c r="N1" s="24"/>
      <c r="O1" s="22" t="s">
        <v>3</v>
      </c>
      <c r="P1" s="23"/>
      <c r="Q1" s="23"/>
      <c r="R1" s="23"/>
      <c r="S1" s="23"/>
      <c r="T1" s="23"/>
      <c r="U1" s="23"/>
      <c r="V1" s="27"/>
    </row>
    <row r="2" spans="1:22" ht="50.5" customHeight="1" x14ac:dyDescent="0.4">
      <c r="A2" s="21"/>
      <c r="B2" s="1" t="s">
        <v>4</v>
      </c>
      <c r="C2" s="1" t="s">
        <v>5</v>
      </c>
      <c r="D2" s="1" t="s">
        <v>6</v>
      </c>
      <c r="E2" s="1" t="s">
        <v>7</v>
      </c>
      <c r="F2" s="2" t="s">
        <v>8</v>
      </c>
      <c r="G2" s="12" t="s">
        <v>490</v>
      </c>
      <c r="H2" s="1" t="s">
        <v>9</v>
      </c>
      <c r="I2" s="1" t="s">
        <v>10</v>
      </c>
      <c r="J2" s="1" t="s">
        <v>488</v>
      </c>
      <c r="K2" s="1" t="s">
        <v>489</v>
      </c>
      <c r="L2" s="1" t="s">
        <v>11</v>
      </c>
      <c r="M2" s="1" t="s">
        <v>12</v>
      </c>
      <c r="N2" s="1" t="s">
        <v>13</v>
      </c>
      <c r="O2" s="1" t="s">
        <v>9</v>
      </c>
      <c r="P2" s="1" t="s">
        <v>14</v>
      </c>
      <c r="Q2" s="1" t="s">
        <v>488</v>
      </c>
      <c r="R2" s="1" t="s">
        <v>489</v>
      </c>
      <c r="S2" s="1" t="s">
        <v>11</v>
      </c>
      <c r="T2" s="1" t="s">
        <v>12</v>
      </c>
      <c r="U2" s="1" t="s">
        <v>13</v>
      </c>
      <c r="V2" s="13" t="s">
        <v>491</v>
      </c>
    </row>
    <row r="3" spans="1:22" ht="23.5" customHeight="1" x14ac:dyDescent="0.4">
      <c r="A3" s="1">
        <v>1</v>
      </c>
      <c r="B3" s="3">
        <v>39511</v>
      </c>
      <c r="C3" s="4" t="s">
        <v>15</v>
      </c>
      <c r="D3" s="1">
        <v>13.65</v>
      </c>
      <c r="E3" s="5">
        <v>20000</v>
      </c>
      <c r="F3" s="2">
        <f t="shared" ref="F3:F66" si="0">D3*E3</f>
        <v>273000</v>
      </c>
      <c r="G3" s="15">
        <v>0.66659999999999997</v>
      </c>
      <c r="H3" s="4" t="s">
        <v>16</v>
      </c>
      <c r="I3" s="4" t="s">
        <v>497</v>
      </c>
      <c r="J3" s="1" t="s">
        <v>17</v>
      </c>
      <c r="K3" s="4" t="s">
        <v>18</v>
      </c>
      <c r="L3" s="4" t="s">
        <v>19</v>
      </c>
      <c r="M3" s="1">
        <v>13.65</v>
      </c>
      <c r="N3" s="5">
        <v>20000</v>
      </c>
      <c r="O3" s="4" t="s">
        <v>20</v>
      </c>
      <c r="P3" s="4" t="s">
        <v>497</v>
      </c>
      <c r="Q3" s="1" t="s">
        <v>21</v>
      </c>
      <c r="R3" s="4" t="s">
        <v>22</v>
      </c>
      <c r="S3" s="4" t="s">
        <v>23</v>
      </c>
      <c r="T3" s="1">
        <v>13.65</v>
      </c>
      <c r="U3" s="5">
        <v>30000</v>
      </c>
      <c r="V3" s="18">
        <v>13.7</v>
      </c>
    </row>
    <row r="4" spans="1:22" ht="23.5" customHeight="1" x14ac:dyDescent="0.4">
      <c r="A4" s="1">
        <v>2</v>
      </c>
      <c r="B4" s="3">
        <v>39511</v>
      </c>
      <c r="C4" s="4" t="s">
        <v>24</v>
      </c>
      <c r="D4" s="1">
        <v>13.65</v>
      </c>
      <c r="E4" s="5">
        <v>4000</v>
      </c>
      <c r="F4" s="2">
        <f t="shared" si="0"/>
        <v>54600</v>
      </c>
      <c r="G4" s="15">
        <v>0.57140000000000002</v>
      </c>
      <c r="H4" s="4" t="s">
        <v>16</v>
      </c>
      <c r="I4" s="4" t="s">
        <v>497</v>
      </c>
      <c r="J4" s="1" t="s">
        <v>17</v>
      </c>
      <c r="K4" s="4" t="s">
        <v>18</v>
      </c>
      <c r="L4" s="4" t="s">
        <v>25</v>
      </c>
      <c r="M4" s="1">
        <v>13.65</v>
      </c>
      <c r="N4" s="5">
        <v>20000</v>
      </c>
      <c r="O4" s="4" t="s">
        <v>20</v>
      </c>
      <c r="P4" s="4" t="s">
        <v>497</v>
      </c>
      <c r="Q4" s="1" t="s">
        <v>21</v>
      </c>
      <c r="R4" s="4" t="s">
        <v>22</v>
      </c>
      <c r="S4" s="4" t="s">
        <v>26</v>
      </c>
      <c r="T4" s="14">
        <v>12.4</v>
      </c>
      <c r="U4" s="5">
        <v>7000</v>
      </c>
      <c r="V4" s="18">
        <v>13.7</v>
      </c>
    </row>
    <row r="5" spans="1:22" ht="23.5" customHeight="1" x14ac:dyDescent="0.4">
      <c r="A5" s="1">
        <v>3</v>
      </c>
      <c r="B5" s="3">
        <v>39511</v>
      </c>
      <c r="C5" s="4" t="s">
        <v>27</v>
      </c>
      <c r="D5" s="1">
        <v>13.65</v>
      </c>
      <c r="E5" s="5">
        <v>7000</v>
      </c>
      <c r="F5" s="2">
        <f t="shared" si="0"/>
        <v>95550</v>
      </c>
      <c r="G5" s="15">
        <v>1</v>
      </c>
      <c r="H5" s="4" t="s">
        <v>16</v>
      </c>
      <c r="I5" s="4" t="s">
        <v>497</v>
      </c>
      <c r="J5" s="1" t="s">
        <v>17</v>
      </c>
      <c r="K5" s="4" t="s">
        <v>18</v>
      </c>
      <c r="L5" s="4" t="s">
        <v>25</v>
      </c>
      <c r="M5" s="1">
        <v>13.65</v>
      </c>
      <c r="N5" s="5">
        <v>20000</v>
      </c>
      <c r="O5" s="4" t="s">
        <v>20</v>
      </c>
      <c r="P5" s="4" t="s">
        <v>497</v>
      </c>
      <c r="Q5" s="1" t="s">
        <v>21</v>
      </c>
      <c r="R5" s="4" t="s">
        <v>22</v>
      </c>
      <c r="S5" s="4" t="s">
        <v>28</v>
      </c>
      <c r="T5" s="14">
        <v>12.4</v>
      </c>
      <c r="U5" s="5">
        <v>7000</v>
      </c>
      <c r="V5" s="18">
        <v>13.7</v>
      </c>
    </row>
    <row r="6" spans="1:22" ht="23.5" customHeight="1" x14ac:dyDescent="0.4">
      <c r="A6" s="1">
        <v>4</v>
      </c>
      <c r="B6" s="3">
        <v>39511</v>
      </c>
      <c r="C6" s="4" t="s">
        <v>29</v>
      </c>
      <c r="D6" s="1">
        <v>13.65</v>
      </c>
      <c r="E6" s="5">
        <v>6000</v>
      </c>
      <c r="F6" s="2">
        <f t="shared" si="0"/>
        <v>81900</v>
      </c>
      <c r="G6" s="15">
        <f>100%*(6/7)</f>
        <v>0.8571428571428571</v>
      </c>
      <c r="H6" s="4" t="s">
        <v>16</v>
      </c>
      <c r="I6" s="4" t="s">
        <v>497</v>
      </c>
      <c r="J6" s="1" t="s">
        <v>17</v>
      </c>
      <c r="K6" s="4" t="s">
        <v>18</v>
      </c>
      <c r="L6" s="4" t="s">
        <v>25</v>
      </c>
      <c r="M6" s="1">
        <v>13.65</v>
      </c>
      <c r="N6" s="5">
        <v>20000</v>
      </c>
      <c r="O6" s="4" t="s">
        <v>20</v>
      </c>
      <c r="P6" s="4" t="s">
        <v>497</v>
      </c>
      <c r="Q6" s="1" t="s">
        <v>21</v>
      </c>
      <c r="R6" s="4" t="s">
        <v>22</v>
      </c>
      <c r="S6" s="4" t="s">
        <v>30</v>
      </c>
      <c r="T6" s="14">
        <v>12.4</v>
      </c>
      <c r="U6" s="5">
        <v>6000</v>
      </c>
      <c r="V6" s="18">
        <v>13.7</v>
      </c>
    </row>
    <row r="7" spans="1:22" ht="23.5" customHeight="1" x14ac:dyDescent="0.4">
      <c r="A7" s="1">
        <v>5</v>
      </c>
      <c r="B7" s="3">
        <v>39511</v>
      </c>
      <c r="C7" s="4" t="s">
        <v>31</v>
      </c>
      <c r="D7" s="1">
        <v>13.65</v>
      </c>
      <c r="E7" s="5">
        <v>2000</v>
      </c>
      <c r="F7" s="2">
        <f t="shared" si="0"/>
        <v>27300</v>
      </c>
      <c r="G7" s="15">
        <v>0.25</v>
      </c>
      <c r="H7" s="4" t="s">
        <v>16</v>
      </c>
      <c r="I7" s="4" t="s">
        <v>497</v>
      </c>
      <c r="J7" s="1" t="s">
        <v>17</v>
      </c>
      <c r="K7" s="4" t="s">
        <v>18</v>
      </c>
      <c r="L7" s="4" t="s">
        <v>25</v>
      </c>
      <c r="M7" s="1">
        <v>13.65</v>
      </c>
      <c r="N7" s="5">
        <v>20000</v>
      </c>
      <c r="O7" s="4" t="s">
        <v>20</v>
      </c>
      <c r="P7" s="4" t="s">
        <v>497</v>
      </c>
      <c r="Q7" s="1" t="s">
        <v>21</v>
      </c>
      <c r="R7" s="4" t="s">
        <v>22</v>
      </c>
      <c r="S7" s="4" t="s">
        <v>32</v>
      </c>
      <c r="T7" s="14">
        <v>12.4</v>
      </c>
      <c r="U7" s="5">
        <v>8000</v>
      </c>
      <c r="V7" s="18">
        <v>13.7</v>
      </c>
    </row>
    <row r="8" spans="1:22" ht="23.5" customHeight="1" x14ac:dyDescent="0.4">
      <c r="A8" s="1">
        <v>6</v>
      </c>
      <c r="B8" s="3">
        <v>39519</v>
      </c>
      <c r="C8" s="4" t="s">
        <v>33</v>
      </c>
      <c r="D8" s="1">
        <v>14.8</v>
      </c>
      <c r="E8" s="5">
        <v>45000</v>
      </c>
      <c r="F8" s="2">
        <f t="shared" si="0"/>
        <v>666000</v>
      </c>
      <c r="G8" s="15">
        <f>93.45%*(45/100)</f>
        <v>0.42052499999999998</v>
      </c>
      <c r="H8" s="4" t="s">
        <v>34</v>
      </c>
      <c r="I8" s="4" t="s">
        <v>497</v>
      </c>
      <c r="J8" s="1" t="s">
        <v>21</v>
      </c>
      <c r="K8" s="4" t="s">
        <v>22</v>
      </c>
      <c r="L8" s="4" t="s">
        <v>35</v>
      </c>
      <c r="M8" s="1">
        <v>14.8</v>
      </c>
      <c r="N8" s="5">
        <v>100000</v>
      </c>
      <c r="O8" s="4" t="s">
        <v>36</v>
      </c>
      <c r="P8" s="4" t="s">
        <v>497</v>
      </c>
      <c r="Q8" s="1" t="s">
        <v>21</v>
      </c>
      <c r="R8" s="4" t="s">
        <v>22</v>
      </c>
      <c r="S8" s="4" t="s">
        <v>37</v>
      </c>
      <c r="T8" s="1">
        <v>14.8</v>
      </c>
      <c r="U8" s="5">
        <v>300000</v>
      </c>
      <c r="V8" s="18">
        <v>14.55</v>
      </c>
    </row>
    <row r="9" spans="1:22" ht="23.5" customHeight="1" x14ac:dyDescent="0.4">
      <c r="A9" s="1">
        <v>7</v>
      </c>
      <c r="B9" s="3">
        <v>39519</v>
      </c>
      <c r="C9" s="4" t="s">
        <v>38</v>
      </c>
      <c r="D9" s="1">
        <v>14.8</v>
      </c>
      <c r="E9" s="5">
        <v>100000</v>
      </c>
      <c r="F9" s="2">
        <f t="shared" si="0"/>
        <v>1480000</v>
      </c>
      <c r="G9" s="15">
        <v>0.86950000000000005</v>
      </c>
      <c r="H9" s="4" t="s">
        <v>34</v>
      </c>
      <c r="I9" s="4" t="s">
        <v>497</v>
      </c>
      <c r="J9" s="1" t="s">
        <v>21</v>
      </c>
      <c r="K9" s="4" t="s">
        <v>22</v>
      </c>
      <c r="L9" s="4" t="s">
        <v>39</v>
      </c>
      <c r="M9" s="1">
        <v>14.8</v>
      </c>
      <c r="N9" s="5">
        <v>100000</v>
      </c>
      <c r="O9" s="4" t="s">
        <v>36</v>
      </c>
      <c r="P9" s="4" t="s">
        <v>497</v>
      </c>
      <c r="Q9" s="1" t="s">
        <v>21</v>
      </c>
      <c r="R9" s="4" t="s">
        <v>22</v>
      </c>
      <c r="S9" s="4" t="s">
        <v>37</v>
      </c>
      <c r="T9" s="1">
        <v>14.8</v>
      </c>
      <c r="U9" s="5">
        <v>300000</v>
      </c>
      <c r="V9" s="18">
        <v>14.55</v>
      </c>
    </row>
    <row r="10" spans="1:22" ht="23.5" customHeight="1" x14ac:dyDescent="0.4">
      <c r="A10" s="1">
        <v>8</v>
      </c>
      <c r="B10" s="3">
        <v>39520</v>
      </c>
      <c r="C10" s="4" t="s">
        <v>40</v>
      </c>
      <c r="D10" s="1">
        <v>14.9</v>
      </c>
      <c r="E10" s="5">
        <v>30000</v>
      </c>
      <c r="F10" s="2">
        <f t="shared" si="0"/>
        <v>447000</v>
      </c>
      <c r="G10" s="15">
        <v>0.4</v>
      </c>
      <c r="H10" s="4" t="s">
        <v>34</v>
      </c>
      <c r="I10" s="4" t="s">
        <v>497</v>
      </c>
      <c r="J10" s="1" t="s">
        <v>21</v>
      </c>
      <c r="K10" s="4" t="s">
        <v>22</v>
      </c>
      <c r="L10" s="4" t="s">
        <v>41</v>
      </c>
      <c r="M10" s="1">
        <v>14.9</v>
      </c>
      <c r="N10" s="5">
        <v>30000</v>
      </c>
      <c r="O10" s="4" t="s">
        <v>34</v>
      </c>
      <c r="P10" s="4" t="s">
        <v>497</v>
      </c>
      <c r="Q10" s="1" t="s">
        <v>21</v>
      </c>
      <c r="R10" s="4" t="s">
        <v>22</v>
      </c>
      <c r="S10" s="4" t="s">
        <v>42</v>
      </c>
      <c r="T10" s="1">
        <v>14.9</v>
      </c>
      <c r="U10" s="5">
        <v>100000</v>
      </c>
      <c r="V10" s="18">
        <v>0</v>
      </c>
    </row>
    <row r="11" spans="1:22" ht="23.5" customHeight="1" x14ac:dyDescent="0.4">
      <c r="A11" s="1">
        <v>9</v>
      </c>
      <c r="B11" s="3">
        <v>39520</v>
      </c>
      <c r="C11" s="4" t="s">
        <v>43</v>
      </c>
      <c r="D11" s="1">
        <v>14.9</v>
      </c>
      <c r="E11" s="5">
        <v>15000</v>
      </c>
      <c r="F11" s="2">
        <f t="shared" si="0"/>
        <v>223500</v>
      </c>
      <c r="G11" s="15">
        <v>0.41660000000000003</v>
      </c>
      <c r="H11" s="4" t="s">
        <v>34</v>
      </c>
      <c r="I11" s="4" t="s">
        <v>497</v>
      </c>
      <c r="J11" s="1" t="s">
        <v>21</v>
      </c>
      <c r="K11" s="4" t="s">
        <v>22</v>
      </c>
      <c r="L11" s="4" t="s">
        <v>44</v>
      </c>
      <c r="M11" s="1">
        <v>14.9</v>
      </c>
      <c r="N11" s="5">
        <v>300000</v>
      </c>
      <c r="O11" s="4" t="s">
        <v>34</v>
      </c>
      <c r="P11" s="4" t="s">
        <v>497</v>
      </c>
      <c r="Q11" s="1" t="s">
        <v>21</v>
      </c>
      <c r="R11" s="4" t="s">
        <v>22</v>
      </c>
      <c r="S11" s="4" t="s">
        <v>42</v>
      </c>
      <c r="T11" s="1">
        <v>14.9</v>
      </c>
      <c r="U11" s="5">
        <v>100000</v>
      </c>
      <c r="V11" s="18">
        <v>0</v>
      </c>
    </row>
    <row r="12" spans="1:22" ht="23.5" customHeight="1" x14ac:dyDescent="0.4">
      <c r="A12" s="1">
        <v>10</v>
      </c>
      <c r="B12" s="3">
        <v>39520</v>
      </c>
      <c r="C12" s="4" t="s">
        <v>45</v>
      </c>
      <c r="D12" s="1">
        <v>15</v>
      </c>
      <c r="E12" s="5">
        <v>100000</v>
      </c>
      <c r="F12" s="2">
        <f t="shared" si="0"/>
        <v>1500000</v>
      </c>
      <c r="G12" s="15">
        <v>0.62890000000000001</v>
      </c>
      <c r="H12" s="4" t="s">
        <v>34</v>
      </c>
      <c r="I12" s="4" t="s">
        <v>497</v>
      </c>
      <c r="J12" s="1" t="s">
        <v>21</v>
      </c>
      <c r="K12" s="4" t="s">
        <v>22</v>
      </c>
      <c r="L12" s="4" t="s">
        <v>46</v>
      </c>
      <c r="M12" s="1">
        <v>15</v>
      </c>
      <c r="N12" s="5">
        <v>100000</v>
      </c>
      <c r="O12" s="4" t="s">
        <v>34</v>
      </c>
      <c r="P12" s="4" t="s">
        <v>497</v>
      </c>
      <c r="Q12" s="1" t="s">
        <v>21</v>
      </c>
      <c r="R12" s="4" t="s">
        <v>22</v>
      </c>
      <c r="S12" s="4" t="s">
        <v>47</v>
      </c>
      <c r="T12" s="1">
        <v>15</v>
      </c>
      <c r="U12" s="5">
        <v>300000</v>
      </c>
      <c r="V12" s="18">
        <v>0</v>
      </c>
    </row>
    <row r="13" spans="1:22" ht="23.5" customHeight="1" x14ac:dyDescent="0.4">
      <c r="A13" s="1">
        <v>11</v>
      </c>
      <c r="B13" s="3">
        <v>39520</v>
      </c>
      <c r="C13" s="4" t="s">
        <v>48</v>
      </c>
      <c r="D13" s="1">
        <v>15</v>
      </c>
      <c r="E13" s="5">
        <v>19000</v>
      </c>
      <c r="F13" s="2">
        <f t="shared" si="0"/>
        <v>285000</v>
      </c>
      <c r="G13" s="15">
        <f>17.64%*(19/24)</f>
        <v>0.13965</v>
      </c>
      <c r="H13" s="4" t="s">
        <v>34</v>
      </c>
      <c r="I13" s="4" t="s">
        <v>497</v>
      </c>
      <c r="J13" s="1" t="s">
        <v>21</v>
      </c>
      <c r="K13" s="4" t="s">
        <v>22</v>
      </c>
      <c r="L13" s="4" t="s">
        <v>49</v>
      </c>
      <c r="M13" s="1">
        <v>15</v>
      </c>
      <c r="N13" s="5">
        <v>50000</v>
      </c>
      <c r="O13" s="4" t="s">
        <v>34</v>
      </c>
      <c r="P13" s="4" t="s">
        <v>497</v>
      </c>
      <c r="Q13" s="1" t="s">
        <v>21</v>
      </c>
      <c r="R13" s="4" t="s">
        <v>22</v>
      </c>
      <c r="S13" s="4" t="s">
        <v>50</v>
      </c>
      <c r="T13" s="1">
        <v>15</v>
      </c>
      <c r="U13" s="5">
        <v>100000</v>
      </c>
      <c r="V13" s="18">
        <v>15.1</v>
      </c>
    </row>
    <row r="14" spans="1:22" ht="23.5" customHeight="1" x14ac:dyDescent="0.4">
      <c r="A14" s="1">
        <v>12</v>
      </c>
      <c r="B14" s="3">
        <v>39520</v>
      </c>
      <c r="C14" s="4" t="s">
        <v>51</v>
      </c>
      <c r="D14" s="1">
        <v>14.7</v>
      </c>
      <c r="E14" s="5">
        <v>59000</v>
      </c>
      <c r="F14" s="2">
        <f t="shared" si="0"/>
        <v>867300</v>
      </c>
      <c r="G14" s="15">
        <f>95.23%*(59/100)</f>
        <v>0.56185699999999994</v>
      </c>
      <c r="H14" s="4" t="s">
        <v>34</v>
      </c>
      <c r="I14" s="4" t="s">
        <v>497</v>
      </c>
      <c r="J14" s="1" t="s">
        <v>21</v>
      </c>
      <c r="K14" s="4" t="s">
        <v>22</v>
      </c>
      <c r="L14" s="4" t="s">
        <v>52</v>
      </c>
      <c r="M14" s="1">
        <v>14.7</v>
      </c>
      <c r="N14" s="5">
        <v>100000</v>
      </c>
      <c r="O14" s="4" t="s">
        <v>34</v>
      </c>
      <c r="P14" s="4" t="s">
        <v>497</v>
      </c>
      <c r="Q14" s="1" t="s">
        <v>21</v>
      </c>
      <c r="R14" s="4" t="s">
        <v>22</v>
      </c>
      <c r="S14" s="4" t="s">
        <v>53</v>
      </c>
      <c r="T14" s="1">
        <v>14.7</v>
      </c>
      <c r="U14" s="5">
        <v>59000</v>
      </c>
      <c r="V14" s="18">
        <v>14.2</v>
      </c>
    </row>
    <row r="15" spans="1:22" ht="23.5" customHeight="1" x14ac:dyDescent="0.4">
      <c r="A15" s="1">
        <v>13</v>
      </c>
      <c r="B15" s="3">
        <v>39520</v>
      </c>
      <c r="C15" s="4" t="s">
        <v>51</v>
      </c>
      <c r="D15" s="1">
        <v>14.7</v>
      </c>
      <c r="E15" s="5">
        <v>18000</v>
      </c>
      <c r="F15" s="2">
        <f t="shared" si="0"/>
        <v>264600</v>
      </c>
      <c r="G15" s="15">
        <f>95.23%*(18/100)</f>
        <v>0.17141400000000001</v>
      </c>
      <c r="H15" s="4" t="s">
        <v>34</v>
      </c>
      <c r="I15" s="4" t="s">
        <v>497</v>
      </c>
      <c r="J15" s="1" t="s">
        <v>21</v>
      </c>
      <c r="K15" s="4" t="s">
        <v>22</v>
      </c>
      <c r="L15" s="4" t="s">
        <v>52</v>
      </c>
      <c r="M15" s="1">
        <v>14.7</v>
      </c>
      <c r="N15" s="5">
        <v>100000</v>
      </c>
      <c r="O15" s="4" t="s">
        <v>34</v>
      </c>
      <c r="P15" s="4" t="s">
        <v>497</v>
      </c>
      <c r="Q15" s="1" t="s">
        <v>21</v>
      </c>
      <c r="R15" s="4" t="s">
        <v>22</v>
      </c>
      <c r="S15" s="4" t="s">
        <v>54</v>
      </c>
      <c r="T15" s="1">
        <v>14.7</v>
      </c>
      <c r="U15" s="5">
        <v>141000</v>
      </c>
      <c r="V15" s="18">
        <v>14.2</v>
      </c>
    </row>
    <row r="16" spans="1:22" ht="23.5" customHeight="1" x14ac:dyDescent="0.4">
      <c r="A16" s="1">
        <v>14</v>
      </c>
      <c r="B16" s="3">
        <v>39520</v>
      </c>
      <c r="C16" s="4" t="s">
        <v>55</v>
      </c>
      <c r="D16" s="1">
        <v>14.7</v>
      </c>
      <c r="E16" s="5">
        <v>78000</v>
      </c>
      <c r="F16" s="2">
        <f t="shared" si="0"/>
        <v>1146600</v>
      </c>
      <c r="G16" s="15">
        <f>98.17%*(78/161)</f>
        <v>0.47560621118012425</v>
      </c>
      <c r="H16" s="4" t="s">
        <v>34</v>
      </c>
      <c r="I16" s="4" t="s">
        <v>497</v>
      </c>
      <c r="J16" s="1" t="s">
        <v>21</v>
      </c>
      <c r="K16" s="4" t="s">
        <v>22</v>
      </c>
      <c r="L16" s="4" t="s">
        <v>55</v>
      </c>
      <c r="M16" s="1">
        <v>14.7</v>
      </c>
      <c r="N16" s="5">
        <v>400000</v>
      </c>
      <c r="O16" s="4" t="s">
        <v>34</v>
      </c>
      <c r="P16" s="4" t="s">
        <v>497</v>
      </c>
      <c r="Q16" s="1" t="s">
        <v>21</v>
      </c>
      <c r="R16" s="4" t="s">
        <v>22</v>
      </c>
      <c r="S16" s="4" t="s">
        <v>54</v>
      </c>
      <c r="T16" s="1">
        <v>14.7</v>
      </c>
      <c r="U16" s="5">
        <v>141000</v>
      </c>
      <c r="V16" s="18">
        <v>14.2</v>
      </c>
    </row>
    <row r="17" spans="1:22" ht="23.5" customHeight="1" x14ac:dyDescent="0.4">
      <c r="A17" s="1">
        <v>15</v>
      </c>
      <c r="B17" s="3">
        <v>39521</v>
      </c>
      <c r="C17" s="4" t="s">
        <v>56</v>
      </c>
      <c r="D17" s="1">
        <v>15</v>
      </c>
      <c r="E17" s="5">
        <v>40000</v>
      </c>
      <c r="F17" s="2">
        <f t="shared" si="0"/>
        <v>600000</v>
      </c>
      <c r="G17" s="15">
        <f>95.23%*(40/200)</f>
        <v>0.19046000000000002</v>
      </c>
      <c r="H17" s="4" t="s">
        <v>34</v>
      </c>
      <c r="I17" s="4" t="s">
        <v>497</v>
      </c>
      <c r="J17" s="1" t="s">
        <v>21</v>
      </c>
      <c r="K17" s="4" t="s">
        <v>22</v>
      </c>
      <c r="L17" s="4" t="s">
        <v>57</v>
      </c>
      <c r="M17" s="1">
        <v>15</v>
      </c>
      <c r="N17" s="5">
        <v>200000</v>
      </c>
      <c r="O17" s="4" t="s">
        <v>34</v>
      </c>
      <c r="P17" s="4" t="s">
        <v>497</v>
      </c>
      <c r="Q17" s="1" t="s">
        <v>21</v>
      </c>
      <c r="R17" s="4" t="s">
        <v>22</v>
      </c>
      <c r="S17" s="4" t="s">
        <v>58</v>
      </c>
      <c r="T17" s="1">
        <v>15</v>
      </c>
      <c r="U17" s="5">
        <v>499000</v>
      </c>
      <c r="V17" s="18">
        <v>0</v>
      </c>
    </row>
    <row r="18" spans="1:22" ht="23.5" customHeight="1" x14ac:dyDescent="0.4">
      <c r="A18" s="1">
        <v>16</v>
      </c>
      <c r="B18" s="3">
        <v>39521</v>
      </c>
      <c r="C18" s="4" t="s">
        <v>59</v>
      </c>
      <c r="D18" s="1">
        <v>15</v>
      </c>
      <c r="E18" s="5">
        <v>150000</v>
      </c>
      <c r="F18" s="2">
        <f t="shared" si="0"/>
        <v>2250000</v>
      </c>
      <c r="G18" s="15">
        <v>0.58360000000000001</v>
      </c>
      <c r="H18" s="4" t="s">
        <v>34</v>
      </c>
      <c r="I18" s="4" t="s">
        <v>497</v>
      </c>
      <c r="J18" s="1" t="s">
        <v>21</v>
      </c>
      <c r="K18" s="4" t="s">
        <v>22</v>
      </c>
      <c r="L18" s="4" t="s">
        <v>60</v>
      </c>
      <c r="M18" s="1">
        <v>15</v>
      </c>
      <c r="N18" s="5">
        <v>150000</v>
      </c>
      <c r="O18" s="4" t="s">
        <v>34</v>
      </c>
      <c r="P18" s="4" t="s">
        <v>497</v>
      </c>
      <c r="Q18" s="1" t="s">
        <v>21</v>
      </c>
      <c r="R18" s="4" t="s">
        <v>22</v>
      </c>
      <c r="S18" s="4" t="s">
        <v>58</v>
      </c>
      <c r="T18" s="1">
        <v>15</v>
      </c>
      <c r="U18" s="5">
        <v>499000</v>
      </c>
      <c r="V18" s="18">
        <v>0</v>
      </c>
    </row>
    <row r="19" spans="1:22" ht="23.5" customHeight="1" x14ac:dyDescent="0.4">
      <c r="A19" s="1">
        <v>17</v>
      </c>
      <c r="B19" s="3">
        <v>39521</v>
      </c>
      <c r="C19" s="4" t="s">
        <v>61</v>
      </c>
      <c r="D19" s="1">
        <v>15</v>
      </c>
      <c r="E19" s="5">
        <v>41000</v>
      </c>
      <c r="F19" s="2">
        <f t="shared" si="0"/>
        <v>615000</v>
      </c>
      <c r="G19" s="15">
        <f>45.45%*(41/80)</f>
        <v>0.23293124999999998</v>
      </c>
      <c r="H19" s="4" t="s">
        <v>34</v>
      </c>
      <c r="I19" s="4" t="s">
        <v>497</v>
      </c>
      <c r="J19" s="1" t="s">
        <v>21</v>
      </c>
      <c r="K19" s="4" t="s">
        <v>22</v>
      </c>
      <c r="L19" s="4" t="s">
        <v>62</v>
      </c>
      <c r="M19" s="1">
        <v>15</v>
      </c>
      <c r="N19" s="5">
        <v>499000</v>
      </c>
      <c r="O19" s="4" t="s">
        <v>34</v>
      </c>
      <c r="P19" s="4" t="s">
        <v>497</v>
      </c>
      <c r="Q19" s="1" t="s">
        <v>21</v>
      </c>
      <c r="R19" s="4" t="s">
        <v>22</v>
      </c>
      <c r="S19" s="4" t="s">
        <v>58</v>
      </c>
      <c r="T19" s="1">
        <v>15</v>
      </c>
      <c r="U19" s="5">
        <v>499000</v>
      </c>
      <c r="V19" s="18">
        <v>0</v>
      </c>
    </row>
    <row r="20" spans="1:22" ht="23.5" customHeight="1" x14ac:dyDescent="0.4">
      <c r="A20" s="1">
        <v>18</v>
      </c>
      <c r="B20" s="3">
        <v>39521</v>
      </c>
      <c r="C20" s="4" t="s">
        <v>63</v>
      </c>
      <c r="D20" s="1">
        <v>15.2</v>
      </c>
      <c r="E20" s="5">
        <v>32000</v>
      </c>
      <c r="F20" s="2">
        <f t="shared" si="0"/>
        <v>486400</v>
      </c>
      <c r="G20" s="15">
        <f>47.84%*(32/100)</f>
        <v>0.15308800000000003</v>
      </c>
      <c r="H20" s="4" t="s">
        <v>34</v>
      </c>
      <c r="I20" s="4" t="s">
        <v>497</v>
      </c>
      <c r="J20" s="1" t="s">
        <v>21</v>
      </c>
      <c r="K20" s="4" t="s">
        <v>22</v>
      </c>
      <c r="L20" s="4" t="s">
        <v>64</v>
      </c>
      <c r="M20" s="1">
        <v>15.2</v>
      </c>
      <c r="N20" s="5">
        <v>100000</v>
      </c>
      <c r="O20" s="4" t="s">
        <v>34</v>
      </c>
      <c r="P20" s="4" t="s">
        <v>497</v>
      </c>
      <c r="Q20" s="1" t="s">
        <v>21</v>
      </c>
      <c r="R20" s="4" t="s">
        <v>22</v>
      </c>
      <c r="S20" s="4" t="s">
        <v>65</v>
      </c>
      <c r="T20" s="1">
        <v>15.2</v>
      </c>
      <c r="U20" s="5">
        <v>200000</v>
      </c>
      <c r="V20" s="18">
        <v>0</v>
      </c>
    </row>
    <row r="21" spans="1:22" ht="23.5" customHeight="1" x14ac:dyDescent="0.4">
      <c r="A21" s="1">
        <v>19</v>
      </c>
      <c r="B21" s="3">
        <v>39521</v>
      </c>
      <c r="C21" s="4" t="s">
        <v>66</v>
      </c>
      <c r="D21" s="1">
        <v>15.4</v>
      </c>
      <c r="E21" s="5">
        <v>184000</v>
      </c>
      <c r="F21" s="2">
        <f t="shared" si="0"/>
        <v>2833600</v>
      </c>
      <c r="G21" s="15">
        <v>0.84009999999999996</v>
      </c>
      <c r="H21" s="4" t="s">
        <v>34</v>
      </c>
      <c r="I21" s="4" t="s">
        <v>497</v>
      </c>
      <c r="J21" s="1" t="s">
        <v>21</v>
      </c>
      <c r="K21" s="4" t="s">
        <v>22</v>
      </c>
      <c r="L21" s="4" t="s">
        <v>67</v>
      </c>
      <c r="M21" s="1">
        <v>15.4</v>
      </c>
      <c r="N21" s="5">
        <v>499000</v>
      </c>
      <c r="O21" s="4" t="s">
        <v>34</v>
      </c>
      <c r="P21" s="4" t="s">
        <v>497</v>
      </c>
      <c r="Q21" s="1" t="s">
        <v>21</v>
      </c>
      <c r="R21" s="4" t="s">
        <v>22</v>
      </c>
      <c r="S21" s="4" t="s">
        <v>68</v>
      </c>
      <c r="T21" s="1">
        <v>15.4</v>
      </c>
      <c r="U21" s="5">
        <v>200000</v>
      </c>
      <c r="V21" s="18">
        <v>0</v>
      </c>
    </row>
    <row r="22" spans="1:22" ht="23.5" customHeight="1" x14ac:dyDescent="0.4">
      <c r="A22" s="1">
        <v>20</v>
      </c>
      <c r="B22" s="3">
        <v>39521</v>
      </c>
      <c r="C22" s="4" t="s">
        <v>69</v>
      </c>
      <c r="D22" s="1">
        <v>15.6</v>
      </c>
      <c r="E22" s="5">
        <v>283000</v>
      </c>
      <c r="F22" s="2">
        <f t="shared" si="0"/>
        <v>4414800</v>
      </c>
      <c r="G22" s="15">
        <f>85.47%*(283/300)</f>
        <v>0.80626700000000007</v>
      </c>
      <c r="H22" s="4" t="s">
        <v>34</v>
      </c>
      <c r="I22" s="4" t="s">
        <v>497</v>
      </c>
      <c r="J22" s="1" t="s">
        <v>21</v>
      </c>
      <c r="K22" s="4" t="s">
        <v>22</v>
      </c>
      <c r="L22" s="4" t="s">
        <v>70</v>
      </c>
      <c r="M22" s="1">
        <v>15.6</v>
      </c>
      <c r="N22" s="5">
        <v>300000</v>
      </c>
      <c r="O22" s="4" t="s">
        <v>34</v>
      </c>
      <c r="P22" s="4" t="s">
        <v>497</v>
      </c>
      <c r="Q22" s="1" t="s">
        <v>21</v>
      </c>
      <c r="R22" s="4" t="s">
        <v>22</v>
      </c>
      <c r="S22" s="4" t="s">
        <v>71</v>
      </c>
      <c r="T22" s="1">
        <v>15.6</v>
      </c>
      <c r="U22" s="5">
        <v>300000</v>
      </c>
      <c r="V22" s="18">
        <v>0</v>
      </c>
    </row>
    <row r="23" spans="1:22" ht="23.5" customHeight="1" x14ac:dyDescent="0.4">
      <c r="A23" s="1">
        <v>21</v>
      </c>
      <c r="B23" s="3">
        <v>39521</v>
      </c>
      <c r="C23" s="4" t="s">
        <v>72</v>
      </c>
      <c r="D23" s="1">
        <v>15.7</v>
      </c>
      <c r="E23" s="5">
        <v>55000</v>
      </c>
      <c r="F23" s="2">
        <f t="shared" si="0"/>
        <v>863500</v>
      </c>
      <c r="G23" s="15">
        <f>71.42%*(55/300)</f>
        <v>0.13093666666666667</v>
      </c>
      <c r="H23" s="4" t="s">
        <v>34</v>
      </c>
      <c r="I23" s="4" t="s">
        <v>497</v>
      </c>
      <c r="J23" s="1" t="s">
        <v>21</v>
      </c>
      <c r="K23" s="4" t="s">
        <v>22</v>
      </c>
      <c r="L23" s="4" t="s">
        <v>73</v>
      </c>
      <c r="M23" s="14">
        <v>15.7</v>
      </c>
      <c r="N23" s="5">
        <v>300000</v>
      </c>
      <c r="O23" s="4" t="s">
        <v>36</v>
      </c>
      <c r="P23" s="4" t="s">
        <v>497</v>
      </c>
      <c r="Q23" s="1" t="s">
        <v>21</v>
      </c>
      <c r="R23" s="4" t="s">
        <v>22</v>
      </c>
      <c r="S23" s="4" t="s">
        <v>74</v>
      </c>
      <c r="T23" s="1">
        <v>15.7</v>
      </c>
      <c r="U23" s="5">
        <v>55000</v>
      </c>
      <c r="V23" s="18">
        <v>0</v>
      </c>
    </row>
    <row r="24" spans="1:22" ht="23.5" customHeight="1" x14ac:dyDescent="0.4">
      <c r="A24" s="1">
        <v>22</v>
      </c>
      <c r="B24" s="3">
        <v>39521</v>
      </c>
      <c r="C24" s="4" t="s">
        <v>75</v>
      </c>
      <c r="D24" s="1">
        <v>15.7</v>
      </c>
      <c r="E24" s="5">
        <v>200000</v>
      </c>
      <c r="F24" s="2">
        <f t="shared" si="0"/>
        <v>3140000</v>
      </c>
      <c r="G24" s="15">
        <f>63.49%*(200/400)</f>
        <v>0.31745000000000001</v>
      </c>
      <c r="H24" s="4" t="s">
        <v>34</v>
      </c>
      <c r="I24" s="4" t="s">
        <v>497</v>
      </c>
      <c r="J24" s="1" t="s">
        <v>21</v>
      </c>
      <c r="K24" s="4" t="s">
        <v>22</v>
      </c>
      <c r="L24" s="4" t="s">
        <v>76</v>
      </c>
      <c r="M24" s="14">
        <v>15.7</v>
      </c>
      <c r="N24" s="5">
        <v>400000</v>
      </c>
      <c r="O24" s="4" t="s">
        <v>77</v>
      </c>
      <c r="P24" s="4" t="s">
        <v>497</v>
      </c>
      <c r="Q24" s="1" t="s">
        <v>21</v>
      </c>
      <c r="R24" s="4" t="s">
        <v>22</v>
      </c>
      <c r="S24" s="4" t="s">
        <v>78</v>
      </c>
      <c r="T24" s="1">
        <v>15.7</v>
      </c>
      <c r="U24" s="5">
        <v>200000</v>
      </c>
      <c r="V24" s="18">
        <v>0</v>
      </c>
    </row>
    <row r="25" spans="1:22" ht="23.5" customHeight="1" x14ac:dyDescent="0.4">
      <c r="A25" s="1">
        <v>23</v>
      </c>
      <c r="B25" s="3">
        <v>39521</v>
      </c>
      <c r="C25" s="4" t="s">
        <v>75</v>
      </c>
      <c r="D25" s="1">
        <v>15.7</v>
      </c>
      <c r="E25" s="5">
        <v>106000</v>
      </c>
      <c r="F25" s="2">
        <f t="shared" si="0"/>
        <v>1664200</v>
      </c>
      <c r="G25" s="15">
        <f>63.49%*(106/400)</f>
        <v>0.16824850000000002</v>
      </c>
      <c r="H25" s="4" t="s">
        <v>34</v>
      </c>
      <c r="I25" s="4" t="s">
        <v>497</v>
      </c>
      <c r="J25" s="1" t="s">
        <v>21</v>
      </c>
      <c r="K25" s="4" t="s">
        <v>22</v>
      </c>
      <c r="L25" s="4" t="s">
        <v>76</v>
      </c>
      <c r="M25" s="14">
        <v>15.7</v>
      </c>
      <c r="N25" s="5">
        <v>400000</v>
      </c>
      <c r="O25" s="4" t="s">
        <v>34</v>
      </c>
      <c r="P25" s="4" t="s">
        <v>497</v>
      </c>
      <c r="Q25" s="1" t="s">
        <v>21</v>
      </c>
      <c r="R25" s="4" t="s">
        <v>22</v>
      </c>
      <c r="S25" s="4" t="s">
        <v>79</v>
      </c>
      <c r="T25" s="1">
        <v>15.7</v>
      </c>
      <c r="U25" s="5">
        <v>400000</v>
      </c>
      <c r="V25" s="18">
        <v>0</v>
      </c>
    </row>
    <row r="26" spans="1:22" ht="23.5" customHeight="1" x14ac:dyDescent="0.4">
      <c r="A26" s="1">
        <v>24</v>
      </c>
      <c r="B26" s="3">
        <v>39521</v>
      </c>
      <c r="C26" s="4" t="s">
        <v>80</v>
      </c>
      <c r="D26" s="1">
        <v>15.35</v>
      </c>
      <c r="E26" s="5">
        <v>41000</v>
      </c>
      <c r="F26" s="2">
        <f t="shared" si="0"/>
        <v>629350</v>
      </c>
      <c r="G26" s="15">
        <f>100%*(41/50)</f>
        <v>0.82</v>
      </c>
      <c r="H26" s="4" t="s">
        <v>34</v>
      </c>
      <c r="I26" s="4" t="s">
        <v>497</v>
      </c>
      <c r="J26" s="1" t="s">
        <v>21</v>
      </c>
      <c r="K26" s="4" t="s">
        <v>22</v>
      </c>
      <c r="L26" s="4" t="s">
        <v>81</v>
      </c>
      <c r="M26" s="1">
        <v>15.35</v>
      </c>
      <c r="N26" s="5">
        <v>50000</v>
      </c>
      <c r="O26" s="4" t="s">
        <v>34</v>
      </c>
      <c r="P26" s="4" t="s">
        <v>497</v>
      </c>
      <c r="Q26" s="1" t="s">
        <v>21</v>
      </c>
      <c r="R26" s="4" t="s">
        <v>22</v>
      </c>
      <c r="S26" s="4" t="s">
        <v>82</v>
      </c>
      <c r="T26" s="1">
        <v>15.35</v>
      </c>
      <c r="U26" s="5">
        <v>200000</v>
      </c>
      <c r="V26" s="18">
        <v>15.4</v>
      </c>
    </row>
    <row r="27" spans="1:22" ht="23.5" customHeight="1" x14ac:dyDescent="0.4">
      <c r="A27" s="1">
        <v>25</v>
      </c>
      <c r="B27" s="3">
        <v>39521</v>
      </c>
      <c r="C27" s="4" t="s">
        <v>83</v>
      </c>
      <c r="D27" s="1">
        <v>15.35</v>
      </c>
      <c r="E27" s="5">
        <v>24000</v>
      </c>
      <c r="F27" s="2">
        <f t="shared" si="0"/>
        <v>368400</v>
      </c>
      <c r="G27" s="15">
        <f>100%*(24/50)</f>
        <v>0.48</v>
      </c>
      <c r="H27" s="4" t="s">
        <v>34</v>
      </c>
      <c r="I27" s="4" t="s">
        <v>497</v>
      </c>
      <c r="J27" s="1" t="s">
        <v>21</v>
      </c>
      <c r="K27" s="4" t="s">
        <v>22</v>
      </c>
      <c r="L27" s="4" t="s">
        <v>84</v>
      </c>
      <c r="M27" s="1">
        <v>15.35</v>
      </c>
      <c r="N27" s="5">
        <v>50000</v>
      </c>
      <c r="O27" s="4" t="s">
        <v>34</v>
      </c>
      <c r="P27" s="4" t="s">
        <v>497</v>
      </c>
      <c r="Q27" s="1" t="s">
        <v>21</v>
      </c>
      <c r="R27" s="4" t="s">
        <v>22</v>
      </c>
      <c r="S27" s="4" t="s">
        <v>82</v>
      </c>
      <c r="T27" s="1">
        <v>15.35</v>
      </c>
      <c r="U27" s="5">
        <v>200000</v>
      </c>
      <c r="V27" s="18">
        <v>15.4</v>
      </c>
    </row>
    <row r="28" spans="1:22" ht="23.5" customHeight="1" x14ac:dyDescent="0.4">
      <c r="A28" s="1">
        <v>26</v>
      </c>
      <c r="B28" s="3">
        <v>39521</v>
      </c>
      <c r="C28" s="4" t="s">
        <v>85</v>
      </c>
      <c r="D28" s="1">
        <v>15.35</v>
      </c>
      <c r="E28" s="5">
        <v>50000</v>
      </c>
      <c r="F28" s="2">
        <f t="shared" si="0"/>
        <v>767500</v>
      </c>
      <c r="G28" s="15">
        <v>0.78120000000000001</v>
      </c>
      <c r="H28" s="4" t="s">
        <v>34</v>
      </c>
      <c r="I28" s="4" t="s">
        <v>497</v>
      </c>
      <c r="J28" s="1" t="s">
        <v>21</v>
      </c>
      <c r="K28" s="4" t="s">
        <v>22</v>
      </c>
      <c r="L28" s="4" t="s">
        <v>86</v>
      </c>
      <c r="M28" s="1">
        <v>15.35</v>
      </c>
      <c r="N28" s="5">
        <v>50000</v>
      </c>
      <c r="O28" s="4" t="s">
        <v>34</v>
      </c>
      <c r="P28" s="4" t="s">
        <v>497</v>
      </c>
      <c r="Q28" s="1" t="s">
        <v>21</v>
      </c>
      <c r="R28" s="4" t="s">
        <v>22</v>
      </c>
      <c r="S28" s="4" t="s">
        <v>82</v>
      </c>
      <c r="T28" s="1">
        <v>15.35</v>
      </c>
      <c r="U28" s="5">
        <v>200000</v>
      </c>
      <c r="V28" s="18">
        <v>15.4</v>
      </c>
    </row>
    <row r="29" spans="1:22" ht="23.5" customHeight="1" x14ac:dyDescent="0.4">
      <c r="A29" s="1">
        <v>27</v>
      </c>
      <c r="B29" s="3">
        <v>39521</v>
      </c>
      <c r="C29" s="4" t="s">
        <v>87</v>
      </c>
      <c r="D29" s="1">
        <v>15.3</v>
      </c>
      <c r="E29" s="5">
        <v>5000</v>
      </c>
      <c r="F29" s="2">
        <f t="shared" si="0"/>
        <v>76500</v>
      </c>
      <c r="G29" s="15">
        <v>0.1</v>
      </c>
      <c r="H29" s="4" t="s">
        <v>34</v>
      </c>
      <c r="I29" s="4" t="s">
        <v>497</v>
      </c>
      <c r="J29" s="1" t="s">
        <v>21</v>
      </c>
      <c r="K29" s="4" t="s">
        <v>22</v>
      </c>
      <c r="L29" s="4" t="s">
        <v>88</v>
      </c>
      <c r="M29" s="1">
        <v>15.3</v>
      </c>
      <c r="N29" s="5">
        <v>50000</v>
      </c>
      <c r="O29" s="4" t="s">
        <v>34</v>
      </c>
      <c r="P29" s="4" t="s">
        <v>497</v>
      </c>
      <c r="Q29" s="1" t="s">
        <v>21</v>
      </c>
      <c r="R29" s="4" t="s">
        <v>22</v>
      </c>
      <c r="S29" s="4" t="s">
        <v>89</v>
      </c>
      <c r="T29" s="14">
        <v>13.7</v>
      </c>
      <c r="U29" s="5">
        <v>20000</v>
      </c>
      <c r="V29" s="18">
        <v>15.4</v>
      </c>
    </row>
    <row r="30" spans="1:22" ht="23.5" customHeight="1" x14ac:dyDescent="0.4">
      <c r="A30" s="1">
        <v>28</v>
      </c>
      <c r="B30" s="3">
        <v>39540</v>
      </c>
      <c r="C30" s="4" t="s">
        <v>90</v>
      </c>
      <c r="D30" s="1">
        <v>13.2</v>
      </c>
      <c r="E30" s="5">
        <v>20000</v>
      </c>
      <c r="F30" s="2">
        <f t="shared" si="0"/>
        <v>264000</v>
      </c>
      <c r="G30" s="15">
        <v>1</v>
      </c>
      <c r="H30" s="4" t="s">
        <v>34</v>
      </c>
      <c r="I30" s="4" t="s">
        <v>497</v>
      </c>
      <c r="J30" s="1" t="s">
        <v>21</v>
      </c>
      <c r="K30" s="4" t="s">
        <v>22</v>
      </c>
      <c r="L30" s="4" t="s">
        <v>91</v>
      </c>
      <c r="M30" s="1">
        <v>13.2</v>
      </c>
      <c r="N30" s="5">
        <v>20000</v>
      </c>
      <c r="O30" s="4" t="s">
        <v>34</v>
      </c>
      <c r="P30" s="4" t="s">
        <v>497</v>
      </c>
      <c r="Q30" s="1" t="s">
        <v>21</v>
      </c>
      <c r="R30" s="4" t="s">
        <v>22</v>
      </c>
      <c r="S30" s="4" t="s">
        <v>92</v>
      </c>
      <c r="T30" s="1">
        <v>13.2</v>
      </c>
      <c r="U30" s="5">
        <v>60000</v>
      </c>
      <c r="V30" s="18">
        <v>0</v>
      </c>
    </row>
    <row r="31" spans="1:22" ht="23.5" customHeight="1" x14ac:dyDescent="0.4">
      <c r="A31" s="1">
        <v>29</v>
      </c>
      <c r="B31" s="3">
        <v>39549</v>
      </c>
      <c r="C31" s="4" t="s">
        <v>93</v>
      </c>
      <c r="D31" s="1">
        <v>12.6</v>
      </c>
      <c r="E31" s="5">
        <v>26000</v>
      </c>
      <c r="F31" s="2">
        <f t="shared" si="0"/>
        <v>327600</v>
      </c>
      <c r="G31" s="15">
        <f>23.29%*(26/41)</f>
        <v>0.14769268292682927</v>
      </c>
      <c r="H31" s="4" t="s">
        <v>34</v>
      </c>
      <c r="I31" s="4" t="s">
        <v>497</v>
      </c>
      <c r="J31" s="1" t="s">
        <v>21</v>
      </c>
      <c r="K31" s="4" t="s">
        <v>22</v>
      </c>
      <c r="L31" s="4" t="s">
        <v>94</v>
      </c>
      <c r="M31" s="1">
        <v>12.6</v>
      </c>
      <c r="N31" s="5">
        <v>400000</v>
      </c>
      <c r="O31" s="4" t="s">
        <v>34</v>
      </c>
      <c r="P31" s="4" t="s">
        <v>497</v>
      </c>
      <c r="Q31" s="1" t="s">
        <v>21</v>
      </c>
      <c r="R31" s="4" t="s">
        <v>22</v>
      </c>
      <c r="S31" s="4" t="s">
        <v>95</v>
      </c>
      <c r="T31" s="1">
        <v>12.6</v>
      </c>
      <c r="U31" s="5">
        <v>300000</v>
      </c>
      <c r="V31" s="18">
        <v>0</v>
      </c>
    </row>
    <row r="32" spans="1:22" ht="23.5" customHeight="1" x14ac:dyDescent="0.4">
      <c r="A32" s="1">
        <v>30</v>
      </c>
      <c r="B32" s="3">
        <v>39549</v>
      </c>
      <c r="C32" s="4" t="s">
        <v>96</v>
      </c>
      <c r="D32" s="1">
        <v>12.8</v>
      </c>
      <c r="E32" s="5">
        <v>31000</v>
      </c>
      <c r="F32" s="2">
        <f t="shared" si="0"/>
        <v>396800</v>
      </c>
      <c r="G32" s="15">
        <f>31.79%*(31/55)</f>
        <v>0.17918000000000001</v>
      </c>
      <c r="H32" s="4" t="s">
        <v>34</v>
      </c>
      <c r="I32" s="4" t="s">
        <v>497</v>
      </c>
      <c r="J32" s="1" t="s">
        <v>21</v>
      </c>
      <c r="K32" s="4" t="s">
        <v>22</v>
      </c>
      <c r="L32" s="4" t="s">
        <v>97</v>
      </c>
      <c r="M32" s="1">
        <v>12.8</v>
      </c>
      <c r="N32" s="5">
        <v>400000</v>
      </c>
      <c r="O32" s="4" t="s">
        <v>34</v>
      </c>
      <c r="P32" s="4" t="s">
        <v>497</v>
      </c>
      <c r="Q32" s="1" t="s">
        <v>21</v>
      </c>
      <c r="R32" s="4" t="s">
        <v>22</v>
      </c>
      <c r="S32" s="4" t="s">
        <v>98</v>
      </c>
      <c r="T32" s="1">
        <v>12.8</v>
      </c>
      <c r="U32" s="5">
        <v>200000</v>
      </c>
      <c r="V32" s="18">
        <v>0</v>
      </c>
    </row>
    <row r="33" spans="1:22" ht="23.5" customHeight="1" x14ac:dyDescent="0.4">
      <c r="A33" s="1">
        <v>31</v>
      </c>
      <c r="B33" s="3">
        <v>39549</v>
      </c>
      <c r="C33" s="4" t="s">
        <v>99</v>
      </c>
      <c r="D33" s="1">
        <v>13</v>
      </c>
      <c r="E33" s="5">
        <v>100000</v>
      </c>
      <c r="F33" s="2">
        <f t="shared" si="0"/>
        <v>1300000</v>
      </c>
      <c r="G33" s="15">
        <v>0.90090000000000003</v>
      </c>
      <c r="H33" s="4" t="s">
        <v>34</v>
      </c>
      <c r="I33" s="4" t="s">
        <v>497</v>
      </c>
      <c r="J33" s="1" t="s">
        <v>21</v>
      </c>
      <c r="K33" s="4" t="s">
        <v>22</v>
      </c>
      <c r="L33" s="4" t="s">
        <v>100</v>
      </c>
      <c r="M33" s="1">
        <v>13</v>
      </c>
      <c r="N33" s="5">
        <v>100000</v>
      </c>
      <c r="O33" s="4" t="s">
        <v>34</v>
      </c>
      <c r="P33" s="4" t="s">
        <v>497</v>
      </c>
      <c r="Q33" s="1" t="s">
        <v>21</v>
      </c>
      <c r="R33" s="4" t="s">
        <v>22</v>
      </c>
      <c r="S33" s="4" t="s">
        <v>101</v>
      </c>
      <c r="T33" s="1">
        <v>13</v>
      </c>
      <c r="U33" s="5">
        <v>200000</v>
      </c>
      <c r="V33" s="18">
        <v>0</v>
      </c>
    </row>
    <row r="34" spans="1:22" ht="23.5" customHeight="1" x14ac:dyDescent="0.4">
      <c r="A34" s="1">
        <v>32</v>
      </c>
      <c r="B34" s="3">
        <v>39549</v>
      </c>
      <c r="C34" s="4" t="s">
        <v>102</v>
      </c>
      <c r="D34" s="1">
        <v>13.1</v>
      </c>
      <c r="E34" s="5">
        <v>169000</v>
      </c>
      <c r="F34" s="2">
        <f t="shared" si="0"/>
        <v>2213900</v>
      </c>
      <c r="G34" s="15">
        <f>85.59%*(169/202)</f>
        <v>0.71607475247524754</v>
      </c>
      <c r="H34" s="4" t="s">
        <v>34</v>
      </c>
      <c r="I34" s="4" t="s">
        <v>497</v>
      </c>
      <c r="J34" s="1" t="s">
        <v>21</v>
      </c>
      <c r="K34" s="4" t="s">
        <v>22</v>
      </c>
      <c r="L34" s="4" t="s">
        <v>103</v>
      </c>
      <c r="M34" s="1">
        <v>13.1</v>
      </c>
      <c r="N34" s="5">
        <v>499000</v>
      </c>
      <c r="O34" s="4" t="s">
        <v>34</v>
      </c>
      <c r="P34" s="4" t="s">
        <v>497</v>
      </c>
      <c r="Q34" s="1" t="s">
        <v>21</v>
      </c>
      <c r="R34" s="4" t="s">
        <v>22</v>
      </c>
      <c r="S34" s="4" t="s">
        <v>104</v>
      </c>
      <c r="T34" s="1">
        <v>13.1</v>
      </c>
      <c r="U34" s="5">
        <v>200000</v>
      </c>
      <c r="V34" s="18">
        <v>0</v>
      </c>
    </row>
    <row r="35" spans="1:22" ht="23.5" customHeight="1" x14ac:dyDescent="0.4">
      <c r="A35" s="1">
        <v>33</v>
      </c>
      <c r="B35" s="3">
        <v>39549</v>
      </c>
      <c r="C35" s="4" t="s">
        <v>105</v>
      </c>
      <c r="D35" s="1">
        <v>13.2</v>
      </c>
      <c r="E35" s="5">
        <v>200000</v>
      </c>
      <c r="F35" s="2">
        <f t="shared" si="0"/>
        <v>2640000</v>
      </c>
      <c r="G35" s="15">
        <f>80.86%*(200/300)</f>
        <v>0.53906666666666658</v>
      </c>
      <c r="H35" s="4" t="s">
        <v>34</v>
      </c>
      <c r="I35" s="4" t="s">
        <v>497</v>
      </c>
      <c r="J35" s="1" t="s">
        <v>21</v>
      </c>
      <c r="K35" s="4" t="s">
        <v>22</v>
      </c>
      <c r="L35" s="4" t="s">
        <v>106</v>
      </c>
      <c r="M35" s="14">
        <v>13.2</v>
      </c>
      <c r="N35" s="5">
        <v>300000</v>
      </c>
      <c r="O35" s="4" t="s">
        <v>34</v>
      </c>
      <c r="P35" s="4" t="s">
        <v>497</v>
      </c>
      <c r="Q35" s="1" t="s">
        <v>21</v>
      </c>
      <c r="R35" s="4" t="s">
        <v>22</v>
      </c>
      <c r="S35" s="4" t="s">
        <v>107</v>
      </c>
      <c r="T35" s="1">
        <v>13.2</v>
      </c>
      <c r="U35" s="5">
        <v>200000</v>
      </c>
      <c r="V35" s="18">
        <v>0</v>
      </c>
    </row>
    <row r="36" spans="1:22" ht="23.5" customHeight="1" x14ac:dyDescent="0.4">
      <c r="A36" s="1">
        <v>34</v>
      </c>
      <c r="B36" s="3">
        <v>39549</v>
      </c>
      <c r="C36" s="4" t="s">
        <v>105</v>
      </c>
      <c r="D36" s="1">
        <v>13.2</v>
      </c>
      <c r="E36" s="5">
        <v>75000</v>
      </c>
      <c r="F36" s="2">
        <f t="shared" si="0"/>
        <v>990000</v>
      </c>
      <c r="G36" s="15">
        <f>80.86%*(75/300)</f>
        <v>0.20215</v>
      </c>
      <c r="H36" s="4" t="s">
        <v>34</v>
      </c>
      <c r="I36" s="4" t="s">
        <v>497</v>
      </c>
      <c r="J36" s="1" t="s">
        <v>21</v>
      </c>
      <c r="K36" s="4" t="s">
        <v>22</v>
      </c>
      <c r="L36" s="4" t="s">
        <v>106</v>
      </c>
      <c r="M36" s="14">
        <v>13.2</v>
      </c>
      <c r="N36" s="5">
        <v>300000</v>
      </c>
      <c r="O36" s="4" t="s">
        <v>34</v>
      </c>
      <c r="P36" s="4" t="s">
        <v>497</v>
      </c>
      <c r="Q36" s="1" t="s">
        <v>21</v>
      </c>
      <c r="R36" s="4" t="s">
        <v>22</v>
      </c>
      <c r="S36" s="4" t="s">
        <v>108</v>
      </c>
      <c r="T36" s="1">
        <v>13.2</v>
      </c>
      <c r="U36" s="5">
        <v>400000</v>
      </c>
      <c r="V36" s="18">
        <v>0</v>
      </c>
    </row>
    <row r="37" spans="1:22" ht="23.5" customHeight="1" x14ac:dyDescent="0.4">
      <c r="A37" s="1">
        <v>35</v>
      </c>
      <c r="B37" s="3">
        <v>39574</v>
      </c>
      <c r="C37" s="4" t="s">
        <v>109</v>
      </c>
      <c r="D37" s="1">
        <v>12.6</v>
      </c>
      <c r="E37" s="5">
        <v>45000</v>
      </c>
      <c r="F37" s="2">
        <f t="shared" si="0"/>
        <v>567000</v>
      </c>
      <c r="G37" s="15">
        <f>100%*(45/50)</f>
        <v>0.9</v>
      </c>
      <c r="H37" s="4" t="s">
        <v>34</v>
      </c>
      <c r="I37" s="4" t="s">
        <v>497</v>
      </c>
      <c r="J37" s="1" t="s">
        <v>21</v>
      </c>
      <c r="K37" s="4" t="s">
        <v>22</v>
      </c>
      <c r="L37" s="4" t="s">
        <v>110</v>
      </c>
      <c r="M37" s="1">
        <v>12.6</v>
      </c>
      <c r="N37" s="5">
        <v>50000</v>
      </c>
      <c r="O37" s="4" t="s">
        <v>34</v>
      </c>
      <c r="P37" s="4" t="s">
        <v>497</v>
      </c>
      <c r="Q37" s="1" t="s">
        <v>21</v>
      </c>
      <c r="R37" s="4" t="s">
        <v>22</v>
      </c>
      <c r="S37" s="4" t="s">
        <v>111</v>
      </c>
      <c r="T37" s="1">
        <v>12.6</v>
      </c>
      <c r="U37" s="5">
        <v>100000</v>
      </c>
      <c r="V37" s="18">
        <v>0</v>
      </c>
    </row>
    <row r="38" spans="1:22" ht="23.5" customHeight="1" x14ac:dyDescent="0.4">
      <c r="A38" s="1">
        <v>36</v>
      </c>
      <c r="B38" s="3">
        <v>39574</v>
      </c>
      <c r="C38" s="4" t="s">
        <v>45</v>
      </c>
      <c r="D38" s="1">
        <v>12.6</v>
      </c>
      <c r="E38" s="5">
        <v>54000</v>
      </c>
      <c r="F38" s="2">
        <f t="shared" si="0"/>
        <v>680400</v>
      </c>
      <c r="G38" s="15">
        <f>98.73%*(54/78)</f>
        <v>0.68351538461538464</v>
      </c>
      <c r="H38" s="4" t="s">
        <v>34</v>
      </c>
      <c r="I38" s="4" t="s">
        <v>497</v>
      </c>
      <c r="J38" s="1" t="s">
        <v>21</v>
      </c>
      <c r="K38" s="4" t="s">
        <v>22</v>
      </c>
      <c r="L38" s="4" t="s">
        <v>112</v>
      </c>
      <c r="M38" s="1">
        <v>12.6</v>
      </c>
      <c r="N38" s="5">
        <v>400000</v>
      </c>
      <c r="O38" s="4" t="s">
        <v>34</v>
      </c>
      <c r="P38" s="4" t="s">
        <v>497</v>
      </c>
      <c r="Q38" s="1" t="s">
        <v>21</v>
      </c>
      <c r="R38" s="4" t="s">
        <v>22</v>
      </c>
      <c r="S38" s="4" t="s">
        <v>111</v>
      </c>
      <c r="T38" s="1">
        <v>12.6</v>
      </c>
      <c r="U38" s="5">
        <v>100000</v>
      </c>
      <c r="V38" s="18">
        <v>0</v>
      </c>
    </row>
    <row r="39" spans="1:22" ht="23.5" customHeight="1" x14ac:dyDescent="0.4">
      <c r="A39" s="1">
        <v>37</v>
      </c>
      <c r="B39" s="3">
        <v>39574</v>
      </c>
      <c r="C39" s="4" t="s">
        <v>113</v>
      </c>
      <c r="D39" s="1">
        <v>12.7</v>
      </c>
      <c r="E39" s="5">
        <v>94000</v>
      </c>
      <c r="F39" s="2">
        <f t="shared" si="0"/>
        <v>1193800</v>
      </c>
      <c r="G39" s="15">
        <f>76.92%*(94/100)</f>
        <v>0.72304799999999991</v>
      </c>
      <c r="H39" s="4" t="s">
        <v>34</v>
      </c>
      <c r="I39" s="4" t="s">
        <v>497</v>
      </c>
      <c r="J39" s="1" t="s">
        <v>21</v>
      </c>
      <c r="K39" s="4" t="s">
        <v>22</v>
      </c>
      <c r="L39" s="4" t="s">
        <v>114</v>
      </c>
      <c r="M39" s="1">
        <v>12.7</v>
      </c>
      <c r="N39" s="5">
        <v>100000</v>
      </c>
      <c r="O39" s="4" t="s">
        <v>34</v>
      </c>
      <c r="P39" s="4" t="s">
        <v>497</v>
      </c>
      <c r="Q39" s="1" t="s">
        <v>21</v>
      </c>
      <c r="R39" s="4" t="s">
        <v>22</v>
      </c>
      <c r="S39" s="4" t="s">
        <v>115</v>
      </c>
      <c r="T39" s="1">
        <v>12.7</v>
      </c>
      <c r="U39" s="5">
        <v>300000</v>
      </c>
      <c r="V39" s="18">
        <v>0</v>
      </c>
    </row>
    <row r="40" spans="1:22" ht="23.5" customHeight="1" x14ac:dyDescent="0.4">
      <c r="A40" s="1">
        <v>38</v>
      </c>
      <c r="B40" s="3">
        <v>39574</v>
      </c>
      <c r="C40" s="4" t="s">
        <v>116</v>
      </c>
      <c r="D40" s="1">
        <v>12.7</v>
      </c>
      <c r="E40" s="5">
        <v>100000</v>
      </c>
      <c r="F40" s="2">
        <f t="shared" si="0"/>
        <v>1270000</v>
      </c>
      <c r="G40" s="15">
        <v>0.74619999999999997</v>
      </c>
      <c r="H40" s="4" t="s">
        <v>34</v>
      </c>
      <c r="I40" s="4" t="s">
        <v>497</v>
      </c>
      <c r="J40" s="1" t="s">
        <v>21</v>
      </c>
      <c r="K40" s="4" t="s">
        <v>22</v>
      </c>
      <c r="L40" s="4" t="s">
        <v>117</v>
      </c>
      <c r="M40" s="1">
        <v>12.7</v>
      </c>
      <c r="N40" s="5">
        <v>100000</v>
      </c>
      <c r="O40" s="4" t="s">
        <v>34</v>
      </c>
      <c r="P40" s="4" t="s">
        <v>497</v>
      </c>
      <c r="Q40" s="1" t="s">
        <v>21</v>
      </c>
      <c r="R40" s="4" t="s">
        <v>22</v>
      </c>
      <c r="S40" s="4" t="s">
        <v>115</v>
      </c>
      <c r="T40" s="1">
        <v>12.7</v>
      </c>
      <c r="U40" s="5">
        <v>300000</v>
      </c>
      <c r="V40" s="18">
        <v>0</v>
      </c>
    </row>
    <row r="41" spans="1:22" ht="23.5" customHeight="1" x14ac:dyDescent="0.4">
      <c r="A41" s="1">
        <v>39</v>
      </c>
      <c r="B41" s="3">
        <v>39574</v>
      </c>
      <c r="C41" s="4" t="s">
        <v>118</v>
      </c>
      <c r="D41" s="1">
        <v>12.8</v>
      </c>
      <c r="E41" s="5">
        <v>40000</v>
      </c>
      <c r="F41" s="2">
        <f t="shared" si="0"/>
        <v>512000</v>
      </c>
      <c r="G41" s="15">
        <f>100%*(40/50)</f>
        <v>0.8</v>
      </c>
      <c r="H41" s="4" t="s">
        <v>34</v>
      </c>
      <c r="I41" s="4" t="s">
        <v>497</v>
      </c>
      <c r="J41" s="1" t="s">
        <v>21</v>
      </c>
      <c r="K41" s="4" t="s">
        <v>22</v>
      </c>
      <c r="L41" s="4" t="s">
        <v>119</v>
      </c>
      <c r="M41" s="1">
        <v>12.8</v>
      </c>
      <c r="N41" s="5">
        <v>50000</v>
      </c>
      <c r="O41" s="4" t="s">
        <v>34</v>
      </c>
      <c r="P41" s="4" t="s">
        <v>497</v>
      </c>
      <c r="Q41" s="1" t="s">
        <v>21</v>
      </c>
      <c r="R41" s="4" t="s">
        <v>22</v>
      </c>
      <c r="S41" s="4" t="s">
        <v>120</v>
      </c>
      <c r="T41" s="1">
        <v>12.8</v>
      </c>
      <c r="U41" s="5">
        <v>200000</v>
      </c>
      <c r="V41" s="18">
        <v>0</v>
      </c>
    </row>
    <row r="42" spans="1:22" ht="23.5" customHeight="1" x14ac:dyDescent="0.4">
      <c r="A42" s="1">
        <v>40</v>
      </c>
      <c r="B42" s="3">
        <v>39574</v>
      </c>
      <c r="C42" s="4" t="s">
        <v>121</v>
      </c>
      <c r="D42" s="1">
        <v>12.8</v>
      </c>
      <c r="E42" s="5">
        <v>20000</v>
      </c>
      <c r="F42" s="2">
        <f t="shared" si="0"/>
        <v>256000</v>
      </c>
      <c r="G42" s="15">
        <v>1</v>
      </c>
      <c r="H42" s="4" t="s">
        <v>34</v>
      </c>
      <c r="I42" s="4" t="s">
        <v>497</v>
      </c>
      <c r="J42" s="1" t="s">
        <v>21</v>
      </c>
      <c r="K42" s="4" t="s">
        <v>22</v>
      </c>
      <c r="L42" s="4" t="s">
        <v>122</v>
      </c>
      <c r="M42" s="1">
        <v>12.8</v>
      </c>
      <c r="N42" s="5">
        <v>20000</v>
      </c>
      <c r="O42" s="4" t="s">
        <v>34</v>
      </c>
      <c r="P42" s="4" t="s">
        <v>497</v>
      </c>
      <c r="Q42" s="1" t="s">
        <v>21</v>
      </c>
      <c r="R42" s="4" t="s">
        <v>22</v>
      </c>
      <c r="S42" s="4" t="s">
        <v>120</v>
      </c>
      <c r="T42" s="1">
        <v>12.8</v>
      </c>
      <c r="U42" s="5">
        <v>200000</v>
      </c>
      <c r="V42" s="18">
        <v>0</v>
      </c>
    </row>
    <row r="43" spans="1:22" ht="23.5" customHeight="1" x14ac:dyDescent="0.4">
      <c r="A43" s="1">
        <v>41</v>
      </c>
      <c r="B43" s="3">
        <v>39574</v>
      </c>
      <c r="C43" s="4" t="s">
        <v>123</v>
      </c>
      <c r="D43" s="1">
        <v>12.7</v>
      </c>
      <c r="E43" s="5">
        <v>10000</v>
      </c>
      <c r="F43" s="2">
        <f t="shared" si="0"/>
        <v>127000</v>
      </c>
      <c r="G43" s="15">
        <v>0.12820000000000001</v>
      </c>
      <c r="H43" s="4" t="s">
        <v>124</v>
      </c>
      <c r="I43" s="4" t="s">
        <v>497</v>
      </c>
      <c r="J43" s="1" t="s">
        <v>17</v>
      </c>
      <c r="K43" s="4" t="s">
        <v>125</v>
      </c>
      <c r="L43" s="4" t="s">
        <v>126</v>
      </c>
      <c r="M43" s="1">
        <v>12.7</v>
      </c>
      <c r="N43" s="5">
        <v>10000</v>
      </c>
      <c r="O43" s="4" t="s">
        <v>34</v>
      </c>
      <c r="P43" s="4" t="s">
        <v>497</v>
      </c>
      <c r="Q43" s="1" t="s">
        <v>21</v>
      </c>
      <c r="R43" s="4" t="s">
        <v>22</v>
      </c>
      <c r="S43" s="4" t="s">
        <v>127</v>
      </c>
      <c r="T43" s="1">
        <v>12.7</v>
      </c>
      <c r="U43" s="5">
        <v>80000</v>
      </c>
      <c r="V43" s="18">
        <v>12.75</v>
      </c>
    </row>
    <row r="44" spans="1:22" ht="23.5" customHeight="1" x14ac:dyDescent="0.4">
      <c r="A44" s="1">
        <v>42</v>
      </c>
      <c r="B44" s="3">
        <v>39575</v>
      </c>
      <c r="C44" s="4" t="s">
        <v>128</v>
      </c>
      <c r="D44" s="1">
        <v>12.9</v>
      </c>
      <c r="E44" s="5">
        <v>150000</v>
      </c>
      <c r="F44" s="2">
        <f t="shared" si="0"/>
        <v>1935000</v>
      </c>
      <c r="G44" s="15">
        <f>94.33%*(150/200)</f>
        <v>0.70747500000000008</v>
      </c>
      <c r="H44" s="4" t="s">
        <v>34</v>
      </c>
      <c r="I44" s="4" t="s">
        <v>497</v>
      </c>
      <c r="J44" s="1" t="s">
        <v>21</v>
      </c>
      <c r="K44" s="4" t="s">
        <v>22</v>
      </c>
      <c r="L44" s="4" t="s">
        <v>129</v>
      </c>
      <c r="M44" s="1">
        <v>12.9</v>
      </c>
      <c r="N44" s="5">
        <v>200000</v>
      </c>
      <c r="O44" s="4" t="s">
        <v>34</v>
      </c>
      <c r="P44" s="4" t="s">
        <v>497</v>
      </c>
      <c r="Q44" s="1" t="s">
        <v>21</v>
      </c>
      <c r="R44" s="4" t="s">
        <v>22</v>
      </c>
      <c r="S44" s="4" t="s">
        <v>130</v>
      </c>
      <c r="T44" s="1">
        <v>12.9</v>
      </c>
      <c r="U44" s="5">
        <v>300000</v>
      </c>
      <c r="V44" s="18">
        <v>0</v>
      </c>
    </row>
    <row r="45" spans="1:22" ht="23.5" customHeight="1" x14ac:dyDescent="0.4">
      <c r="A45" s="1">
        <v>43</v>
      </c>
      <c r="B45" s="3">
        <v>39577</v>
      </c>
      <c r="C45" s="4" t="s">
        <v>105</v>
      </c>
      <c r="D45" s="1">
        <v>12.8</v>
      </c>
      <c r="E45" s="5">
        <v>91000</v>
      </c>
      <c r="F45" s="2">
        <f t="shared" si="0"/>
        <v>1164800</v>
      </c>
      <c r="G45" s="15">
        <f>100%*(91/100)</f>
        <v>0.91</v>
      </c>
      <c r="H45" s="4" t="s">
        <v>34</v>
      </c>
      <c r="I45" s="4" t="s">
        <v>497</v>
      </c>
      <c r="J45" s="1" t="s">
        <v>21</v>
      </c>
      <c r="K45" s="4" t="s">
        <v>22</v>
      </c>
      <c r="L45" s="4" t="s">
        <v>131</v>
      </c>
      <c r="M45" s="1">
        <v>12.8</v>
      </c>
      <c r="N45" s="5">
        <v>100000</v>
      </c>
      <c r="O45" s="4" t="s">
        <v>34</v>
      </c>
      <c r="P45" s="4" t="s">
        <v>497</v>
      </c>
      <c r="Q45" s="1" t="s">
        <v>21</v>
      </c>
      <c r="R45" s="4" t="s">
        <v>22</v>
      </c>
      <c r="S45" s="4" t="s">
        <v>132</v>
      </c>
      <c r="T45" s="1">
        <v>12.8</v>
      </c>
      <c r="U45" s="5">
        <v>200000</v>
      </c>
      <c r="V45" s="18">
        <v>0</v>
      </c>
    </row>
    <row r="46" spans="1:22" ht="23.5" customHeight="1" x14ac:dyDescent="0.4">
      <c r="A46" s="1">
        <v>44</v>
      </c>
      <c r="B46" s="3">
        <v>39577</v>
      </c>
      <c r="C46" s="4" t="s">
        <v>133</v>
      </c>
      <c r="D46" s="1">
        <v>12.8</v>
      </c>
      <c r="E46" s="5">
        <v>50000</v>
      </c>
      <c r="F46" s="2">
        <f t="shared" si="0"/>
        <v>640000</v>
      </c>
      <c r="G46" s="15">
        <v>0.54759999999999998</v>
      </c>
      <c r="H46" s="4" t="s">
        <v>34</v>
      </c>
      <c r="I46" s="4" t="s">
        <v>497</v>
      </c>
      <c r="J46" s="1" t="s">
        <v>21</v>
      </c>
      <c r="K46" s="4" t="s">
        <v>22</v>
      </c>
      <c r="L46" s="4" t="s">
        <v>134</v>
      </c>
      <c r="M46" s="1">
        <v>12.8</v>
      </c>
      <c r="N46" s="5">
        <v>50000</v>
      </c>
      <c r="O46" s="4" t="s">
        <v>34</v>
      </c>
      <c r="P46" s="4" t="s">
        <v>497</v>
      </c>
      <c r="Q46" s="1" t="s">
        <v>21</v>
      </c>
      <c r="R46" s="4" t="s">
        <v>22</v>
      </c>
      <c r="S46" s="4" t="s">
        <v>132</v>
      </c>
      <c r="T46" s="1">
        <v>12.8</v>
      </c>
      <c r="U46" s="5">
        <v>200000</v>
      </c>
      <c r="V46" s="18">
        <v>0</v>
      </c>
    </row>
    <row r="47" spans="1:22" ht="23.5" customHeight="1" x14ac:dyDescent="0.4">
      <c r="A47" s="1">
        <v>45</v>
      </c>
      <c r="B47" s="3">
        <v>39577</v>
      </c>
      <c r="C47" s="4" t="s">
        <v>135</v>
      </c>
      <c r="D47" s="1">
        <v>12.9</v>
      </c>
      <c r="E47" s="5">
        <v>50000</v>
      </c>
      <c r="F47" s="2">
        <f t="shared" si="0"/>
        <v>645000</v>
      </c>
      <c r="G47" s="15">
        <v>0.43469999999999998</v>
      </c>
      <c r="H47" s="4" t="s">
        <v>34</v>
      </c>
      <c r="I47" s="4" t="s">
        <v>497</v>
      </c>
      <c r="J47" s="1" t="s">
        <v>21</v>
      </c>
      <c r="K47" s="4" t="s">
        <v>22</v>
      </c>
      <c r="L47" s="4" t="s">
        <v>136</v>
      </c>
      <c r="M47" s="1">
        <v>12.9</v>
      </c>
      <c r="N47" s="5">
        <v>50000</v>
      </c>
      <c r="O47" s="4" t="s">
        <v>34</v>
      </c>
      <c r="P47" s="4" t="s">
        <v>497</v>
      </c>
      <c r="Q47" s="1" t="s">
        <v>21</v>
      </c>
      <c r="R47" s="4" t="s">
        <v>22</v>
      </c>
      <c r="S47" s="4" t="s">
        <v>137</v>
      </c>
      <c r="T47" s="1">
        <v>12.9</v>
      </c>
      <c r="U47" s="5">
        <v>200000</v>
      </c>
      <c r="V47" s="18">
        <v>0</v>
      </c>
    </row>
    <row r="48" spans="1:22" ht="23.5" customHeight="1" x14ac:dyDescent="0.4">
      <c r="A48" s="1">
        <v>46</v>
      </c>
      <c r="B48" s="3">
        <v>39577</v>
      </c>
      <c r="C48" s="4" t="s">
        <v>138</v>
      </c>
      <c r="D48" s="1">
        <v>12.9</v>
      </c>
      <c r="E48" s="5">
        <v>36000</v>
      </c>
      <c r="F48" s="2">
        <f t="shared" si="0"/>
        <v>464400</v>
      </c>
      <c r="G48" s="15">
        <f>47.61%*(36/50)</f>
        <v>0.34279199999999999</v>
      </c>
      <c r="H48" s="4" t="s">
        <v>34</v>
      </c>
      <c r="I48" s="4" t="s">
        <v>497</v>
      </c>
      <c r="J48" s="1" t="s">
        <v>21</v>
      </c>
      <c r="K48" s="4" t="s">
        <v>22</v>
      </c>
      <c r="L48" s="4" t="s">
        <v>139</v>
      </c>
      <c r="M48" s="1">
        <v>12.9</v>
      </c>
      <c r="N48" s="5">
        <v>50000</v>
      </c>
      <c r="O48" s="4" t="s">
        <v>34</v>
      </c>
      <c r="P48" s="4" t="s">
        <v>497</v>
      </c>
      <c r="Q48" s="1" t="s">
        <v>21</v>
      </c>
      <c r="R48" s="4" t="s">
        <v>22</v>
      </c>
      <c r="S48" s="4" t="s">
        <v>137</v>
      </c>
      <c r="T48" s="1">
        <v>12.9</v>
      </c>
      <c r="U48" s="5">
        <v>200000</v>
      </c>
      <c r="V48" s="18">
        <v>0</v>
      </c>
    </row>
    <row r="49" spans="1:22" ht="23.5" customHeight="1" x14ac:dyDescent="0.4">
      <c r="A49" s="1">
        <v>47</v>
      </c>
      <c r="B49" s="3">
        <v>39580</v>
      </c>
      <c r="C49" s="4" t="s">
        <v>140</v>
      </c>
      <c r="D49" s="1">
        <v>12.9</v>
      </c>
      <c r="E49" s="5">
        <v>10000</v>
      </c>
      <c r="F49" s="2">
        <f t="shared" si="0"/>
        <v>129000</v>
      </c>
      <c r="G49" s="15">
        <f>96.15%*(10/50)</f>
        <v>0.19230000000000003</v>
      </c>
      <c r="H49" s="4" t="s">
        <v>34</v>
      </c>
      <c r="I49" s="4" t="s">
        <v>497</v>
      </c>
      <c r="J49" s="1" t="s">
        <v>21</v>
      </c>
      <c r="K49" s="4" t="s">
        <v>22</v>
      </c>
      <c r="L49" s="4" t="s">
        <v>141</v>
      </c>
      <c r="M49" s="1">
        <v>12.9</v>
      </c>
      <c r="N49" s="5">
        <v>50000</v>
      </c>
      <c r="O49" s="4" t="s">
        <v>34</v>
      </c>
      <c r="P49" s="4" t="s">
        <v>497</v>
      </c>
      <c r="Q49" s="1" t="s">
        <v>21</v>
      </c>
      <c r="R49" s="4" t="s">
        <v>22</v>
      </c>
      <c r="S49" s="4" t="s">
        <v>142</v>
      </c>
      <c r="T49" s="1">
        <v>12.9</v>
      </c>
      <c r="U49" s="5">
        <v>100000</v>
      </c>
      <c r="V49" s="18">
        <v>0</v>
      </c>
    </row>
    <row r="50" spans="1:22" ht="23.5" customHeight="1" x14ac:dyDescent="0.4">
      <c r="A50" s="1">
        <v>48</v>
      </c>
      <c r="B50" s="3">
        <v>39601</v>
      </c>
      <c r="C50" s="4" t="s">
        <v>143</v>
      </c>
      <c r="D50" s="1">
        <v>13.5</v>
      </c>
      <c r="E50" s="5">
        <v>43000</v>
      </c>
      <c r="F50" s="2">
        <f t="shared" si="0"/>
        <v>580500</v>
      </c>
      <c r="G50" s="15">
        <f>83.33%*(43/50)</f>
        <v>0.71663799999999989</v>
      </c>
      <c r="H50" s="4" t="s">
        <v>34</v>
      </c>
      <c r="I50" s="4" t="s">
        <v>497</v>
      </c>
      <c r="J50" s="1" t="s">
        <v>21</v>
      </c>
      <c r="K50" s="4" t="s">
        <v>22</v>
      </c>
      <c r="L50" s="4" t="s">
        <v>144</v>
      </c>
      <c r="M50" s="1">
        <v>13.5</v>
      </c>
      <c r="N50" s="5">
        <v>50000</v>
      </c>
      <c r="O50" s="4" t="s">
        <v>34</v>
      </c>
      <c r="P50" s="4" t="s">
        <v>497</v>
      </c>
      <c r="Q50" s="1" t="s">
        <v>21</v>
      </c>
      <c r="R50" s="4" t="s">
        <v>22</v>
      </c>
      <c r="S50" s="4" t="s">
        <v>145</v>
      </c>
      <c r="T50" s="1">
        <v>13.5</v>
      </c>
      <c r="U50" s="5">
        <v>100000</v>
      </c>
      <c r="V50" s="18">
        <v>13.2</v>
      </c>
    </row>
    <row r="51" spans="1:22" ht="23.5" customHeight="1" x14ac:dyDescent="0.4">
      <c r="A51" s="1">
        <v>49</v>
      </c>
      <c r="B51" s="3">
        <v>39605</v>
      </c>
      <c r="C51" s="4" t="s">
        <v>146</v>
      </c>
      <c r="D51" s="1">
        <v>13.3</v>
      </c>
      <c r="E51" s="5">
        <v>27000</v>
      </c>
      <c r="F51" s="2">
        <f t="shared" si="0"/>
        <v>359100</v>
      </c>
      <c r="G51" s="15">
        <f>100%*(27/30)</f>
        <v>0.9</v>
      </c>
      <c r="H51" s="4" t="s">
        <v>34</v>
      </c>
      <c r="I51" s="4" t="s">
        <v>497</v>
      </c>
      <c r="J51" s="1" t="s">
        <v>21</v>
      </c>
      <c r="K51" s="4" t="s">
        <v>22</v>
      </c>
      <c r="L51" s="4" t="s">
        <v>147</v>
      </c>
      <c r="M51" s="1">
        <v>13.3</v>
      </c>
      <c r="N51" s="5">
        <v>30000</v>
      </c>
      <c r="O51" s="4" t="s">
        <v>34</v>
      </c>
      <c r="P51" s="4" t="s">
        <v>497</v>
      </c>
      <c r="Q51" s="1" t="s">
        <v>21</v>
      </c>
      <c r="R51" s="4" t="s">
        <v>22</v>
      </c>
      <c r="S51" s="4" t="s">
        <v>148</v>
      </c>
      <c r="T51" s="1">
        <v>13.3</v>
      </c>
      <c r="U51" s="5">
        <v>50000</v>
      </c>
      <c r="V51" s="18">
        <v>0</v>
      </c>
    </row>
    <row r="52" spans="1:22" ht="23.5" customHeight="1" x14ac:dyDescent="0.4">
      <c r="A52" s="1">
        <v>50</v>
      </c>
      <c r="B52" s="3">
        <v>39612</v>
      </c>
      <c r="C52" s="4" t="s">
        <v>149</v>
      </c>
      <c r="D52" s="1">
        <v>11.6</v>
      </c>
      <c r="E52" s="5">
        <v>65000</v>
      </c>
      <c r="F52" s="2">
        <f t="shared" si="0"/>
        <v>754000</v>
      </c>
      <c r="G52" s="15">
        <f>100%*(65/100)</f>
        <v>0.65</v>
      </c>
      <c r="H52" s="4" t="s">
        <v>34</v>
      </c>
      <c r="I52" s="4" t="s">
        <v>497</v>
      </c>
      <c r="J52" s="1" t="s">
        <v>21</v>
      </c>
      <c r="K52" s="4" t="s">
        <v>22</v>
      </c>
      <c r="L52" s="4" t="s">
        <v>150</v>
      </c>
      <c r="M52" s="1">
        <v>11.6</v>
      </c>
      <c r="N52" s="5">
        <v>100000</v>
      </c>
      <c r="O52" s="4" t="s">
        <v>34</v>
      </c>
      <c r="P52" s="4" t="s">
        <v>497</v>
      </c>
      <c r="Q52" s="1" t="s">
        <v>21</v>
      </c>
      <c r="R52" s="4" t="s">
        <v>22</v>
      </c>
      <c r="S52" s="4" t="s">
        <v>151</v>
      </c>
      <c r="T52" s="1">
        <v>11.6</v>
      </c>
      <c r="U52" s="5">
        <v>150000</v>
      </c>
      <c r="V52" s="18">
        <v>11.3</v>
      </c>
    </row>
    <row r="53" spans="1:22" ht="23.5" customHeight="1" x14ac:dyDescent="0.4">
      <c r="A53" s="1">
        <v>51</v>
      </c>
      <c r="B53" s="3">
        <v>39612</v>
      </c>
      <c r="C53" s="4" t="s">
        <v>152</v>
      </c>
      <c r="D53" s="1">
        <v>11.6</v>
      </c>
      <c r="E53" s="5">
        <v>47000</v>
      </c>
      <c r="F53" s="2">
        <f t="shared" si="0"/>
        <v>545200</v>
      </c>
      <c r="G53" s="15">
        <f>100%*(47/50)</f>
        <v>0.94</v>
      </c>
      <c r="H53" s="4" t="s">
        <v>34</v>
      </c>
      <c r="I53" s="4" t="s">
        <v>497</v>
      </c>
      <c r="J53" s="1" t="s">
        <v>21</v>
      </c>
      <c r="K53" s="4" t="s">
        <v>22</v>
      </c>
      <c r="L53" s="4" t="s">
        <v>153</v>
      </c>
      <c r="M53" s="1">
        <v>11.6</v>
      </c>
      <c r="N53" s="5">
        <v>50000</v>
      </c>
      <c r="O53" s="4" t="s">
        <v>34</v>
      </c>
      <c r="P53" s="4" t="s">
        <v>497</v>
      </c>
      <c r="Q53" s="1" t="s">
        <v>21</v>
      </c>
      <c r="R53" s="4" t="s">
        <v>22</v>
      </c>
      <c r="S53" s="4" t="s">
        <v>151</v>
      </c>
      <c r="T53" s="1">
        <v>11.6</v>
      </c>
      <c r="U53" s="5">
        <v>150000</v>
      </c>
      <c r="V53" s="18">
        <v>11.3</v>
      </c>
    </row>
    <row r="54" spans="1:22" ht="23.5" customHeight="1" x14ac:dyDescent="0.4">
      <c r="A54" s="1">
        <v>52</v>
      </c>
      <c r="B54" s="3">
        <v>39612</v>
      </c>
      <c r="C54" s="4" t="s">
        <v>154</v>
      </c>
      <c r="D54" s="1">
        <v>11.6</v>
      </c>
      <c r="E54" s="5">
        <v>20000</v>
      </c>
      <c r="F54" s="2">
        <f t="shared" si="0"/>
        <v>232000</v>
      </c>
      <c r="G54" s="15">
        <v>1</v>
      </c>
      <c r="H54" s="4" t="s">
        <v>34</v>
      </c>
      <c r="I54" s="4" t="s">
        <v>497</v>
      </c>
      <c r="J54" s="1" t="s">
        <v>21</v>
      </c>
      <c r="K54" s="4" t="s">
        <v>22</v>
      </c>
      <c r="L54" s="4" t="s">
        <v>155</v>
      </c>
      <c r="M54" s="1">
        <v>11.6</v>
      </c>
      <c r="N54" s="5">
        <v>20000</v>
      </c>
      <c r="O54" s="4" t="s">
        <v>34</v>
      </c>
      <c r="P54" s="4" t="s">
        <v>497</v>
      </c>
      <c r="Q54" s="1" t="s">
        <v>21</v>
      </c>
      <c r="R54" s="4" t="s">
        <v>22</v>
      </c>
      <c r="S54" s="4" t="s">
        <v>151</v>
      </c>
      <c r="T54" s="1">
        <v>11.6</v>
      </c>
      <c r="U54" s="5">
        <v>150000</v>
      </c>
      <c r="V54" s="18">
        <v>11.3</v>
      </c>
    </row>
    <row r="55" spans="1:22" ht="23.5" customHeight="1" x14ac:dyDescent="0.4">
      <c r="A55" s="1">
        <v>53</v>
      </c>
      <c r="B55" s="3">
        <v>39619</v>
      </c>
      <c r="C55" s="4" t="s">
        <v>156</v>
      </c>
      <c r="D55" s="1">
        <v>10.85</v>
      </c>
      <c r="E55" s="5">
        <v>36000</v>
      </c>
      <c r="F55" s="2">
        <f t="shared" si="0"/>
        <v>390600</v>
      </c>
      <c r="G55" s="15">
        <v>0.83720000000000006</v>
      </c>
      <c r="H55" s="4" t="s">
        <v>157</v>
      </c>
      <c r="I55" s="4" t="s">
        <v>497</v>
      </c>
      <c r="J55" s="1" t="s">
        <v>17</v>
      </c>
      <c r="K55" s="4" t="s">
        <v>158</v>
      </c>
      <c r="L55" s="4" t="s">
        <v>159</v>
      </c>
      <c r="M55" s="1">
        <v>10.85</v>
      </c>
      <c r="N55" s="5">
        <v>80000</v>
      </c>
      <c r="O55" s="4" t="s">
        <v>16</v>
      </c>
      <c r="P55" s="4" t="s">
        <v>497</v>
      </c>
      <c r="Q55" s="1" t="s">
        <v>17</v>
      </c>
      <c r="R55" s="4" t="s">
        <v>18</v>
      </c>
      <c r="S55" s="4" t="s">
        <v>160</v>
      </c>
      <c r="T55" s="14">
        <v>10.1</v>
      </c>
      <c r="U55" s="5">
        <v>43000</v>
      </c>
      <c r="V55" s="18">
        <v>11.05</v>
      </c>
    </row>
    <row r="56" spans="1:22" ht="23.5" customHeight="1" x14ac:dyDescent="0.4">
      <c r="A56" s="1">
        <v>54</v>
      </c>
      <c r="B56" s="3">
        <v>39623</v>
      </c>
      <c r="C56" s="4" t="s">
        <v>161</v>
      </c>
      <c r="D56" s="1">
        <v>11.4</v>
      </c>
      <c r="E56" s="5">
        <v>87000</v>
      </c>
      <c r="F56" s="2">
        <f t="shared" si="0"/>
        <v>991800</v>
      </c>
      <c r="G56" s="15">
        <f>71.94%*(87/100)</f>
        <v>0.62587799999999993</v>
      </c>
      <c r="H56" s="4" t="s">
        <v>34</v>
      </c>
      <c r="I56" s="4" t="s">
        <v>497</v>
      </c>
      <c r="J56" s="1" t="s">
        <v>21</v>
      </c>
      <c r="K56" s="4" t="s">
        <v>22</v>
      </c>
      <c r="L56" s="4" t="s">
        <v>162</v>
      </c>
      <c r="M56" s="1">
        <v>11.4</v>
      </c>
      <c r="N56" s="5">
        <v>100000</v>
      </c>
      <c r="O56" s="4" t="s">
        <v>34</v>
      </c>
      <c r="P56" s="4" t="s">
        <v>497</v>
      </c>
      <c r="Q56" s="1" t="s">
        <v>21</v>
      </c>
      <c r="R56" s="4" t="s">
        <v>22</v>
      </c>
      <c r="S56" s="4" t="s">
        <v>163</v>
      </c>
      <c r="T56" s="1">
        <v>11.4</v>
      </c>
      <c r="U56" s="5">
        <v>100000</v>
      </c>
      <c r="V56" s="18">
        <v>0</v>
      </c>
    </row>
    <row r="57" spans="1:22" ht="23.5" customHeight="1" x14ac:dyDescent="0.4">
      <c r="A57" s="1">
        <v>55</v>
      </c>
      <c r="B57" s="3">
        <v>39623</v>
      </c>
      <c r="C57" s="4" t="s">
        <v>164</v>
      </c>
      <c r="D57" s="1">
        <v>11.4</v>
      </c>
      <c r="E57" s="5">
        <v>29000</v>
      </c>
      <c r="F57" s="2">
        <f t="shared" si="0"/>
        <v>330600</v>
      </c>
      <c r="G57" s="15">
        <f>29.7%*(29/30)</f>
        <v>0.28709999999999997</v>
      </c>
      <c r="H57" s="4" t="s">
        <v>157</v>
      </c>
      <c r="I57" s="4" t="s">
        <v>497</v>
      </c>
      <c r="J57" s="1" t="s">
        <v>17</v>
      </c>
      <c r="K57" s="4" t="s">
        <v>158</v>
      </c>
      <c r="L57" s="4" t="s">
        <v>165</v>
      </c>
      <c r="M57" s="1">
        <v>11.45</v>
      </c>
      <c r="N57" s="5">
        <v>30000</v>
      </c>
      <c r="O57" s="4" t="s">
        <v>34</v>
      </c>
      <c r="P57" s="4" t="s">
        <v>497</v>
      </c>
      <c r="Q57" s="1" t="s">
        <v>21</v>
      </c>
      <c r="R57" s="4" t="s">
        <v>166</v>
      </c>
      <c r="S57" s="4" t="s">
        <v>167</v>
      </c>
      <c r="T57" s="1">
        <v>11.4</v>
      </c>
      <c r="U57" s="5">
        <v>100000</v>
      </c>
      <c r="V57" s="18">
        <v>11.45</v>
      </c>
    </row>
    <row r="58" spans="1:22" ht="23.5" customHeight="1" x14ac:dyDescent="0.4">
      <c r="A58" s="1">
        <v>56</v>
      </c>
      <c r="B58" s="3">
        <v>39623</v>
      </c>
      <c r="C58" s="4" t="s">
        <v>168</v>
      </c>
      <c r="D58" s="1">
        <v>11.5</v>
      </c>
      <c r="E58" s="5">
        <v>13000</v>
      </c>
      <c r="F58" s="2">
        <f t="shared" si="0"/>
        <v>149500</v>
      </c>
      <c r="G58" s="15">
        <f>83.33%*(13/20)</f>
        <v>0.54164499999999993</v>
      </c>
      <c r="H58" s="4" t="s">
        <v>34</v>
      </c>
      <c r="I58" s="4" t="s">
        <v>497</v>
      </c>
      <c r="J58" s="1" t="s">
        <v>21</v>
      </c>
      <c r="K58" s="4" t="s">
        <v>22</v>
      </c>
      <c r="L58" s="4" t="s">
        <v>169</v>
      </c>
      <c r="M58" s="1">
        <v>11.5</v>
      </c>
      <c r="N58" s="5">
        <v>20000</v>
      </c>
      <c r="O58" s="4" t="s">
        <v>34</v>
      </c>
      <c r="P58" s="4" t="s">
        <v>497</v>
      </c>
      <c r="Q58" s="1" t="s">
        <v>21</v>
      </c>
      <c r="R58" s="4" t="s">
        <v>22</v>
      </c>
      <c r="S58" s="4" t="s">
        <v>47</v>
      </c>
      <c r="T58" s="1">
        <v>11.5</v>
      </c>
      <c r="U58" s="5">
        <v>100000</v>
      </c>
      <c r="V58" s="18">
        <v>0</v>
      </c>
    </row>
    <row r="59" spans="1:22" ht="23.5" customHeight="1" x14ac:dyDescent="0.4">
      <c r="A59" s="1">
        <v>57</v>
      </c>
      <c r="B59" s="3">
        <v>39624</v>
      </c>
      <c r="C59" s="4" t="s">
        <v>170</v>
      </c>
      <c r="D59" s="1">
        <v>11.4</v>
      </c>
      <c r="E59" s="5">
        <v>32000</v>
      </c>
      <c r="F59" s="2">
        <f t="shared" si="0"/>
        <v>364800</v>
      </c>
      <c r="G59" s="15">
        <f>100%*(32/40)</f>
        <v>0.8</v>
      </c>
      <c r="H59" s="4" t="s">
        <v>34</v>
      </c>
      <c r="I59" s="4" t="s">
        <v>497</v>
      </c>
      <c r="J59" s="1" t="s">
        <v>21</v>
      </c>
      <c r="K59" s="4" t="s">
        <v>22</v>
      </c>
      <c r="L59" s="4" t="s">
        <v>171</v>
      </c>
      <c r="M59" s="1">
        <v>11.4</v>
      </c>
      <c r="N59" s="5">
        <v>40000</v>
      </c>
      <c r="O59" s="4" t="s">
        <v>34</v>
      </c>
      <c r="P59" s="4" t="s">
        <v>497</v>
      </c>
      <c r="Q59" s="1" t="s">
        <v>21</v>
      </c>
      <c r="R59" s="4" t="s">
        <v>22</v>
      </c>
      <c r="S59" s="4" t="s">
        <v>172</v>
      </c>
      <c r="T59" s="1">
        <v>11.4</v>
      </c>
      <c r="U59" s="5">
        <v>50000</v>
      </c>
      <c r="V59" s="18">
        <v>0</v>
      </c>
    </row>
    <row r="60" spans="1:22" ht="23.5" customHeight="1" x14ac:dyDescent="0.4">
      <c r="A60" s="1">
        <v>58</v>
      </c>
      <c r="B60" s="3">
        <v>39624</v>
      </c>
      <c r="C60" s="4" t="s">
        <v>173</v>
      </c>
      <c r="D60" s="1">
        <v>11.4</v>
      </c>
      <c r="E60" s="5">
        <v>8000</v>
      </c>
      <c r="F60" s="2">
        <f t="shared" si="0"/>
        <v>91200</v>
      </c>
      <c r="G60" s="15">
        <f>100%*(8/10)</f>
        <v>0.8</v>
      </c>
      <c r="H60" s="4" t="s">
        <v>34</v>
      </c>
      <c r="I60" s="4" t="s">
        <v>497</v>
      </c>
      <c r="J60" s="1" t="s">
        <v>21</v>
      </c>
      <c r="K60" s="4" t="s">
        <v>22</v>
      </c>
      <c r="L60" s="4" t="s">
        <v>174</v>
      </c>
      <c r="M60" s="1">
        <v>11.4</v>
      </c>
      <c r="N60" s="5">
        <v>10000</v>
      </c>
      <c r="O60" s="4" t="s">
        <v>34</v>
      </c>
      <c r="P60" s="4" t="s">
        <v>497</v>
      </c>
      <c r="Q60" s="1" t="s">
        <v>21</v>
      </c>
      <c r="R60" s="4" t="s">
        <v>22</v>
      </c>
      <c r="S60" s="4" t="s">
        <v>172</v>
      </c>
      <c r="T60" s="1">
        <v>11.4</v>
      </c>
      <c r="U60" s="5">
        <v>50000</v>
      </c>
      <c r="V60" s="18">
        <v>0</v>
      </c>
    </row>
    <row r="61" spans="1:22" ht="23.5" customHeight="1" x14ac:dyDescent="0.4">
      <c r="A61" s="1">
        <v>59</v>
      </c>
      <c r="B61" s="3">
        <v>39625</v>
      </c>
      <c r="C61" s="4" t="s">
        <v>175</v>
      </c>
      <c r="D61" s="1">
        <v>11.65</v>
      </c>
      <c r="E61" s="5">
        <v>43000</v>
      </c>
      <c r="F61" s="2">
        <f t="shared" si="0"/>
        <v>500950</v>
      </c>
      <c r="G61" s="15">
        <f>100%*(43/50)</f>
        <v>0.86</v>
      </c>
      <c r="H61" s="4" t="s">
        <v>34</v>
      </c>
      <c r="I61" s="4" t="s">
        <v>497</v>
      </c>
      <c r="J61" s="1" t="s">
        <v>21</v>
      </c>
      <c r="K61" s="4" t="s">
        <v>22</v>
      </c>
      <c r="L61" s="4" t="s">
        <v>176</v>
      </c>
      <c r="M61" s="1">
        <v>11.65</v>
      </c>
      <c r="N61" s="5">
        <v>50000</v>
      </c>
      <c r="O61" s="4" t="s">
        <v>34</v>
      </c>
      <c r="P61" s="4" t="s">
        <v>497</v>
      </c>
      <c r="Q61" s="1" t="s">
        <v>21</v>
      </c>
      <c r="R61" s="4" t="s">
        <v>22</v>
      </c>
      <c r="S61" s="4" t="s">
        <v>177</v>
      </c>
      <c r="T61" s="1">
        <v>11.65</v>
      </c>
      <c r="U61" s="5">
        <v>50000</v>
      </c>
      <c r="V61" s="18">
        <v>0</v>
      </c>
    </row>
    <row r="62" spans="1:22" ht="23.5" customHeight="1" x14ac:dyDescent="0.4">
      <c r="A62" s="1">
        <v>60</v>
      </c>
      <c r="B62" s="3">
        <v>39626</v>
      </c>
      <c r="C62" s="4" t="s">
        <v>178</v>
      </c>
      <c r="D62" s="1">
        <v>12.65</v>
      </c>
      <c r="E62" s="5">
        <v>8000</v>
      </c>
      <c r="F62" s="2">
        <f t="shared" si="0"/>
        <v>101200</v>
      </c>
      <c r="G62" s="15">
        <f>100%*(8/10)</f>
        <v>0.8</v>
      </c>
      <c r="H62" s="4" t="s">
        <v>34</v>
      </c>
      <c r="I62" s="4" t="s">
        <v>497</v>
      </c>
      <c r="J62" s="1" t="s">
        <v>21</v>
      </c>
      <c r="K62" s="4" t="s">
        <v>22</v>
      </c>
      <c r="L62" s="4" t="s">
        <v>179</v>
      </c>
      <c r="M62" s="1">
        <v>12.65</v>
      </c>
      <c r="N62" s="5">
        <v>10000</v>
      </c>
      <c r="O62" s="4" t="s">
        <v>180</v>
      </c>
      <c r="P62" s="4" t="s">
        <v>497</v>
      </c>
      <c r="Q62" s="1" t="s">
        <v>17</v>
      </c>
      <c r="R62" s="4" t="s">
        <v>181</v>
      </c>
      <c r="S62" s="4" t="s">
        <v>182</v>
      </c>
      <c r="T62" s="1">
        <v>12.65</v>
      </c>
      <c r="U62" s="5">
        <v>60000</v>
      </c>
      <c r="V62" s="18">
        <v>12.7</v>
      </c>
    </row>
    <row r="63" spans="1:22" ht="23.5" customHeight="1" x14ac:dyDescent="0.4">
      <c r="A63" s="1">
        <v>61</v>
      </c>
      <c r="B63" s="3">
        <v>39630</v>
      </c>
      <c r="C63" s="4" t="s">
        <v>183</v>
      </c>
      <c r="D63" s="1">
        <v>13.15</v>
      </c>
      <c r="E63" s="5">
        <v>25000</v>
      </c>
      <c r="F63" s="2">
        <f t="shared" si="0"/>
        <v>328750</v>
      </c>
      <c r="G63" s="15">
        <v>0.75749999999999995</v>
      </c>
      <c r="H63" s="4" t="s">
        <v>34</v>
      </c>
      <c r="I63" s="4" t="s">
        <v>497</v>
      </c>
      <c r="J63" s="1" t="s">
        <v>21</v>
      </c>
      <c r="K63" s="4" t="s">
        <v>22</v>
      </c>
      <c r="L63" s="4" t="s">
        <v>184</v>
      </c>
      <c r="M63" s="1">
        <v>13.15</v>
      </c>
      <c r="N63" s="5">
        <v>40000</v>
      </c>
      <c r="O63" s="4" t="s">
        <v>34</v>
      </c>
      <c r="P63" s="4" t="s">
        <v>497</v>
      </c>
      <c r="Q63" s="1" t="s">
        <v>21</v>
      </c>
      <c r="R63" s="4" t="s">
        <v>22</v>
      </c>
      <c r="S63" s="4" t="s">
        <v>185</v>
      </c>
      <c r="T63" s="1">
        <v>13.15</v>
      </c>
      <c r="U63" s="5">
        <v>25000</v>
      </c>
      <c r="V63" s="18">
        <v>13.2</v>
      </c>
    </row>
    <row r="64" spans="1:22" ht="23.5" customHeight="1" x14ac:dyDescent="0.4">
      <c r="A64" s="1">
        <v>62</v>
      </c>
      <c r="B64" s="3">
        <v>39632</v>
      </c>
      <c r="C64" s="4" t="s">
        <v>186</v>
      </c>
      <c r="D64" s="1">
        <v>12.95</v>
      </c>
      <c r="E64" s="5">
        <v>28000</v>
      </c>
      <c r="F64" s="2">
        <f t="shared" si="0"/>
        <v>362600</v>
      </c>
      <c r="G64" s="15">
        <f>88.23%*(28/30)</f>
        <v>0.8234800000000001</v>
      </c>
      <c r="H64" s="4" t="s">
        <v>34</v>
      </c>
      <c r="I64" s="4" t="s">
        <v>497</v>
      </c>
      <c r="J64" s="1" t="s">
        <v>21</v>
      </c>
      <c r="K64" s="4" t="s">
        <v>22</v>
      </c>
      <c r="L64" s="4" t="s">
        <v>187</v>
      </c>
      <c r="M64" s="1">
        <v>12.95</v>
      </c>
      <c r="N64" s="5">
        <v>30000</v>
      </c>
      <c r="O64" s="4" t="s">
        <v>34</v>
      </c>
      <c r="P64" s="4" t="s">
        <v>497</v>
      </c>
      <c r="Q64" s="1" t="s">
        <v>21</v>
      </c>
      <c r="R64" s="4" t="s">
        <v>22</v>
      </c>
      <c r="S64" s="4" t="s">
        <v>188</v>
      </c>
      <c r="T64" s="1">
        <v>12.95</v>
      </c>
      <c r="U64" s="5">
        <v>30000</v>
      </c>
      <c r="V64" s="18">
        <v>0</v>
      </c>
    </row>
    <row r="65" spans="1:22" ht="23.5" customHeight="1" x14ac:dyDescent="0.4">
      <c r="A65" s="1">
        <v>63</v>
      </c>
      <c r="B65" s="3">
        <v>39632</v>
      </c>
      <c r="C65" s="4" t="s">
        <v>189</v>
      </c>
      <c r="D65" s="1">
        <v>13</v>
      </c>
      <c r="E65" s="5">
        <v>49000</v>
      </c>
      <c r="F65" s="2">
        <f t="shared" si="0"/>
        <v>637000</v>
      </c>
      <c r="G65" s="15">
        <f>96.15%*(49/50)</f>
        <v>0.94227000000000005</v>
      </c>
      <c r="H65" s="4" t="s">
        <v>34</v>
      </c>
      <c r="I65" s="4" t="s">
        <v>497</v>
      </c>
      <c r="J65" s="1" t="s">
        <v>21</v>
      </c>
      <c r="K65" s="4" t="s">
        <v>22</v>
      </c>
      <c r="L65" s="4" t="s">
        <v>190</v>
      </c>
      <c r="M65" s="1">
        <v>13</v>
      </c>
      <c r="N65" s="5">
        <v>50000</v>
      </c>
      <c r="O65" s="4" t="s">
        <v>36</v>
      </c>
      <c r="P65" s="4" t="s">
        <v>497</v>
      </c>
      <c r="Q65" s="1" t="s">
        <v>21</v>
      </c>
      <c r="R65" s="4" t="s">
        <v>22</v>
      </c>
      <c r="S65" s="4" t="s">
        <v>191</v>
      </c>
      <c r="T65" s="1">
        <v>13</v>
      </c>
      <c r="U65" s="5">
        <v>50000</v>
      </c>
      <c r="V65" s="18">
        <v>0</v>
      </c>
    </row>
    <row r="66" spans="1:22" ht="23.5" customHeight="1" x14ac:dyDescent="0.4">
      <c r="A66" s="1">
        <v>64</v>
      </c>
      <c r="B66" s="3">
        <v>39632</v>
      </c>
      <c r="C66" s="4" t="s">
        <v>192</v>
      </c>
      <c r="D66" s="1">
        <v>13.05</v>
      </c>
      <c r="E66" s="5">
        <v>10000</v>
      </c>
      <c r="F66" s="2">
        <f t="shared" si="0"/>
        <v>130500</v>
      </c>
      <c r="G66" s="15">
        <f>100%*(10/30)</f>
        <v>0.33333333333333331</v>
      </c>
      <c r="H66" s="4" t="s">
        <v>34</v>
      </c>
      <c r="I66" s="4" t="s">
        <v>497</v>
      </c>
      <c r="J66" s="1" t="s">
        <v>21</v>
      </c>
      <c r="K66" s="4" t="s">
        <v>193</v>
      </c>
      <c r="L66" s="4" t="s">
        <v>194</v>
      </c>
      <c r="M66" s="1">
        <v>13.05</v>
      </c>
      <c r="N66" s="5">
        <v>300000</v>
      </c>
      <c r="O66" s="4" t="s">
        <v>34</v>
      </c>
      <c r="P66" s="4" t="s">
        <v>497</v>
      </c>
      <c r="Q66" s="1" t="s">
        <v>21</v>
      </c>
      <c r="R66" s="4" t="s">
        <v>22</v>
      </c>
      <c r="S66" s="4" t="s">
        <v>195</v>
      </c>
      <c r="T66" s="1">
        <v>13.05</v>
      </c>
      <c r="U66" s="5">
        <v>30000</v>
      </c>
      <c r="V66" s="18">
        <v>0</v>
      </c>
    </row>
    <row r="67" spans="1:22" ht="23.5" customHeight="1" x14ac:dyDescent="0.4">
      <c r="A67" s="1">
        <v>65</v>
      </c>
      <c r="B67" s="3">
        <v>39632</v>
      </c>
      <c r="C67" s="4" t="s">
        <v>196</v>
      </c>
      <c r="D67" s="1">
        <v>13.1</v>
      </c>
      <c r="E67" s="5">
        <v>40000</v>
      </c>
      <c r="F67" s="2">
        <f t="shared" ref="F67:F130" si="1">D67*E67</f>
        <v>524000</v>
      </c>
      <c r="G67" s="15">
        <f>87.15%*(40/95)</f>
        <v>0.36694736842105263</v>
      </c>
      <c r="H67" s="4" t="s">
        <v>34</v>
      </c>
      <c r="I67" s="4" t="s">
        <v>497</v>
      </c>
      <c r="J67" s="1" t="s">
        <v>21</v>
      </c>
      <c r="K67" s="4" t="s">
        <v>193</v>
      </c>
      <c r="L67" s="4" t="s">
        <v>197</v>
      </c>
      <c r="M67" s="1">
        <v>13.1</v>
      </c>
      <c r="N67" s="5">
        <v>100000</v>
      </c>
      <c r="O67" s="4" t="s">
        <v>36</v>
      </c>
      <c r="P67" s="4" t="s">
        <v>497</v>
      </c>
      <c r="Q67" s="1" t="s">
        <v>21</v>
      </c>
      <c r="R67" s="4" t="s">
        <v>22</v>
      </c>
      <c r="S67" s="4" t="s">
        <v>198</v>
      </c>
      <c r="T67" s="1">
        <v>13.1</v>
      </c>
      <c r="U67" s="5">
        <v>50000</v>
      </c>
      <c r="V67" s="18">
        <v>0</v>
      </c>
    </row>
    <row r="68" spans="1:22" ht="23.5" customHeight="1" x14ac:dyDescent="0.4">
      <c r="A68" s="1">
        <v>66</v>
      </c>
      <c r="B68" s="3">
        <v>39633</v>
      </c>
      <c r="C68" s="4" t="s">
        <v>199</v>
      </c>
      <c r="D68" s="1">
        <v>13.25</v>
      </c>
      <c r="E68" s="5">
        <v>35000</v>
      </c>
      <c r="F68" s="2">
        <f t="shared" si="1"/>
        <v>463750</v>
      </c>
      <c r="G68" s="15">
        <f>87.65%*(35/71)</f>
        <v>0.43207746478873243</v>
      </c>
      <c r="H68" s="4" t="s">
        <v>34</v>
      </c>
      <c r="I68" s="4" t="s">
        <v>497</v>
      </c>
      <c r="J68" s="1" t="s">
        <v>21</v>
      </c>
      <c r="K68" s="4" t="s">
        <v>166</v>
      </c>
      <c r="L68" s="4" t="s">
        <v>200</v>
      </c>
      <c r="M68" s="1">
        <v>13.25</v>
      </c>
      <c r="N68" s="5">
        <v>200000</v>
      </c>
      <c r="O68" s="4" t="s">
        <v>34</v>
      </c>
      <c r="P68" s="4" t="s">
        <v>497</v>
      </c>
      <c r="Q68" s="1" t="s">
        <v>21</v>
      </c>
      <c r="R68" s="4" t="s">
        <v>22</v>
      </c>
      <c r="S68" s="4" t="s">
        <v>201</v>
      </c>
      <c r="T68" s="1">
        <v>13.25</v>
      </c>
      <c r="U68" s="5">
        <v>50000</v>
      </c>
      <c r="V68" s="18">
        <v>0</v>
      </c>
    </row>
    <row r="69" spans="1:22" ht="23.5" customHeight="1" x14ac:dyDescent="0.4">
      <c r="A69" s="1">
        <v>67</v>
      </c>
      <c r="B69" s="3">
        <v>39633</v>
      </c>
      <c r="C69" s="4" t="s">
        <v>202</v>
      </c>
      <c r="D69" s="1">
        <v>13.3</v>
      </c>
      <c r="E69" s="5">
        <v>4000</v>
      </c>
      <c r="F69" s="2">
        <f t="shared" si="1"/>
        <v>53200</v>
      </c>
      <c r="G69" s="15">
        <f>100%*(4/50)</f>
        <v>0.08</v>
      </c>
      <c r="H69" s="4" t="s">
        <v>34</v>
      </c>
      <c r="I69" s="4" t="s">
        <v>497</v>
      </c>
      <c r="J69" s="1" t="s">
        <v>21</v>
      </c>
      <c r="K69" s="4" t="s">
        <v>166</v>
      </c>
      <c r="L69" s="4" t="s">
        <v>203</v>
      </c>
      <c r="M69" s="1">
        <v>13.3</v>
      </c>
      <c r="N69" s="5">
        <v>50000</v>
      </c>
      <c r="O69" s="4" t="s">
        <v>34</v>
      </c>
      <c r="P69" s="4" t="s">
        <v>497</v>
      </c>
      <c r="Q69" s="1" t="s">
        <v>21</v>
      </c>
      <c r="R69" s="4" t="s">
        <v>22</v>
      </c>
      <c r="S69" s="4" t="s">
        <v>204</v>
      </c>
      <c r="T69" s="1">
        <v>13.3</v>
      </c>
      <c r="U69" s="5">
        <v>50000</v>
      </c>
      <c r="V69" s="18">
        <v>0</v>
      </c>
    </row>
    <row r="70" spans="1:22" ht="23.5" customHeight="1" x14ac:dyDescent="0.4">
      <c r="A70" s="1">
        <v>68</v>
      </c>
      <c r="B70" s="3">
        <v>39633</v>
      </c>
      <c r="C70" s="4" t="s">
        <v>205</v>
      </c>
      <c r="D70" s="1">
        <v>13.3</v>
      </c>
      <c r="E70" s="5">
        <v>34000</v>
      </c>
      <c r="F70" s="2">
        <f t="shared" si="1"/>
        <v>452200</v>
      </c>
      <c r="G70" s="15">
        <f>81.48%*(34/44)</f>
        <v>0.62961818181818185</v>
      </c>
      <c r="H70" s="4" t="s">
        <v>34</v>
      </c>
      <c r="I70" s="4" t="s">
        <v>497</v>
      </c>
      <c r="J70" s="1" t="s">
        <v>21</v>
      </c>
      <c r="K70" s="4" t="s">
        <v>166</v>
      </c>
      <c r="L70" s="4" t="s">
        <v>206</v>
      </c>
      <c r="M70" s="1">
        <v>13.3</v>
      </c>
      <c r="N70" s="5">
        <v>50000</v>
      </c>
      <c r="O70" s="4" t="s">
        <v>34</v>
      </c>
      <c r="P70" s="4" t="s">
        <v>497</v>
      </c>
      <c r="Q70" s="1" t="s">
        <v>21</v>
      </c>
      <c r="R70" s="4" t="s">
        <v>22</v>
      </c>
      <c r="S70" s="4" t="s">
        <v>204</v>
      </c>
      <c r="T70" s="1">
        <v>13.3</v>
      </c>
      <c r="U70" s="5">
        <v>50000</v>
      </c>
      <c r="V70" s="18">
        <v>0</v>
      </c>
    </row>
    <row r="71" spans="1:22" ht="23.5" customHeight="1" x14ac:dyDescent="0.4">
      <c r="A71" s="1">
        <v>69</v>
      </c>
      <c r="B71" s="3">
        <v>39633</v>
      </c>
      <c r="C71" s="4" t="s">
        <v>207</v>
      </c>
      <c r="D71" s="1">
        <v>13.35</v>
      </c>
      <c r="E71" s="5">
        <v>37000</v>
      </c>
      <c r="F71" s="2">
        <f t="shared" si="1"/>
        <v>493950</v>
      </c>
      <c r="G71" s="15">
        <f>53.42%*(37/39)</f>
        <v>0.50680512820512824</v>
      </c>
      <c r="H71" s="4" t="s">
        <v>34</v>
      </c>
      <c r="I71" s="4" t="s">
        <v>497</v>
      </c>
      <c r="J71" s="1" t="s">
        <v>21</v>
      </c>
      <c r="K71" s="4" t="s">
        <v>193</v>
      </c>
      <c r="L71" s="4" t="s">
        <v>208</v>
      </c>
      <c r="M71" s="1">
        <v>13.35</v>
      </c>
      <c r="N71" s="5">
        <v>200000</v>
      </c>
      <c r="O71" s="4" t="s">
        <v>34</v>
      </c>
      <c r="P71" s="4" t="s">
        <v>497</v>
      </c>
      <c r="Q71" s="1" t="s">
        <v>21</v>
      </c>
      <c r="R71" s="4" t="s">
        <v>22</v>
      </c>
      <c r="S71" s="4" t="s">
        <v>209</v>
      </c>
      <c r="T71" s="1">
        <v>13.35</v>
      </c>
      <c r="U71" s="5">
        <v>50000</v>
      </c>
      <c r="V71" s="18">
        <v>0</v>
      </c>
    </row>
    <row r="72" spans="1:22" ht="23.5" customHeight="1" x14ac:dyDescent="0.4">
      <c r="A72" s="1">
        <v>70</v>
      </c>
      <c r="B72" s="3">
        <v>39633</v>
      </c>
      <c r="C72" s="4" t="s">
        <v>116</v>
      </c>
      <c r="D72" s="1">
        <v>13.4</v>
      </c>
      <c r="E72" s="5">
        <v>50000</v>
      </c>
      <c r="F72" s="2">
        <f t="shared" si="1"/>
        <v>670000</v>
      </c>
      <c r="G72" s="15">
        <f>91.8%*(50/112)</f>
        <v>0.40982142857142856</v>
      </c>
      <c r="H72" s="4" t="s">
        <v>34</v>
      </c>
      <c r="I72" s="4" t="s">
        <v>497</v>
      </c>
      <c r="J72" s="1" t="s">
        <v>21</v>
      </c>
      <c r="K72" s="4" t="s">
        <v>22</v>
      </c>
      <c r="L72" s="4" t="s">
        <v>210</v>
      </c>
      <c r="M72" s="1">
        <v>13.4</v>
      </c>
      <c r="N72" s="5">
        <v>400000</v>
      </c>
      <c r="O72" s="4" t="s">
        <v>34</v>
      </c>
      <c r="P72" s="4" t="s">
        <v>497</v>
      </c>
      <c r="Q72" s="1" t="s">
        <v>21</v>
      </c>
      <c r="R72" s="4" t="s">
        <v>22</v>
      </c>
      <c r="S72" s="4" t="s">
        <v>211</v>
      </c>
      <c r="T72" s="1">
        <v>13.4</v>
      </c>
      <c r="U72" s="5">
        <v>50000</v>
      </c>
      <c r="V72" s="18">
        <v>0</v>
      </c>
    </row>
    <row r="73" spans="1:22" ht="23.5" customHeight="1" x14ac:dyDescent="0.4">
      <c r="A73" s="1">
        <v>71</v>
      </c>
      <c r="B73" s="3">
        <v>39633</v>
      </c>
      <c r="C73" s="4" t="s">
        <v>212</v>
      </c>
      <c r="D73" s="1">
        <v>13.5</v>
      </c>
      <c r="E73" s="5">
        <v>172000</v>
      </c>
      <c r="F73" s="2">
        <f t="shared" si="1"/>
        <v>2322000</v>
      </c>
      <c r="G73" s="15">
        <f>86.2%*(172/200)</f>
        <v>0.74131999999999998</v>
      </c>
      <c r="H73" s="4" t="s">
        <v>34</v>
      </c>
      <c r="I73" s="4" t="s">
        <v>497</v>
      </c>
      <c r="J73" s="1" t="s">
        <v>21</v>
      </c>
      <c r="K73" s="4" t="s">
        <v>22</v>
      </c>
      <c r="L73" s="4" t="s">
        <v>213</v>
      </c>
      <c r="M73" s="1">
        <v>13.5</v>
      </c>
      <c r="N73" s="5">
        <v>200000</v>
      </c>
      <c r="O73" s="4" t="s">
        <v>34</v>
      </c>
      <c r="P73" s="4" t="s">
        <v>497</v>
      </c>
      <c r="Q73" s="1" t="s">
        <v>21</v>
      </c>
      <c r="R73" s="4" t="s">
        <v>166</v>
      </c>
      <c r="S73" s="4" t="s">
        <v>214</v>
      </c>
      <c r="T73" s="1">
        <v>13.5</v>
      </c>
      <c r="U73" s="5">
        <v>200000</v>
      </c>
      <c r="V73" s="18">
        <v>0</v>
      </c>
    </row>
    <row r="74" spans="1:22" ht="23.5" customHeight="1" x14ac:dyDescent="0.4">
      <c r="A74" s="1">
        <v>72</v>
      </c>
      <c r="B74" s="3">
        <v>39633</v>
      </c>
      <c r="C74" s="4" t="s">
        <v>215</v>
      </c>
      <c r="D74" s="1">
        <v>13.25</v>
      </c>
      <c r="E74" s="5">
        <v>48000</v>
      </c>
      <c r="F74" s="2">
        <f t="shared" si="1"/>
        <v>636000</v>
      </c>
      <c r="G74" s="15">
        <f>100%*(48/50)</f>
        <v>0.96</v>
      </c>
      <c r="H74" s="4" t="s">
        <v>34</v>
      </c>
      <c r="I74" s="4" t="s">
        <v>497</v>
      </c>
      <c r="J74" s="1" t="s">
        <v>21</v>
      </c>
      <c r="K74" s="4" t="s">
        <v>22</v>
      </c>
      <c r="L74" s="4" t="s">
        <v>216</v>
      </c>
      <c r="M74" s="1">
        <v>13.25</v>
      </c>
      <c r="N74" s="5">
        <v>50000</v>
      </c>
      <c r="O74" s="4" t="s">
        <v>34</v>
      </c>
      <c r="P74" s="4" t="s">
        <v>497</v>
      </c>
      <c r="Q74" s="1" t="s">
        <v>21</v>
      </c>
      <c r="R74" s="4" t="s">
        <v>193</v>
      </c>
      <c r="S74" s="4" t="s">
        <v>217</v>
      </c>
      <c r="T74" s="1">
        <v>13.25</v>
      </c>
      <c r="U74" s="5">
        <v>70000</v>
      </c>
      <c r="V74" s="18">
        <v>13.25</v>
      </c>
    </row>
    <row r="75" spans="1:22" ht="23.5" customHeight="1" x14ac:dyDescent="0.4">
      <c r="A75" s="1">
        <v>73</v>
      </c>
      <c r="B75" s="3">
        <v>39633</v>
      </c>
      <c r="C75" s="4" t="s">
        <v>218</v>
      </c>
      <c r="D75" s="1">
        <v>13.25</v>
      </c>
      <c r="E75" s="5">
        <v>10000</v>
      </c>
      <c r="F75" s="2">
        <f t="shared" si="1"/>
        <v>132500</v>
      </c>
      <c r="G75" s="15">
        <v>0.66659999999999997</v>
      </c>
      <c r="H75" s="4" t="s">
        <v>34</v>
      </c>
      <c r="I75" s="4" t="s">
        <v>497</v>
      </c>
      <c r="J75" s="1" t="s">
        <v>21</v>
      </c>
      <c r="K75" s="4" t="s">
        <v>22</v>
      </c>
      <c r="L75" s="4" t="s">
        <v>219</v>
      </c>
      <c r="M75" s="1">
        <v>13.25</v>
      </c>
      <c r="N75" s="5">
        <v>10000</v>
      </c>
      <c r="O75" s="4" t="s">
        <v>34</v>
      </c>
      <c r="P75" s="4" t="s">
        <v>497</v>
      </c>
      <c r="Q75" s="1" t="s">
        <v>21</v>
      </c>
      <c r="R75" s="4" t="s">
        <v>193</v>
      </c>
      <c r="S75" s="4" t="s">
        <v>217</v>
      </c>
      <c r="T75" s="1">
        <v>13.25</v>
      </c>
      <c r="U75" s="5">
        <v>70000</v>
      </c>
      <c r="V75" s="18">
        <v>13.25</v>
      </c>
    </row>
    <row r="76" spans="1:22" ht="23.5" customHeight="1" x14ac:dyDescent="0.4">
      <c r="A76" s="1">
        <v>74</v>
      </c>
      <c r="B76" s="3">
        <v>39633</v>
      </c>
      <c r="C76" s="4" t="s">
        <v>220</v>
      </c>
      <c r="D76" s="1">
        <v>13.25</v>
      </c>
      <c r="E76" s="5">
        <v>3000</v>
      </c>
      <c r="F76" s="2">
        <f t="shared" si="1"/>
        <v>39750</v>
      </c>
      <c r="G76" s="15">
        <f>100%*(3/6)</f>
        <v>0.5</v>
      </c>
      <c r="H76" s="4" t="s">
        <v>34</v>
      </c>
      <c r="I76" s="4" t="s">
        <v>497</v>
      </c>
      <c r="J76" s="1" t="s">
        <v>21</v>
      </c>
      <c r="K76" s="4" t="s">
        <v>22</v>
      </c>
      <c r="L76" s="4" t="s">
        <v>221</v>
      </c>
      <c r="M76" s="1">
        <v>13.25</v>
      </c>
      <c r="N76" s="5">
        <v>10000</v>
      </c>
      <c r="O76" s="4" t="s">
        <v>34</v>
      </c>
      <c r="P76" s="4" t="s">
        <v>497</v>
      </c>
      <c r="Q76" s="1" t="s">
        <v>21</v>
      </c>
      <c r="R76" s="4" t="s">
        <v>193</v>
      </c>
      <c r="S76" s="4" t="s">
        <v>217</v>
      </c>
      <c r="T76" s="1">
        <v>13.25</v>
      </c>
      <c r="U76" s="5">
        <v>70000</v>
      </c>
      <c r="V76" s="18">
        <v>13.25</v>
      </c>
    </row>
    <row r="77" spans="1:22" ht="23.5" customHeight="1" x14ac:dyDescent="0.4">
      <c r="A77" s="1">
        <v>75</v>
      </c>
      <c r="B77" s="3">
        <v>39633</v>
      </c>
      <c r="C77" s="4" t="s">
        <v>222</v>
      </c>
      <c r="D77" s="1">
        <v>13.25</v>
      </c>
      <c r="E77" s="5">
        <v>20000</v>
      </c>
      <c r="F77" s="2">
        <f t="shared" si="1"/>
        <v>265000</v>
      </c>
      <c r="G77" s="15">
        <f>100%*(20/106)</f>
        <v>0.18867924528301888</v>
      </c>
      <c r="H77" s="4" t="s">
        <v>34</v>
      </c>
      <c r="I77" s="4" t="s">
        <v>497</v>
      </c>
      <c r="J77" s="1" t="s">
        <v>21</v>
      </c>
      <c r="K77" s="4" t="s">
        <v>22</v>
      </c>
      <c r="L77" s="4" t="s">
        <v>223</v>
      </c>
      <c r="M77" s="1">
        <v>13.25</v>
      </c>
      <c r="N77" s="5">
        <v>400000</v>
      </c>
      <c r="O77" s="4" t="s">
        <v>34</v>
      </c>
      <c r="P77" s="4" t="s">
        <v>497</v>
      </c>
      <c r="Q77" s="1" t="s">
        <v>21</v>
      </c>
      <c r="R77" s="4" t="s">
        <v>22</v>
      </c>
      <c r="S77" s="4" t="s">
        <v>224</v>
      </c>
      <c r="T77" s="1">
        <v>13.25</v>
      </c>
      <c r="U77" s="5">
        <v>20000</v>
      </c>
      <c r="V77" s="18">
        <v>13.3</v>
      </c>
    </row>
    <row r="78" spans="1:22" ht="23.5" customHeight="1" x14ac:dyDescent="0.4">
      <c r="A78" s="1">
        <v>76</v>
      </c>
      <c r="B78" s="3">
        <v>39633</v>
      </c>
      <c r="C78" s="4" t="s">
        <v>225</v>
      </c>
      <c r="D78" s="1">
        <v>13.1</v>
      </c>
      <c r="E78" s="5">
        <v>200000</v>
      </c>
      <c r="F78" s="2">
        <f t="shared" si="1"/>
        <v>2620000</v>
      </c>
      <c r="G78" s="15">
        <f>82.65%*(200/467)</f>
        <v>0.35396145610278373</v>
      </c>
      <c r="H78" s="4" t="s">
        <v>34</v>
      </c>
      <c r="I78" s="4" t="s">
        <v>497</v>
      </c>
      <c r="J78" s="1" t="s">
        <v>21</v>
      </c>
      <c r="K78" s="4" t="s">
        <v>22</v>
      </c>
      <c r="L78" s="4" t="s">
        <v>226</v>
      </c>
      <c r="M78" s="1">
        <v>13.1</v>
      </c>
      <c r="N78" s="5">
        <v>499000</v>
      </c>
      <c r="O78" s="4" t="s">
        <v>34</v>
      </c>
      <c r="P78" s="4" t="s">
        <v>497</v>
      </c>
      <c r="Q78" s="1" t="s">
        <v>21</v>
      </c>
      <c r="R78" s="4" t="s">
        <v>22</v>
      </c>
      <c r="S78" s="4" t="s">
        <v>227</v>
      </c>
      <c r="T78" s="14">
        <v>12.2</v>
      </c>
      <c r="U78" s="5">
        <v>200000</v>
      </c>
      <c r="V78" s="18">
        <v>13.3</v>
      </c>
    </row>
    <row r="79" spans="1:22" ht="23.5" customHeight="1" x14ac:dyDescent="0.4">
      <c r="A79" s="1">
        <v>77</v>
      </c>
      <c r="B79" s="3">
        <v>39637</v>
      </c>
      <c r="C79" s="4" t="s">
        <v>228</v>
      </c>
      <c r="D79" s="1">
        <v>13.25</v>
      </c>
      <c r="E79" s="5">
        <v>45000</v>
      </c>
      <c r="F79" s="2">
        <f t="shared" si="1"/>
        <v>596250</v>
      </c>
      <c r="G79" s="15">
        <v>0.88229999999999997</v>
      </c>
      <c r="H79" s="4" t="s">
        <v>157</v>
      </c>
      <c r="I79" s="4" t="s">
        <v>497</v>
      </c>
      <c r="J79" s="1" t="s">
        <v>17</v>
      </c>
      <c r="K79" s="4" t="s">
        <v>158</v>
      </c>
      <c r="L79" s="4" t="s">
        <v>229</v>
      </c>
      <c r="M79" s="1">
        <v>13.25</v>
      </c>
      <c r="N79" s="5">
        <v>100000</v>
      </c>
      <c r="O79" s="4" t="s">
        <v>34</v>
      </c>
      <c r="P79" s="4" t="s">
        <v>497</v>
      </c>
      <c r="Q79" s="1" t="s">
        <v>21</v>
      </c>
      <c r="R79" s="4" t="s">
        <v>22</v>
      </c>
      <c r="S79" s="4" t="s">
        <v>230</v>
      </c>
      <c r="T79" s="1">
        <v>13.25</v>
      </c>
      <c r="U79" s="5">
        <v>50000</v>
      </c>
      <c r="V79" s="18">
        <v>13.3</v>
      </c>
    </row>
    <row r="80" spans="1:22" ht="23.5" customHeight="1" x14ac:dyDescent="0.4">
      <c r="A80" s="1">
        <v>78</v>
      </c>
      <c r="B80" s="3">
        <v>39638</v>
      </c>
      <c r="C80" s="4" t="s">
        <v>225</v>
      </c>
      <c r="D80" s="1">
        <v>12.75</v>
      </c>
      <c r="E80" s="5">
        <v>50000</v>
      </c>
      <c r="F80" s="2">
        <f t="shared" si="1"/>
        <v>637500</v>
      </c>
      <c r="G80" s="15">
        <f>37.42%*(50/64)</f>
        <v>0.29234375000000001</v>
      </c>
      <c r="H80" s="4" t="s">
        <v>34</v>
      </c>
      <c r="I80" s="4" t="s">
        <v>497</v>
      </c>
      <c r="J80" s="1" t="s">
        <v>21</v>
      </c>
      <c r="K80" s="4" t="s">
        <v>22</v>
      </c>
      <c r="L80" s="4" t="s">
        <v>231</v>
      </c>
      <c r="M80" s="1">
        <v>12.75</v>
      </c>
      <c r="N80" s="5">
        <v>200000</v>
      </c>
      <c r="O80" s="4" t="s">
        <v>34</v>
      </c>
      <c r="P80" s="4" t="s">
        <v>497</v>
      </c>
      <c r="Q80" s="1" t="s">
        <v>21</v>
      </c>
      <c r="R80" s="4" t="s">
        <v>22</v>
      </c>
      <c r="S80" s="4" t="s">
        <v>232</v>
      </c>
      <c r="T80" s="14">
        <v>11.85</v>
      </c>
      <c r="U80" s="5">
        <v>50000</v>
      </c>
      <c r="V80" s="18">
        <v>13</v>
      </c>
    </row>
    <row r="81" spans="1:22" ht="23.5" customHeight="1" x14ac:dyDescent="0.4">
      <c r="A81" s="1">
        <v>79</v>
      </c>
      <c r="B81" s="3">
        <v>39639</v>
      </c>
      <c r="C81" s="4" t="s">
        <v>233</v>
      </c>
      <c r="D81" s="1">
        <v>12.95</v>
      </c>
      <c r="E81" s="5">
        <v>80000</v>
      </c>
      <c r="F81" s="2">
        <f t="shared" si="1"/>
        <v>1036000</v>
      </c>
      <c r="G81" s="15">
        <f>100%*(80/100)</f>
        <v>0.8</v>
      </c>
      <c r="H81" s="4" t="s">
        <v>34</v>
      </c>
      <c r="I81" s="4" t="s">
        <v>497</v>
      </c>
      <c r="J81" s="1" t="s">
        <v>21</v>
      </c>
      <c r="K81" s="4" t="s">
        <v>22</v>
      </c>
      <c r="L81" s="4" t="s">
        <v>234</v>
      </c>
      <c r="M81" s="1">
        <v>12.95</v>
      </c>
      <c r="N81" s="5">
        <v>100000</v>
      </c>
      <c r="O81" s="4" t="s">
        <v>34</v>
      </c>
      <c r="P81" s="4" t="s">
        <v>497</v>
      </c>
      <c r="Q81" s="1" t="s">
        <v>21</v>
      </c>
      <c r="R81" s="4" t="s">
        <v>22</v>
      </c>
      <c r="S81" s="4" t="s">
        <v>235</v>
      </c>
      <c r="T81" s="1">
        <v>12.95</v>
      </c>
      <c r="U81" s="5">
        <v>200000</v>
      </c>
      <c r="V81" s="18">
        <v>12.85</v>
      </c>
    </row>
    <row r="82" spans="1:22" ht="23.5" customHeight="1" x14ac:dyDescent="0.4">
      <c r="A82" s="1">
        <v>80</v>
      </c>
      <c r="B82" s="3">
        <v>39639</v>
      </c>
      <c r="C82" s="4" t="s">
        <v>236</v>
      </c>
      <c r="D82" s="1">
        <v>12.95</v>
      </c>
      <c r="E82" s="5">
        <v>50000</v>
      </c>
      <c r="F82" s="2">
        <f t="shared" si="1"/>
        <v>647500</v>
      </c>
      <c r="G82" s="15">
        <v>0.71419999999999995</v>
      </c>
      <c r="H82" s="4" t="s">
        <v>34</v>
      </c>
      <c r="I82" s="4" t="s">
        <v>497</v>
      </c>
      <c r="J82" s="1" t="s">
        <v>21</v>
      </c>
      <c r="K82" s="4" t="s">
        <v>22</v>
      </c>
      <c r="L82" s="4" t="s">
        <v>237</v>
      </c>
      <c r="M82" s="1">
        <v>12.95</v>
      </c>
      <c r="N82" s="5">
        <v>50000</v>
      </c>
      <c r="O82" s="4" t="s">
        <v>34</v>
      </c>
      <c r="P82" s="4" t="s">
        <v>497</v>
      </c>
      <c r="Q82" s="1" t="s">
        <v>21</v>
      </c>
      <c r="R82" s="4" t="s">
        <v>22</v>
      </c>
      <c r="S82" s="4" t="s">
        <v>235</v>
      </c>
      <c r="T82" s="1">
        <v>12.95</v>
      </c>
      <c r="U82" s="5">
        <v>200000</v>
      </c>
      <c r="V82" s="18">
        <v>12.85</v>
      </c>
    </row>
    <row r="83" spans="1:22" ht="23.5" customHeight="1" x14ac:dyDescent="0.4">
      <c r="A83" s="1">
        <v>81</v>
      </c>
      <c r="B83" s="3">
        <v>39640</v>
      </c>
      <c r="C83" s="4" t="s">
        <v>238</v>
      </c>
      <c r="D83" s="1">
        <v>13</v>
      </c>
      <c r="E83" s="5">
        <v>31000</v>
      </c>
      <c r="F83" s="2">
        <f t="shared" si="1"/>
        <v>403000</v>
      </c>
      <c r="G83" s="15">
        <f>100%*(31/43)</f>
        <v>0.72093023255813948</v>
      </c>
      <c r="H83" s="4" t="s">
        <v>34</v>
      </c>
      <c r="I83" s="4" t="s">
        <v>497</v>
      </c>
      <c r="J83" s="1" t="s">
        <v>21</v>
      </c>
      <c r="K83" s="4" t="s">
        <v>22</v>
      </c>
      <c r="L83" s="4" t="s">
        <v>109</v>
      </c>
      <c r="M83" s="1">
        <v>13</v>
      </c>
      <c r="N83" s="5">
        <v>100000</v>
      </c>
      <c r="O83" s="4" t="s">
        <v>34</v>
      </c>
      <c r="P83" s="4" t="s">
        <v>497</v>
      </c>
      <c r="Q83" s="1" t="s">
        <v>21</v>
      </c>
      <c r="R83" s="4" t="s">
        <v>22</v>
      </c>
      <c r="S83" s="4" t="s">
        <v>239</v>
      </c>
      <c r="T83" s="1">
        <v>13</v>
      </c>
      <c r="U83" s="5">
        <v>100000</v>
      </c>
      <c r="V83" s="18">
        <v>13.05</v>
      </c>
    </row>
    <row r="84" spans="1:22" ht="23.5" customHeight="1" x14ac:dyDescent="0.4">
      <c r="A84" s="1">
        <v>82</v>
      </c>
      <c r="B84" s="3">
        <v>39640</v>
      </c>
      <c r="C84" s="4" t="s">
        <v>240</v>
      </c>
      <c r="D84" s="1">
        <v>13.05</v>
      </c>
      <c r="E84" s="5">
        <v>15000</v>
      </c>
      <c r="F84" s="2">
        <f t="shared" si="1"/>
        <v>195750</v>
      </c>
      <c r="G84" s="15">
        <v>0.6</v>
      </c>
      <c r="H84" s="4" t="s">
        <v>34</v>
      </c>
      <c r="I84" s="4" t="s">
        <v>497</v>
      </c>
      <c r="J84" s="1" t="s">
        <v>21</v>
      </c>
      <c r="K84" s="4" t="s">
        <v>22</v>
      </c>
      <c r="L84" s="4" t="s">
        <v>62</v>
      </c>
      <c r="M84" s="1">
        <v>13.05</v>
      </c>
      <c r="N84" s="5">
        <v>50000</v>
      </c>
      <c r="O84" s="4" t="s">
        <v>34</v>
      </c>
      <c r="P84" s="4" t="s">
        <v>497</v>
      </c>
      <c r="Q84" s="1" t="s">
        <v>21</v>
      </c>
      <c r="R84" s="4" t="s">
        <v>22</v>
      </c>
      <c r="S84" s="4" t="s">
        <v>241</v>
      </c>
      <c r="T84" s="1">
        <v>13.05</v>
      </c>
      <c r="U84" s="5">
        <v>50000</v>
      </c>
      <c r="V84" s="18">
        <v>0</v>
      </c>
    </row>
    <row r="85" spans="1:22" ht="23.5" customHeight="1" x14ac:dyDescent="0.4">
      <c r="A85" s="1">
        <v>83</v>
      </c>
      <c r="B85" s="3">
        <v>39640</v>
      </c>
      <c r="C85" s="4" t="s">
        <v>242</v>
      </c>
      <c r="D85" s="1">
        <v>13.1</v>
      </c>
      <c r="E85" s="5">
        <v>18000</v>
      </c>
      <c r="F85" s="2">
        <f t="shared" si="1"/>
        <v>235800</v>
      </c>
      <c r="G85" s="15">
        <f>100%*(18/20)</f>
        <v>0.9</v>
      </c>
      <c r="H85" s="4" t="s">
        <v>34</v>
      </c>
      <c r="I85" s="4" t="s">
        <v>497</v>
      </c>
      <c r="J85" s="1" t="s">
        <v>21</v>
      </c>
      <c r="K85" s="4" t="s">
        <v>22</v>
      </c>
      <c r="L85" s="4" t="s">
        <v>243</v>
      </c>
      <c r="M85" s="1">
        <v>13.1</v>
      </c>
      <c r="N85" s="5">
        <v>20000</v>
      </c>
      <c r="O85" s="4" t="s">
        <v>34</v>
      </c>
      <c r="P85" s="4" t="s">
        <v>497</v>
      </c>
      <c r="Q85" s="1" t="s">
        <v>21</v>
      </c>
      <c r="R85" s="4" t="s">
        <v>22</v>
      </c>
      <c r="S85" s="4" t="s">
        <v>244</v>
      </c>
      <c r="T85" s="1">
        <v>13.1</v>
      </c>
      <c r="U85" s="5">
        <v>50000</v>
      </c>
      <c r="V85" s="18">
        <v>0</v>
      </c>
    </row>
    <row r="86" spans="1:22" ht="23.5" customHeight="1" x14ac:dyDescent="0.4">
      <c r="A86" s="1">
        <v>84</v>
      </c>
      <c r="B86" s="3">
        <v>39640</v>
      </c>
      <c r="C86" s="4" t="s">
        <v>245</v>
      </c>
      <c r="D86" s="1">
        <v>13</v>
      </c>
      <c r="E86" s="5">
        <v>47000</v>
      </c>
      <c r="F86" s="2">
        <f t="shared" si="1"/>
        <v>611000</v>
      </c>
      <c r="G86" s="15">
        <f>72.15%*(47/57)</f>
        <v>0.59492105263157902</v>
      </c>
      <c r="H86" s="4" t="s">
        <v>34</v>
      </c>
      <c r="I86" s="4" t="s">
        <v>497</v>
      </c>
      <c r="J86" s="1" t="s">
        <v>21</v>
      </c>
      <c r="K86" s="4" t="s">
        <v>22</v>
      </c>
      <c r="L86" s="4" t="s">
        <v>109</v>
      </c>
      <c r="M86" s="1">
        <v>13</v>
      </c>
      <c r="N86" s="5">
        <v>100000</v>
      </c>
      <c r="O86" s="4" t="s">
        <v>34</v>
      </c>
      <c r="P86" s="4" t="s">
        <v>497</v>
      </c>
      <c r="Q86" s="1" t="s">
        <v>21</v>
      </c>
      <c r="R86" s="4" t="s">
        <v>22</v>
      </c>
      <c r="S86" s="4" t="s">
        <v>246</v>
      </c>
      <c r="T86" s="1">
        <v>13</v>
      </c>
      <c r="U86" s="5">
        <v>200000</v>
      </c>
      <c r="V86" s="18">
        <v>13.05</v>
      </c>
    </row>
    <row r="87" spans="1:22" ht="23.5" customHeight="1" x14ac:dyDescent="0.4">
      <c r="A87" s="1">
        <v>85</v>
      </c>
      <c r="B87" s="3">
        <v>39640</v>
      </c>
      <c r="C87" s="4" t="s">
        <v>247</v>
      </c>
      <c r="D87" s="1">
        <v>13.15</v>
      </c>
      <c r="E87" s="5">
        <v>27000</v>
      </c>
      <c r="F87" s="2">
        <f t="shared" si="1"/>
        <v>355050</v>
      </c>
      <c r="G87" s="15">
        <f>93.75%*(27/30)</f>
        <v>0.84375</v>
      </c>
      <c r="H87" s="4" t="s">
        <v>34</v>
      </c>
      <c r="I87" s="4" t="s">
        <v>497</v>
      </c>
      <c r="J87" s="1" t="s">
        <v>21</v>
      </c>
      <c r="K87" s="4" t="s">
        <v>22</v>
      </c>
      <c r="L87" s="4" t="s">
        <v>248</v>
      </c>
      <c r="M87" s="1">
        <v>13.15</v>
      </c>
      <c r="N87" s="5">
        <v>30000</v>
      </c>
      <c r="O87" s="4" t="s">
        <v>34</v>
      </c>
      <c r="P87" s="4" t="s">
        <v>497</v>
      </c>
      <c r="Q87" s="1" t="s">
        <v>21</v>
      </c>
      <c r="R87" s="4" t="s">
        <v>22</v>
      </c>
      <c r="S87" s="4" t="s">
        <v>249</v>
      </c>
      <c r="T87" s="1">
        <v>13.15</v>
      </c>
      <c r="U87" s="5">
        <v>50000</v>
      </c>
      <c r="V87" s="18">
        <v>0</v>
      </c>
    </row>
    <row r="88" spans="1:22" ht="23.5" customHeight="1" x14ac:dyDescent="0.4">
      <c r="A88" s="1">
        <v>86</v>
      </c>
      <c r="B88" s="3">
        <v>39640</v>
      </c>
      <c r="C88" s="4" t="s">
        <v>250</v>
      </c>
      <c r="D88" s="1">
        <v>13.2</v>
      </c>
      <c r="E88" s="5">
        <v>1000</v>
      </c>
      <c r="F88" s="2">
        <f t="shared" si="1"/>
        <v>13200</v>
      </c>
      <c r="G88" s="15">
        <v>7.3000000000000001E-3</v>
      </c>
      <c r="H88" s="4" t="s">
        <v>157</v>
      </c>
      <c r="I88" s="4" t="s">
        <v>497</v>
      </c>
      <c r="J88" s="1" t="s">
        <v>17</v>
      </c>
      <c r="K88" s="4" t="s">
        <v>158</v>
      </c>
      <c r="L88" s="4" t="s">
        <v>84</v>
      </c>
      <c r="M88" s="1">
        <v>13.2</v>
      </c>
      <c r="N88" s="5">
        <v>1000</v>
      </c>
      <c r="O88" s="4" t="s">
        <v>34</v>
      </c>
      <c r="P88" s="4" t="s">
        <v>497</v>
      </c>
      <c r="Q88" s="1" t="s">
        <v>21</v>
      </c>
      <c r="R88" s="4" t="s">
        <v>22</v>
      </c>
      <c r="S88" s="4" t="s">
        <v>251</v>
      </c>
      <c r="T88" s="1">
        <v>13.2</v>
      </c>
      <c r="U88" s="5">
        <v>160000</v>
      </c>
      <c r="V88" s="18">
        <v>13.25</v>
      </c>
    </row>
    <row r="89" spans="1:22" ht="23.5" customHeight="1" x14ac:dyDescent="0.4">
      <c r="A89" s="1">
        <v>87</v>
      </c>
      <c r="B89" s="3">
        <v>39640</v>
      </c>
      <c r="C89" s="4" t="s">
        <v>252</v>
      </c>
      <c r="D89" s="1">
        <v>13.3</v>
      </c>
      <c r="E89" s="5">
        <v>30000</v>
      </c>
      <c r="F89" s="2">
        <f t="shared" si="1"/>
        <v>399000</v>
      </c>
      <c r="G89" s="15">
        <v>1</v>
      </c>
      <c r="H89" s="4" t="s">
        <v>34</v>
      </c>
      <c r="I89" s="4" t="s">
        <v>497</v>
      </c>
      <c r="J89" s="1" t="s">
        <v>21</v>
      </c>
      <c r="K89" s="4" t="s">
        <v>22</v>
      </c>
      <c r="L89" s="4" t="s">
        <v>253</v>
      </c>
      <c r="M89" s="1">
        <v>13.3</v>
      </c>
      <c r="N89" s="5">
        <v>30000</v>
      </c>
      <c r="O89" s="4" t="s">
        <v>36</v>
      </c>
      <c r="P89" s="4" t="s">
        <v>497</v>
      </c>
      <c r="Q89" s="1" t="s">
        <v>21</v>
      </c>
      <c r="R89" s="4" t="s">
        <v>22</v>
      </c>
      <c r="S89" s="4" t="s">
        <v>254</v>
      </c>
      <c r="T89" s="1">
        <v>13.3</v>
      </c>
      <c r="U89" s="5">
        <v>100000</v>
      </c>
      <c r="V89" s="18">
        <v>13.35</v>
      </c>
    </row>
    <row r="90" spans="1:22" ht="23.5" customHeight="1" x14ac:dyDescent="0.4">
      <c r="A90" s="1">
        <v>88</v>
      </c>
      <c r="B90" s="3">
        <v>39640</v>
      </c>
      <c r="C90" s="4" t="s">
        <v>255</v>
      </c>
      <c r="D90" s="1">
        <v>13.2</v>
      </c>
      <c r="E90" s="5">
        <v>50000</v>
      </c>
      <c r="F90" s="2">
        <f t="shared" si="1"/>
        <v>660000</v>
      </c>
      <c r="G90" s="15">
        <v>1</v>
      </c>
      <c r="H90" s="4" t="s">
        <v>34</v>
      </c>
      <c r="I90" s="4" t="s">
        <v>497</v>
      </c>
      <c r="J90" s="1" t="s">
        <v>21</v>
      </c>
      <c r="K90" s="4" t="s">
        <v>22</v>
      </c>
      <c r="L90" s="4" t="s">
        <v>256</v>
      </c>
      <c r="M90" s="1">
        <v>13.2</v>
      </c>
      <c r="N90" s="5">
        <v>50000</v>
      </c>
      <c r="O90" s="4" t="s">
        <v>36</v>
      </c>
      <c r="P90" s="4" t="s">
        <v>497</v>
      </c>
      <c r="Q90" s="1" t="s">
        <v>21</v>
      </c>
      <c r="R90" s="4" t="s">
        <v>22</v>
      </c>
      <c r="S90" s="4" t="s">
        <v>257</v>
      </c>
      <c r="T90" s="1">
        <v>13.2</v>
      </c>
      <c r="U90" s="5">
        <v>200000</v>
      </c>
      <c r="V90" s="18">
        <v>13.25</v>
      </c>
    </row>
    <row r="91" spans="1:22" ht="23.5" customHeight="1" x14ac:dyDescent="0.4">
      <c r="A91" s="1">
        <v>89</v>
      </c>
      <c r="B91" s="3">
        <v>39640</v>
      </c>
      <c r="C91" s="4" t="s">
        <v>258</v>
      </c>
      <c r="D91" s="1">
        <v>13.2</v>
      </c>
      <c r="E91" s="5">
        <v>20000</v>
      </c>
      <c r="F91" s="2">
        <f t="shared" si="1"/>
        <v>264000</v>
      </c>
      <c r="G91" s="15">
        <v>1</v>
      </c>
      <c r="H91" s="4" t="s">
        <v>34</v>
      </c>
      <c r="I91" s="4" t="s">
        <v>497</v>
      </c>
      <c r="J91" s="1" t="s">
        <v>21</v>
      </c>
      <c r="K91" s="4" t="s">
        <v>22</v>
      </c>
      <c r="L91" s="4" t="s">
        <v>259</v>
      </c>
      <c r="M91" s="1">
        <v>13.2</v>
      </c>
      <c r="N91" s="5">
        <v>20000</v>
      </c>
      <c r="O91" s="4" t="s">
        <v>36</v>
      </c>
      <c r="P91" s="4" t="s">
        <v>497</v>
      </c>
      <c r="Q91" s="1" t="s">
        <v>21</v>
      </c>
      <c r="R91" s="4" t="s">
        <v>22</v>
      </c>
      <c r="S91" s="4" t="s">
        <v>257</v>
      </c>
      <c r="T91" s="1">
        <v>13.2</v>
      </c>
      <c r="U91" s="5">
        <v>200000</v>
      </c>
      <c r="V91" s="18">
        <v>13.25</v>
      </c>
    </row>
    <row r="92" spans="1:22" ht="23.5" customHeight="1" x14ac:dyDescent="0.4">
      <c r="A92" s="1">
        <v>90</v>
      </c>
      <c r="B92" s="3">
        <v>39640</v>
      </c>
      <c r="C92" s="4" t="s">
        <v>260</v>
      </c>
      <c r="D92" s="1">
        <v>13.2</v>
      </c>
      <c r="E92" s="5">
        <v>8000</v>
      </c>
      <c r="F92" s="2">
        <f t="shared" si="1"/>
        <v>105600</v>
      </c>
      <c r="G92" s="15">
        <f>80%*(8/20)</f>
        <v>0.32000000000000006</v>
      </c>
      <c r="H92" s="4" t="s">
        <v>34</v>
      </c>
      <c r="I92" s="4" t="s">
        <v>497</v>
      </c>
      <c r="J92" s="1" t="s">
        <v>21</v>
      </c>
      <c r="K92" s="4" t="s">
        <v>22</v>
      </c>
      <c r="L92" s="4" t="s">
        <v>261</v>
      </c>
      <c r="M92" s="1">
        <v>13.2</v>
      </c>
      <c r="N92" s="5">
        <v>20000</v>
      </c>
      <c r="O92" s="4" t="s">
        <v>36</v>
      </c>
      <c r="P92" s="4" t="s">
        <v>497</v>
      </c>
      <c r="Q92" s="1" t="s">
        <v>21</v>
      </c>
      <c r="R92" s="4" t="s">
        <v>22</v>
      </c>
      <c r="S92" s="4" t="s">
        <v>262</v>
      </c>
      <c r="T92" s="1">
        <v>13.2</v>
      </c>
      <c r="U92" s="5">
        <v>50000</v>
      </c>
      <c r="V92" s="18">
        <v>13.2</v>
      </c>
    </row>
    <row r="93" spans="1:22" ht="23.5" customHeight="1" x14ac:dyDescent="0.4">
      <c r="A93" s="1">
        <v>91</v>
      </c>
      <c r="B93" s="3">
        <v>39640</v>
      </c>
      <c r="C93" s="4" t="s">
        <v>263</v>
      </c>
      <c r="D93" s="1">
        <v>13.2</v>
      </c>
      <c r="E93" s="5">
        <v>10000</v>
      </c>
      <c r="F93" s="2">
        <f t="shared" si="1"/>
        <v>132000</v>
      </c>
      <c r="G93" s="15">
        <v>0.76919999999999999</v>
      </c>
      <c r="H93" s="4" t="s">
        <v>34</v>
      </c>
      <c r="I93" s="4" t="s">
        <v>497</v>
      </c>
      <c r="J93" s="1" t="s">
        <v>21</v>
      </c>
      <c r="K93" s="4" t="s">
        <v>22</v>
      </c>
      <c r="L93" s="4" t="s">
        <v>264</v>
      </c>
      <c r="M93" s="1">
        <v>13.2</v>
      </c>
      <c r="N93" s="5">
        <v>10000</v>
      </c>
      <c r="O93" s="4" t="s">
        <v>36</v>
      </c>
      <c r="P93" s="4" t="s">
        <v>497</v>
      </c>
      <c r="Q93" s="1" t="s">
        <v>21</v>
      </c>
      <c r="R93" s="4" t="s">
        <v>22</v>
      </c>
      <c r="S93" s="4" t="s">
        <v>265</v>
      </c>
      <c r="T93" s="1">
        <v>13.2</v>
      </c>
      <c r="U93" s="5">
        <v>50000</v>
      </c>
      <c r="V93" s="18">
        <v>13.25</v>
      </c>
    </row>
    <row r="94" spans="1:22" ht="23.5" customHeight="1" x14ac:dyDescent="0.4">
      <c r="A94" s="1">
        <v>92</v>
      </c>
      <c r="B94" s="3">
        <v>39640</v>
      </c>
      <c r="C94" s="4" t="s">
        <v>266</v>
      </c>
      <c r="D94" s="1">
        <v>13.2</v>
      </c>
      <c r="E94" s="5">
        <v>9000</v>
      </c>
      <c r="F94" s="2">
        <f t="shared" si="1"/>
        <v>118800</v>
      </c>
      <c r="G94" s="15">
        <v>1</v>
      </c>
      <c r="H94" s="4" t="s">
        <v>34</v>
      </c>
      <c r="I94" s="4" t="s">
        <v>497</v>
      </c>
      <c r="J94" s="1" t="s">
        <v>21</v>
      </c>
      <c r="K94" s="4" t="s">
        <v>22</v>
      </c>
      <c r="L94" s="4" t="s">
        <v>267</v>
      </c>
      <c r="M94" s="1">
        <v>13.2</v>
      </c>
      <c r="N94" s="5">
        <v>9000</v>
      </c>
      <c r="O94" s="4" t="s">
        <v>36</v>
      </c>
      <c r="P94" s="4" t="s">
        <v>497</v>
      </c>
      <c r="Q94" s="1" t="s">
        <v>21</v>
      </c>
      <c r="R94" s="4" t="s">
        <v>22</v>
      </c>
      <c r="S94" s="4" t="s">
        <v>265</v>
      </c>
      <c r="T94" s="1">
        <v>13.2</v>
      </c>
      <c r="U94" s="5">
        <v>50000</v>
      </c>
      <c r="V94" s="18">
        <v>13.25</v>
      </c>
    </row>
    <row r="95" spans="1:22" ht="23.5" customHeight="1" x14ac:dyDescent="0.4">
      <c r="A95" s="1">
        <v>93</v>
      </c>
      <c r="B95" s="3">
        <v>39640</v>
      </c>
      <c r="C95" s="4" t="s">
        <v>225</v>
      </c>
      <c r="D95" s="1">
        <v>13.1</v>
      </c>
      <c r="E95" s="5">
        <v>127000</v>
      </c>
      <c r="F95" s="2">
        <f t="shared" si="1"/>
        <v>1663700</v>
      </c>
      <c r="G95" s="15">
        <f>41.58%*(127/499)</f>
        <v>0.10582484969939879</v>
      </c>
      <c r="H95" s="4" t="s">
        <v>34</v>
      </c>
      <c r="I95" s="4" t="s">
        <v>497</v>
      </c>
      <c r="J95" s="1" t="s">
        <v>21</v>
      </c>
      <c r="K95" s="4" t="s">
        <v>22</v>
      </c>
      <c r="L95" s="4" t="s">
        <v>268</v>
      </c>
      <c r="M95" s="1">
        <v>13.1</v>
      </c>
      <c r="N95" s="5">
        <v>499000</v>
      </c>
      <c r="O95" s="4" t="s">
        <v>36</v>
      </c>
      <c r="P95" s="4" t="s">
        <v>497</v>
      </c>
      <c r="Q95" s="1" t="s">
        <v>21</v>
      </c>
      <c r="R95" s="4" t="s">
        <v>22</v>
      </c>
      <c r="S95" s="4" t="s">
        <v>269</v>
      </c>
      <c r="T95" s="14">
        <v>12</v>
      </c>
      <c r="U95" s="5">
        <v>400000</v>
      </c>
      <c r="V95" s="18">
        <v>13.3</v>
      </c>
    </row>
    <row r="96" spans="1:22" ht="23.5" customHeight="1" x14ac:dyDescent="0.4">
      <c r="A96" s="1">
        <v>94</v>
      </c>
      <c r="B96" s="3">
        <v>39640</v>
      </c>
      <c r="C96" s="4" t="s">
        <v>225</v>
      </c>
      <c r="D96" s="1">
        <v>13.1</v>
      </c>
      <c r="E96" s="5">
        <v>57000</v>
      </c>
      <c r="F96" s="2">
        <f t="shared" si="1"/>
        <v>746700</v>
      </c>
      <c r="G96" s="15">
        <f>41.58%*(57/499)</f>
        <v>4.7496192384769542E-2</v>
      </c>
      <c r="H96" s="4" t="s">
        <v>34</v>
      </c>
      <c r="I96" s="4" t="s">
        <v>497</v>
      </c>
      <c r="J96" s="1" t="s">
        <v>21</v>
      </c>
      <c r="K96" s="4" t="s">
        <v>22</v>
      </c>
      <c r="L96" s="4" t="s">
        <v>268</v>
      </c>
      <c r="M96" s="1">
        <v>13.1</v>
      </c>
      <c r="N96" s="5">
        <v>499000</v>
      </c>
      <c r="O96" s="4" t="s">
        <v>36</v>
      </c>
      <c r="P96" s="4" t="s">
        <v>497</v>
      </c>
      <c r="Q96" s="1" t="s">
        <v>21</v>
      </c>
      <c r="R96" s="4" t="s">
        <v>22</v>
      </c>
      <c r="S96" s="4" t="s">
        <v>270</v>
      </c>
      <c r="T96" s="14">
        <v>12</v>
      </c>
      <c r="U96" s="5">
        <v>57000</v>
      </c>
      <c r="V96" s="18">
        <v>13.3</v>
      </c>
    </row>
    <row r="97" spans="1:22" ht="23.5" customHeight="1" x14ac:dyDescent="0.4">
      <c r="A97" s="1">
        <v>95</v>
      </c>
      <c r="B97" s="3">
        <v>39640</v>
      </c>
      <c r="C97" s="4" t="s">
        <v>225</v>
      </c>
      <c r="D97" s="1">
        <v>13.1</v>
      </c>
      <c r="E97" s="5">
        <v>94000</v>
      </c>
      <c r="F97" s="2">
        <f t="shared" si="1"/>
        <v>1231400</v>
      </c>
      <c r="G97" s="15">
        <f>41.58%*(94/499)</f>
        <v>7.8327054108216429E-2</v>
      </c>
      <c r="H97" s="4" t="s">
        <v>34</v>
      </c>
      <c r="I97" s="4" t="s">
        <v>497</v>
      </c>
      <c r="J97" s="1" t="s">
        <v>21</v>
      </c>
      <c r="K97" s="4" t="s">
        <v>22</v>
      </c>
      <c r="L97" s="4" t="s">
        <v>268</v>
      </c>
      <c r="M97" s="1">
        <v>13.1</v>
      </c>
      <c r="N97" s="5">
        <v>499000</v>
      </c>
      <c r="O97" s="4" t="s">
        <v>271</v>
      </c>
      <c r="P97" s="4" t="s">
        <v>497</v>
      </c>
      <c r="Q97" s="1" t="s">
        <v>21</v>
      </c>
      <c r="R97" s="4" t="s">
        <v>22</v>
      </c>
      <c r="S97" s="4" t="s">
        <v>272</v>
      </c>
      <c r="T97" s="14">
        <v>12</v>
      </c>
      <c r="U97" s="5">
        <v>94000</v>
      </c>
      <c r="V97" s="18">
        <v>13.3</v>
      </c>
    </row>
    <row r="98" spans="1:22" ht="23.5" customHeight="1" x14ac:dyDescent="0.4">
      <c r="A98" s="1">
        <v>96</v>
      </c>
      <c r="B98" s="3">
        <v>39640</v>
      </c>
      <c r="C98" s="4" t="s">
        <v>225</v>
      </c>
      <c r="D98" s="1">
        <v>13.1</v>
      </c>
      <c r="E98" s="5">
        <v>211000</v>
      </c>
      <c r="F98" s="2">
        <f t="shared" si="1"/>
        <v>2764100</v>
      </c>
      <c r="G98" s="15">
        <f>41.58%*(211/499)</f>
        <v>0.17581923847695391</v>
      </c>
      <c r="H98" s="4" t="s">
        <v>34</v>
      </c>
      <c r="I98" s="4" t="s">
        <v>497</v>
      </c>
      <c r="J98" s="1" t="s">
        <v>21</v>
      </c>
      <c r="K98" s="4" t="s">
        <v>22</v>
      </c>
      <c r="L98" s="4" t="s">
        <v>268</v>
      </c>
      <c r="M98" s="1">
        <v>13.1</v>
      </c>
      <c r="N98" s="5">
        <v>499000</v>
      </c>
      <c r="O98" s="4" t="s">
        <v>20</v>
      </c>
      <c r="P98" s="4" t="s">
        <v>497</v>
      </c>
      <c r="Q98" s="1" t="s">
        <v>21</v>
      </c>
      <c r="R98" s="4" t="s">
        <v>22</v>
      </c>
      <c r="S98" s="4" t="s">
        <v>273</v>
      </c>
      <c r="T98" s="14">
        <v>12</v>
      </c>
      <c r="U98" s="5">
        <v>270000</v>
      </c>
      <c r="V98" s="18">
        <v>13.3</v>
      </c>
    </row>
    <row r="99" spans="1:22" ht="23.5" customHeight="1" x14ac:dyDescent="0.4">
      <c r="A99" s="1">
        <v>97</v>
      </c>
      <c r="B99" s="3">
        <v>39640</v>
      </c>
      <c r="C99" s="4" t="s">
        <v>225</v>
      </c>
      <c r="D99" s="1">
        <v>13.1</v>
      </c>
      <c r="E99" s="5">
        <v>59000</v>
      </c>
      <c r="F99" s="2">
        <f t="shared" si="1"/>
        <v>772900</v>
      </c>
      <c r="G99" s="15">
        <f>8.66%*(59/104)</f>
        <v>4.9128846153846148E-2</v>
      </c>
      <c r="H99" s="4" t="s">
        <v>34</v>
      </c>
      <c r="I99" s="4" t="s">
        <v>497</v>
      </c>
      <c r="J99" s="1" t="s">
        <v>21</v>
      </c>
      <c r="K99" s="4" t="s">
        <v>22</v>
      </c>
      <c r="L99" s="4" t="s">
        <v>274</v>
      </c>
      <c r="M99" s="1">
        <v>13.1</v>
      </c>
      <c r="N99" s="5">
        <v>499000</v>
      </c>
      <c r="O99" s="4" t="s">
        <v>20</v>
      </c>
      <c r="P99" s="4" t="s">
        <v>497</v>
      </c>
      <c r="Q99" s="1" t="s">
        <v>21</v>
      </c>
      <c r="R99" s="4" t="s">
        <v>22</v>
      </c>
      <c r="S99" s="4" t="s">
        <v>273</v>
      </c>
      <c r="T99" s="14">
        <v>12</v>
      </c>
      <c r="U99" s="5">
        <v>270000</v>
      </c>
      <c r="V99" s="18">
        <v>13.3</v>
      </c>
    </row>
    <row r="100" spans="1:22" ht="23.5" customHeight="1" x14ac:dyDescent="0.4">
      <c r="A100" s="1">
        <v>98</v>
      </c>
      <c r="B100" s="3">
        <v>39645</v>
      </c>
      <c r="C100" s="4" t="s">
        <v>275</v>
      </c>
      <c r="D100" s="1">
        <v>15.65</v>
      </c>
      <c r="E100" s="5">
        <v>20000</v>
      </c>
      <c r="F100" s="2">
        <f t="shared" si="1"/>
        <v>313000</v>
      </c>
      <c r="G100" s="15">
        <f>77.06%*(20/84)</f>
        <v>0.18347619047619049</v>
      </c>
      <c r="H100" s="4" t="s">
        <v>34</v>
      </c>
      <c r="I100" s="4" t="s">
        <v>497</v>
      </c>
      <c r="J100" s="1" t="s">
        <v>21</v>
      </c>
      <c r="K100" s="4" t="s">
        <v>22</v>
      </c>
      <c r="L100" s="4" t="s">
        <v>276</v>
      </c>
      <c r="M100" s="1">
        <v>15.65</v>
      </c>
      <c r="N100" s="5">
        <v>499000</v>
      </c>
      <c r="O100" s="4" t="s">
        <v>157</v>
      </c>
      <c r="P100" s="4" t="s">
        <v>497</v>
      </c>
      <c r="Q100" s="1" t="s">
        <v>17</v>
      </c>
      <c r="R100" s="4" t="s">
        <v>158</v>
      </c>
      <c r="S100" s="4" t="s">
        <v>277</v>
      </c>
      <c r="T100" s="1">
        <v>15.6</v>
      </c>
      <c r="U100" s="5">
        <v>20000</v>
      </c>
      <c r="V100" s="18">
        <v>15.65</v>
      </c>
    </row>
    <row r="101" spans="1:22" ht="23.5" customHeight="1" x14ac:dyDescent="0.4">
      <c r="A101" s="1">
        <v>99</v>
      </c>
      <c r="B101" s="3">
        <v>39647</v>
      </c>
      <c r="C101" s="4" t="s">
        <v>278</v>
      </c>
      <c r="D101" s="1">
        <v>15.95</v>
      </c>
      <c r="E101" s="5">
        <v>24000</v>
      </c>
      <c r="F101" s="2">
        <f t="shared" si="1"/>
        <v>382800</v>
      </c>
      <c r="G101" s="15">
        <f>86.4%*(24/89)</f>
        <v>0.23298876404494384</v>
      </c>
      <c r="H101" s="4" t="s">
        <v>34</v>
      </c>
      <c r="I101" s="4" t="s">
        <v>497</v>
      </c>
      <c r="J101" s="1" t="s">
        <v>21</v>
      </c>
      <c r="K101" s="4" t="s">
        <v>22</v>
      </c>
      <c r="L101" s="4" t="s">
        <v>279</v>
      </c>
      <c r="M101" s="1">
        <v>15.95</v>
      </c>
      <c r="N101" s="5">
        <v>100000</v>
      </c>
      <c r="O101" s="4" t="s">
        <v>157</v>
      </c>
      <c r="P101" s="4" t="s">
        <v>497</v>
      </c>
      <c r="Q101" s="1" t="s">
        <v>17</v>
      </c>
      <c r="R101" s="4" t="s">
        <v>158</v>
      </c>
      <c r="S101" s="4" t="s">
        <v>280</v>
      </c>
      <c r="T101" s="1">
        <v>15.9</v>
      </c>
      <c r="U101" s="5">
        <v>30000</v>
      </c>
      <c r="V101" s="18">
        <v>15.95</v>
      </c>
    </row>
    <row r="102" spans="1:22" ht="23.5" customHeight="1" x14ac:dyDescent="0.4">
      <c r="A102" s="1">
        <v>100</v>
      </c>
      <c r="B102" s="3">
        <v>39647</v>
      </c>
      <c r="C102" s="4" t="s">
        <v>281</v>
      </c>
      <c r="D102" s="1">
        <v>16</v>
      </c>
      <c r="E102" s="5">
        <v>30000</v>
      </c>
      <c r="F102" s="2">
        <f t="shared" si="1"/>
        <v>480000</v>
      </c>
      <c r="G102" s="15">
        <f>79.36%*(30/100)</f>
        <v>0.23807999999999999</v>
      </c>
      <c r="H102" s="4" t="s">
        <v>34</v>
      </c>
      <c r="I102" s="4" t="s">
        <v>497</v>
      </c>
      <c r="J102" s="1" t="s">
        <v>21</v>
      </c>
      <c r="K102" s="4" t="s">
        <v>22</v>
      </c>
      <c r="L102" s="4" t="s">
        <v>282</v>
      </c>
      <c r="M102" s="1">
        <v>16</v>
      </c>
      <c r="N102" s="5">
        <v>100000</v>
      </c>
      <c r="O102" s="4" t="s">
        <v>157</v>
      </c>
      <c r="P102" s="4" t="s">
        <v>497</v>
      </c>
      <c r="Q102" s="1" t="s">
        <v>17</v>
      </c>
      <c r="R102" s="4" t="s">
        <v>158</v>
      </c>
      <c r="S102" s="4" t="s">
        <v>283</v>
      </c>
      <c r="T102" s="1">
        <v>15.95</v>
      </c>
      <c r="U102" s="5">
        <v>30000</v>
      </c>
      <c r="V102" s="18">
        <v>16</v>
      </c>
    </row>
    <row r="103" spans="1:22" ht="23.5" customHeight="1" x14ac:dyDescent="0.4">
      <c r="A103" s="1">
        <v>101</v>
      </c>
      <c r="B103" s="3">
        <v>39651</v>
      </c>
      <c r="C103" s="4" t="s">
        <v>284</v>
      </c>
      <c r="D103" s="1">
        <v>17.899999999999999</v>
      </c>
      <c r="E103" s="5">
        <v>50000</v>
      </c>
      <c r="F103" s="2">
        <f t="shared" si="1"/>
        <v>894999.99999999988</v>
      </c>
      <c r="G103" s="15">
        <f>89.28%*(50/100)</f>
        <v>0.44640000000000002</v>
      </c>
      <c r="H103" s="4" t="s">
        <v>34</v>
      </c>
      <c r="I103" s="4" t="s">
        <v>497</v>
      </c>
      <c r="J103" s="1" t="s">
        <v>21</v>
      </c>
      <c r="K103" s="4" t="s">
        <v>22</v>
      </c>
      <c r="L103" s="4" t="s">
        <v>285</v>
      </c>
      <c r="M103" s="1">
        <v>17.899999999999999</v>
      </c>
      <c r="N103" s="5">
        <v>100000</v>
      </c>
      <c r="O103" s="4" t="s">
        <v>34</v>
      </c>
      <c r="P103" s="4" t="s">
        <v>497</v>
      </c>
      <c r="Q103" s="1" t="s">
        <v>21</v>
      </c>
      <c r="R103" s="4" t="s">
        <v>22</v>
      </c>
      <c r="S103" s="4" t="s">
        <v>286</v>
      </c>
      <c r="T103" s="1">
        <v>17.899999999999999</v>
      </c>
      <c r="U103" s="5">
        <v>50000</v>
      </c>
      <c r="V103" s="18">
        <v>0</v>
      </c>
    </row>
    <row r="104" spans="1:22" ht="23.5" customHeight="1" x14ac:dyDescent="0.4">
      <c r="A104" s="1">
        <v>102</v>
      </c>
      <c r="B104" s="3">
        <v>39651</v>
      </c>
      <c r="C104" s="4" t="s">
        <v>287</v>
      </c>
      <c r="D104" s="1">
        <v>18</v>
      </c>
      <c r="E104" s="5">
        <v>26000</v>
      </c>
      <c r="F104" s="2">
        <f t="shared" si="1"/>
        <v>468000</v>
      </c>
      <c r="G104" s="15">
        <f>62.5%*(26/50)</f>
        <v>0.32500000000000001</v>
      </c>
      <c r="H104" s="4" t="s">
        <v>34</v>
      </c>
      <c r="I104" s="4" t="s">
        <v>497</v>
      </c>
      <c r="J104" s="1" t="s">
        <v>21</v>
      </c>
      <c r="K104" s="4" t="s">
        <v>22</v>
      </c>
      <c r="L104" s="4" t="s">
        <v>288</v>
      </c>
      <c r="M104" s="1">
        <v>18</v>
      </c>
      <c r="N104" s="5">
        <v>50000</v>
      </c>
      <c r="O104" s="4" t="s">
        <v>34</v>
      </c>
      <c r="P104" s="4" t="s">
        <v>497</v>
      </c>
      <c r="Q104" s="1" t="s">
        <v>21</v>
      </c>
      <c r="R104" s="4" t="s">
        <v>22</v>
      </c>
      <c r="S104" s="4" t="s">
        <v>289</v>
      </c>
      <c r="T104" s="1">
        <v>18</v>
      </c>
      <c r="U104" s="5">
        <v>200000</v>
      </c>
      <c r="V104" s="18">
        <v>0</v>
      </c>
    </row>
    <row r="105" spans="1:22" ht="23.5" customHeight="1" x14ac:dyDescent="0.4">
      <c r="A105" s="1">
        <v>103</v>
      </c>
      <c r="B105" s="3">
        <v>39651</v>
      </c>
      <c r="C105" s="4" t="s">
        <v>290</v>
      </c>
      <c r="D105" s="1">
        <v>18</v>
      </c>
      <c r="E105" s="5">
        <v>50000</v>
      </c>
      <c r="F105" s="2">
        <f t="shared" si="1"/>
        <v>900000</v>
      </c>
      <c r="G105" s="15">
        <v>0.46289999999999998</v>
      </c>
      <c r="H105" s="4" t="s">
        <v>34</v>
      </c>
      <c r="I105" s="4" t="s">
        <v>497</v>
      </c>
      <c r="J105" s="1" t="s">
        <v>21</v>
      </c>
      <c r="K105" s="4" t="s">
        <v>22</v>
      </c>
      <c r="L105" s="4" t="s">
        <v>291</v>
      </c>
      <c r="M105" s="1">
        <v>18</v>
      </c>
      <c r="N105" s="5">
        <v>50000</v>
      </c>
      <c r="O105" s="4" t="s">
        <v>34</v>
      </c>
      <c r="P105" s="4" t="s">
        <v>497</v>
      </c>
      <c r="Q105" s="1" t="s">
        <v>21</v>
      </c>
      <c r="R105" s="4" t="s">
        <v>22</v>
      </c>
      <c r="S105" s="4" t="s">
        <v>289</v>
      </c>
      <c r="T105" s="1">
        <v>18</v>
      </c>
      <c r="U105" s="5">
        <v>200000</v>
      </c>
      <c r="V105" s="18">
        <v>0</v>
      </c>
    </row>
    <row r="106" spans="1:22" ht="23.5" customHeight="1" x14ac:dyDescent="0.4">
      <c r="A106" s="1">
        <v>104</v>
      </c>
      <c r="B106" s="3">
        <v>39651</v>
      </c>
      <c r="C106" s="4" t="s">
        <v>292</v>
      </c>
      <c r="D106" s="1">
        <v>18</v>
      </c>
      <c r="E106" s="5">
        <v>20000</v>
      </c>
      <c r="F106" s="2">
        <f t="shared" si="1"/>
        <v>360000</v>
      </c>
      <c r="G106" s="15">
        <v>0.8</v>
      </c>
      <c r="H106" s="4" t="s">
        <v>34</v>
      </c>
      <c r="I106" s="4" t="s">
        <v>497</v>
      </c>
      <c r="J106" s="1" t="s">
        <v>21</v>
      </c>
      <c r="K106" s="4" t="s">
        <v>22</v>
      </c>
      <c r="L106" s="4" t="s">
        <v>293</v>
      </c>
      <c r="M106" s="1">
        <v>18</v>
      </c>
      <c r="N106" s="5">
        <v>20000</v>
      </c>
      <c r="O106" s="4" t="s">
        <v>34</v>
      </c>
      <c r="P106" s="4" t="s">
        <v>497</v>
      </c>
      <c r="Q106" s="1" t="s">
        <v>21</v>
      </c>
      <c r="R106" s="4" t="s">
        <v>22</v>
      </c>
      <c r="S106" s="4" t="s">
        <v>294</v>
      </c>
      <c r="T106" s="1">
        <v>18</v>
      </c>
      <c r="U106" s="5">
        <v>50000</v>
      </c>
      <c r="V106" s="18">
        <v>18.05</v>
      </c>
    </row>
    <row r="107" spans="1:22" ht="23.5" customHeight="1" x14ac:dyDescent="0.4">
      <c r="A107" s="1">
        <v>105</v>
      </c>
      <c r="B107" s="3">
        <v>39652</v>
      </c>
      <c r="C107" s="4" t="s">
        <v>295</v>
      </c>
      <c r="D107" s="1">
        <v>19.399999999999999</v>
      </c>
      <c r="E107" s="5">
        <v>7000</v>
      </c>
      <c r="F107" s="2">
        <f t="shared" si="1"/>
        <v>135800</v>
      </c>
      <c r="G107" s="15">
        <f>58.82%*(7/30)</f>
        <v>0.13724666666666668</v>
      </c>
      <c r="H107" s="4" t="s">
        <v>34</v>
      </c>
      <c r="I107" s="4" t="s">
        <v>497</v>
      </c>
      <c r="J107" s="1" t="s">
        <v>21</v>
      </c>
      <c r="K107" s="4" t="s">
        <v>22</v>
      </c>
      <c r="L107" s="4" t="s">
        <v>296</v>
      </c>
      <c r="M107" s="1">
        <v>19.399999999999999</v>
      </c>
      <c r="N107" s="5">
        <v>30000</v>
      </c>
      <c r="O107" s="4" t="s">
        <v>34</v>
      </c>
      <c r="P107" s="4" t="s">
        <v>497</v>
      </c>
      <c r="Q107" s="1" t="s">
        <v>21</v>
      </c>
      <c r="R107" s="4" t="s">
        <v>22</v>
      </c>
      <c r="S107" s="4" t="s">
        <v>297</v>
      </c>
      <c r="T107" s="1">
        <v>19.399999999999999</v>
      </c>
      <c r="U107" s="5">
        <v>100000</v>
      </c>
      <c r="V107" s="18">
        <v>19.45</v>
      </c>
    </row>
    <row r="108" spans="1:22" ht="23.5" customHeight="1" x14ac:dyDescent="0.4">
      <c r="A108" s="1">
        <v>106</v>
      </c>
      <c r="B108" s="3">
        <v>39652</v>
      </c>
      <c r="C108" s="4" t="s">
        <v>298</v>
      </c>
      <c r="D108" s="1">
        <v>18.8</v>
      </c>
      <c r="E108" s="5">
        <v>20000</v>
      </c>
      <c r="F108" s="2">
        <f t="shared" si="1"/>
        <v>376000</v>
      </c>
      <c r="G108" s="15">
        <v>0.11559999999999999</v>
      </c>
      <c r="H108" s="4" t="s">
        <v>157</v>
      </c>
      <c r="I108" s="4" t="s">
        <v>497</v>
      </c>
      <c r="J108" s="1" t="s">
        <v>17</v>
      </c>
      <c r="K108" s="4" t="s">
        <v>299</v>
      </c>
      <c r="L108" s="4" t="s">
        <v>300</v>
      </c>
      <c r="M108" s="1">
        <v>18.850000000000001</v>
      </c>
      <c r="N108" s="5">
        <v>20000</v>
      </c>
      <c r="O108" s="4" t="s">
        <v>34</v>
      </c>
      <c r="P108" s="4" t="s">
        <v>497</v>
      </c>
      <c r="Q108" s="1" t="s">
        <v>21</v>
      </c>
      <c r="R108" s="4" t="s">
        <v>166</v>
      </c>
      <c r="S108" s="4" t="s">
        <v>301</v>
      </c>
      <c r="T108" s="14">
        <v>17.3</v>
      </c>
      <c r="U108" s="5">
        <v>50000</v>
      </c>
      <c r="V108" s="18">
        <v>18.850000000000001</v>
      </c>
    </row>
    <row r="109" spans="1:22" ht="23.5" customHeight="1" x14ac:dyDescent="0.4">
      <c r="A109" s="1">
        <v>107</v>
      </c>
      <c r="B109" s="3">
        <v>39652</v>
      </c>
      <c r="C109" s="4" t="s">
        <v>302</v>
      </c>
      <c r="D109" s="1">
        <v>18.899999999999999</v>
      </c>
      <c r="E109" s="5">
        <v>4000</v>
      </c>
      <c r="F109" s="2">
        <f t="shared" si="1"/>
        <v>75600</v>
      </c>
      <c r="G109" s="15">
        <f>68.96%*(4/20)</f>
        <v>0.13792000000000001</v>
      </c>
      <c r="H109" s="4" t="s">
        <v>157</v>
      </c>
      <c r="I109" s="4" t="s">
        <v>497</v>
      </c>
      <c r="J109" s="1" t="s">
        <v>17</v>
      </c>
      <c r="K109" s="4" t="s">
        <v>299</v>
      </c>
      <c r="L109" s="4" t="s">
        <v>303</v>
      </c>
      <c r="M109" s="14">
        <v>19.899999999999999</v>
      </c>
      <c r="N109" s="5">
        <v>20000</v>
      </c>
      <c r="O109" s="4" t="s">
        <v>34</v>
      </c>
      <c r="P109" s="4" t="s">
        <v>497</v>
      </c>
      <c r="Q109" s="1" t="s">
        <v>21</v>
      </c>
      <c r="R109" s="4" t="s">
        <v>166</v>
      </c>
      <c r="S109" s="4" t="s">
        <v>304</v>
      </c>
      <c r="T109" s="14">
        <v>17.3</v>
      </c>
      <c r="U109" s="5">
        <v>12000</v>
      </c>
      <c r="V109" s="18">
        <v>18.850000000000001</v>
      </c>
    </row>
    <row r="110" spans="1:22" ht="23.5" customHeight="1" x14ac:dyDescent="0.4">
      <c r="A110" s="1">
        <v>108</v>
      </c>
      <c r="B110" s="3">
        <v>39652</v>
      </c>
      <c r="C110" s="4" t="s">
        <v>305</v>
      </c>
      <c r="D110" s="1">
        <v>19.05</v>
      </c>
      <c r="E110" s="5">
        <v>6000</v>
      </c>
      <c r="F110" s="2">
        <f t="shared" si="1"/>
        <v>114300</v>
      </c>
      <c r="G110" s="15">
        <f>84.74%*(6/50)</f>
        <v>0.10168799999999999</v>
      </c>
      <c r="H110" s="4" t="s">
        <v>157</v>
      </c>
      <c r="I110" s="4" t="s">
        <v>497</v>
      </c>
      <c r="J110" s="1" t="s">
        <v>17</v>
      </c>
      <c r="K110" s="4" t="s">
        <v>299</v>
      </c>
      <c r="L110" s="4" t="s">
        <v>306</v>
      </c>
      <c r="M110" s="14">
        <v>19.899999999999999</v>
      </c>
      <c r="N110" s="5">
        <v>50000</v>
      </c>
      <c r="O110" s="4" t="s">
        <v>157</v>
      </c>
      <c r="P110" s="4" t="s">
        <v>497</v>
      </c>
      <c r="Q110" s="1" t="s">
        <v>17</v>
      </c>
      <c r="R110" s="4" t="s">
        <v>158</v>
      </c>
      <c r="S110" s="4" t="s">
        <v>307</v>
      </c>
      <c r="T110" s="1">
        <v>19.05</v>
      </c>
      <c r="U110" s="5">
        <v>50000</v>
      </c>
      <c r="V110" s="18">
        <v>18.8</v>
      </c>
    </row>
    <row r="111" spans="1:22" ht="23.5" customHeight="1" x14ac:dyDescent="0.4">
      <c r="A111" s="1">
        <v>109</v>
      </c>
      <c r="B111" s="3">
        <v>39652</v>
      </c>
      <c r="C111" s="4" t="s">
        <v>308</v>
      </c>
      <c r="D111" s="1">
        <v>19.100000000000001</v>
      </c>
      <c r="E111" s="5">
        <v>44000</v>
      </c>
      <c r="F111" s="2">
        <f t="shared" si="1"/>
        <v>840400.00000000012</v>
      </c>
      <c r="G111" s="15">
        <f>98.03%*(44/100)</f>
        <v>0.43133200000000005</v>
      </c>
      <c r="H111" s="4" t="s">
        <v>157</v>
      </c>
      <c r="I111" s="4" t="s">
        <v>497</v>
      </c>
      <c r="J111" s="1" t="s">
        <v>17</v>
      </c>
      <c r="K111" s="4" t="s">
        <v>299</v>
      </c>
      <c r="L111" s="4" t="s">
        <v>309</v>
      </c>
      <c r="M111" s="14">
        <v>19.899999999999999</v>
      </c>
      <c r="N111" s="5">
        <v>100000</v>
      </c>
      <c r="O111" s="4" t="s">
        <v>157</v>
      </c>
      <c r="P111" s="4" t="s">
        <v>497</v>
      </c>
      <c r="Q111" s="1" t="s">
        <v>17</v>
      </c>
      <c r="R111" s="4" t="s">
        <v>158</v>
      </c>
      <c r="S111" s="4" t="s">
        <v>307</v>
      </c>
      <c r="T111" s="1">
        <v>19.05</v>
      </c>
      <c r="U111" s="5">
        <v>50000</v>
      </c>
      <c r="V111" s="18">
        <v>18.8</v>
      </c>
    </row>
    <row r="112" spans="1:22" ht="23.5" customHeight="1" x14ac:dyDescent="0.4">
      <c r="A112" s="1">
        <v>110</v>
      </c>
      <c r="B112" s="3">
        <v>39652</v>
      </c>
      <c r="C112" s="4" t="s">
        <v>310</v>
      </c>
      <c r="D112" s="1">
        <v>19.100000000000001</v>
      </c>
      <c r="E112" s="5">
        <v>100000</v>
      </c>
      <c r="F112" s="2">
        <f t="shared" si="1"/>
        <v>1910000.0000000002</v>
      </c>
      <c r="G112" s="15">
        <f>79.84%*(100/103)</f>
        <v>0.77514563106796119</v>
      </c>
      <c r="H112" s="4" t="s">
        <v>157</v>
      </c>
      <c r="I112" s="4" t="s">
        <v>497</v>
      </c>
      <c r="J112" s="1" t="s">
        <v>17</v>
      </c>
      <c r="K112" s="4" t="s">
        <v>181</v>
      </c>
      <c r="L112" s="1"/>
      <c r="M112" s="1"/>
      <c r="N112" s="1"/>
      <c r="O112" s="4" t="s">
        <v>157</v>
      </c>
      <c r="P112" s="4" t="s">
        <v>497</v>
      </c>
      <c r="Q112" s="1" t="s">
        <v>17</v>
      </c>
      <c r="R112" s="4" t="s">
        <v>158</v>
      </c>
      <c r="S112" s="4" t="s">
        <v>311</v>
      </c>
      <c r="T112" s="1">
        <v>19.100000000000001</v>
      </c>
      <c r="U112" s="5">
        <v>100000</v>
      </c>
      <c r="V112" s="18">
        <v>18.8</v>
      </c>
    </row>
    <row r="113" spans="1:22" ht="23.5" customHeight="1" x14ac:dyDescent="0.4">
      <c r="A113" s="1">
        <v>111</v>
      </c>
      <c r="B113" s="3">
        <v>39652</v>
      </c>
      <c r="C113" s="4" t="s">
        <v>312</v>
      </c>
      <c r="D113" s="1">
        <v>19.100000000000001</v>
      </c>
      <c r="E113" s="5">
        <v>8000</v>
      </c>
      <c r="F113" s="2">
        <f t="shared" si="1"/>
        <v>152800</v>
      </c>
      <c r="G113" s="15">
        <f>97.97%*(8/97)</f>
        <v>8.0799999999999997E-2</v>
      </c>
      <c r="H113" s="4" t="s">
        <v>157</v>
      </c>
      <c r="I113" s="4" t="s">
        <v>497</v>
      </c>
      <c r="J113" s="1" t="s">
        <v>17</v>
      </c>
      <c r="K113" s="4" t="s">
        <v>181</v>
      </c>
      <c r="L113" s="1"/>
      <c r="M113" s="1"/>
      <c r="N113" s="1"/>
      <c r="O113" s="4" t="s">
        <v>34</v>
      </c>
      <c r="P113" s="4" t="s">
        <v>497</v>
      </c>
      <c r="Q113" s="1" t="s">
        <v>21</v>
      </c>
      <c r="R113" s="4" t="s">
        <v>313</v>
      </c>
      <c r="S113" s="4" t="s">
        <v>314</v>
      </c>
      <c r="T113" s="14">
        <v>17.3</v>
      </c>
      <c r="U113" s="5">
        <v>10000</v>
      </c>
      <c r="V113" s="18">
        <v>19.2</v>
      </c>
    </row>
    <row r="114" spans="1:22" ht="23.5" customHeight="1" x14ac:dyDescent="0.4">
      <c r="A114" s="1">
        <v>112</v>
      </c>
      <c r="B114" s="3">
        <v>39652</v>
      </c>
      <c r="C114" s="4" t="s">
        <v>312</v>
      </c>
      <c r="D114" s="1">
        <v>19.100000000000001</v>
      </c>
      <c r="E114" s="5">
        <v>30000</v>
      </c>
      <c r="F114" s="2">
        <f t="shared" si="1"/>
        <v>573000</v>
      </c>
      <c r="G114" s="15">
        <f>97.97%*(30/97)</f>
        <v>0.30299999999999999</v>
      </c>
      <c r="H114" s="4" t="s">
        <v>157</v>
      </c>
      <c r="I114" s="4" t="s">
        <v>497</v>
      </c>
      <c r="J114" s="1" t="s">
        <v>17</v>
      </c>
      <c r="K114" s="4" t="s">
        <v>181</v>
      </c>
      <c r="L114" s="1"/>
      <c r="M114" s="1"/>
      <c r="N114" s="1"/>
      <c r="O114" s="4" t="s">
        <v>34</v>
      </c>
      <c r="P114" s="4" t="s">
        <v>497</v>
      </c>
      <c r="Q114" s="1" t="s">
        <v>21</v>
      </c>
      <c r="R114" s="4" t="s">
        <v>313</v>
      </c>
      <c r="S114" s="4" t="s">
        <v>315</v>
      </c>
      <c r="T114" s="14">
        <v>17.3</v>
      </c>
      <c r="U114" s="5">
        <v>30000</v>
      </c>
      <c r="V114" s="18">
        <v>19.2</v>
      </c>
    </row>
    <row r="115" spans="1:22" ht="23.5" customHeight="1" x14ac:dyDescent="0.4">
      <c r="A115" s="1">
        <v>113</v>
      </c>
      <c r="B115" s="3">
        <v>39652</v>
      </c>
      <c r="C115" s="4" t="s">
        <v>316</v>
      </c>
      <c r="D115" s="1">
        <v>18.600000000000001</v>
      </c>
      <c r="E115" s="5">
        <v>20000</v>
      </c>
      <c r="F115" s="2">
        <f t="shared" si="1"/>
        <v>372000</v>
      </c>
      <c r="G115" s="15">
        <f>96.51%*(20/83)</f>
        <v>0.23255421686746988</v>
      </c>
      <c r="H115" s="4" t="s">
        <v>157</v>
      </c>
      <c r="I115" s="4" t="s">
        <v>497</v>
      </c>
      <c r="J115" s="1" t="s">
        <v>17</v>
      </c>
      <c r="K115" s="4" t="s">
        <v>299</v>
      </c>
      <c r="L115" s="4" t="s">
        <v>317</v>
      </c>
      <c r="M115" s="1">
        <v>18.600000000000001</v>
      </c>
      <c r="N115" s="5">
        <v>100000</v>
      </c>
      <c r="O115" s="4" t="s">
        <v>271</v>
      </c>
      <c r="P115" s="4" t="s">
        <v>497</v>
      </c>
      <c r="Q115" s="1" t="s">
        <v>21</v>
      </c>
      <c r="R115" s="4" t="s">
        <v>22</v>
      </c>
      <c r="S115" s="4" t="s">
        <v>318</v>
      </c>
      <c r="T115" s="1">
        <v>18.5</v>
      </c>
      <c r="U115" s="5">
        <v>20000</v>
      </c>
      <c r="V115" s="18">
        <v>18.600000000000001</v>
      </c>
    </row>
    <row r="116" spans="1:22" ht="23.5" customHeight="1" x14ac:dyDescent="0.4">
      <c r="A116" s="1">
        <v>114</v>
      </c>
      <c r="B116" s="3">
        <v>39652</v>
      </c>
      <c r="C116" s="4" t="s">
        <v>319</v>
      </c>
      <c r="D116" s="1">
        <v>17.899999999999999</v>
      </c>
      <c r="E116" s="5">
        <v>83000</v>
      </c>
      <c r="F116" s="2">
        <f t="shared" si="1"/>
        <v>1485699.9999999998</v>
      </c>
      <c r="G116" s="15">
        <f>100%*(83/100)</f>
        <v>0.83</v>
      </c>
      <c r="H116" s="4" t="s">
        <v>157</v>
      </c>
      <c r="I116" s="4" t="s">
        <v>497</v>
      </c>
      <c r="J116" s="1" t="s">
        <v>17</v>
      </c>
      <c r="K116" s="4" t="s">
        <v>320</v>
      </c>
      <c r="L116" s="4" t="s">
        <v>321</v>
      </c>
      <c r="M116" s="14">
        <v>19.899999999999999</v>
      </c>
      <c r="N116" s="5">
        <v>100000</v>
      </c>
      <c r="O116" s="4" t="s">
        <v>157</v>
      </c>
      <c r="P116" s="4" t="s">
        <v>497</v>
      </c>
      <c r="Q116" s="1" t="s">
        <v>17</v>
      </c>
      <c r="R116" s="4" t="s">
        <v>158</v>
      </c>
      <c r="S116" s="4" t="s">
        <v>322</v>
      </c>
      <c r="T116" s="1">
        <v>17.899999999999999</v>
      </c>
      <c r="U116" s="5">
        <v>100000</v>
      </c>
      <c r="V116" s="18">
        <v>17.899999999999999</v>
      </c>
    </row>
    <row r="117" spans="1:22" ht="23.5" customHeight="1" x14ac:dyDescent="0.4">
      <c r="A117" s="1">
        <v>115</v>
      </c>
      <c r="B117" s="3">
        <v>39652</v>
      </c>
      <c r="C117" s="4" t="s">
        <v>323</v>
      </c>
      <c r="D117" s="1">
        <v>17.95</v>
      </c>
      <c r="E117" s="5">
        <v>17000</v>
      </c>
      <c r="F117" s="2">
        <f t="shared" si="1"/>
        <v>305150</v>
      </c>
      <c r="G117" s="15">
        <f>97.08%*(17/100)</f>
        <v>0.16503600000000002</v>
      </c>
      <c r="H117" s="4" t="s">
        <v>157</v>
      </c>
      <c r="I117" s="4" t="s">
        <v>497</v>
      </c>
      <c r="J117" s="1" t="s">
        <v>17</v>
      </c>
      <c r="K117" s="4" t="s">
        <v>320</v>
      </c>
      <c r="L117" s="4" t="s">
        <v>324</v>
      </c>
      <c r="M117" s="14">
        <v>19.899999999999999</v>
      </c>
      <c r="N117" s="5">
        <v>100000</v>
      </c>
      <c r="O117" s="4" t="s">
        <v>157</v>
      </c>
      <c r="P117" s="4" t="s">
        <v>497</v>
      </c>
      <c r="Q117" s="1" t="s">
        <v>17</v>
      </c>
      <c r="R117" s="4" t="s">
        <v>158</v>
      </c>
      <c r="S117" s="4" t="s">
        <v>322</v>
      </c>
      <c r="T117" s="1">
        <v>17.899999999999999</v>
      </c>
      <c r="U117" s="5">
        <v>100000</v>
      </c>
      <c r="V117" s="18">
        <v>17.899999999999999</v>
      </c>
    </row>
    <row r="118" spans="1:22" ht="23.5" customHeight="1" x14ac:dyDescent="0.4">
      <c r="A118" s="1">
        <v>116</v>
      </c>
      <c r="B118" s="3">
        <v>39652</v>
      </c>
      <c r="C118" s="4" t="s">
        <v>323</v>
      </c>
      <c r="D118" s="1">
        <v>17.95</v>
      </c>
      <c r="E118" s="5">
        <v>74000</v>
      </c>
      <c r="F118" s="2">
        <f t="shared" si="1"/>
        <v>1328300</v>
      </c>
      <c r="G118" s="15">
        <f>97.08%*(74/100)</f>
        <v>0.71839200000000003</v>
      </c>
      <c r="H118" s="4" t="s">
        <v>157</v>
      </c>
      <c r="I118" s="4" t="s">
        <v>497</v>
      </c>
      <c r="J118" s="1" t="s">
        <v>17</v>
      </c>
      <c r="K118" s="4" t="s">
        <v>320</v>
      </c>
      <c r="L118" s="4" t="s">
        <v>324</v>
      </c>
      <c r="M118" s="14">
        <v>19.899999999999999</v>
      </c>
      <c r="N118" s="5">
        <v>100000</v>
      </c>
      <c r="O118" s="4" t="s">
        <v>157</v>
      </c>
      <c r="P118" s="4" t="s">
        <v>497</v>
      </c>
      <c r="Q118" s="1" t="s">
        <v>17</v>
      </c>
      <c r="R118" s="4" t="s">
        <v>158</v>
      </c>
      <c r="S118" s="4" t="s">
        <v>325</v>
      </c>
      <c r="T118" s="1">
        <v>17.95</v>
      </c>
      <c r="U118" s="5">
        <v>100000</v>
      </c>
      <c r="V118" s="18">
        <v>17.899999999999999</v>
      </c>
    </row>
    <row r="119" spans="1:22" ht="23.5" customHeight="1" x14ac:dyDescent="0.4">
      <c r="A119" s="1">
        <v>117</v>
      </c>
      <c r="B119" s="3">
        <v>39652</v>
      </c>
      <c r="C119" s="4" t="s">
        <v>326</v>
      </c>
      <c r="D119" s="1">
        <v>17.95</v>
      </c>
      <c r="E119" s="5">
        <v>23000</v>
      </c>
      <c r="F119" s="2">
        <f t="shared" si="1"/>
        <v>412850</v>
      </c>
      <c r="G119" s="15">
        <f>100%*(23/100)</f>
        <v>0.23</v>
      </c>
      <c r="H119" s="4" t="s">
        <v>157</v>
      </c>
      <c r="I119" s="4" t="s">
        <v>497</v>
      </c>
      <c r="J119" s="1" t="s">
        <v>17</v>
      </c>
      <c r="K119" s="4" t="s">
        <v>320</v>
      </c>
      <c r="L119" s="4" t="s">
        <v>327</v>
      </c>
      <c r="M119" s="14">
        <v>19.899999999999999</v>
      </c>
      <c r="N119" s="5">
        <v>100000</v>
      </c>
      <c r="O119" s="4" t="s">
        <v>157</v>
      </c>
      <c r="P119" s="4" t="s">
        <v>497</v>
      </c>
      <c r="Q119" s="1" t="s">
        <v>17</v>
      </c>
      <c r="R119" s="4" t="s">
        <v>158</v>
      </c>
      <c r="S119" s="4" t="s">
        <v>325</v>
      </c>
      <c r="T119" s="1">
        <v>17.95</v>
      </c>
      <c r="U119" s="5">
        <v>100000</v>
      </c>
      <c r="V119" s="18">
        <v>17.899999999999999</v>
      </c>
    </row>
    <row r="120" spans="1:22" ht="23.5" customHeight="1" x14ac:dyDescent="0.4">
      <c r="A120" s="1">
        <v>118</v>
      </c>
      <c r="B120" s="3">
        <v>39652</v>
      </c>
      <c r="C120" s="4" t="s">
        <v>326</v>
      </c>
      <c r="D120" s="1">
        <v>17.95</v>
      </c>
      <c r="E120" s="5">
        <v>77000</v>
      </c>
      <c r="F120" s="2">
        <f t="shared" si="1"/>
        <v>1382150</v>
      </c>
      <c r="G120" s="15">
        <f>100%*(77/100)</f>
        <v>0.77</v>
      </c>
      <c r="H120" s="4" t="s">
        <v>157</v>
      </c>
      <c r="I120" s="4" t="s">
        <v>497</v>
      </c>
      <c r="J120" s="1" t="s">
        <v>17</v>
      </c>
      <c r="K120" s="4" t="s">
        <v>320</v>
      </c>
      <c r="L120" s="4" t="s">
        <v>327</v>
      </c>
      <c r="M120" s="14">
        <v>19.899999999999999</v>
      </c>
      <c r="N120" s="5">
        <v>100000</v>
      </c>
      <c r="O120" s="4" t="s">
        <v>157</v>
      </c>
      <c r="P120" s="4" t="s">
        <v>497</v>
      </c>
      <c r="Q120" s="1" t="s">
        <v>17</v>
      </c>
      <c r="R120" s="4" t="s">
        <v>158</v>
      </c>
      <c r="S120" s="4" t="s">
        <v>328</v>
      </c>
      <c r="T120" s="1">
        <v>17.95</v>
      </c>
      <c r="U120" s="5">
        <v>100000</v>
      </c>
      <c r="V120" s="18">
        <v>17.899999999999999</v>
      </c>
    </row>
    <row r="121" spans="1:22" ht="23.5" customHeight="1" x14ac:dyDescent="0.4">
      <c r="A121" s="1">
        <v>119</v>
      </c>
      <c r="B121" s="3">
        <v>39652</v>
      </c>
      <c r="C121" s="4" t="s">
        <v>329</v>
      </c>
      <c r="D121" s="1">
        <v>18.149999999999999</v>
      </c>
      <c r="E121" s="5">
        <v>5000</v>
      </c>
      <c r="F121" s="2">
        <f t="shared" si="1"/>
        <v>90750</v>
      </c>
      <c r="G121" s="15">
        <f>100%*(5/100)</f>
        <v>0.05</v>
      </c>
      <c r="H121" s="4" t="s">
        <v>157</v>
      </c>
      <c r="I121" s="4" t="s">
        <v>497</v>
      </c>
      <c r="J121" s="1" t="s">
        <v>17</v>
      </c>
      <c r="K121" s="4" t="s">
        <v>320</v>
      </c>
      <c r="L121" s="4" t="s">
        <v>330</v>
      </c>
      <c r="M121" s="14">
        <v>19.899999999999999</v>
      </c>
      <c r="N121" s="5">
        <v>100000</v>
      </c>
      <c r="O121" s="4" t="s">
        <v>20</v>
      </c>
      <c r="P121" s="4" t="s">
        <v>497</v>
      </c>
      <c r="Q121" s="1" t="s">
        <v>21</v>
      </c>
      <c r="R121" s="4" t="s">
        <v>22</v>
      </c>
      <c r="S121" s="4" t="s">
        <v>331</v>
      </c>
      <c r="T121" s="14">
        <v>17.3</v>
      </c>
      <c r="U121" s="5">
        <v>5000</v>
      </c>
      <c r="V121" s="18">
        <v>18.100000000000001</v>
      </c>
    </row>
    <row r="122" spans="1:22" ht="23.5" customHeight="1" x14ac:dyDescent="0.4">
      <c r="A122" s="1">
        <v>120</v>
      </c>
      <c r="B122" s="3">
        <v>39652</v>
      </c>
      <c r="C122" s="4" t="s">
        <v>329</v>
      </c>
      <c r="D122" s="1">
        <v>18.149999999999999</v>
      </c>
      <c r="E122" s="5">
        <v>86000</v>
      </c>
      <c r="F122" s="2">
        <f t="shared" si="1"/>
        <v>1560899.9999999998</v>
      </c>
      <c r="G122" s="15">
        <f>100%*(86/100)</f>
        <v>0.86</v>
      </c>
      <c r="H122" s="4" t="s">
        <v>157</v>
      </c>
      <c r="I122" s="4" t="s">
        <v>497</v>
      </c>
      <c r="J122" s="1" t="s">
        <v>17</v>
      </c>
      <c r="K122" s="4" t="s">
        <v>320</v>
      </c>
      <c r="L122" s="4" t="s">
        <v>330</v>
      </c>
      <c r="M122" s="14">
        <v>19.899999999999999</v>
      </c>
      <c r="N122" s="5">
        <v>100000</v>
      </c>
      <c r="O122" s="4" t="s">
        <v>157</v>
      </c>
      <c r="P122" s="4" t="s">
        <v>497</v>
      </c>
      <c r="Q122" s="1" t="s">
        <v>17</v>
      </c>
      <c r="R122" s="4" t="s">
        <v>299</v>
      </c>
      <c r="S122" s="4" t="s">
        <v>332</v>
      </c>
      <c r="T122" s="1">
        <v>18.149999999999999</v>
      </c>
      <c r="U122" s="5">
        <v>100000</v>
      </c>
      <c r="V122" s="18">
        <v>18.149999999999999</v>
      </c>
    </row>
    <row r="123" spans="1:22" ht="23.5" customHeight="1" x14ac:dyDescent="0.4">
      <c r="A123" s="1">
        <v>121</v>
      </c>
      <c r="B123" s="3">
        <v>39652</v>
      </c>
      <c r="C123" s="4" t="s">
        <v>333</v>
      </c>
      <c r="D123" s="1">
        <v>18.3</v>
      </c>
      <c r="E123" s="5">
        <v>3000</v>
      </c>
      <c r="F123" s="2">
        <f t="shared" si="1"/>
        <v>54900</v>
      </c>
      <c r="G123" s="15">
        <f>98.68%*(3/150)</f>
        <v>1.9736000000000004E-2</v>
      </c>
      <c r="H123" s="4" t="s">
        <v>157</v>
      </c>
      <c r="I123" s="4" t="s">
        <v>497</v>
      </c>
      <c r="J123" s="1" t="s">
        <v>17</v>
      </c>
      <c r="K123" s="4" t="s">
        <v>320</v>
      </c>
      <c r="L123" s="4" t="s">
        <v>334</v>
      </c>
      <c r="M123" s="14">
        <v>19.899999999999999</v>
      </c>
      <c r="N123" s="5">
        <v>150000</v>
      </c>
      <c r="O123" s="4" t="s">
        <v>20</v>
      </c>
      <c r="P123" s="4" t="s">
        <v>497</v>
      </c>
      <c r="Q123" s="1" t="s">
        <v>21</v>
      </c>
      <c r="R123" s="4" t="s">
        <v>22</v>
      </c>
      <c r="S123" s="4" t="s">
        <v>335</v>
      </c>
      <c r="T123" s="14">
        <v>17.3</v>
      </c>
      <c r="U123" s="5">
        <v>5000</v>
      </c>
      <c r="V123" s="18">
        <v>18.149999999999999</v>
      </c>
    </row>
    <row r="124" spans="1:22" ht="23.5" customHeight="1" x14ac:dyDescent="0.4">
      <c r="A124" s="1">
        <v>122</v>
      </c>
      <c r="B124" s="3">
        <v>39652</v>
      </c>
      <c r="C124" s="4" t="s">
        <v>333</v>
      </c>
      <c r="D124" s="1">
        <v>18.3</v>
      </c>
      <c r="E124" s="5">
        <v>14000</v>
      </c>
      <c r="F124" s="2">
        <f t="shared" si="1"/>
        <v>256200</v>
      </c>
      <c r="G124" s="15">
        <f>98.68%*(14/150)</f>
        <v>9.2101333333333354E-2</v>
      </c>
      <c r="H124" s="4" t="s">
        <v>157</v>
      </c>
      <c r="I124" s="4" t="s">
        <v>497</v>
      </c>
      <c r="J124" s="1" t="s">
        <v>17</v>
      </c>
      <c r="K124" s="4" t="s">
        <v>320</v>
      </c>
      <c r="L124" s="4" t="s">
        <v>334</v>
      </c>
      <c r="M124" s="14">
        <v>19.899999999999999</v>
      </c>
      <c r="N124" s="5">
        <v>150000</v>
      </c>
      <c r="O124" s="4" t="s">
        <v>157</v>
      </c>
      <c r="P124" s="4" t="s">
        <v>497</v>
      </c>
      <c r="Q124" s="1" t="s">
        <v>17</v>
      </c>
      <c r="R124" s="4" t="s">
        <v>299</v>
      </c>
      <c r="S124" s="4" t="s">
        <v>332</v>
      </c>
      <c r="T124" s="1">
        <v>18.149999999999999</v>
      </c>
      <c r="U124" s="5">
        <v>100000</v>
      </c>
      <c r="V124" s="18">
        <v>18.149999999999999</v>
      </c>
    </row>
    <row r="125" spans="1:22" ht="23.5" customHeight="1" x14ac:dyDescent="0.4">
      <c r="A125" s="1">
        <v>123</v>
      </c>
      <c r="B125" s="3">
        <v>39652</v>
      </c>
      <c r="C125" s="4" t="s">
        <v>333</v>
      </c>
      <c r="D125" s="1">
        <v>18.3</v>
      </c>
      <c r="E125" s="5">
        <v>50000</v>
      </c>
      <c r="F125" s="2">
        <f t="shared" si="1"/>
        <v>915000</v>
      </c>
      <c r="G125" s="15">
        <f>98.68%*(50/150)</f>
        <v>0.32893333333333336</v>
      </c>
      <c r="H125" s="4" t="s">
        <v>157</v>
      </c>
      <c r="I125" s="4" t="s">
        <v>497</v>
      </c>
      <c r="J125" s="1" t="s">
        <v>17</v>
      </c>
      <c r="K125" s="4" t="s">
        <v>320</v>
      </c>
      <c r="L125" s="4" t="s">
        <v>334</v>
      </c>
      <c r="M125" s="14">
        <v>19.899999999999999</v>
      </c>
      <c r="N125" s="5">
        <v>150000</v>
      </c>
      <c r="O125" s="4" t="s">
        <v>157</v>
      </c>
      <c r="P125" s="4" t="s">
        <v>497</v>
      </c>
      <c r="Q125" s="1" t="s">
        <v>17</v>
      </c>
      <c r="R125" s="4" t="s">
        <v>158</v>
      </c>
      <c r="S125" s="4" t="s">
        <v>336</v>
      </c>
      <c r="T125" s="1">
        <v>18.25</v>
      </c>
      <c r="U125" s="5">
        <v>50000</v>
      </c>
      <c r="V125" s="18">
        <v>18.100000000000001</v>
      </c>
    </row>
    <row r="126" spans="1:22" ht="23.5" customHeight="1" x14ac:dyDescent="0.4">
      <c r="A126" s="1">
        <v>124</v>
      </c>
      <c r="B126" s="3">
        <v>39652</v>
      </c>
      <c r="C126" s="4" t="s">
        <v>333</v>
      </c>
      <c r="D126" s="1">
        <v>18.3</v>
      </c>
      <c r="E126" s="5">
        <v>13000</v>
      </c>
      <c r="F126" s="2">
        <f t="shared" si="1"/>
        <v>237900</v>
      </c>
      <c r="G126" s="15">
        <f>98.68%*(13/150)</f>
        <v>8.5522666666666677E-2</v>
      </c>
      <c r="H126" s="4" t="s">
        <v>157</v>
      </c>
      <c r="I126" s="4" t="s">
        <v>497</v>
      </c>
      <c r="J126" s="1" t="s">
        <v>17</v>
      </c>
      <c r="K126" s="4" t="s">
        <v>320</v>
      </c>
      <c r="L126" s="4" t="s">
        <v>334</v>
      </c>
      <c r="M126" s="14">
        <v>19.899999999999999</v>
      </c>
      <c r="N126" s="5">
        <v>150000</v>
      </c>
      <c r="O126" s="4" t="s">
        <v>157</v>
      </c>
      <c r="P126" s="4" t="s">
        <v>497</v>
      </c>
      <c r="Q126" s="1" t="s">
        <v>17</v>
      </c>
      <c r="R126" s="4" t="s">
        <v>158</v>
      </c>
      <c r="S126" s="4" t="s">
        <v>337</v>
      </c>
      <c r="T126" s="1">
        <v>18.3</v>
      </c>
      <c r="U126" s="5">
        <v>150000</v>
      </c>
      <c r="V126" s="18">
        <v>18.05</v>
      </c>
    </row>
    <row r="127" spans="1:22" ht="23.5" customHeight="1" x14ac:dyDescent="0.4">
      <c r="A127" s="1">
        <v>125</v>
      </c>
      <c r="B127" s="3">
        <v>39652</v>
      </c>
      <c r="C127" s="4" t="s">
        <v>338</v>
      </c>
      <c r="D127" s="1">
        <v>18.3</v>
      </c>
      <c r="E127" s="5">
        <v>5000</v>
      </c>
      <c r="F127" s="2">
        <f t="shared" si="1"/>
        <v>91500</v>
      </c>
      <c r="G127" s="15">
        <f>86.95%*(5/100)</f>
        <v>4.3475000000000007E-2</v>
      </c>
      <c r="H127" s="4" t="s">
        <v>157</v>
      </c>
      <c r="I127" s="4" t="s">
        <v>497</v>
      </c>
      <c r="J127" s="1" t="s">
        <v>17</v>
      </c>
      <c r="K127" s="4" t="s">
        <v>320</v>
      </c>
      <c r="L127" s="4" t="s">
        <v>339</v>
      </c>
      <c r="M127" s="14">
        <v>19.899999999999999</v>
      </c>
      <c r="N127" s="5">
        <v>100000</v>
      </c>
      <c r="O127" s="4" t="s">
        <v>20</v>
      </c>
      <c r="P127" s="4" t="s">
        <v>497</v>
      </c>
      <c r="Q127" s="1" t="s">
        <v>21</v>
      </c>
      <c r="R127" s="4" t="s">
        <v>22</v>
      </c>
      <c r="S127" s="4" t="s">
        <v>340</v>
      </c>
      <c r="T127" s="14">
        <v>17.3</v>
      </c>
      <c r="U127" s="5">
        <v>5000</v>
      </c>
      <c r="V127" s="18">
        <v>18.3</v>
      </c>
    </row>
    <row r="128" spans="1:22" ht="23.5" customHeight="1" x14ac:dyDescent="0.4">
      <c r="A128" s="1">
        <v>126</v>
      </c>
      <c r="B128" s="3">
        <v>39652</v>
      </c>
      <c r="C128" s="4" t="s">
        <v>338</v>
      </c>
      <c r="D128" s="1">
        <v>18.3</v>
      </c>
      <c r="E128" s="5">
        <v>10000</v>
      </c>
      <c r="F128" s="2">
        <f t="shared" si="1"/>
        <v>183000</v>
      </c>
      <c r="G128" s="15">
        <f>86.95%*(10/100)</f>
        <v>8.6950000000000013E-2</v>
      </c>
      <c r="H128" s="4" t="s">
        <v>157</v>
      </c>
      <c r="I128" s="4" t="s">
        <v>497</v>
      </c>
      <c r="J128" s="1" t="s">
        <v>17</v>
      </c>
      <c r="K128" s="4" t="s">
        <v>320</v>
      </c>
      <c r="L128" s="4" t="s">
        <v>339</v>
      </c>
      <c r="M128" s="14">
        <v>19.899999999999999</v>
      </c>
      <c r="N128" s="5">
        <v>100000</v>
      </c>
      <c r="O128" s="4" t="s">
        <v>20</v>
      </c>
      <c r="P128" s="4" t="s">
        <v>497</v>
      </c>
      <c r="Q128" s="1" t="s">
        <v>21</v>
      </c>
      <c r="R128" s="4" t="s">
        <v>22</v>
      </c>
      <c r="S128" s="4" t="s">
        <v>341</v>
      </c>
      <c r="T128" s="14">
        <v>17.3</v>
      </c>
      <c r="U128" s="5">
        <v>10000</v>
      </c>
      <c r="V128" s="18">
        <v>18.3</v>
      </c>
    </row>
    <row r="129" spans="1:22" ht="23.5" customHeight="1" x14ac:dyDescent="0.4">
      <c r="A129" s="1">
        <v>127</v>
      </c>
      <c r="B129" s="3">
        <v>39652</v>
      </c>
      <c r="C129" s="4" t="s">
        <v>338</v>
      </c>
      <c r="D129" s="1">
        <v>18.3</v>
      </c>
      <c r="E129" s="5">
        <v>63000</v>
      </c>
      <c r="F129" s="2">
        <f t="shared" si="1"/>
        <v>1152900</v>
      </c>
      <c r="G129" s="15">
        <f>86.95%*(63/100)</f>
        <v>0.54778500000000008</v>
      </c>
      <c r="H129" s="4" t="s">
        <v>157</v>
      </c>
      <c r="I129" s="4" t="s">
        <v>497</v>
      </c>
      <c r="J129" s="1" t="s">
        <v>17</v>
      </c>
      <c r="K129" s="4" t="s">
        <v>320</v>
      </c>
      <c r="L129" s="4" t="s">
        <v>339</v>
      </c>
      <c r="M129" s="14">
        <v>19.899999999999999</v>
      </c>
      <c r="N129" s="5">
        <v>100000</v>
      </c>
      <c r="O129" s="4" t="s">
        <v>157</v>
      </c>
      <c r="P129" s="4" t="s">
        <v>497</v>
      </c>
      <c r="Q129" s="1" t="s">
        <v>17</v>
      </c>
      <c r="R129" s="4" t="s">
        <v>158</v>
      </c>
      <c r="S129" s="4" t="s">
        <v>337</v>
      </c>
      <c r="T129" s="1">
        <v>18.3</v>
      </c>
      <c r="U129" s="5">
        <v>150000</v>
      </c>
      <c r="V129" s="18">
        <v>18.05</v>
      </c>
    </row>
    <row r="130" spans="1:22" ht="23.5" customHeight="1" x14ac:dyDescent="0.4">
      <c r="A130" s="1">
        <v>128</v>
      </c>
      <c r="B130" s="3">
        <v>39652</v>
      </c>
      <c r="C130" s="4" t="s">
        <v>342</v>
      </c>
      <c r="D130" s="1">
        <v>18.3</v>
      </c>
      <c r="E130" s="5">
        <v>36000</v>
      </c>
      <c r="F130" s="2">
        <f t="shared" si="1"/>
        <v>658800</v>
      </c>
      <c r="G130" s="15">
        <v>0.5454</v>
      </c>
      <c r="H130" s="4" t="s">
        <v>157</v>
      </c>
      <c r="I130" s="4" t="s">
        <v>497</v>
      </c>
      <c r="J130" s="1" t="s">
        <v>17</v>
      </c>
      <c r="K130" s="4" t="s">
        <v>320</v>
      </c>
      <c r="L130" s="4" t="s">
        <v>343</v>
      </c>
      <c r="M130" s="1">
        <v>18.3</v>
      </c>
      <c r="N130" s="5">
        <v>100000</v>
      </c>
      <c r="O130" s="4" t="s">
        <v>157</v>
      </c>
      <c r="P130" s="4" t="s">
        <v>497</v>
      </c>
      <c r="Q130" s="1" t="s">
        <v>17</v>
      </c>
      <c r="R130" s="4" t="s">
        <v>158</v>
      </c>
      <c r="S130" s="4" t="s">
        <v>337</v>
      </c>
      <c r="T130" s="1">
        <v>18.3</v>
      </c>
      <c r="U130" s="5">
        <v>150000</v>
      </c>
      <c r="V130" s="18">
        <v>18.05</v>
      </c>
    </row>
    <row r="131" spans="1:22" ht="23.5" customHeight="1" x14ac:dyDescent="0.4">
      <c r="A131" s="1">
        <v>129</v>
      </c>
      <c r="B131" s="3">
        <v>39652</v>
      </c>
      <c r="C131" s="4" t="s">
        <v>344</v>
      </c>
      <c r="D131" s="1">
        <v>18.3</v>
      </c>
      <c r="E131" s="5">
        <v>16000</v>
      </c>
      <c r="F131" s="2">
        <f t="shared" ref="F131:F192" si="2">D131*E131</f>
        <v>292800</v>
      </c>
      <c r="G131" s="15">
        <f>70.83%*(16/17)</f>
        <v>0.66663529411764699</v>
      </c>
      <c r="H131" s="4" t="s">
        <v>157</v>
      </c>
      <c r="I131" s="4" t="s">
        <v>497</v>
      </c>
      <c r="J131" s="1" t="s">
        <v>17</v>
      </c>
      <c r="K131" s="4" t="s">
        <v>320</v>
      </c>
      <c r="L131" s="4" t="s">
        <v>343</v>
      </c>
      <c r="M131" s="1">
        <v>18.3</v>
      </c>
      <c r="N131" s="5">
        <v>100000</v>
      </c>
      <c r="O131" s="4" t="s">
        <v>20</v>
      </c>
      <c r="P131" s="4" t="s">
        <v>497</v>
      </c>
      <c r="Q131" s="1" t="s">
        <v>21</v>
      </c>
      <c r="R131" s="4" t="s">
        <v>22</v>
      </c>
      <c r="S131" s="4" t="s">
        <v>345</v>
      </c>
      <c r="T131" s="14">
        <v>17.3</v>
      </c>
      <c r="U131" s="5">
        <v>20000</v>
      </c>
      <c r="V131" s="18">
        <v>18.399999999999999</v>
      </c>
    </row>
    <row r="132" spans="1:22" ht="23.5" customHeight="1" x14ac:dyDescent="0.4">
      <c r="A132" s="1">
        <v>130</v>
      </c>
      <c r="B132" s="3">
        <v>39652</v>
      </c>
      <c r="C132" s="4" t="s">
        <v>346</v>
      </c>
      <c r="D132" s="1">
        <v>18.3</v>
      </c>
      <c r="E132" s="5">
        <v>14000</v>
      </c>
      <c r="F132" s="2">
        <f t="shared" si="2"/>
        <v>256200</v>
      </c>
      <c r="G132" s="15">
        <f>75%*(14/21)</f>
        <v>0.5</v>
      </c>
      <c r="H132" s="4" t="s">
        <v>157</v>
      </c>
      <c r="I132" s="4" t="s">
        <v>497</v>
      </c>
      <c r="J132" s="1" t="s">
        <v>17</v>
      </c>
      <c r="K132" s="4" t="s">
        <v>320</v>
      </c>
      <c r="L132" s="4" t="s">
        <v>343</v>
      </c>
      <c r="M132" s="1">
        <v>18.3</v>
      </c>
      <c r="N132" s="5">
        <v>100000</v>
      </c>
      <c r="O132" s="4" t="s">
        <v>20</v>
      </c>
      <c r="P132" s="4" t="s">
        <v>497</v>
      </c>
      <c r="Q132" s="1" t="s">
        <v>21</v>
      </c>
      <c r="R132" s="4" t="s">
        <v>22</v>
      </c>
      <c r="S132" s="4" t="s">
        <v>347</v>
      </c>
      <c r="T132" s="14">
        <v>17.3</v>
      </c>
      <c r="U132" s="5">
        <v>20000</v>
      </c>
      <c r="V132" s="18">
        <v>18.399999999999999</v>
      </c>
    </row>
    <row r="133" spans="1:22" ht="23.5" customHeight="1" x14ac:dyDescent="0.4">
      <c r="A133" s="1">
        <v>131</v>
      </c>
      <c r="B133" s="3">
        <v>39652</v>
      </c>
      <c r="C133" s="4" t="s">
        <v>348</v>
      </c>
      <c r="D133" s="1">
        <v>18.3</v>
      </c>
      <c r="E133" s="5">
        <v>16000</v>
      </c>
      <c r="F133" s="2">
        <f t="shared" si="2"/>
        <v>292800</v>
      </c>
      <c r="G133" s="15">
        <f>68.42%*(16/26)</f>
        <v>0.4210461538461539</v>
      </c>
      <c r="H133" s="4" t="s">
        <v>157</v>
      </c>
      <c r="I133" s="4" t="s">
        <v>497</v>
      </c>
      <c r="J133" s="1" t="s">
        <v>17</v>
      </c>
      <c r="K133" s="4" t="s">
        <v>320</v>
      </c>
      <c r="L133" s="4" t="s">
        <v>343</v>
      </c>
      <c r="M133" s="1">
        <v>18.3</v>
      </c>
      <c r="N133" s="5">
        <v>100000</v>
      </c>
      <c r="O133" s="4" t="s">
        <v>20</v>
      </c>
      <c r="P133" s="4" t="s">
        <v>497</v>
      </c>
      <c r="Q133" s="1" t="s">
        <v>21</v>
      </c>
      <c r="R133" s="4" t="s">
        <v>22</v>
      </c>
      <c r="S133" s="4" t="s">
        <v>349</v>
      </c>
      <c r="T133" s="14">
        <v>17.3</v>
      </c>
      <c r="U133" s="5">
        <v>20000</v>
      </c>
      <c r="V133" s="18">
        <v>18.350000000000001</v>
      </c>
    </row>
    <row r="134" spans="1:22" ht="23.5" customHeight="1" x14ac:dyDescent="0.4">
      <c r="A134" s="1">
        <v>132</v>
      </c>
      <c r="B134" s="3">
        <v>39652</v>
      </c>
      <c r="C134" s="4" t="s">
        <v>350</v>
      </c>
      <c r="D134" s="1">
        <v>18</v>
      </c>
      <c r="E134" s="5">
        <v>83000</v>
      </c>
      <c r="F134" s="2">
        <f t="shared" si="2"/>
        <v>1494000</v>
      </c>
      <c r="G134" s="15">
        <f>100%*(83/100)</f>
        <v>0.83</v>
      </c>
      <c r="H134" s="4" t="s">
        <v>157</v>
      </c>
      <c r="I134" s="4" t="s">
        <v>497</v>
      </c>
      <c r="J134" s="1" t="s">
        <v>17</v>
      </c>
      <c r="K134" s="4" t="s">
        <v>320</v>
      </c>
      <c r="L134" s="4" t="s">
        <v>351</v>
      </c>
      <c r="M134" s="14">
        <v>19.899999999999999</v>
      </c>
      <c r="N134" s="5">
        <v>100000</v>
      </c>
      <c r="O134" s="4" t="s">
        <v>157</v>
      </c>
      <c r="P134" s="4" t="s">
        <v>497</v>
      </c>
      <c r="Q134" s="1" t="s">
        <v>17</v>
      </c>
      <c r="R134" s="4" t="s">
        <v>158</v>
      </c>
      <c r="S134" s="4" t="s">
        <v>352</v>
      </c>
      <c r="T134" s="1">
        <v>18</v>
      </c>
      <c r="U134" s="5">
        <v>100000</v>
      </c>
      <c r="V134" s="18">
        <v>18</v>
      </c>
    </row>
    <row r="135" spans="1:22" ht="23.5" customHeight="1" x14ac:dyDescent="0.4">
      <c r="A135" s="1">
        <v>133</v>
      </c>
      <c r="B135" s="3">
        <v>39652</v>
      </c>
      <c r="C135" s="4" t="s">
        <v>353</v>
      </c>
      <c r="D135" s="1">
        <v>18.2</v>
      </c>
      <c r="E135" s="5">
        <v>17000</v>
      </c>
      <c r="F135" s="2">
        <f t="shared" si="2"/>
        <v>309400</v>
      </c>
      <c r="G135" s="15">
        <f>100%*(17/110)</f>
        <v>0.15454545454545454</v>
      </c>
      <c r="H135" s="4" t="s">
        <v>157</v>
      </c>
      <c r="I135" s="4" t="s">
        <v>497</v>
      </c>
      <c r="J135" s="1" t="s">
        <v>17</v>
      </c>
      <c r="K135" s="4" t="s">
        <v>320</v>
      </c>
      <c r="L135" s="4" t="s">
        <v>354</v>
      </c>
      <c r="M135" s="14">
        <v>19.899999999999999</v>
      </c>
      <c r="N135" s="5">
        <v>110000</v>
      </c>
      <c r="O135" s="4" t="s">
        <v>157</v>
      </c>
      <c r="P135" s="4" t="s">
        <v>497</v>
      </c>
      <c r="Q135" s="1" t="s">
        <v>17</v>
      </c>
      <c r="R135" s="4" t="s">
        <v>158</v>
      </c>
      <c r="S135" s="4" t="s">
        <v>352</v>
      </c>
      <c r="T135" s="1">
        <v>18</v>
      </c>
      <c r="U135" s="5">
        <v>100000</v>
      </c>
      <c r="V135" s="18">
        <v>18</v>
      </c>
    </row>
    <row r="136" spans="1:22" ht="23.5" customHeight="1" x14ac:dyDescent="0.4">
      <c r="A136" s="1">
        <v>134</v>
      </c>
      <c r="B136" s="3">
        <v>39652</v>
      </c>
      <c r="C136" s="4" t="s">
        <v>353</v>
      </c>
      <c r="D136" s="1">
        <v>18.2</v>
      </c>
      <c r="E136" s="5">
        <v>3000</v>
      </c>
      <c r="F136" s="2">
        <f t="shared" si="2"/>
        <v>54600</v>
      </c>
      <c r="G136" s="15">
        <f>100%*(3/110)</f>
        <v>2.7272727272727271E-2</v>
      </c>
      <c r="H136" s="4" t="s">
        <v>157</v>
      </c>
      <c r="I136" s="4" t="s">
        <v>497</v>
      </c>
      <c r="J136" s="1" t="s">
        <v>17</v>
      </c>
      <c r="K136" s="4" t="s">
        <v>320</v>
      </c>
      <c r="L136" s="4" t="s">
        <v>354</v>
      </c>
      <c r="M136" s="14">
        <v>19.899999999999999</v>
      </c>
      <c r="N136" s="5">
        <v>110000</v>
      </c>
      <c r="O136" s="4" t="s">
        <v>157</v>
      </c>
      <c r="P136" s="4" t="s">
        <v>497</v>
      </c>
      <c r="Q136" s="1" t="s">
        <v>17</v>
      </c>
      <c r="R136" s="4" t="s">
        <v>299</v>
      </c>
      <c r="S136" s="4" t="s">
        <v>355</v>
      </c>
      <c r="T136" s="1">
        <v>18.149999999999999</v>
      </c>
      <c r="U136" s="5">
        <v>3000</v>
      </c>
      <c r="V136" s="18">
        <v>18</v>
      </c>
    </row>
    <row r="137" spans="1:22" ht="23.5" customHeight="1" x14ac:dyDescent="0.4">
      <c r="A137" s="1">
        <v>135</v>
      </c>
      <c r="B137" s="3">
        <v>39652</v>
      </c>
      <c r="C137" s="4" t="s">
        <v>353</v>
      </c>
      <c r="D137" s="1">
        <v>18.2</v>
      </c>
      <c r="E137" s="5">
        <v>47000</v>
      </c>
      <c r="F137" s="2">
        <f t="shared" si="2"/>
        <v>855400</v>
      </c>
      <c r="G137" s="15">
        <f>100%*(47/110)</f>
        <v>0.42727272727272725</v>
      </c>
      <c r="H137" s="4" t="s">
        <v>157</v>
      </c>
      <c r="I137" s="4" t="s">
        <v>497</v>
      </c>
      <c r="J137" s="1" t="s">
        <v>17</v>
      </c>
      <c r="K137" s="4" t="s">
        <v>320</v>
      </c>
      <c r="L137" s="4" t="s">
        <v>354</v>
      </c>
      <c r="M137" s="14">
        <v>19.899999999999999</v>
      </c>
      <c r="N137" s="5">
        <v>110000</v>
      </c>
      <c r="O137" s="4" t="s">
        <v>157</v>
      </c>
      <c r="P137" s="4" t="s">
        <v>497</v>
      </c>
      <c r="Q137" s="1" t="s">
        <v>17</v>
      </c>
      <c r="R137" s="4" t="s">
        <v>299</v>
      </c>
      <c r="S137" s="4" t="s">
        <v>356</v>
      </c>
      <c r="T137" s="1">
        <v>18.149999999999999</v>
      </c>
      <c r="U137" s="5">
        <v>47000</v>
      </c>
      <c r="V137" s="18">
        <v>18</v>
      </c>
    </row>
    <row r="138" spans="1:22" ht="23.5" customHeight="1" x14ac:dyDescent="0.4">
      <c r="A138" s="1">
        <v>136</v>
      </c>
      <c r="B138" s="3">
        <v>39652</v>
      </c>
      <c r="C138" s="4" t="s">
        <v>353</v>
      </c>
      <c r="D138" s="1">
        <v>18.2</v>
      </c>
      <c r="E138" s="5">
        <v>24000</v>
      </c>
      <c r="F138" s="2">
        <f t="shared" si="2"/>
        <v>436800</v>
      </c>
      <c r="G138" s="15">
        <f>100%*(24/110)</f>
        <v>0.21818181818181817</v>
      </c>
      <c r="H138" s="4" t="s">
        <v>157</v>
      </c>
      <c r="I138" s="4" t="s">
        <v>497</v>
      </c>
      <c r="J138" s="1" t="s">
        <v>17</v>
      </c>
      <c r="K138" s="4" t="s">
        <v>320</v>
      </c>
      <c r="L138" s="4" t="s">
        <v>354</v>
      </c>
      <c r="M138" s="14">
        <v>19.899999999999999</v>
      </c>
      <c r="N138" s="5">
        <v>110000</v>
      </c>
      <c r="O138" s="4" t="s">
        <v>157</v>
      </c>
      <c r="P138" s="4" t="s">
        <v>497</v>
      </c>
      <c r="Q138" s="1" t="s">
        <v>17</v>
      </c>
      <c r="R138" s="4" t="s">
        <v>299</v>
      </c>
      <c r="S138" s="4" t="s">
        <v>357</v>
      </c>
      <c r="T138" s="1">
        <v>18.2</v>
      </c>
      <c r="U138" s="5">
        <v>100000</v>
      </c>
      <c r="V138" s="18">
        <v>18</v>
      </c>
    </row>
    <row r="139" spans="1:22" ht="23.5" customHeight="1" x14ac:dyDescent="0.4">
      <c r="A139" s="1">
        <v>137</v>
      </c>
      <c r="B139" s="3">
        <v>39652</v>
      </c>
      <c r="C139" s="4" t="s">
        <v>358</v>
      </c>
      <c r="D139" s="1">
        <v>18.3</v>
      </c>
      <c r="E139" s="5">
        <v>76000</v>
      </c>
      <c r="F139" s="2">
        <f t="shared" si="2"/>
        <v>1390800</v>
      </c>
      <c r="G139" s="15">
        <f>100%*(76/105)</f>
        <v>0.72380952380952379</v>
      </c>
      <c r="H139" s="4" t="s">
        <v>157</v>
      </c>
      <c r="I139" s="4" t="s">
        <v>497</v>
      </c>
      <c r="J139" s="1" t="s">
        <v>17</v>
      </c>
      <c r="K139" s="4" t="s">
        <v>320</v>
      </c>
      <c r="L139" s="4" t="s">
        <v>359</v>
      </c>
      <c r="M139" s="14">
        <v>19.899999999999999</v>
      </c>
      <c r="N139" s="5">
        <v>105000</v>
      </c>
      <c r="O139" s="4" t="s">
        <v>157</v>
      </c>
      <c r="P139" s="4" t="s">
        <v>497</v>
      </c>
      <c r="Q139" s="1" t="s">
        <v>17</v>
      </c>
      <c r="R139" s="4" t="s">
        <v>299</v>
      </c>
      <c r="S139" s="4" t="s">
        <v>357</v>
      </c>
      <c r="T139" s="1">
        <v>18.2</v>
      </c>
      <c r="U139" s="5">
        <v>100000</v>
      </c>
      <c r="V139" s="18">
        <v>18</v>
      </c>
    </row>
    <row r="140" spans="1:22" ht="23.5" customHeight="1" x14ac:dyDescent="0.4">
      <c r="A140" s="1">
        <v>138</v>
      </c>
      <c r="B140" s="3">
        <v>39652</v>
      </c>
      <c r="C140" s="4" t="s">
        <v>358</v>
      </c>
      <c r="D140" s="1">
        <v>18.3</v>
      </c>
      <c r="E140" s="5">
        <v>9000</v>
      </c>
      <c r="F140" s="2">
        <f t="shared" si="2"/>
        <v>164700</v>
      </c>
      <c r="G140" s="15">
        <f>100%*(9/105)</f>
        <v>8.5714285714285715E-2</v>
      </c>
      <c r="H140" s="4" t="s">
        <v>157</v>
      </c>
      <c r="I140" s="4" t="s">
        <v>497</v>
      </c>
      <c r="J140" s="1" t="s">
        <v>17</v>
      </c>
      <c r="K140" s="4" t="s">
        <v>320</v>
      </c>
      <c r="L140" s="4" t="s">
        <v>359</v>
      </c>
      <c r="M140" s="14">
        <v>19.899999999999999</v>
      </c>
      <c r="N140" s="5">
        <v>105000</v>
      </c>
      <c r="O140" s="4" t="s">
        <v>157</v>
      </c>
      <c r="P140" s="4" t="s">
        <v>497</v>
      </c>
      <c r="Q140" s="1" t="s">
        <v>17</v>
      </c>
      <c r="R140" s="4" t="s">
        <v>299</v>
      </c>
      <c r="S140" s="4" t="s">
        <v>360</v>
      </c>
      <c r="T140" s="1">
        <v>18.3</v>
      </c>
      <c r="U140" s="5">
        <v>100000</v>
      </c>
      <c r="V140" s="18">
        <v>18</v>
      </c>
    </row>
    <row r="141" spans="1:22" ht="23.5" customHeight="1" x14ac:dyDescent="0.4">
      <c r="A141" s="1">
        <v>139</v>
      </c>
      <c r="B141" s="3">
        <v>39652</v>
      </c>
      <c r="C141" s="4" t="s">
        <v>361</v>
      </c>
      <c r="D141" s="1">
        <v>18.350000000000001</v>
      </c>
      <c r="E141" s="5">
        <v>91000</v>
      </c>
      <c r="F141" s="2">
        <f t="shared" si="2"/>
        <v>1669850.0000000002</v>
      </c>
      <c r="G141" s="15">
        <f>98.26%*(91/113)</f>
        <v>0.79129734513274341</v>
      </c>
      <c r="H141" s="4" t="s">
        <v>157</v>
      </c>
      <c r="I141" s="4" t="s">
        <v>497</v>
      </c>
      <c r="J141" s="1" t="s">
        <v>17</v>
      </c>
      <c r="K141" s="4" t="s">
        <v>320</v>
      </c>
      <c r="L141" s="4" t="s">
        <v>362</v>
      </c>
      <c r="M141" s="14">
        <v>19.899999999999999</v>
      </c>
      <c r="N141" s="5">
        <v>113000</v>
      </c>
      <c r="O141" s="4" t="s">
        <v>157</v>
      </c>
      <c r="P141" s="4" t="s">
        <v>497</v>
      </c>
      <c r="Q141" s="1" t="s">
        <v>17</v>
      </c>
      <c r="R141" s="4" t="s">
        <v>299</v>
      </c>
      <c r="S141" s="4" t="s">
        <v>360</v>
      </c>
      <c r="T141" s="1">
        <v>18.3</v>
      </c>
      <c r="U141" s="5">
        <v>100000</v>
      </c>
      <c r="V141" s="18">
        <v>18</v>
      </c>
    </row>
    <row r="142" spans="1:22" ht="23.5" customHeight="1" x14ac:dyDescent="0.4">
      <c r="A142" s="1">
        <v>140</v>
      </c>
      <c r="B142" s="3">
        <v>39652</v>
      </c>
      <c r="C142" s="4" t="s">
        <v>361</v>
      </c>
      <c r="D142" s="1">
        <v>18.350000000000001</v>
      </c>
      <c r="E142" s="5">
        <v>19000</v>
      </c>
      <c r="F142" s="2">
        <f t="shared" si="2"/>
        <v>348650</v>
      </c>
      <c r="G142" s="15">
        <f>98.26%*(19/113)</f>
        <v>0.16521592920353984</v>
      </c>
      <c r="H142" s="4" t="s">
        <v>157</v>
      </c>
      <c r="I142" s="4" t="s">
        <v>497</v>
      </c>
      <c r="J142" s="1" t="s">
        <v>17</v>
      </c>
      <c r="K142" s="4" t="s">
        <v>320</v>
      </c>
      <c r="L142" s="4" t="s">
        <v>362</v>
      </c>
      <c r="M142" s="14">
        <v>19.899999999999999</v>
      </c>
      <c r="N142" s="5">
        <v>113000</v>
      </c>
      <c r="O142" s="4" t="s">
        <v>157</v>
      </c>
      <c r="P142" s="4" t="s">
        <v>497</v>
      </c>
      <c r="Q142" s="1" t="s">
        <v>17</v>
      </c>
      <c r="R142" s="4" t="s">
        <v>299</v>
      </c>
      <c r="S142" s="4" t="s">
        <v>363</v>
      </c>
      <c r="T142" s="1">
        <v>18.350000000000001</v>
      </c>
      <c r="U142" s="5">
        <v>50000</v>
      </c>
      <c r="V142" s="18">
        <v>18</v>
      </c>
    </row>
    <row r="143" spans="1:22" ht="23.5" customHeight="1" x14ac:dyDescent="0.4">
      <c r="A143" s="1">
        <v>141</v>
      </c>
      <c r="B143" s="3">
        <v>39652</v>
      </c>
      <c r="C143" s="4" t="s">
        <v>225</v>
      </c>
      <c r="D143" s="1">
        <v>17.3</v>
      </c>
      <c r="E143" s="5">
        <v>80000</v>
      </c>
      <c r="F143" s="2">
        <f t="shared" si="2"/>
        <v>1384000</v>
      </c>
      <c r="G143" s="15">
        <f>38.83%*(80/400)</f>
        <v>7.7660000000000007E-2</v>
      </c>
      <c r="H143" s="4" t="s">
        <v>364</v>
      </c>
      <c r="I143" s="4" t="s">
        <v>497</v>
      </c>
      <c r="J143" s="1" t="s">
        <v>17</v>
      </c>
      <c r="K143" s="4" t="s">
        <v>365</v>
      </c>
      <c r="L143" s="4" t="s">
        <v>366</v>
      </c>
      <c r="M143" s="1">
        <v>18.600000000000001</v>
      </c>
      <c r="N143" s="5">
        <v>400000</v>
      </c>
      <c r="O143" s="4" t="s">
        <v>34</v>
      </c>
      <c r="P143" s="4" t="s">
        <v>497</v>
      </c>
      <c r="Q143" s="1" t="s">
        <v>21</v>
      </c>
      <c r="R143" s="4" t="s">
        <v>367</v>
      </c>
      <c r="S143" s="4" t="s">
        <v>368</v>
      </c>
      <c r="T143" s="14">
        <v>17.3</v>
      </c>
      <c r="U143" s="5">
        <v>80000</v>
      </c>
      <c r="V143" s="18">
        <v>17.399999999999999</v>
      </c>
    </row>
    <row r="144" spans="1:22" ht="23.5" customHeight="1" x14ac:dyDescent="0.4">
      <c r="A144" s="1">
        <v>142</v>
      </c>
      <c r="B144" s="3">
        <v>39652</v>
      </c>
      <c r="C144" s="4" t="s">
        <v>225</v>
      </c>
      <c r="D144" s="1">
        <v>17.3</v>
      </c>
      <c r="E144" s="5">
        <v>50000</v>
      </c>
      <c r="F144" s="2">
        <f t="shared" si="2"/>
        <v>865000</v>
      </c>
      <c r="G144" s="15">
        <f>38.83%*(50/400)</f>
        <v>4.8537499999999997E-2</v>
      </c>
      <c r="H144" s="4" t="s">
        <v>364</v>
      </c>
      <c r="I144" s="4" t="s">
        <v>497</v>
      </c>
      <c r="J144" s="1" t="s">
        <v>17</v>
      </c>
      <c r="K144" s="4" t="s">
        <v>365</v>
      </c>
      <c r="L144" s="4" t="s">
        <v>366</v>
      </c>
      <c r="M144" s="1">
        <v>18.600000000000001</v>
      </c>
      <c r="N144" s="5">
        <v>400000</v>
      </c>
      <c r="O144" s="4" t="s">
        <v>34</v>
      </c>
      <c r="P144" s="4" t="s">
        <v>497</v>
      </c>
      <c r="Q144" s="1" t="s">
        <v>21</v>
      </c>
      <c r="R144" s="4" t="s">
        <v>369</v>
      </c>
      <c r="S144" s="4" t="s">
        <v>370</v>
      </c>
      <c r="T144" s="14">
        <v>17.3</v>
      </c>
      <c r="U144" s="5">
        <v>50000</v>
      </c>
      <c r="V144" s="18">
        <v>17.399999999999999</v>
      </c>
    </row>
    <row r="145" spans="1:22" ht="23.5" customHeight="1" x14ac:dyDescent="0.4">
      <c r="A145" s="1">
        <v>143</v>
      </c>
      <c r="B145" s="3">
        <v>39652</v>
      </c>
      <c r="C145" s="4" t="s">
        <v>225</v>
      </c>
      <c r="D145" s="1">
        <v>17.3</v>
      </c>
      <c r="E145" s="5">
        <v>195000</v>
      </c>
      <c r="F145" s="2">
        <f t="shared" si="2"/>
        <v>3373500</v>
      </c>
      <c r="G145" s="15">
        <f>38.83%*(195/400)</f>
        <v>0.18929624999999997</v>
      </c>
      <c r="H145" s="4" t="s">
        <v>364</v>
      </c>
      <c r="I145" s="4" t="s">
        <v>497</v>
      </c>
      <c r="J145" s="1" t="s">
        <v>17</v>
      </c>
      <c r="K145" s="4" t="s">
        <v>365</v>
      </c>
      <c r="L145" s="4" t="s">
        <v>366</v>
      </c>
      <c r="M145" s="1">
        <v>18.600000000000001</v>
      </c>
      <c r="N145" s="5">
        <v>400000</v>
      </c>
      <c r="O145" s="4" t="s">
        <v>34</v>
      </c>
      <c r="P145" s="4" t="s">
        <v>497</v>
      </c>
      <c r="Q145" s="1" t="s">
        <v>21</v>
      </c>
      <c r="R145" s="4" t="s">
        <v>22</v>
      </c>
      <c r="S145" s="4" t="s">
        <v>371</v>
      </c>
      <c r="T145" s="14">
        <v>17.3</v>
      </c>
      <c r="U145" s="5">
        <v>326000</v>
      </c>
      <c r="V145" s="18">
        <v>17.399999999999999</v>
      </c>
    </row>
    <row r="146" spans="1:22" ht="23.5" customHeight="1" x14ac:dyDescent="0.4">
      <c r="A146" s="1">
        <v>144</v>
      </c>
      <c r="B146" s="3">
        <v>39652</v>
      </c>
      <c r="C146" s="4" t="s">
        <v>225</v>
      </c>
      <c r="D146" s="1">
        <v>17.3</v>
      </c>
      <c r="E146" s="5">
        <v>131000</v>
      </c>
      <c r="F146" s="2">
        <f t="shared" si="2"/>
        <v>2266300</v>
      </c>
      <c r="G146" s="15">
        <f>19.41%*(131/200)</f>
        <v>0.12713550000000001</v>
      </c>
      <c r="H146" s="4" t="s">
        <v>157</v>
      </c>
      <c r="I146" s="4" t="s">
        <v>497</v>
      </c>
      <c r="J146" s="1" t="s">
        <v>17</v>
      </c>
      <c r="K146" s="4" t="s">
        <v>372</v>
      </c>
      <c r="L146" s="4" t="s">
        <v>373</v>
      </c>
      <c r="M146" s="1">
        <v>18.600000000000001</v>
      </c>
      <c r="N146" s="5">
        <v>200000</v>
      </c>
      <c r="O146" s="4" t="s">
        <v>34</v>
      </c>
      <c r="P146" s="4" t="s">
        <v>497</v>
      </c>
      <c r="Q146" s="1" t="s">
        <v>21</v>
      </c>
      <c r="R146" s="4" t="s">
        <v>22</v>
      </c>
      <c r="S146" s="4" t="s">
        <v>371</v>
      </c>
      <c r="T146" s="14">
        <v>17.3</v>
      </c>
      <c r="U146" s="5">
        <v>326000</v>
      </c>
      <c r="V146" s="18">
        <v>17.399999999999999</v>
      </c>
    </row>
    <row r="147" spans="1:22" ht="23.5" customHeight="1" x14ac:dyDescent="0.4">
      <c r="A147" s="1">
        <v>145</v>
      </c>
      <c r="B147" s="3">
        <v>39659</v>
      </c>
      <c r="C147" s="4" t="s">
        <v>374</v>
      </c>
      <c r="D147" s="1">
        <v>20.25</v>
      </c>
      <c r="E147" s="5">
        <v>24000</v>
      </c>
      <c r="F147" s="2">
        <f t="shared" si="2"/>
        <v>486000</v>
      </c>
      <c r="G147" s="15">
        <f>92.1%*(24/35)</f>
        <v>0.63154285714285707</v>
      </c>
      <c r="H147" s="4" t="s">
        <v>34</v>
      </c>
      <c r="I147" s="4" t="s">
        <v>497</v>
      </c>
      <c r="J147" s="1" t="s">
        <v>21</v>
      </c>
      <c r="K147" s="4" t="s">
        <v>22</v>
      </c>
      <c r="L147" s="4" t="s">
        <v>375</v>
      </c>
      <c r="M147" s="1">
        <v>20.25</v>
      </c>
      <c r="N147" s="5">
        <v>50000</v>
      </c>
      <c r="O147" s="4" t="s">
        <v>34</v>
      </c>
      <c r="P147" s="4" t="s">
        <v>497</v>
      </c>
      <c r="Q147" s="1" t="s">
        <v>21</v>
      </c>
      <c r="R147" s="4" t="s">
        <v>22</v>
      </c>
      <c r="S147" s="4" t="s">
        <v>376</v>
      </c>
      <c r="T147" s="1">
        <v>20.25</v>
      </c>
      <c r="U147" s="5">
        <v>100000</v>
      </c>
      <c r="V147" s="18">
        <v>20.3</v>
      </c>
    </row>
    <row r="148" spans="1:22" ht="23.5" customHeight="1" x14ac:dyDescent="0.4">
      <c r="A148" s="1">
        <v>146</v>
      </c>
      <c r="B148" s="3">
        <v>39659</v>
      </c>
      <c r="C148" s="4" t="s">
        <v>377</v>
      </c>
      <c r="D148" s="1">
        <v>19.8</v>
      </c>
      <c r="E148" s="5">
        <v>19000</v>
      </c>
      <c r="F148" s="2">
        <f t="shared" si="2"/>
        <v>376200</v>
      </c>
      <c r="G148" s="15">
        <f>63.26%*(19/31)</f>
        <v>0.38772258064516124</v>
      </c>
      <c r="H148" s="4" t="s">
        <v>364</v>
      </c>
      <c r="I148" s="4" t="s">
        <v>497</v>
      </c>
      <c r="J148" s="1" t="s">
        <v>17</v>
      </c>
      <c r="K148" s="4" t="s">
        <v>365</v>
      </c>
      <c r="L148" s="4" t="s">
        <v>378</v>
      </c>
      <c r="M148" s="1">
        <v>19.8</v>
      </c>
      <c r="N148" s="5">
        <v>50000</v>
      </c>
      <c r="O148" s="4" t="s">
        <v>34</v>
      </c>
      <c r="P148" s="4" t="s">
        <v>497</v>
      </c>
      <c r="Q148" s="1" t="s">
        <v>21</v>
      </c>
      <c r="R148" s="4" t="s">
        <v>22</v>
      </c>
      <c r="S148" s="4" t="s">
        <v>379</v>
      </c>
      <c r="T148" s="1">
        <v>19.8</v>
      </c>
      <c r="U148" s="5">
        <v>100000</v>
      </c>
      <c r="V148" s="18">
        <v>19.95</v>
      </c>
    </row>
    <row r="149" spans="1:22" ht="23.5" customHeight="1" x14ac:dyDescent="0.4">
      <c r="A149" s="1">
        <v>147</v>
      </c>
      <c r="B149" s="3">
        <v>39659</v>
      </c>
      <c r="C149" s="4" t="s">
        <v>380</v>
      </c>
      <c r="D149" s="1">
        <v>19.8</v>
      </c>
      <c r="E149" s="5">
        <v>27000</v>
      </c>
      <c r="F149" s="2">
        <f t="shared" si="2"/>
        <v>534600</v>
      </c>
      <c r="G149" s="15">
        <f>96.77%*(27/30)</f>
        <v>0.87092999999999998</v>
      </c>
      <c r="H149" s="4" t="s">
        <v>34</v>
      </c>
      <c r="I149" s="4" t="s">
        <v>497</v>
      </c>
      <c r="J149" s="1" t="s">
        <v>21</v>
      </c>
      <c r="K149" s="4" t="s">
        <v>22</v>
      </c>
      <c r="L149" s="4" t="s">
        <v>381</v>
      </c>
      <c r="M149" s="1">
        <v>19.8</v>
      </c>
      <c r="N149" s="5">
        <v>30000</v>
      </c>
      <c r="O149" s="4" t="s">
        <v>34</v>
      </c>
      <c r="P149" s="4" t="s">
        <v>497</v>
      </c>
      <c r="Q149" s="1" t="s">
        <v>21</v>
      </c>
      <c r="R149" s="4" t="s">
        <v>22</v>
      </c>
      <c r="S149" s="4" t="s">
        <v>379</v>
      </c>
      <c r="T149" s="1">
        <v>19.8</v>
      </c>
      <c r="U149" s="5">
        <v>100000</v>
      </c>
      <c r="V149" s="18">
        <v>19.95</v>
      </c>
    </row>
    <row r="150" spans="1:22" ht="23.5" customHeight="1" x14ac:dyDescent="0.4">
      <c r="A150" s="1">
        <v>148</v>
      </c>
      <c r="B150" s="3">
        <v>39659</v>
      </c>
      <c r="C150" s="4" t="s">
        <v>382</v>
      </c>
      <c r="D150" s="1">
        <v>19.8</v>
      </c>
      <c r="E150" s="5">
        <v>10000</v>
      </c>
      <c r="F150" s="2">
        <f t="shared" si="2"/>
        <v>198000</v>
      </c>
      <c r="G150" s="15">
        <v>0.45450000000000002</v>
      </c>
      <c r="H150" s="4" t="s">
        <v>34</v>
      </c>
      <c r="I150" s="4" t="s">
        <v>497</v>
      </c>
      <c r="J150" s="1" t="s">
        <v>21</v>
      </c>
      <c r="K150" s="4" t="s">
        <v>22</v>
      </c>
      <c r="L150" s="4" t="s">
        <v>383</v>
      </c>
      <c r="M150" s="1">
        <v>19.8</v>
      </c>
      <c r="N150" s="5">
        <v>10000</v>
      </c>
      <c r="O150" s="4" t="s">
        <v>34</v>
      </c>
      <c r="P150" s="4" t="s">
        <v>497</v>
      </c>
      <c r="Q150" s="1" t="s">
        <v>21</v>
      </c>
      <c r="R150" s="4" t="s">
        <v>22</v>
      </c>
      <c r="S150" s="4" t="s">
        <v>379</v>
      </c>
      <c r="T150" s="1">
        <v>19.8</v>
      </c>
      <c r="U150" s="5">
        <v>100000</v>
      </c>
      <c r="V150" s="18">
        <v>19.95</v>
      </c>
    </row>
    <row r="151" spans="1:22" ht="23.5" customHeight="1" x14ac:dyDescent="0.4">
      <c r="A151" s="1">
        <v>149</v>
      </c>
      <c r="B151" s="3">
        <v>39659</v>
      </c>
      <c r="C151" s="4" t="s">
        <v>384</v>
      </c>
      <c r="D151" s="1">
        <v>19.8</v>
      </c>
      <c r="E151" s="5">
        <v>10000</v>
      </c>
      <c r="F151" s="2">
        <f t="shared" si="2"/>
        <v>198000</v>
      </c>
      <c r="G151" s="15">
        <v>0.71419999999999995</v>
      </c>
      <c r="H151" s="4" t="s">
        <v>34</v>
      </c>
      <c r="I151" s="4" t="s">
        <v>497</v>
      </c>
      <c r="J151" s="1" t="s">
        <v>21</v>
      </c>
      <c r="K151" s="4" t="s">
        <v>22</v>
      </c>
      <c r="L151" s="4" t="s">
        <v>385</v>
      </c>
      <c r="M151" s="1">
        <v>19.8</v>
      </c>
      <c r="N151" s="5">
        <v>10000</v>
      </c>
      <c r="O151" s="4" t="s">
        <v>34</v>
      </c>
      <c r="P151" s="4" t="s">
        <v>497</v>
      </c>
      <c r="Q151" s="1" t="s">
        <v>21</v>
      </c>
      <c r="R151" s="4" t="s">
        <v>22</v>
      </c>
      <c r="S151" s="4" t="s">
        <v>379</v>
      </c>
      <c r="T151" s="1">
        <v>19.8</v>
      </c>
      <c r="U151" s="5">
        <v>100000</v>
      </c>
      <c r="V151" s="18">
        <v>19.95</v>
      </c>
    </row>
    <row r="152" spans="1:22" ht="23.5" customHeight="1" x14ac:dyDescent="0.4">
      <c r="A152" s="1">
        <v>150</v>
      </c>
      <c r="B152" s="3">
        <v>39659</v>
      </c>
      <c r="C152" s="4" t="s">
        <v>386</v>
      </c>
      <c r="D152" s="1">
        <v>20.100000000000001</v>
      </c>
      <c r="E152" s="5">
        <v>13000</v>
      </c>
      <c r="F152" s="2">
        <f t="shared" si="2"/>
        <v>261300.00000000003</v>
      </c>
      <c r="G152" s="15">
        <f>11.9%*(13/15)</f>
        <v>0.10313333333333334</v>
      </c>
      <c r="H152" s="4" t="s">
        <v>34</v>
      </c>
      <c r="I152" s="4" t="s">
        <v>497</v>
      </c>
      <c r="J152" s="1" t="s">
        <v>21</v>
      </c>
      <c r="K152" s="4" t="s">
        <v>22</v>
      </c>
      <c r="L152" s="4" t="s">
        <v>387</v>
      </c>
      <c r="M152" s="1">
        <v>20.100000000000001</v>
      </c>
      <c r="N152" s="5">
        <v>200000</v>
      </c>
      <c r="O152" s="4" t="s">
        <v>157</v>
      </c>
      <c r="P152" s="4" t="s">
        <v>497</v>
      </c>
      <c r="Q152" s="1" t="s">
        <v>17</v>
      </c>
      <c r="R152" s="4" t="s">
        <v>372</v>
      </c>
      <c r="S152" s="4" t="s">
        <v>388</v>
      </c>
      <c r="T152" s="1">
        <v>20.100000000000001</v>
      </c>
      <c r="U152" s="5">
        <v>100000</v>
      </c>
      <c r="V152" s="18">
        <v>19.8</v>
      </c>
    </row>
    <row r="153" spans="1:22" ht="23.5" customHeight="1" x14ac:dyDescent="0.4">
      <c r="A153" s="1">
        <v>151</v>
      </c>
      <c r="B153" s="3">
        <v>39659</v>
      </c>
      <c r="C153" s="4" t="s">
        <v>389</v>
      </c>
      <c r="D153" s="1">
        <v>20.2</v>
      </c>
      <c r="E153" s="5">
        <v>50000</v>
      </c>
      <c r="F153" s="2">
        <f t="shared" si="2"/>
        <v>1010000</v>
      </c>
      <c r="G153" s="15">
        <f>78.5%*(50/84)</f>
        <v>0.46726190476190477</v>
      </c>
      <c r="H153" s="4" t="s">
        <v>34</v>
      </c>
      <c r="I153" s="4" t="s">
        <v>497</v>
      </c>
      <c r="J153" s="1" t="s">
        <v>21</v>
      </c>
      <c r="K153" s="4" t="s">
        <v>22</v>
      </c>
      <c r="L153" s="4" t="s">
        <v>390</v>
      </c>
      <c r="M153" s="1">
        <v>20.2</v>
      </c>
      <c r="N153" s="5">
        <v>100000</v>
      </c>
      <c r="O153" s="4" t="s">
        <v>157</v>
      </c>
      <c r="P153" s="4" t="s">
        <v>497</v>
      </c>
      <c r="Q153" s="1" t="s">
        <v>17</v>
      </c>
      <c r="R153" s="4" t="s">
        <v>320</v>
      </c>
      <c r="S153" s="4" t="s">
        <v>391</v>
      </c>
      <c r="T153" s="1">
        <v>20.2</v>
      </c>
      <c r="U153" s="5">
        <v>50000</v>
      </c>
      <c r="V153" s="18">
        <v>19.8</v>
      </c>
    </row>
    <row r="154" spans="1:22" ht="23.5" customHeight="1" x14ac:dyDescent="0.4">
      <c r="A154" s="1">
        <v>152</v>
      </c>
      <c r="B154" s="3">
        <v>39659</v>
      </c>
      <c r="C154" s="4" t="s">
        <v>225</v>
      </c>
      <c r="D154" s="1">
        <v>20.45</v>
      </c>
      <c r="E154" s="5">
        <v>43000</v>
      </c>
      <c r="F154" s="2">
        <f t="shared" si="2"/>
        <v>879350</v>
      </c>
      <c r="G154" s="15">
        <f>5.93%*(43/100)</f>
        <v>2.5498999999999997E-2</v>
      </c>
      <c r="H154" s="4" t="s">
        <v>157</v>
      </c>
      <c r="I154" s="4" t="s">
        <v>497</v>
      </c>
      <c r="J154" s="1" t="s">
        <v>17</v>
      </c>
      <c r="K154" s="4" t="s">
        <v>372</v>
      </c>
      <c r="L154" s="4" t="s">
        <v>272</v>
      </c>
      <c r="M154" s="1">
        <v>20.8</v>
      </c>
      <c r="N154" s="5">
        <v>100000</v>
      </c>
      <c r="O154" s="4" t="s">
        <v>34</v>
      </c>
      <c r="P154" s="4" t="s">
        <v>497</v>
      </c>
      <c r="Q154" s="1" t="s">
        <v>21</v>
      </c>
      <c r="R154" s="4" t="s">
        <v>22</v>
      </c>
      <c r="S154" s="4" t="s">
        <v>270</v>
      </c>
      <c r="T154" s="14">
        <v>19.3</v>
      </c>
      <c r="U154" s="5">
        <v>91000</v>
      </c>
      <c r="V154" s="18">
        <v>20.45</v>
      </c>
    </row>
    <row r="155" spans="1:22" ht="23.5" customHeight="1" x14ac:dyDescent="0.4">
      <c r="A155" s="1">
        <v>153</v>
      </c>
      <c r="B155" s="3">
        <v>39666</v>
      </c>
      <c r="C155" s="4" t="s">
        <v>392</v>
      </c>
      <c r="D155" s="1">
        <v>16.100000000000001</v>
      </c>
      <c r="E155" s="5">
        <v>14000</v>
      </c>
      <c r="F155" s="2">
        <f t="shared" si="2"/>
        <v>225400.00000000003</v>
      </c>
      <c r="G155" s="15">
        <f>73.17%*(14/30)</f>
        <v>0.34145999999999999</v>
      </c>
      <c r="H155" s="4" t="s">
        <v>34</v>
      </c>
      <c r="I155" s="4" t="s">
        <v>497</v>
      </c>
      <c r="J155" s="1" t="s">
        <v>21</v>
      </c>
      <c r="K155" s="4" t="s">
        <v>22</v>
      </c>
      <c r="L155" s="4" t="s">
        <v>393</v>
      </c>
      <c r="M155" s="1">
        <v>16.100000000000001</v>
      </c>
      <c r="N155" s="5">
        <v>30000</v>
      </c>
      <c r="O155" s="4" t="s">
        <v>34</v>
      </c>
      <c r="P155" s="4" t="s">
        <v>497</v>
      </c>
      <c r="Q155" s="1" t="s">
        <v>21</v>
      </c>
      <c r="R155" s="4" t="s">
        <v>22</v>
      </c>
      <c r="S155" s="4" t="s">
        <v>51</v>
      </c>
      <c r="T155" s="1">
        <v>16.100000000000001</v>
      </c>
      <c r="U155" s="5">
        <v>60000</v>
      </c>
      <c r="V155" s="18">
        <v>16.149999999999999</v>
      </c>
    </row>
    <row r="156" spans="1:22" ht="23.5" customHeight="1" x14ac:dyDescent="0.4">
      <c r="A156" s="1">
        <v>154</v>
      </c>
      <c r="B156" s="3">
        <v>39666</v>
      </c>
      <c r="C156" s="4" t="s">
        <v>394</v>
      </c>
      <c r="D156" s="1">
        <v>16.100000000000001</v>
      </c>
      <c r="E156" s="5">
        <v>18000</v>
      </c>
      <c r="F156" s="2">
        <f t="shared" si="2"/>
        <v>289800</v>
      </c>
      <c r="G156" s="15">
        <f>100%*(18/25)</f>
        <v>0.72</v>
      </c>
      <c r="H156" s="4" t="s">
        <v>34</v>
      </c>
      <c r="I156" s="4" t="s">
        <v>497</v>
      </c>
      <c r="J156" s="1" t="s">
        <v>21</v>
      </c>
      <c r="K156" s="4" t="s">
        <v>22</v>
      </c>
      <c r="L156" s="4" t="s">
        <v>395</v>
      </c>
      <c r="M156" s="1">
        <v>16.100000000000001</v>
      </c>
      <c r="N156" s="5">
        <v>100000</v>
      </c>
      <c r="O156" s="4" t="s">
        <v>34</v>
      </c>
      <c r="P156" s="4" t="s">
        <v>497</v>
      </c>
      <c r="Q156" s="1" t="s">
        <v>21</v>
      </c>
      <c r="R156" s="4" t="s">
        <v>22</v>
      </c>
      <c r="S156" s="4" t="s">
        <v>51</v>
      </c>
      <c r="T156" s="1">
        <v>16.100000000000001</v>
      </c>
      <c r="U156" s="5">
        <v>60000</v>
      </c>
      <c r="V156" s="18">
        <v>16.149999999999999</v>
      </c>
    </row>
    <row r="157" spans="1:22" ht="23.5" customHeight="1" x14ac:dyDescent="0.4">
      <c r="A157" s="1">
        <v>155</v>
      </c>
      <c r="B157" s="3">
        <v>39667</v>
      </c>
      <c r="C157" s="4" t="s">
        <v>396</v>
      </c>
      <c r="D157" s="1">
        <v>16.7</v>
      </c>
      <c r="E157" s="5">
        <v>8000</v>
      </c>
      <c r="F157" s="2">
        <f t="shared" si="2"/>
        <v>133600</v>
      </c>
      <c r="G157" s="15">
        <f>66.66%*(8/10)</f>
        <v>0.53327999999999998</v>
      </c>
      <c r="H157" s="4" t="s">
        <v>34</v>
      </c>
      <c r="I157" s="4" t="s">
        <v>497</v>
      </c>
      <c r="J157" s="1" t="s">
        <v>21</v>
      </c>
      <c r="K157" s="4" t="s">
        <v>22</v>
      </c>
      <c r="L157" s="4" t="s">
        <v>397</v>
      </c>
      <c r="M157" s="1">
        <v>16.7</v>
      </c>
      <c r="N157" s="5">
        <v>10000</v>
      </c>
      <c r="O157" s="4" t="s">
        <v>34</v>
      </c>
      <c r="P157" s="4" t="s">
        <v>497</v>
      </c>
      <c r="Q157" s="1" t="s">
        <v>21</v>
      </c>
      <c r="R157" s="4" t="s">
        <v>22</v>
      </c>
      <c r="S157" s="4" t="s">
        <v>398</v>
      </c>
      <c r="T157" s="1">
        <v>16.7</v>
      </c>
      <c r="U157" s="5">
        <v>50000</v>
      </c>
      <c r="V157" s="18">
        <v>16.75</v>
      </c>
    </row>
    <row r="158" spans="1:22" ht="23.5" customHeight="1" x14ac:dyDescent="0.4">
      <c r="A158" s="1">
        <v>156</v>
      </c>
      <c r="B158" s="3">
        <v>39671</v>
      </c>
      <c r="C158" s="4" t="s">
        <v>399</v>
      </c>
      <c r="D158" s="1">
        <v>18.149999999999999</v>
      </c>
      <c r="E158" s="5">
        <v>8000</v>
      </c>
      <c r="F158" s="2">
        <f t="shared" si="2"/>
        <v>145200</v>
      </c>
      <c r="G158" s="15">
        <v>0.4</v>
      </c>
      <c r="H158" s="4" t="s">
        <v>34</v>
      </c>
      <c r="I158" s="4" t="s">
        <v>497</v>
      </c>
      <c r="J158" s="1" t="s">
        <v>21</v>
      </c>
      <c r="K158" s="4" t="s">
        <v>400</v>
      </c>
      <c r="L158" s="4" t="s">
        <v>401</v>
      </c>
      <c r="M158" s="14">
        <v>18.149999999999999</v>
      </c>
      <c r="N158" s="5">
        <v>50000</v>
      </c>
      <c r="O158" s="4" t="s">
        <v>157</v>
      </c>
      <c r="P158" s="4" t="s">
        <v>497</v>
      </c>
      <c r="Q158" s="1" t="s">
        <v>17</v>
      </c>
      <c r="R158" s="4" t="s">
        <v>299</v>
      </c>
      <c r="S158" s="4" t="s">
        <v>174</v>
      </c>
      <c r="T158" s="1">
        <v>18.149999999999999</v>
      </c>
      <c r="U158" s="5">
        <v>20000</v>
      </c>
      <c r="V158" s="18">
        <v>0</v>
      </c>
    </row>
    <row r="159" spans="1:22" ht="23.5" customHeight="1" x14ac:dyDescent="0.4">
      <c r="A159" s="1">
        <v>157</v>
      </c>
      <c r="B159" s="3">
        <v>39672</v>
      </c>
      <c r="C159" s="4" t="s">
        <v>402</v>
      </c>
      <c r="D159" s="1">
        <v>18.5</v>
      </c>
      <c r="E159" s="5">
        <v>22000</v>
      </c>
      <c r="F159" s="2">
        <f t="shared" si="2"/>
        <v>407000</v>
      </c>
      <c r="G159" s="15">
        <v>0.56410000000000005</v>
      </c>
      <c r="H159" s="4" t="s">
        <v>34</v>
      </c>
      <c r="I159" s="4" t="s">
        <v>497</v>
      </c>
      <c r="J159" s="1" t="s">
        <v>21</v>
      </c>
      <c r="K159" s="4" t="s">
        <v>22</v>
      </c>
      <c r="L159" s="4" t="s">
        <v>403</v>
      </c>
      <c r="M159" s="1">
        <v>18.5</v>
      </c>
      <c r="N159" s="5">
        <v>50000</v>
      </c>
      <c r="O159" s="4" t="s">
        <v>157</v>
      </c>
      <c r="P159" s="4" t="s">
        <v>497</v>
      </c>
      <c r="Q159" s="1" t="s">
        <v>17</v>
      </c>
      <c r="R159" s="4" t="s">
        <v>299</v>
      </c>
      <c r="S159" s="4" t="s">
        <v>404</v>
      </c>
      <c r="T159" s="1">
        <v>18.5</v>
      </c>
      <c r="U159" s="5">
        <v>30000</v>
      </c>
      <c r="V159" s="18">
        <v>18.350000000000001</v>
      </c>
    </row>
    <row r="160" spans="1:22" ht="23.5" customHeight="1" x14ac:dyDescent="0.4">
      <c r="A160" s="1">
        <v>158</v>
      </c>
      <c r="B160" s="3">
        <v>39672</v>
      </c>
      <c r="C160" s="4" t="s">
        <v>405</v>
      </c>
      <c r="D160" s="1">
        <v>18.75</v>
      </c>
      <c r="E160" s="5">
        <v>20000</v>
      </c>
      <c r="F160" s="2">
        <f t="shared" si="2"/>
        <v>375000</v>
      </c>
      <c r="G160" s="15">
        <f>71.42%*(20/50)</f>
        <v>0.28568000000000005</v>
      </c>
      <c r="H160" s="4" t="s">
        <v>34</v>
      </c>
      <c r="I160" s="4" t="s">
        <v>497</v>
      </c>
      <c r="J160" s="1" t="s">
        <v>21</v>
      </c>
      <c r="K160" s="4" t="s">
        <v>22</v>
      </c>
      <c r="L160" s="4" t="s">
        <v>81</v>
      </c>
      <c r="M160" s="1">
        <v>18.8</v>
      </c>
      <c r="N160" s="5">
        <v>50000</v>
      </c>
      <c r="O160" s="4" t="s">
        <v>364</v>
      </c>
      <c r="P160" s="4" t="s">
        <v>497</v>
      </c>
      <c r="Q160" s="1" t="s">
        <v>17</v>
      </c>
      <c r="R160" s="4" t="s">
        <v>365</v>
      </c>
      <c r="S160" s="4" t="s">
        <v>81</v>
      </c>
      <c r="T160" s="1">
        <v>18.75</v>
      </c>
      <c r="U160" s="5">
        <v>20000</v>
      </c>
      <c r="V160" s="18">
        <v>18.8</v>
      </c>
    </row>
    <row r="161" spans="1:22" ht="23.5" customHeight="1" x14ac:dyDescent="0.4">
      <c r="A161" s="1">
        <v>159</v>
      </c>
      <c r="B161" s="3">
        <v>39672</v>
      </c>
      <c r="C161" s="4" t="s">
        <v>406</v>
      </c>
      <c r="D161" s="1">
        <v>19.149999999999999</v>
      </c>
      <c r="E161" s="5">
        <v>91000</v>
      </c>
      <c r="F161" s="2">
        <f t="shared" si="2"/>
        <v>1742649.9999999998</v>
      </c>
      <c r="G161" s="15">
        <f>86.95%*(91/100)</f>
        <v>0.79124500000000009</v>
      </c>
      <c r="H161" s="4" t="s">
        <v>34</v>
      </c>
      <c r="I161" s="4" t="s">
        <v>497</v>
      </c>
      <c r="J161" s="1" t="s">
        <v>21</v>
      </c>
      <c r="K161" s="4" t="s">
        <v>22</v>
      </c>
      <c r="L161" s="4" t="s">
        <v>407</v>
      </c>
      <c r="M161" s="1">
        <v>19.149999999999999</v>
      </c>
      <c r="N161" s="5">
        <v>100000</v>
      </c>
      <c r="O161" s="4" t="s">
        <v>34</v>
      </c>
      <c r="P161" s="4" t="s">
        <v>497</v>
      </c>
      <c r="Q161" s="1" t="s">
        <v>21</v>
      </c>
      <c r="R161" s="4" t="s">
        <v>22</v>
      </c>
      <c r="S161" s="4" t="s">
        <v>408</v>
      </c>
      <c r="T161" s="1">
        <v>19.149999999999999</v>
      </c>
      <c r="U161" s="5">
        <v>200000</v>
      </c>
      <c r="V161" s="18">
        <v>18.7</v>
      </c>
    </row>
    <row r="162" spans="1:22" ht="23.5" customHeight="1" x14ac:dyDescent="0.4">
      <c r="A162" s="1">
        <v>160</v>
      </c>
      <c r="B162" s="3">
        <v>39672</v>
      </c>
      <c r="C162" s="4" t="s">
        <v>409</v>
      </c>
      <c r="D162" s="1">
        <v>19.149999999999999</v>
      </c>
      <c r="E162" s="5">
        <v>19000</v>
      </c>
      <c r="F162" s="2">
        <f t="shared" si="2"/>
        <v>363850</v>
      </c>
      <c r="G162" s="15">
        <f>69.56%*(19/64)</f>
        <v>0.20650625</v>
      </c>
      <c r="H162" s="4" t="s">
        <v>34</v>
      </c>
      <c r="I162" s="4" t="s">
        <v>497</v>
      </c>
      <c r="J162" s="1" t="s">
        <v>21</v>
      </c>
      <c r="K162" s="4" t="s">
        <v>22</v>
      </c>
      <c r="L162" s="4" t="s">
        <v>410</v>
      </c>
      <c r="M162" s="1">
        <v>19.149999999999999</v>
      </c>
      <c r="N162" s="5">
        <v>100000</v>
      </c>
      <c r="O162" s="4" t="s">
        <v>34</v>
      </c>
      <c r="P162" s="4" t="s">
        <v>497</v>
      </c>
      <c r="Q162" s="1" t="s">
        <v>21</v>
      </c>
      <c r="R162" s="4" t="s">
        <v>22</v>
      </c>
      <c r="S162" s="4" t="s">
        <v>408</v>
      </c>
      <c r="T162" s="1">
        <v>19.149999999999999</v>
      </c>
      <c r="U162" s="5">
        <v>200000</v>
      </c>
      <c r="V162" s="18">
        <v>18.7</v>
      </c>
    </row>
    <row r="163" spans="1:22" ht="23.5" customHeight="1" x14ac:dyDescent="0.4">
      <c r="A163" s="1">
        <v>161</v>
      </c>
      <c r="B163" s="3">
        <v>39675</v>
      </c>
      <c r="C163" s="4" t="s">
        <v>411</v>
      </c>
      <c r="D163" s="1">
        <v>17.850000000000001</v>
      </c>
      <c r="E163" s="5">
        <v>21000</v>
      </c>
      <c r="F163" s="2">
        <f t="shared" si="2"/>
        <v>374850.00000000006</v>
      </c>
      <c r="G163" s="15">
        <f>94.33%*(21/50)</f>
        <v>0.39618599999999998</v>
      </c>
      <c r="H163" s="4" t="s">
        <v>157</v>
      </c>
      <c r="I163" s="4" t="s">
        <v>497</v>
      </c>
      <c r="J163" s="1" t="s">
        <v>17</v>
      </c>
      <c r="K163" s="4" t="s">
        <v>181</v>
      </c>
      <c r="L163" s="4" t="s">
        <v>412</v>
      </c>
      <c r="M163" s="1">
        <v>17.850000000000001</v>
      </c>
      <c r="N163" s="5">
        <v>50000</v>
      </c>
      <c r="O163" s="4" t="s">
        <v>180</v>
      </c>
      <c r="P163" s="4" t="s">
        <v>497</v>
      </c>
      <c r="Q163" s="1" t="s">
        <v>17</v>
      </c>
      <c r="R163" s="4" t="s">
        <v>181</v>
      </c>
      <c r="S163" s="4" t="s">
        <v>413</v>
      </c>
      <c r="T163" s="1">
        <v>17.850000000000001</v>
      </c>
      <c r="U163" s="5">
        <v>40000</v>
      </c>
      <c r="V163" s="18">
        <v>17.600000000000001</v>
      </c>
    </row>
    <row r="164" spans="1:22" ht="23.5" customHeight="1" x14ac:dyDescent="0.4">
      <c r="A164" s="1">
        <v>162</v>
      </c>
      <c r="B164" s="3">
        <v>39675</v>
      </c>
      <c r="C164" s="4" t="s">
        <v>414</v>
      </c>
      <c r="D164" s="1">
        <v>17.850000000000001</v>
      </c>
      <c r="E164" s="5">
        <v>18000</v>
      </c>
      <c r="F164" s="2">
        <f t="shared" si="2"/>
        <v>321300</v>
      </c>
      <c r="G164" s="15">
        <f>76.92%*(18/20)</f>
        <v>0.69228000000000001</v>
      </c>
      <c r="H164" s="4" t="s">
        <v>157</v>
      </c>
      <c r="I164" s="4" t="s">
        <v>497</v>
      </c>
      <c r="J164" s="1" t="s">
        <v>17</v>
      </c>
      <c r="K164" s="4" t="s">
        <v>181</v>
      </c>
      <c r="L164" s="4" t="s">
        <v>415</v>
      </c>
      <c r="M164" s="1">
        <v>17.850000000000001</v>
      </c>
      <c r="N164" s="5">
        <v>30000</v>
      </c>
      <c r="O164" s="4" t="s">
        <v>180</v>
      </c>
      <c r="P164" s="4" t="s">
        <v>497</v>
      </c>
      <c r="Q164" s="1" t="s">
        <v>17</v>
      </c>
      <c r="R164" s="4" t="s">
        <v>181</v>
      </c>
      <c r="S164" s="4" t="s">
        <v>413</v>
      </c>
      <c r="T164" s="1">
        <v>17.850000000000001</v>
      </c>
      <c r="U164" s="5">
        <v>40000</v>
      </c>
      <c r="V164" s="18">
        <v>17.600000000000001</v>
      </c>
    </row>
    <row r="165" spans="1:22" ht="23.5" customHeight="1" x14ac:dyDescent="0.4">
      <c r="A165" s="1">
        <v>163</v>
      </c>
      <c r="B165" s="3">
        <v>39675</v>
      </c>
      <c r="C165" s="4" t="s">
        <v>416</v>
      </c>
      <c r="D165" s="1">
        <v>17.8</v>
      </c>
      <c r="E165" s="5">
        <v>20000</v>
      </c>
      <c r="F165" s="2">
        <f t="shared" si="2"/>
        <v>356000</v>
      </c>
      <c r="G165" s="15">
        <v>0.76919999999999999</v>
      </c>
      <c r="H165" s="4" t="s">
        <v>157</v>
      </c>
      <c r="I165" s="4" t="s">
        <v>497</v>
      </c>
      <c r="J165" s="1" t="s">
        <v>17</v>
      </c>
      <c r="K165" s="4" t="s">
        <v>181</v>
      </c>
      <c r="L165" s="4" t="s">
        <v>417</v>
      </c>
      <c r="M165" s="1">
        <v>17.8</v>
      </c>
      <c r="N165" s="5">
        <v>50000</v>
      </c>
      <c r="O165" s="4" t="s">
        <v>34</v>
      </c>
      <c r="P165" s="4" t="s">
        <v>497</v>
      </c>
      <c r="Q165" s="1" t="s">
        <v>21</v>
      </c>
      <c r="R165" s="4" t="s">
        <v>400</v>
      </c>
      <c r="S165" s="4" t="s">
        <v>418</v>
      </c>
      <c r="T165" s="1">
        <v>17.8</v>
      </c>
      <c r="U165" s="5">
        <v>40000</v>
      </c>
      <c r="V165" s="18">
        <v>17.850000000000001</v>
      </c>
    </row>
    <row r="166" spans="1:22" ht="23.5" customHeight="1" x14ac:dyDescent="0.4">
      <c r="A166" s="1">
        <v>164</v>
      </c>
      <c r="B166" s="3">
        <v>39675</v>
      </c>
      <c r="C166" s="4" t="s">
        <v>419</v>
      </c>
      <c r="D166" s="1">
        <v>18.2</v>
      </c>
      <c r="E166" s="5">
        <v>3000</v>
      </c>
      <c r="F166" s="2">
        <f t="shared" si="2"/>
        <v>54600</v>
      </c>
      <c r="G166" s="15">
        <f>100%*(3/50)</f>
        <v>0.06</v>
      </c>
      <c r="H166" s="4" t="s">
        <v>157</v>
      </c>
      <c r="I166" s="4" t="s">
        <v>497</v>
      </c>
      <c r="J166" s="1" t="s">
        <v>17</v>
      </c>
      <c r="K166" s="4" t="s">
        <v>372</v>
      </c>
      <c r="L166" s="4" t="s">
        <v>420</v>
      </c>
      <c r="M166" s="1">
        <v>18.2</v>
      </c>
      <c r="N166" s="5">
        <v>50000</v>
      </c>
      <c r="O166" s="4" t="s">
        <v>34</v>
      </c>
      <c r="P166" s="4" t="s">
        <v>497</v>
      </c>
      <c r="Q166" s="1" t="s">
        <v>21</v>
      </c>
      <c r="R166" s="4" t="s">
        <v>400</v>
      </c>
      <c r="S166" s="4" t="s">
        <v>421</v>
      </c>
      <c r="T166" s="14">
        <v>17.100000000000001</v>
      </c>
      <c r="U166" s="5">
        <v>3000</v>
      </c>
      <c r="V166" s="18">
        <v>18.05</v>
      </c>
    </row>
    <row r="167" spans="1:22" ht="23.5" customHeight="1" x14ac:dyDescent="0.4">
      <c r="A167" s="1">
        <v>165</v>
      </c>
      <c r="B167" s="3">
        <v>39675</v>
      </c>
      <c r="C167" s="4" t="s">
        <v>422</v>
      </c>
      <c r="D167" s="1">
        <v>18.2</v>
      </c>
      <c r="E167" s="5">
        <v>10000</v>
      </c>
      <c r="F167" s="2">
        <f t="shared" si="2"/>
        <v>182000</v>
      </c>
      <c r="G167" s="15">
        <f>100%*(10/84)</f>
        <v>0.11904761904761904</v>
      </c>
      <c r="H167" s="4" t="s">
        <v>157</v>
      </c>
      <c r="I167" s="4" t="s">
        <v>497</v>
      </c>
      <c r="J167" s="1" t="s">
        <v>17</v>
      </c>
      <c r="K167" s="4" t="s">
        <v>372</v>
      </c>
      <c r="L167" s="4" t="s">
        <v>423</v>
      </c>
      <c r="M167" s="1">
        <v>18.2</v>
      </c>
      <c r="N167" s="5">
        <v>100000</v>
      </c>
      <c r="O167" s="4" t="s">
        <v>34</v>
      </c>
      <c r="P167" s="4" t="s">
        <v>497</v>
      </c>
      <c r="Q167" s="1" t="s">
        <v>21</v>
      </c>
      <c r="R167" s="4" t="s">
        <v>313</v>
      </c>
      <c r="S167" s="4" t="s">
        <v>424</v>
      </c>
      <c r="T167" s="14">
        <v>17.100000000000001</v>
      </c>
      <c r="U167" s="5">
        <v>10000</v>
      </c>
      <c r="V167" s="18">
        <v>18.2</v>
      </c>
    </row>
    <row r="168" spans="1:22" ht="23.5" customHeight="1" x14ac:dyDescent="0.4">
      <c r="A168" s="1">
        <v>166</v>
      </c>
      <c r="B168" s="3">
        <v>39675</v>
      </c>
      <c r="C168" s="4" t="s">
        <v>422</v>
      </c>
      <c r="D168" s="1">
        <v>18.2</v>
      </c>
      <c r="E168" s="5">
        <v>30000</v>
      </c>
      <c r="F168" s="2">
        <f t="shared" si="2"/>
        <v>546000</v>
      </c>
      <c r="G168" s="15">
        <f>100%*(30/84)</f>
        <v>0.35714285714285715</v>
      </c>
      <c r="H168" s="4" t="s">
        <v>157</v>
      </c>
      <c r="I168" s="4" t="s">
        <v>497</v>
      </c>
      <c r="J168" s="1" t="s">
        <v>17</v>
      </c>
      <c r="K168" s="4" t="s">
        <v>372</v>
      </c>
      <c r="L168" s="4" t="s">
        <v>423</v>
      </c>
      <c r="M168" s="1">
        <v>18.2</v>
      </c>
      <c r="N168" s="5">
        <v>100000</v>
      </c>
      <c r="O168" s="4" t="s">
        <v>157</v>
      </c>
      <c r="P168" s="4" t="s">
        <v>497</v>
      </c>
      <c r="Q168" s="1" t="s">
        <v>17</v>
      </c>
      <c r="R168" s="4" t="s">
        <v>299</v>
      </c>
      <c r="S168" s="4" t="s">
        <v>425</v>
      </c>
      <c r="T168" s="1">
        <v>18.2</v>
      </c>
      <c r="U168" s="5">
        <v>30000</v>
      </c>
      <c r="V168" s="18">
        <v>17.899999999999999</v>
      </c>
    </row>
    <row r="169" spans="1:22" ht="23.5" customHeight="1" x14ac:dyDescent="0.4">
      <c r="A169" s="1">
        <v>167</v>
      </c>
      <c r="B169" s="3">
        <v>39675</v>
      </c>
      <c r="C169" s="4" t="s">
        <v>426</v>
      </c>
      <c r="D169" s="1">
        <v>18.2</v>
      </c>
      <c r="E169" s="5">
        <v>10000</v>
      </c>
      <c r="F169" s="2">
        <f t="shared" si="2"/>
        <v>182000</v>
      </c>
      <c r="G169" s="15">
        <f>100%*(10/14)</f>
        <v>0.7142857142857143</v>
      </c>
      <c r="H169" s="4" t="s">
        <v>157</v>
      </c>
      <c r="I169" s="4" t="s">
        <v>497</v>
      </c>
      <c r="J169" s="1" t="s">
        <v>17</v>
      </c>
      <c r="K169" s="4" t="s">
        <v>372</v>
      </c>
      <c r="L169" s="4" t="s">
        <v>423</v>
      </c>
      <c r="M169" s="1">
        <v>18.2</v>
      </c>
      <c r="N169" s="5">
        <v>100000</v>
      </c>
      <c r="O169" s="4" t="s">
        <v>34</v>
      </c>
      <c r="P169" s="4" t="s">
        <v>497</v>
      </c>
      <c r="Q169" s="1" t="s">
        <v>21</v>
      </c>
      <c r="R169" s="4" t="s">
        <v>313</v>
      </c>
      <c r="S169" s="4" t="s">
        <v>427</v>
      </c>
      <c r="T169" s="14">
        <v>17.100000000000001</v>
      </c>
      <c r="U169" s="5">
        <v>10000</v>
      </c>
      <c r="V169" s="18">
        <v>18.25</v>
      </c>
    </row>
    <row r="170" spans="1:22" ht="23.5" customHeight="1" x14ac:dyDescent="0.4">
      <c r="A170" s="1">
        <v>168</v>
      </c>
      <c r="B170" s="3">
        <v>39678</v>
      </c>
      <c r="C170" s="4" t="s">
        <v>428</v>
      </c>
      <c r="D170" s="1">
        <v>16.8</v>
      </c>
      <c r="E170" s="5">
        <v>10000</v>
      </c>
      <c r="F170" s="2">
        <f t="shared" si="2"/>
        <v>168000</v>
      </c>
      <c r="G170" s="15">
        <v>0.2127</v>
      </c>
      <c r="H170" s="4" t="s">
        <v>157</v>
      </c>
      <c r="I170" s="4" t="s">
        <v>497</v>
      </c>
      <c r="J170" s="1" t="s">
        <v>17</v>
      </c>
      <c r="K170" s="4" t="s">
        <v>299</v>
      </c>
      <c r="L170" s="4" t="s">
        <v>429</v>
      </c>
      <c r="M170" s="1">
        <v>16.850000000000001</v>
      </c>
      <c r="N170" s="5">
        <v>10000</v>
      </c>
      <c r="O170" s="4" t="s">
        <v>34</v>
      </c>
      <c r="P170" s="4" t="s">
        <v>497</v>
      </c>
      <c r="Q170" s="1" t="s">
        <v>21</v>
      </c>
      <c r="R170" s="4" t="s">
        <v>166</v>
      </c>
      <c r="S170" s="4" t="s">
        <v>430</v>
      </c>
      <c r="T170" s="1">
        <v>16.8</v>
      </c>
      <c r="U170" s="5">
        <v>30000</v>
      </c>
      <c r="V170" s="18">
        <v>16.899999999999999</v>
      </c>
    </row>
    <row r="171" spans="1:22" ht="23.5" customHeight="1" x14ac:dyDescent="0.4">
      <c r="A171" s="1">
        <v>169</v>
      </c>
      <c r="B171" s="3">
        <v>39678</v>
      </c>
      <c r="C171" s="4" t="s">
        <v>431</v>
      </c>
      <c r="D171" s="1">
        <v>16.100000000000001</v>
      </c>
      <c r="E171" s="5">
        <v>98000</v>
      </c>
      <c r="F171" s="2">
        <f t="shared" si="2"/>
        <v>1577800.0000000002</v>
      </c>
      <c r="G171" s="15">
        <v>0.62019999999999997</v>
      </c>
      <c r="H171" s="4" t="s">
        <v>157</v>
      </c>
      <c r="I171" s="4" t="s">
        <v>497</v>
      </c>
      <c r="J171" s="1" t="s">
        <v>17</v>
      </c>
      <c r="K171" s="4" t="s">
        <v>181</v>
      </c>
      <c r="L171" s="1"/>
      <c r="M171" s="1"/>
      <c r="N171" s="1"/>
      <c r="O171" s="4" t="s">
        <v>432</v>
      </c>
      <c r="P171" s="4" t="s">
        <v>497</v>
      </c>
      <c r="Q171" s="1" t="s">
        <v>17</v>
      </c>
      <c r="R171" s="4" t="s">
        <v>365</v>
      </c>
      <c r="S171" s="4" t="s">
        <v>433</v>
      </c>
      <c r="T171" s="14">
        <v>15.95</v>
      </c>
      <c r="U171" s="5">
        <v>151000</v>
      </c>
      <c r="V171" s="18">
        <v>16.3</v>
      </c>
    </row>
    <row r="172" spans="1:22" ht="23.5" customHeight="1" x14ac:dyDescent="0.4">
      <c r="A172" s="1">
        <v>170</v>
      </c>
      <c r="B172" s="3">
        <v>39682</v>
      </c>
      <c r="C172" s="4" t="s">
        <v>434</v>
      </c>
      <c r="D172" s="1">
        <v>15.2</v>
      </c>
      <c r="E172" s="5">
        <v>16000</v>
      </c>
      <c r="F172" s="2">
        <f t="shared" si="2"/>
        <v>243200</v>
      </c>
      <c r="G172" s="15">
        <f>100%*(16/50)</f>
        <v>0.32</v>
      </c>
      <c r="H172" s="4" t="s">
        <v>157</v>
      </c>
      <c r="I172" s="4" t="s">
        <v>497</v>
      </c>
      <c r="J172" s="1" t="s">
        <v>17</v>
      </c>
      <c r="K172" s="4" t="s">
        <v>320</v>
      </c>
      <c r="L172" s="4" t="s">
        <v>435</v>
      </c>
      <c r="M172" s="1">
        <v>15.2</v>
      </c>
      <c r="N172" s="5">
        <v>50000</v>
      </c>
      <c r="O172" s="4" t="s">
        <v>180</v>
      </c>
      <c r="P172" s="4" t="s">
        <v>497</v>
      </c>
      <c r="Q172" s="1" t="s">
        <v>17</v>
      </c>
      <c r="R172" s="4" t="s">
        <v>181</v>
      </c>
      <c r="S172" s="4" t="s">
        <v>436</v>
      </c>
      <c r="T172" s="1">
        <v>15.2</v>
      </c>
      <c r="U172" s="5">
        <v>30000</v>
      </c>
      <c r="V172" s="18">
        <v>15.2</v>
      </c>
    </row>
    <row r="173" spans="1:22" ht="23.5" customHeight="1" x14ac:dyDescent="0.4">
      <c r="A173" s="1">
        <v>171</v>
      </c>
      <c r="B173" s="3">
        <v>39682</v>
      </c>
      <c r="C173" s="4" t="s">
        <v>437</v>
      </c>
      <c r="D173" s="1">
        <v>15.2</v>
      </c>
      <c r="E173" s="5">
        <v>14000</v>
      </c>
      <c r="F173" s="2">
        <f t="shared" si="2"/>
        <v>212800</v>
      </c>
      <c r="G173" s="15">
        <f>100%*(14/44)</f>
        <v>0.31818181818181818</v>
      </c>
      <c r="H173" s="4" t="s">
        <v>157</v>
      </c>
      <c r="I173" s="4" t="s">
        <v>497</v>
      </c>
      <c r="J173" s="1" t="s">
        <v>17</v>
      </c>
      <c r="K173" s="4" t="s">
        <v>320</v>
      </c>
      <c r="L173" s="4" t="s">
        <v>438</v>
      </c>
      <c r="M173" s="1">
        <v>15.2</v>
      </c>
      <c r="N173" s="5">
        <v>50000</v>
      </c>
      <c r="O173" s="4" t="s">
        <v>180</v>
      </c>
      <c r="P173" s="4" t="s">
        <v>497</v>
      </c>
      <c r="Q173" s="1" t="s">
        <v>17</v>
      </c>
      <c r="R173" s="4" t="s">
        <v>181</v>
      </c>
      <c r="S173" s="4" t="s">
        <v>436</v>
      </c>
      <c r="T173" s="1">
        <v>15.2</v>
      </c>
      <c r="U173" s="5">
        <v>30000</v>
      </c>
      <c r="V173" s="18">
        <v>15.2</v>
      </c>
    </row>
    <row r="174" spans="1:22" ht="23.5" customHeight="1" x14ac:dyDescent="0.4">
      <c r="A174" s="1">
        <v>172</v>
      </c>
      <c r="B174" s="3">
        <v>39682</v>
      </c>
      <c r="C174" s="4" t="s">
        <v>439</v>
      </c>
      <c r="D174" s="1">
        <v>15.25</v>
      </c>
      <c r="E174" s="5">
        <v>27000</v>
      </c>
      <c r="F174" s="2">
        <f t="shared" si="2"/>
        <v>411750</v>
      </c>
      <c r="G174" s="15">
        <f>69.04%*(27/29)</f>
        <v>0.64278620689655175</v>
      </c>
      <c r="H174" s="4" t="s">
        <v>157</v>
      </c>
      <c r="I174" s="4" t="s">
        <v>497</v>
      </c>
      <c r="J174" s="1" t="s">
        <v>17</v>
      </c>
      <c r="K174" s="4" t="s">
        <v>320</v>
      </c>
      <c r="L174" s="4" t="s">
        <v>440</v>
      </c>
      <c r="M174" s="1">
        <v>15.25</v>
      </c>
      <c r="N174" s="5">
        <v>50000</v>
      </c>
      <c r="O174" s="4" t="s">
        <v>180</v>
      </c>
      <c r="P174" s="4" t="s">
        <v>497</v>
      </c>
      <c r="Q174" s="1" t="s">
        <v>17</v>
      </c>
      <c r="R174" s="4" t="s">
        <v>181</v>
      </c>
      <c r="S174" s="4" t="s">
        <v>441</v>
      </c>
      <c r="T174" s="1">
        <v>15.25</v>
      </c>
      <c r="U174" s="5">
        <v>30000</v>
      </c>
      <c r="V174" s="18">
        <v>15.2</v>
      </c>
    </row>
    <row r="175" spans="1:22" ht="23.5" customHeight="1" x14ac:dyDescent="0.4">
      <c r="A175" s="1">
        <v>173</v>
      </c>
      <c r="B175" s="3">
        <v>39682</v>
      </c>
      <c r="C175" s="4" t="s">
        <v>442</v>
      </c>
      <c r="D175" s="1">
        <v>15.1</v>
      </c>
      <c r="E175" s="5">
        <v>35000</v>
      </c>
      <c r="F175" s="2">
        <f t="shared" si="2"/>
        <v>528500</v>
      </c>
      <c r="G175" s="15">
        <f>100%*(35/53)</f>
        <v>0.660377358490566</v>
      </c>
      <c r="H175" s="4" t="s">
        <v>157</v>
      </c>
      <c r="I175" s="4" t="s">
        <v>497</v>
      </c>
      <c r="J175" s="1" t="s">
        <v>17</v>
      </c>
      <c r="K175" s="4" t="s">
        <v>320</v>
      </c>
      <c r="L175" s="4" t="s">
        <v>443</v>
      </c>
      <c r="M175" s="1">
        <v>15.1</v>
      </c>
      <c r="N175" s="5">
        <v>100000</v>
      </c>
      <c r="O175" s="4" t="s">
        <v>157</v>
      </c>
      <c r="P175" s="4" t="s">
        <v>497</v>
      </c>
      <c r="Q175" s="1" t="s">
        <v>17</v>
      </c>
      <c r="R175" s="4" t="s">
        <v>372</v>
      </c>
      <c r="S175" s="4" t="s">
        <v>444</v>
      </c>
      <c r="T175" s="1">
        <v>15.1</v>
      </c>
      <c r="U175" s="5">
        <v>50000</v>
      </c>
      <c r="V175" s="18">
        <v>15.15</v>
      </c>
    </row>
    <row r="176" spans="1:22" ht="23.5" customHeight="1" x14ac:dyDescent="0.4">
      <c r="A176" s="1">
        <v>174</v>
      </c>
      <c r="B176" s="3">
        <v>39682</v>
      </c>
      <c r="C176" s="4" t="s">
        <v>445</v>
      </c>
      <c r="D176" s="1">
        <v>15.1</v>
      </c>
      <c r="E176" s="5">
        <v>11000</v>
      </c>
      <c r="F176" s="2">
        <f t="shared" si="2"/>
        <v>166100</v>
      </c>
      <c r="G176" s="15">
        <f>60%*(11/30)</f>
        <v>0.21999999999999997</v>
      </c>
      <c r="H176" s="4" t="s">
        <v>157</v>
      </c>
      <c r="I176" s="4" t="s">
        <v>497</v>
      </c>
      <c r="J176" s="1" t="s">
        <v>17</v>
      </c>
      <c r="K176" s="4" t="s">
        <v>320</v>
      </c>
      <c r="L176" s="4" t="s">
        <v>446</v>
      </c>
      <c r="M176" s="1">
        <v>15.1</v>
      </c>
      <c r="N176" s="5">
        <v>30000</v>
      </c>
      <c r="O176" s="4" t="s">
        <v>157</v>
      </c>
      <c r="P176" s="4" t="s">
        <v>497</v>
      </c>
      <c r="Q176" s="1" t="s">
        <v>17</v>
      </c>
      <c r="R176" s="4" t="s">
        <v>372</v>
      </c>
      <c r="S176" s="4" t="s">
        <v>444</v>
      </c>
      <c r="T176" s="1">
        <v>15.1</v>
      </c>
      <c r="U176" s="5">
        <v>50000</v>
      </c>
      <c r="V176" s="18">
        <v>15.15</v>
      </c>
    </row>
    <row r="177" spans="1:22" ht="23.5" customHeight="1" x14ac:dyDescent="0.4">
      <c r="A177" s="1">
        <v>175</v>
      </c>
      <c r="B177" s="3">
        <v>39682</v>
      </c>
      <c r="C177" s="4" t="s">
        <v>447</v>
      </c>
      <c r="D177" s="1">
        <v>15.3</v>
      </c>
      <c r="E177" s="5">
        <v>10000</v>
      </c>
      <c r="F177" s="2">
        <f t="shared" si="2"/>
        <v>153000</v>
      </c>
      <c r="G177" s="15">
        <f>100%*(10/15)</f>
        <v>0.66666666666666663</v>
      </c>
      <c r="H177" s="4" t="s">
        <v>157</v>
      </c>
      <c r="I177" s="4" t="s">
        <v>497</v>
      </c>
      <c r="J177" s="1" t="s">
        <v>17</v>
      </c>
      <c r="K177" s="4" t="s">
        <v>320</v>
      </c>
      <c r="L177" s="4" t="s">
        <v>448</v>
      </c>
      <c r="M177" s="1">
        <v>15.3</v>
      </c>
      <c r="N177" s="5">
        <v>50000</v>
      </c>
      <c r="O177" s="4" t="s">
        <v>34</v>
      </c>
      <c r="P177" s="4" t="s">
        <v>497</v>
      </c>
      <c r="Q177" s="1" t="s">
        <v>21</v>
      </c>
      <c r="R177" s="4" t="s">
        <v>22</v>
      </c>
      <c r="S177" s="4" t="s">
        <v>449</v>
      </c>
      <c r="T177" s="14">
        <v>14.15</v>
      </c>
      <c r="U177" s="5">
        <v>10000</v>
      </c>
      <c r="V177" s="18">
        <v>15.35</v>
      </c>
    </row>
    <row r="178" spans="1:22" ht="23.5" customHeight="1" x14ac:dyDescent="0.4">
      <c r="A178" s="1">
        <v>176</v>
      </c>
      <c r="B178" s="3">
        <v>39682</v>
      </c>
      <c r="C178" s="4" t="s">
        <v>450</v>
      </c>
      <c r="D178" s="1">
        <v>15.15</v>
      </c>
      <c r="E178" s="5">
        <v>36000</v>
      </c>
      <c r="F178" s="2">
        <f t="shared" si="2"/>
        <v>545400</v>
      </c>
      <c r="G178" s="15">
        <f>96.15%*(36/50)</f>
        <v>0.69228000000000001</v>
      </c>
      <c r="H178" s="4" t="s">
        <v>157</v>
      </c>
      <c r="I178" s="4" t="s">
        <v>497</v>
      </c>
      <c r="J178" s="1" t="s">
        <v>17</v>
      </c>
      <c r="K178" s="4" t="s">
        <v>320</v>
      </c>
      <c r="L178" s="4" t="s">
        <v>451</v>
      </c>
      <c r="M178" s="1">
        <v>15.15</v>
      </c>
      <c r="N178" s="5">
        <v>50000</v>
      </c>
      <c r="O178" s="4" t="s">
        <v>180</v>
      </c>
      <c r="P178" s="4" t="s">
        <v>497</v>
      </c>
      <c r="Q178" s="1" t="s">
        <v>17</v>
      </c>
      <c r="R178" s="4" t="s">
        <v>181</v>
      </c>
      <c r="S178" s="4" t="s">
        <v>452</v>
      </c>
      <c r="T178" s="1">
        <v>15.15</v>
      </c>
      <c r="U178" s="5">
        <v>50000</v>
      </c>
      <c r="V178" s="18">
        <v>15.2</v>
      </c>
    </row>
    <row r="179" spans="1:22" ht="23.5" customHeight="1" x14ac:dyDescent="0.4">
      <c r="A179" s="1">
        <v>177</v>
      </c>
      <c r="B179" s="3">
        <v>39682</v>
      </c>
      <c r="C179" s="4" t="s">
        <v>225</v>
      </c>
      <c r="D179" s="1">
        <v>15</v>
      </c>
      <c r="E179" s="5">
        <v>44000</v>
      </c>
      <c r="F179" s="2">
        <f t="shared" si="2"/>
        <v>660000</v>
      </c>
      <c r="G179" s="15">
        <f>46.71%*(44/135)</f>
        <v>0.15224000000000001</v>
      </c>
      <c r="H179" s="4" t="s">
        <v>157</v>
      </c>
      <c r="I179" s="4" t="s">
        <v>497</v>
      </c>
      <c r="J179" s="1" t="s">
        <v>17</v>
      </c>
      <c r="K179" s="4" t="s">
        <v>320</v>
      </c>
      <c r="L179" s="4" t="s">
        <v>453</v>
      </c>
      <c r="M179" s="14">
        <v>16.25</v>
      </c>
      <c r="N179" s="5">
        <v>135000</v>
      </c>
      <c r="O179" s="4" t="s">
        <v>34</v>
      </c>
      <c r="P179" s="4" t="s">
        <v>497</v>
      </c>
      <c r="Q179" s="1" t="s">
        <v>21</v>
      </c>
      <c r="R179" s="4" t="s">
        <v>22</v>
      </c>
      <c r="S179" s="4" t="s">
        <v>226</v>
      </c>
      <c r="T179" s="14">
        <v>14.15</v>
      </c>
      <c r="U179" s="5">
        <v>44000</v>
      </c>
      <c r="V179" s="18">
        <v>14.95</v>
      </c>
    </row>
    <row r="180" spans="1:22" ht="23.5" customHeight="1" x14ac:dyDescent="0.4">
      <c r="A180" s="1">
        <v>178</v>
      </c>
      <c r="B180" s="3">
        <v>39682</v>
      </c>
      <c r="C180" s="4" t="s">
        <v>225</v>
      </c>
      <c r="D180" s="1">
        <v>15</v>
      </c>
      <c r="E180" s="5">
        <v>37000</v>
      </c>
      <c r="F180" s="2">
        <f t="shared" si="2"/>
        <v>555000</v>
      </c>
      <c r="G180" s="15">
        <f>46.71%*(37/135)</f>
        <v>0.12801999999999999</v>
      </c>
      <c r="H180" s="4" t="s">
        <v>157</v>
      </c>
      <c r="I180" s="4" t="s">
        <v>497</v>
      </c>
      <c r="J180" s="1" t="s">
        <v>17</v>
      </c>
      <c r="K180" s="4" t="s">
        <v>320</v>
      </c>
      <c r="L180" s="4" t="s">
        <v>453</v>
      </c>
      <c r="M180" s="14">
        <v>16.25</v>
      </c>
      <c r="N180" s="5">
        <v>135000</v>
      </c>
      <c r="O180" s="4" t="s">
        <v>34</v>
      </c>
      <c r="P180" s="4" t="s">
        <v>497</v>
      </c>
      <c r="Q180" s="1" t="s">
        <v>21</v>
      </c>
      <c r="R180" s="4" t="s">
        <v>22</v>
      </c>
      <c r="S180" s="4" t="s">
        <v>232</v>
      </c>
      <c r="T180" s="14">
        <v>14.15</v>
      </c>
      <c r="U180" s="5">
        <v>50000</v>
      </c>
      <c r="V180" s="18">
        <v>14.95</v>
      </c>
    </row>
    <row r="181" spans="1:22" ht="23.5" customHeight="1" x14ac:dyDescent="0.4">
      <c r="A181" s="1">
        <v>179</v>
      </c>
      <c r="B181" s="3">
        <v>39685</v>
      </c>
      <c r="C181" s="4" t="s">
        <v>454</v>
      </c>
      <c r="D181" s="1">
        <v>14.85</v>
      </c>
      <c r="E181" s="5">
        <v>3000</v>
      </c>
      <c r="F181" s="2">
        <f t="shared" si="2"/>
        <v>44550</v>
      </c>
      <c r="G181" s="15">
        <f>100%*(3/15)</f>
        <v>0.2</v>
      </c>
      <c r="H181" s="4" t="s">
        <v>157</v>
      </c>
      <c r="I181" s="4" t="s">
        <v>497</v>
      </c>
      <c r="J181" s="1" t="s">
        <v>17</v>
      </c>
      <c r="K181" s="4" t="s">
        <v>181</v>
      </c>
      <c r="L181" s="4" t="s">
        <v>455</v>
      </c>
      <c r="M181" s="1">
        <v>14.85</v>
      </c>
      <c r="N181" s="5">
        <v>15000</v>
      </c>
      <c r="O181" s="4" t="s">
        <v>157</v>
      </c>
      <c r="P181" s="4" t="s">
        <v>497</v>
      </c>
      <c r="Q181" s="1" t="s">
        <v>17</v>
      </c>
      <c r="R181" s="4" t="s">
        <v>158</v>
      </c>
      <c r="S181" s="4" t="s">
        <v>456</v>
      </c>
      <c r="T181" s="1">
        <v>14.85</v>
      </c>
      <c r="U181" s="5">
        <v>20000</v>
      </c>
      <c r="V181" s="18">
        <v>14.75</v>
      </c>
    </row>
    <row r="182" spans="1:22" ht="23.5" customHeight="1" x14ac:dyDescent="0.4">
      <c r="A182" s="1">
        <v>180</v>
      </c>
      <c r="B182" s="3">
        <v>39685</v>
      </c>
      <c r="C182" s="4" t="s">
        <v>457</v>
      </c>
      <c r="D182" s="1">
        <v>14.85</v>
      </c>
      <c r="E182" s="5">
        <v>9000</v>
      </c>
      <c r="F182" s="2">
        <f t="shared" si="2"/>
        <v>133650</v>
      </c>
      <c r="G182" s="15">
        <v>0.9</v>
      </c>
      <c r="H182" s="4" t="s">
        <v>157</v>
      </c>
      <c r="I182" s="4" t="s">
        <v>497</v>
      </c>
      <c r="J182" s="1" t="s">
        <v>17</v>
      </c>
      <c r="K182" s="4" t="s">
        <v>181</v>
      </c>
      <c r="L182" s="4" t="s">
        <v>458</v>
      </c>
      <c r="M182" s="1">
        <v>14.85</v>
      </c>
      <c r="N182" s="5">
        <v>15000</v>
      </c>
      <c r="O182" s="4" t="s">
        <v>157</v>
      </c>
      <c r="P182" s="4" t="s">
        <v>497</v>
      </c>
      <c r="Q182" s="1" t="s">
        <v>17</v>
      </c>
      <c r="R182" s="4" t="s">
        <v>158</v>
      </c>
      <c r="S182" s="4" t="s">
        <v>456</v>
      </c>
      <c r="T182" s="1">
        <v>14.85</v>
      </c>
      <c r="U182" s="5">
        <v>20000</v>
      </c>
      <c r="V182" s="18">
        <v>14.75</v>
      </c>
    </row>
    <row r="183" spans="1:22" ht="23.5" customHeight="1" x14ac:dyDescent="0.4">
      <c r="A183" s="1">
        <v>181</v>
      </c>
      <c r="B183" s="3">
        <v>39685</v>
      </c>
      <c r="C183" s="4" t="s">
        <v>459</v>
      </c>
      <c r="D183" s="1">
        <v>14.9</v>
      </c>
      <c r="E183" s="5">
        <v>20000</v>
      </c>
      <c r="F183" s="2">
        <f t="shared" si="2"/>
        <v>298000</v>
      </c>
      <c r="G183" s="15">
        <f>100%*(20/29)</f>
        <v>0.68965517241379315</v>
      </c>
      <c r="H183" s="4" t="s">
        <v>157</v>
      </c>
      <c r="I183" s="4" t="s">
        <v>497</v>
      </c>
      <c r="J183" s="1" t="s">
        <v>17</v>
      </c>
      <c r="K183" s="4" t="s">
        <v>372</v>
      </c>
      <c r="L183" s="4" t="s">
        <v>460</v>
      </c>
      <c r="M183" s="1">
        <v>14.9</v>
      </c>
      <c r="N183" s="5">
        <v>30000</v>
      </c>
      <c r="O183" s="4" t="s">
        <v>157</v>
      </c>
      <c r="P183" s="4" t="s">
        <v>497</v>
      </c>
      <c r="Q183" s="1" t="s">
        <v>17</v>
      </c>
      <c r="R183" s="4" t="s">
        <v>158</v>
      </c>
      <c r="S183" s="4" t="s">
        <v>461</v>
      </c>
      <c r="T183" s="1">
        <v>14.9</v>
      </c>
      <c r="U183" s="5">
        <v>20000</v>
      </c>
      <c r="V183" s="18">
        <v>14.75</v>
      </c>
    </row>
    <row r="184" spans="1:22" ht="23.5" customHeight="1" x14ac:dyDescent="0.4">
      <c r="A184" s="1">
        <v>182</v>
      </c>
      <c r="B184" s="3">
        <v>39687</v>
      </c>
      <c r="C184" s="4" t="s">
        <v>462</v>
      </c>
      <c r="D184" s="1">
        <v>12.65</v>
      </c>
      <c r="E184" s="5">
        <v>25000</v>
      </c>
      <c r="F184" s="2">
        <f t="shared" si="2"/>
        <v>316250</v>
      </c>
      <c r="G184" s="15">
        <v>1.54E-2</v>
      </c>
      <c r="H184" s="4" t="s">
        <v>34</v>
      </c>
      <c r="I184" s="4" t="s">
        <v>497</v>
      </c>
      <c r="J184" s="1" t="s">
        <v>21</v>
      </c>
      <c r="K184" s="4" t="s">
        <v>313</v>
      </c>
      <c r="L184" s="4" t="s">
        <v>463</v>
      </c>
      <c r="M184" s="1">
        <v>12.7</v>
      </c>
      <c r="N184" s="5">
        <v>25000</v>
      </c>
      <c r="O184" s="4" t="s">
        <v>157</v>
      </c>
      <c r="P184" s="4" t="s">
        <v>497</v>
      </c>
      <c r="Q184" s="1" t="s">
        <v>17</v>
      </c>
      <c r="R184" s="4" t="s">
        <v>158</v>
      </c>
      <c r="S184" s="4" t="s">
        <v>464</v>
      </c>
      <c r="T184" s="14">
        <v>12.65</v>
      </c>
      <c r="U184" s="5">
        <v>400000</v>
      </c>
      <c r="V184" s="18">
        <v>0</v>
      </c>
    </row>
    <row r="185" spans="1:22" ht="23.5" customHeight="1" x14ac:dyDescent="0.4">
      <c r="A185" s="1">
        <v>183</v>
      </c>
      <c r="B185" s="3">
        <v>39687</v>
      </c>
      <c r="C185" s="4" t="s">
        <v>462</v>
      </c>
      <c r="D185" s="1">
        <v>12.65</v>
      </c>
      <c r="E185" s="5">
        <v>66000</v>
      </c>
      <c r="F185" s="2">
        <f t="shared" si="2"/>
        <v>834900</v>
      </c>
      <c r="G185" s="15">
        <f>6.16%*(66/100)</f>
        <v>4.0656000000000005E-2</v>
      </c>
      <c r="H185" s="4" t="s">
        <v>34</v>
      </c>
      <c r="I185" s="4" t="s">
        <v>497</v>
      </c>
      <c r="J185" s="1" t="s">
        <v>21</v>
      </c>
      <c r="K185" s="4" t="s">
        <v>400</v>
      </c>
      <c r="L185" s="4" t="s">
        <v>465</v>
      </c>
      <c r="M185" s="1">
        <v>12.7</v>
      </c>
      <c r="N185" s="5">
        <v>100000</v>
      </c>
      <c r="O185" s="4" t="s">
        <v>157</v>
      </c>
      <c r="P185" s="4" t="s">
        <v>497</v>
      </c>
      <c r="Q185" s="1" t="s">
        <v>17</v>
      </c>
      <c r="R185" s="4" t="s">
        <v>158</v>
      </c>
      <c r="S185" s="4" t="s">
        <v>464</v>
      </c>
      <c r="T185" s="14">
        <v>12.65</v>
      </c>
      <c r="U185" s="5">
        <v>400000</v>
      </c>
      <c r="V185" s="18">
        <v>0</v>
      </c>
    </row>
    <row r="186" spans="1:22" ht="23.5" customHeight="1" x14ac:dyDescent="0.4">
      <c r="A186" s="1">
        <v>184</v>
      </c>
      <c r="B186" s="3">
        <v>39687</v>
      </c>
      <c r="C186" s="4" t="s">
        <v>462</v>
      </c>
      <c r="D186" s="1">
        <v>12.65</v>
      </c>
      <c r="E186" s="5">
        <v>60000</v>
      </c>
      <c r="F186" s="2">
        <f t="shared" si="2"/>
        <v>759000</v>
      </c>
      <c r="G186" s="15">
        <f>12.32%*(60/200)</f>
        <v>3.696E-2</v>
      </c>
      <c r="H186" s="4" t="s">
        <v>34</v>
      </c>
      <c r="I186" s="4" t="s">
        <v>497</v>
      </c>
      <c r="J186" s="1" t="s">
        <v>21</v>
      </c>
      <c r="K186" s="4" t="s">
        <v>166</v>
      </c>
      <c r="L186" s="4" t="s">
        <v>466</v>
      </c>
      <c r="M186" s="1">
        <v>12.7</v>
      </c>
      <c r="N186" s="5">
        <v>200000</v>
      </c>
      <c r="O186" s="4" t="s">
        <v>157</v>
      </c>
      <c r="P186" s="4" t="s">
        <v>497</v>
      </c>
      <c r="Q186" s="1" t="s">
        <v>17</v>
      </c>
      <c r="R186" s="4" t="s">
        <v>372</v>
      </c>
      <c r="S186" s="4" t="s">
        <v>467</v>
      </c>
      <c r="T186" s="14">
        <v>12.65</v>
      </c>
      <c r="U186" s="5">
        <v>220000</v>
      </c>
      <c r="V186" s="18">
        <v>0</v>
      </c>
    </row>
    <row r="187" spans="1:22" ht="23.5" customHeight="1" x14ac:dyDescent="0.4">
      <c r="A187" s="1">
        <v>185</v>
      </c>
      <c r="B187" s="3">
        <v>39687</v>
      </c>
      <c r="C187" s="4" t="s">
        <v>468</v>
      </c>
      <c r="D187" s="1">
        <v>12.65</v>
      </c>
      <c r="E187" s="5">
        <v>10000</v>
      </c>
      <c r="F187" s="2">
        <f t="shared" si="2"/>
        <v>126500</v>
      </c>
      <c r="G187" s="15">
        <v>0.5</v>
      </c>
      <c r="H187" s="4" t="s">
        <v>157</v>
      </c>
      <c r="I187" s="4" t="s">
        <v>497</v>
      </c>
      <c r="J187" s="1" t="s">
        <v>17</v>
      </c>
      <c r="K187" s="4" t="s">
        <v>181</v>
      </c>
      <c r="L187" s="4" t="s">
        <v>469</v>
      </c>
      <c r="M187" s="14">
        <v>14.55</v>
      </c>
      <c r="N187" s="5">
        <v>10000</v>
      </c>
      <c r="O187" s="4" t="s">
        <v>157</v>
      </c>
      <c r="P187" s="4" t="s">
        <v>497</v>
      </c>
      <c r="Q187" s="1" t="s">
        <v>17</v>
      </c>
      <c r="R187" s="4" t="s">
        <v>181</v>
      </c>
      <c r="S187" s="4" t="s">
        <v>470</v>
      </c>
      <c r="T187" s="14">
        <v>12.65</v>
      </c>
      <c r="U187" s="5">
        <v>31000</v>
      </c>
      <c r="V187" s="18">
        <v>0</v>
      </c>
    </row>
    <row r="188" spans="1:22" ht="23.5" customHeight="1" x14ac:dyDescent="0.4">
      <c r="A188" s="1">
        <v>186</v>
      </c>
      <c r="B188" s="3">
        <v>39687</v>
      </c>
      <c r="C188" s="4" t="s">
        <v>471</v>
      </c>
      <c r="D188" s="1">
        <v>12.65</v>
      </c>
      <c r="E188" s="5">
        <v>10000</v>
      </c>
      <c r="F188" s="2">
        <f t="shared" si="2"/>
        <v>126500</v>
      </c>
      <c r="G188" s="15">
        <v>0.33329999999999999</v>
      </c>
      <c r="H188" s="4" t="s">
        <v>157</v>
      </c>
      <c r="I188" s="4" t="s">
        <v>497</v>
      </c>
      <c r="J188" s="1" t="s">
        <v>17</v>
      </c>
      <c r="K188" s="4" t="s">
        <v>181</v>
      </c>
      <c r="L188" s="4" t="s">
        <v>472</v>
      </c>
      <c r="M188" s="14">
        <v>14.55</v>
      </c>
      <c r="N188" s="5">
        <v>10000</v>
      </c>
      <c r="O188" s="4" t="s">
        <v>157</v>
      </c>
      <c r="P188" s="4" t="s">
        <v>497</v>
      </c>
      <c r="Q188" s="1" t="s">
        <v>17</v>
      </c>
      <c r="R188" s="4" t="s">
        <v>158</v>
      </c>
      <c r="S188" s="4" t="s">
        <v>473</v>
      </c>
      <c r="T188" s="14">
        <v>12.65</v>
      </c>
      <c r="U188" s="5">
        <v>415000</v>
      </c>
      <c r="V188" s="18">
        <v>0</v>
      </c>
    </row>
    <row r="189" spans="1:22" ht="23.5" customHeight="1" x14ac:dyDescent="0.4">
      <c r="A189" s="1">
        <v>187</v>
      </c>
      <c r="B189" s="3">
        <v>39687</v>
      </c>
      <c r="C189" s="4" t="s">
        <v>474</v>
      </c>
      <c r="D189" s="1">
        <v>12.65</v>
      </c>
      <c r="E189" s="5">
        <v>73000</v>
      </c>
      <c r="F189" s="2">
        <f t="shared" si="2"/>
        <v>923450</v>
      </c>
      <c r="G189" s="15">
        <f>99%*(73/100)</f>
        <v>0.72270000000000001</v>
      </c>
      <c r="H189" s="4" t="s">
        <v>124</v>
      </c>
      <c r="I189" s="4" t="s">
        <v>497</v>
      </c>
      <c r="J189" s="1" t="s">
        <v>17</v>
      </c>
      <c r="K189" s="4" t="s">
        <v>18</v>
      </c>
      <c r="L189" s="4" t="s">
        <v>475</v>
      </c>
      <c r="M189" s="14">
        <v>14.55</v>
      </c>
      <c r="N189" s="5">
        <v>100000</v>
      </c>
      <c r="O189" s="4" t="s">
        <v>364</v>
      </c>
      <c r="P189" s="4" t="s">
        <v>497</v>
      </c>
      <c r="Q189" s="1" t="s">
        <v>17</v>
      </c>
      <c r="R189" s="4" t="s">
        <v>365</v>
      </c>
      <c r="S189" s="4" t="s">
        <v>476</v>
      </c>
      <c r="T189" s="14">
        <v>12.65</v>
      </c>
      <c r="U189" s="5">
        <v>248000</v>
      </c>
      <c r="V189" s="18">
        <v>0</v>
      </c>
    </row>
    <row r="190" spans="1:22" ht="23.5" customHeight="1" x14ac:dyDescent="0.4">
      <c r="A190" s="1">
        <v>188</v>
      </c>
      <c r="B190" s="3">
        <v>39687</v>
      </c>
      <c r="C190" s="4" t="s">
        <v>477</v>
      </c>
      <c r="D190" s="1">
        <v>12.65</v>
      </c>
      <c r="E190" s="5">
        <v>150000</v>
      </c>
      <c r="F190" s="2">
        <f t="shared" si="2"/>
        <v>1897500</v>
      </c>
      <c r="G190" s="15">
        <v>0.57469999999999999</v>
      </c>
      <c r="H190" s="4" t="s">
        <v>124</v>
      </c>
      <c r="I190" s="4" t="s">
        <v>497</v>
      </c>
      <c r="J190" s="1" t="s">
        <v>17</v>
      </c>
      <c r="K190" s="4" t="s">
        <v>18</v>
      </c>
      <c r="L190" s="4" t="s">
        <v>441</v>
      </c>
      <c r="M190" s="14">
        <v>14.55</v>
      </c>
      <c r="N190" s="5">
        <v>150000</v>
      </c>
      <c r="O190" s="4" t="s">
        <v>364</v>
      </c>
      <c r="P190" s="4" t="s">
        <v>497</v>
      </c>
      <c r="Q190" s="1" t="s">
        <v>17</v>
      </c>
      <c r="R190" s="4" t="s">
        <v>365</v>
      </c>
      <c r="S190" s="4" t="s">
        <v>476</v>
      </c>
      <c r="T190" s="14">
        <v>12.65</v>
      </c>
      <c r="U190" s="5">
        <v>248000</v>
      </c>
      <c r="V190" s="18">
        <v>0</v>
      </c>
    </row>
    <row r="191" spans="1:22" ht="23.5" customHeight="1" x14ac:dyDescent="0.4">
      <c r="A191" s="1">
        <v>189</v>
      </c>
      <c r="B191" s="3">
        <v>39687</v>
      </c>
      <c r="C191" s="4" t="s">
        <v>478</v>
      </c>
      <c r="D191" s="1">
        <v>12.65</v>
      </c>
      <c r="E191" s="5">
        <v>20000</v>
      </c>
      <c r="F191" s="2">
        <f t="shared" si="2"/>
        <v>253000</v>
      </c>
      <c r="G191" s="15">
        <f>75.18%*(20/100)</f>
        <v>0.15036000000000002</v>
      </c>
      <c r="H191" s="4" t="s">
        <v>124</v>
      </c>
      <c r="I191" s="4" t="s">
        <v>497</v>
      </c>
      <c r="J191" s="1" t="s">
        <v>17</v>
      </c>
      <c r="K191" s="4" t="s">
        <v>18</v>
      </c>
      <c r="L191" s="4" t="s">
        <v>479</v>
      </c>
      <c r="M191" s="14">
        <v>14.55</v>
      </c>
      <c r="N191" s="5">
        <v>100000</v>
      </c>
      <c r="O191" s="4" t="s">
        <v>364</v>
      </c>
      <c r="P191" s="4" t="s">
        <v>497</v>
      </c>
      <c r="Q191" s="1" t="s">
        <v>17</v>
      </c>
      <c r="R191" s="4" t="s">
        <v>365</v>
      </c>
      <c r="S191" s="4" t="s">
        <v>480</v>
      </c>
      <c r="T191" s="14">
        <v>12.65</v>
      </c>
      <c r="U191" s="5">
        <v>20000</v>
      </c>
      <c r="V191" s="18">
        <v>0</v>
      </c>
    </row>
    <row r="192" spans="1:22" ht="23.5" customHeight="1" x14ac:dyDescent="0.4">
      <c r="A192" s="1">
        <v>190</v>
      </c>
      <c r="B192" s="3">
        <v>39687</v>
      </c>
      <c r="C192" s="4" t="s">
        <v>481</v>
      </c>
      <c r="D192" s="1">
        <v>12.65</v>
      </c>
      <c r="E192" s="5">
        <v>200000</v>
      </c>
      <c r="F192" s="2">
        <f t="shared" si="2"/>
        <v>2530000</v>
      </c>
      <c r="G192" s="15">
        <v>5.91E-2</v>
      </c>
      <c r="H192" s="4" t="s">
        <v>34</v>
      </c>
      <c r="I192" s="4" t="s">
        <v>497</v>
      </c>
      <c r="J192" s="1" t="s">
        <v>21</v>
      </c>
      <c r="K192" s="4" t="s">
        <v>22</v>
      </c>
      <c r="L192" s="4" t="s">
        <v>482</v>
      </c>
      <c r="M192" s="1">
        <v>12.65</v>
      </c>
      <c r="N192" s="5">
        <v>200000</v>
      </c>
      <c r="O192" s="4" t="s">
        <v>483</v>
      </c>
      <c r="P192" s="4" t="s">
        <v>497</v>
      </c>
      <c r="Q192" s="1" t="s">
        <v>17</v>
      </c>
      <c r="R192" s="4" t="s">
        <v>484</v>
      </c>
      <c r="S192" s="4" t="s">
        <v>485</v>
      </c>
      <c r="T192" s="14">
        <v>12.65</v>
      </c>
      <c r="U192" s="5">
        <v>344000</v>
      </c>
      <c r="V192" s="18">
        <v>12.65</v>
      </c>
    </row>
    <row r="193" spans="1:22" ht="23.5" customHeight="1" thickBot="1" x14ac:dyDescent="0.45">
      <c r="A193" s="25" t="s">
        <v>486</v>
      </c>
      <c r="B193" s="26"/>
      <c r="C193" s="26"/>
      <c r="D193" s="26"/>
      <c r="E193" s="6">
        <f>SUM(E3:E192)</f>
        <v>8728000</v>
      </c>
      <c r="F193" s="7" t="s">
        <v>487</v>
      </c>
      <c r="G193" s="16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11"/>
      <c r="V193" s="8"/>
    </row>
    <row r="195" spans="1:22" ht="23.5" customHeight="1" x14ac:dyDescent="0.4">
      <c r="A195" s="19" t="s">
        <v>493</v>
      </c>
      <c r="B195" s="19"/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</row>
    <row r="196" spans="1:22" ht="23.5" customHeight="1" x14ac:dyDescent="0.4">
      <c r="A196" s="19" t="s">
        <v>494</v>
      </c>
      <c r="B196" s="19"/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</row>
    <row r="197" spans="1:22" ht="45.65" customHeight="1" x14ac:dyDescent="0.4">
      <c r="A197" s="19" t="s">
        <v>492</v>
      </c>
      <c r="B197" s="19"/>
      <c r="C197" s="19"/>
      <c r="D197" s="19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</row>
    <row r="198" spans="1:22" ht="41.15" customHeight="1" x14ac:dyDescent="0.4">
      <c r="A198" s="19" t="s">
        <v>495</v>
      </c>
      <c r="B198" s="19"/>
      <c r="C198" s="19"/>
      <c r="D198" s="19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</row>
    <row r="199" spans="1:22" ht="39.75" customHeight="1" x14ac:dyDescent="0.4">
      <c r="A199" s="19" t="s">
        <v>496</v>
      </c>
      <c r="B199" s="19"/>
      <c r="C199" s="19"/>
      <c r="D199" s="19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</row>
  </sheetData>
  <mergeCells count="10">
    <mergeCell ref="A1:A2"/>
    <mergeCell ref="H1:N1"/>
    <mergeCell ref="A193:D193"/>
    <mergeCell ref="B1:G1"/>
    <mergeCell ref="O1:V1"/>
    <mergeCell ref="A195:V195"/>
    <mergeCell ref="A196:V196"/>
    <mergeCell ref="A197:V197"/>
    <mergeCell ref="A198:V198"/>
    <mergeCell ref="A199:V199"/>
  </mergeCells>
  <phoneticPr fontId="2" type="noConversion"/>
  <pageMargins left="0.70866141732283472" right="0.70866141732283472" top="0.98425196850393704" bottom="0.98425196850393704" header="0.70866141732283472" footer="0.70866141732283472"/>
  <pageSetup paperSize="9" scale="64" fitToHeight="100" orientation="landscape" r:id="rId1"/>
  <headerFooter>
    <oddHeader>&amp;L附表五：吉祥全球第二段期間相對成交表</oddHeader>
    <oddFooter>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更一審附表5</vt:lpstr>
      <vt:lpstr>更一審附表5!Print_Titles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Hippo Tsai</dc:creator>
  <cp:lastModifiedBy>張亮美</cp:lastModifiedBy>
  <cp:lastPrinted>2021-07-21T08:37:27Z</cp:lastPrinted>
  <dcterms:created xsi:type="dcterms:W3CDTF">2021-07-07T06:24:24Z</dcterms:created>
  <dcterms:modified xsi:type="dcterms:W3CDTF">2021-08-03T09:18:00Z</dcterms:modified>
</cp:coreProperties>
</file>