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jud3\temp\"/>
    </mc:Choice>
  </mc:AlternateContent>
  <bookViews>
    <workbookView xWindow="0" yWindow="0" windowWidth="23040" windowHeight="9160" tabRatio="798" firstSheet="3" activeTab="15"/>
  </bookViews>
  <sheets>
    <sheet name="附民" sheetId="30" state="hidden" r:id="rId1"/>
    <sheet name="告訴人" sheetId="26" state="hidden" r:id="rId2"/>
    <sheet name="附表一" sheetId="8" r:id="rId3"/>
    <sheet name="附表二" sheetId="3" r:id="rId4"/>
    <sheet name="附表三" sheetId="1" r:id="rId5"/>
    <sheet name="附表四 " sheetId="33" r:id="rId6"/>
    <sheet name="附表五" sheetId="40" r:id="rId7"/>
    <sheet name="附表六 " sheetId="35" r:id="rId8"/>
    <sheet name="附表七" sheetId="36" r:id="rId9"/>
    <sheet name="附表八 " sheetId="37" r:id="rId10"/>
    <sheet name="附表九" sheetId="38" r:id="rId11"/>
    <sheet name="附表十" sheetId="39" r:id="rId12"/>
    <sheet name="附表十一" sheetId="42" r:id="rId13"/>
    <sheet name="附表十二" sheetId="43" r:id="rId14"/>
    <sheet name="附表十三" sheetId="48" r:id="rId15"/>
    <sheet name="附表十四" sheetId="25" r:id="rId16"/>
    <sheet name="附表十五" sheetId="24" r:id="rId17"/>
  </sheets>
  <externalReferences>
    <externalReference r:id="rId18"/>
  </externalReferences>
  <definedNames>
    <definedName name="_xlnm._FilterDatabase" localSheetId="1" hidden="1">告訴人!$B$14:$M$372</definedName>
    <definedName name="_xlnm._FilterDatabase" localSheetId="2" hidden="1">附表一!$A$3:$L$186</definedName>
    <definedName name="_xlnm._FilterDatabase" localSheetId="9" hidden="1">'附表八 '!$A$2:$H$147</definedName>
    <definedName name="_xlnm._FilterDatabase" localSheetId="6" hidden="1">附表五!$A$3:$AD$677</definedName>
    <definedName name="_xlnm._FilterDatabase" localSheetId="7" hidden="1">'附表六 '!$A$2:$AL$269</definedName>
    <definedName name="_xlnm.Print_Area" localSheetId="1">告訴人!$A$1:$M$372</definedName>
    <definedName name="_xlnm.Print_Area" localSheetId="0">附民!$A$1:$F$93</definedName>
    <definedName name="_xlnm.Print_Area" localSheetId="2">附表一!$A$1:$L$274</definedName>
    <definedName name="_xlnm.Print_Area" localSheetId="11">附表十!$A$1:$K$59</definedName>
    <definedName name="_xlnm.Print_Area" localSheetId="6">附表五!$A$1:$W$683</definedName>
    <definedName name="_xlnm.Print_Area" localSheetId="7">'附表六 '!$A$1:$S$272</definedName>
    <definedName name="_xlnm.Print_Titles" localSheetId="1">告訴人!$A$1:$IV$14</definedName>
    <definedName name="_xlnm.Print_Titles" localSheetId="0">附民!$1:$2</definedName>
    <definedName name="_xlnm.Print_Titles" localSheetId="2">附表一!$1:$3</definedName>
    <definedName name="_xlnm.Print_Titles" localSheetId="8">附表七!$1:$2</definedName>
    <definedName name="_xlnm.Print_Titles" localSheetId="9">'附表八 '!$1:$2</definedName>
    <definedName name="_xlnm.Print_Titles" localSheetId="11">附表十!$1:$2</definedName>
    <definedName name="_xlnm.Print_Titles" localSheetId="16">附表十五!$1:$2</definedName>
    <definedName name="_xlnm.Print_Titles" localSheetId="6">附表五!$1:$3</definedName>
    <definedName name="_xlnm.Print_Titles" localSheetId="7">'附表六 '!$1:$2</definedName>
    <definedName name="_xlnm.Print_Titles" localSheetId="5">'附表四 '!$1:$2</definedName>
  </definedNames>
  <calcPr calcId="162913"/>
</workbook>
</file>

<file path=xl/calcChain.xml><?xml version="1.0" encoding="utf-8"?>
<calcChain xmlns="http://schemas.openxmlformats.org/spreadsheetml/2006/main">
  <c r="D52" i="48" l="1"/>
  <c r="C52" i="48"/>
  <c r="G146" i="37" l="1"/>
  <c r="S53" i="39" l="1"/>
  <c r="E22" i="43"/>
  <c r="D22" i="43"/>
  <c r="I6" i="42"/>
  <c r="H6" i="42"/>
  <c r="G6" i="42"/>
  <c r="F6" i="42"/>
  <c r="E6" i="42"/>
  <c r="G119" i="33" l="1"/>
  <c r="E119" i="33"/>
  <c r="O675" i="40" l="1"/>
  <c r="N675" i="40"/>
  <c r="F674" i="40"/>
  <c r="S673" i="40" a="1"/>
  <c r="S673" i="40" s="1"/>
  <c r="R673" i="40"/>
  <c r="Q673" i="40"/>
  <c r="H673" i="40"/>
  <c r="F673" i="40"/>
  <c r="S672" i="40" a="1"/>
  <c r="S672" i="40" s="1"/>
  <c r="R672" i="40"/>
  <c r="Q672" i="40"/>
  <c r="H672" i="40"/>
  <c r="F672" i="40"/>
  <c r="S671" i="40" a="1"/>
  <c r="S671" i="40" s="1"/>
  <c r="R671" i="40"/>
  <c r="Q671" i="40"/>
  <c r="H671" i="40"/>
  <c r="F671" i="40"/>
  <c r="S670" i="40" a="1"/>
  <c r="S670" i="40" s="1"/>
  <c r="R670" i="40"/>
  <c r="Q670" i="40"/>
  <c r="H670" i="40"/>
  <c r="F670" i="40"/>
  <c r="S669" i="40" a="1"/>
  <c r="S669" i="40" s="1"/>
  <c r="R669" i="40"/>
  <c r="Q669" i="40"/>
  <c r="H669" i="40"/>
  <c r="F669" i="40"/>
  <c r="S668" i="40" a="1"/>
  <c r="S668" i="40" s="1"/>
  <c r="R668" i="40"/>
  <c r="Q668" i="40"/>
  <c r="H668" i="40"/>
  <c r="F668" i="40"/>
  <c r="S667" i="40" a="1"/>
  <c r="S667" i="40" s="1"/>
  <c r="R667" i="40"/>
  <c r="Q667" i="40"/>
  <c r="H667" i="40"/>
  <c r="F667" i="40"/>
  <c r="S666" i="40" a="1"/>
  <c r="S666" i="40" s="1"/>
  <c r="R666" i="40"/>
  <c r="Q666" i="40"/>
  <c r="H666" i="40"/>
  <c r="F666" i="40"/>
  <c r="Q665" i="40"/>
  <c r="H665" i="40"/>
  <c r="Q664" i="40"/>
  <c r="H664" i="40"/>
  <c r="Q663" i="40"/>
  <c r="H663" i="40"/>
  <c r="Q662" i="40"/>
  <c r="H662" i="40"/>
  <c r="S661" i="40" a="1"/>
  <c r="S661" i="40" s="1"/>
  <c r="R661" i="40"/>
  <c r="Q661" i="40"/>
  <c r="S660" i="40" a="1"/>
  <c r="S660" i="40" s="1"/>
  <c r="R660" i="40"/>
  <c r="Q660" i="40"/>
  <c r="H660" i="40"/>
  <c r="S659" i="40" a="1"/>
  <c r="S659" i="40" s="1"/>
  <c r="R659" i="40"/>
  <c r="Q659" i="40"/>
  <c r="S657" i="40" a="1"/>
  <c r="S657" i="40" s="1"/>
  <c r="R657" i="40"/>
  <c r="Q657" i="40"/>
  <c r="S656" i="40" a="1"/>
  <c r="S656" i="40" s="1"/>
  <c r="R656" i="40"/>
  <c r="Q656" i="40"/>
  <c r="S655" i="40" a="1"/>
  <c r="S655" i="40" s="1"/>
  <c r="R655" i="40"/>
  <c r="Q655" i="40"/>
  <c r="S654" i="40" a="1"/>
  <c r="S654" i="40" s="1"/>
  <c r="R654" i="40"/>
  <c r="Q654" i="40"/>
  <c r="S653" i="40" a="1"/>
  <c r="S653" i="40" s="1"/>
  <c r="R653" i="40"/>
  <c r="Q653" i="40"/>
  <c r="S652" i="40" a="1"/>
  <c r="S652" i="40" s="1"/>
  <c r="R652" i="40"/>
  <c r="Q652" i="40"/>
  <c r="S651" i="40" a="1"/>
  <c r="S651" i="40" s="1"/>
  <c r="R651" i="40"/>
  <c r="Q651" i="40"/>
  <c r="S650" i="40" a="1"/>
  <c r="S650" i="40" s="1"/>
  <c r="R650" i="40"/>
  <c r="Q650" i="40"/>
  <c r="S649" i="40" a="1"/>
  <c r="S649" i="40" s="1"/>
  <c r="R649" i="40"/>
  <c r="Q649" i="40"/>
  <c r="S648" i="40" a="1"/>
  <c r="S648" i="40" s="1"/>
  <c r="R648" i="40"/>
  <c r="Q648" i="40"/>
  <c r="S647" i="40" a="1"/>
  <c r="S647" i="40" s="1"/>
  <c r="R647" i="40"/>
  <c r="Q647" i="40"/>
  <c r="S646" i="40" a="1"/>
  <c r="S646" i="40" s="1"/>
  <c r="R646" i="40"/>
  <c r="Q646" i="40"/>
  <c r="S645" i="40" a="1"/>
  <c r="S645" i="40" s="1"/>
  <c r="R645" i="40"/>
  <c r="Q645" i="40"/>
  <c r="S644" i="40" a="1"/>
  <c r="S644" i="40" s="1"/>
  <c r="R644" i="40"/>
  <c r="Q644" i="40"/>
  <c r="S643" i="40" a="1"/>
  <c r="S643" i="40" s="1"/>
  <c r="R643" i="40"/>
  <c r="Q643" i="40"/>
  <c r="S642" i="40" a="1"/>
  <c r="S642" i="40" s="1"/>
  <c r="R642" i="40"/>
  <c r="Q642" i="40"/>
  <c r="S641" i="40" a="1"/>
  <c r="S641" i="40" s="1"/>
  <c r="R641" i="40"/>
  <c r="Q641" i="40"/>
  <c r="S640" i="40" a="1"/>
  <c r="S640" i="40" s="1"/>
  <c r="R640" i="40"/>
  <c r="Q640" i="40"/>
  <c r="S639" i="40" a="1"/>
  <c r="S639" i="40" s="1"/>
  <c r="R639" i="40"/>
  <c r="Q639" i="40"/>
  <c r="S638" i="40" a="1"/>
  <c r="S638" i="40" s="1"/>
  <c r="R638" i="40"/>
  <c r="Q638" i="40"/>
  <c r="S637" i="40" a="1"/>
  <c r="S637" i="40" s="1"/>
  <c r="R637" i="40"/>
  <c r="Q637" i="40"/>
  <c r="S635" i="40" a="1"/>
  <c r="S635" i="40" s="1"/>
  <c r="R635" i="40"/>
  <c r="Q635" i="40"/>
  <c r="S634" i="40" a="1"/>
  <c r="S634" i="40" s="1"/>
  <c r="R634" i="40"/>
  <c r="Q634" i="40"/>
  <c r="S633" i="40" a="1"/>
  <c r="S633" i="40" s="1"/>
  <c r="R633" i="40"/>
  <c r="Q633" i="40"/>
  <c r="S632" i="40" a="1"/>
  <c r="S632" i="40" s="1"/>
  <c r="R632" i="40"/>
  <c r="Q632" i="40"/>
  <c r="S631" i="40" a="1"/>
  <c r="S631" i="40" s="1"/>
  <c r="R631" i="40"/>
  <c r="Q631" i="40"/>
  <c r="S630" i="40" a="1"/>
  <c r="S630" i="40" s="1"/>
  <c r="R630" i="40"/>
  <c r="Q630" i="40"/>
  <c r="S629" i="40" a="1"/>
  <c r="S629" i="40" s="1"/>
  <c r="R629" i="40"/>
  <c r="Q629" i="40"/>
  <c r="S628" i="40" a="1"/>
  <c r="S628" i="40" s="1"/>
  <c r="R628" i="40"/>
  <c r="Q628" i="40"/>
  <c r="S627" i="40" a="1"/>
  <c r="S627" i="40" s="1"/>
  <c r="R627" i="40"/>
  <c r="Q627" i="40"/>
  <c r="S626" i="40" a="1"/>
  <c r="S626" i="40" s="1"/>
  <c r="R626" i="40"/>
  <c r="Q626" i="40"/>
  <c r="S625" i="40" a="1"/>
  <c r="S625" i="40" s="1"/>
  <c r="R625" i="40"/>
  <c r="Q625" i="40"/>
  <c r="S624" i="40" a="1"/>
  <c r="S624" i="40" s="1"/>
  <c r="R624" i="40"/>
  <c r="Q624" i="40"/>
  <c r="S623" i="40" a="1"/>
  <c r="S623" i="40" s="1"/>
  <c r="R623" i="40"/>
  <c r="Q623" i="40"/>
  <c r="S622" i="40" a="1"/>
  <c r="S622" i="40" s="1"/>
  <c r="R622" i="40"/>
  <c r="Q622" i="40"/>
  <c r="S621" i="40" a="1"/>
  <c r="S621" i="40" s="1"/>
  <c r="R621" i="40"/>
  <c r="Q621" i="40"/>
  <c r="S620" i="40" a="1"/>
  <c r="S620" i="40" s="1"/>
  <c r="R620" i="40"/>
  <c r="Q620" i="40"/>
  <c r="S619" i="40" a="1"/>
  <c r="S619" i="40" s="1"/>
  <c r="R619" i="40"/>
  <c r="Q619" i="40"/>
  <c r="S618" i="40" a="1"/>
  <c r="S618" i="40" s="1"/>
  <c r="R618" i="40"/>
  <c r="Q618" i="40"/>
  <c r="S617" i="40" a="1"/>
  <c r="S617" i="40" s="1"/>
  <c r="R617" i="40"/>
  <c r="Q617" i="40"/>
  <c r="S616" i="40" a="1"/>
  <c r="S616" i="40" s="1"/>
  <c r="R616" i="40"/>
  <c r="Q616" i="40"/>
  <c r="S615" i="40" a="1"/>
  <c r="S615" i="40" s="1"/>
  <c r="R615" i="40"/>
  <c r="Q615" i="40"/>
  <c r="S614" i="40" a="1"/>
  <c r="S614" i="40" s="1"/>
  <c r="R614" i="40"/>
  <c r="Q614" i="40"/>
  <c r="S613" i="40" a="1"/>
  <c r="S613" i="40" s="1"/>
  <c r="R613" i="40"/>
  <c r="Q613" i="40"/>
  <c r="S612" i="40" a="1"/>
  <c r="S612" i="40" s="1"/>
  <c r="R612" i="40"/>
  <c r="Q612" i="40"/>
  <c r="S611" i="40" a="1"/>
  <c r="S611" i="40" s="1"/>
  <c r="R611" i="40"/>
  <c r="Q611" i="40"/>
  <c r="S610" i="40" a="1"/>
  <c r="S610" i="40" s="1"/>
  <c r="R610" i="40"/>
  <c r="Q610" i="40"/>
  <c r="S609" i="40" a="1"/>
  <c r="S609" i="40" s="1"/>
  <c r="R609" i="40"/>
  <c r="Q609" i="40"/>
  <c r="S608" i="40" a="1"/>
  <c r="S608" i="40" s="1"/>
  <c r="R608" i="40"/>
  <c r="Q608" i="40"/>
  <c r="S607" i="40" a="1"/>
  <c r="S607" i="40" s="1"/>
  <c r="R607" i="40"/>
  <c r="Q607" i="40"/>
  <c r="S606" i="40" a="1"/>
  <c r="S606" i="40" s="1"/>
  <c r="R606" i="40"/>
  <c r="Q606" i="40"/>
  <c r="S605" i="40" a="1"/>
  <c r="S605" i="40" s="1"/>
  <c r="R605" i="40"/>
  <c r="Q605" i="40"/>
  <c r="S604" i="40" a="1"/>
  <c r="S604" i="40" s="1"/>
  <c r="R604" i="40"/>
  <c r="Q604" i="40"/>
  <c r="S603" i="40" a="1"/>
  <c r="S603" i="40" s="1"/>
  <c r="R603" i="40"/>
  <c r="Q603" i="40"/>
  <c r="S602" i="40" a="1"/>
  <c r="S602" i="40" s="1"/>
  <c r="R602" i="40"/>
  <c r="Q602" i="40"/>
  <c r="S601" i="40" a="1"/>
  <c r="S601" i="40" s="1"/>
  <c r="R601" i="40"/>
  <c r="Q601" i="40"/>
  <c r="S600" i="40" a="1"/>
  <c r="S600" i="40" s="1"/>
  <c r="R600" i="40"/>
  <c r="Q600" i="40"/>
  <c r="S599" i="40" a="1"/>
  <c r="S599" i="40" s="1"/>
  <c r="R599" i="40"/>
  <c r="Q599" i="40"/>
  <c r="S598" i="40" a="1"/>
  <c r="S598" i="40" s="1"/>
  <c r="R598" i="40"/>
  <c r="Q598" i="40"/>
  <c r="S597" i="40" a="1"/>
  <c r="S597" i="40" s="1"/>
  <c r="R597" i="40"/>
  <c r="Q597" i="40"/>
  <c r="S596" i="40" a="1"/>
  <c r="S596" i="40" s="1"/>
  <c r="R596" i="40"/>
  <c r="Q596" i="40"/>
  <c r="S595" i="40" a="1"/>
  <c r="S595" i="40" s="1"/>
  <c r="R595" i="40"/>
  <c r="Q595" i="40"/>
  <c r="S594" i="40" a="1"/>
  <c r="S594" i="40" s="1"/>
  <c r="R594" i="40"/>
  <c r="Q594" i="40"/>
  <c r="S593" i="40" a="1"/>
  <c r="S593" i="40" s="1"/>
  <c r="R593" i="40"/>
  <c r="Q593" i="40"/>
  <c r="S592" i="40" a="1"/>
  <c r="S592" i="40" s="1"/>
  <c r="R592" i="40"/>
  <c r="Q592" i="40"/>
  <c r="S591" i="40" a="1"/>
  <c r="S591" i="40" s="1"/>
  <c r="R591" i="40"/>
  <c r="Q591" i="40"/>
  <c r="S590" i="40" a="1"/>
  <c r="S590" i="40" s="1"/>
  <c r="R590" i="40"/>
  <c r="Q590" i="40"/>
  <c r="S589" i="40" a="1"/>
  <c r="S589" i="40" s="1"/>
  <c r="R589" i="40"/>
  <c r="Q589" i="40"/>
  <c r="S588" i="40" a="1"/>
  <c r="S588" i="40" s="1"/>
  <c r="R588" i="40"/>
  <c r="Q588" i="40"/>
  <c r="S587" i="40" a="1"/>
  <c r="S587" i="40" s="1"/>
  <c r="R587" i="40"/>
  <c r="Q587" i="40"/>
  <c r="S586" i="40" a="1"/>
  <c r="S586" i="40" s="1"/>
  <c r="R586" i="40"/>
  <c r="Q586" i="40"/>
  <c r="S585" i="40" a="1"/>
  <c r="S585" i="40" s="1"/>
  <c r="R585" i="40"/>
  <c r="Q585" i="40"/>
  <c r="S584" i="40" a="1"/>
  <c r="S584" i="40" s="1"/>
  <c r="R584" i="40"/>
  <c r="Q584" i="40"/>
  <c r="S583" i="40" a="1"/>
  <c r="S583" i="40" s="1"/>
  <c r="R583" i="40"/>
  <c r="Q583" i="40"/>
  <c r="S582" i="40" a="1"/>
  <c r="S582" i="40" s="1"/>
  <c r="R582" i="40"/>
  <c r="Q582" i="40"/>
  <c r="S581" i="40" a="1"/>
  <c r="S581" i="40" s="1"/>
  <c r="R581" i="40"/>
  <c r="Q581" i="40"/>
  <c r="S580" i="40" a="1"/>
  <c r="S580" i="40" s="1"/>
  <c r="R580" i="40"/>
  <c r="Q580" i="40"/>
  <c r="S579" i="40" a="1"/>
  <c r="S579" i="40" s="1"/>
  <c r="R579" i="40"/>
  <c r="Q579" i="40"/>
  <c r="S578" i="40" a="1"/>
  <c r="S578" i="40" s="1"/>
  <c r="R578" i="40"/>
  <c r="Q578" i="40"/>
  <c r="S577" i="40" a="1"/>
  <c r="S577" i="40" s="1"/>
  <c r="R577" i="40"/>
  <c r="Q577" i="40"/>
  <c r="S576" i="40" a="1"/>
  <c r="S576" i="40" s="1"/>
  <c r="R576" i="40"/>
  <c r="Q576" i="40"/>
  <c r="S575" i="40" a="1"/>
  <c r="S575" i="40" s="1"/>
  <c r="R575" i="40"/>
  <c r="Q575" i="40"/>
  <c r="S574" i="40" a="1"/>
  <c r="S574" i="40" s="1"/>
  <c r="R574" i="40"/>
  <c r="Q574" i="40"/>
  <c r="S573" i="40" a="1"/>
  <c r="S573" i="40" s="1"/>
  <c r="R573" i="40"/>
  <c r="Q573" i="40"/>
  <c r="S572" i="40" a="1"/>
  <c r="S572" i="40" s="1"/>
  <c r="R572" i="40"/>
  <c r="Q572" i="40"/>
  <c r="S571" i="40" a="1"/>
  <c r="S571" i="40" s="1"/>
  <c r="R571" i="40"/>
  <c r="Q571" i="40"/>
  <c r="S570" i="40" a="1"/>
  <c r="S570" i="40" s="1"/>
  <c r="R570" i="40"/>
  <c r="Q570" i="40"/>
  <c r="S569" i="40" a="1"/>
  <c r="S569" i="40" s="1"/>
  <c r="R569" i="40"/>
  <c r="Q569" i="40"/>
  <c r="S568" i="40" a="1"/>
  <c r="S568" i="40" s="1"/>
  <c r="R568" i="40"/>
  <c r="Q568" i="40"/>
  <c r="S567" i="40" a="1"/>
  <c r="S567" i="40" s="1"/>
  <c r="R567" i="40"/>
  <c r="Q567" i="40"/>
  <c r="S566" i="40" a="1"/>
  <c r="S566" i="40" s="1"/>
  <c r="R566" i="40"/>
  <c r="Q566" i="40"/>
  <c r="S565" i="40" a="1"/>
  <c r="S565" i="40" s="1"/>
  <c r="R565" i="40"/>
  <c r="Q565" i="40"/>
  <c r="S564" i="40" a="1"/>
  <c r="S564" i="40" s="1"/>
  <c r="R564" i="40"/>
  <c r="Q564" i="40"/>
  <c r="S563" i="40" a="1"/>
  <c r="S563" i="40" s="1"/>
  <c r="R563" i="40"/>
  <c r="Q563" i="40"/>
  <c r="S562" i="40" a="1"/>
  <c r="S562" i="40" s="1"/>
  <c r="R562" i="40"/>
  <c r="Q562" i="40"/>
  <c r="S561" i="40" a="1"/>
  <c r="S561" i="40" s="1"/>
  <c r="R561" i="40"/>
  <c r="Q561" i="40"/>
  <c r="S560" i="40" a="1"/>
  <c r="S560" i="40" s="1"/>
  <c r="R560" i="40"/>
  <c r="Q560" i="40"/>
  <c r="S559" i="40" a="1"/>
  <c r="S559" i="40" s="1"/>
  <c r="R559" i="40"/>
  <c r="Q559" i="40"/>
  <c r="S558" i="40" a="1"/>
  <c r="S558" i="40" s="1"/>
  <c r="R558" i="40"/>
  <c r="Q558" i="40"/>
  <c r="S557" i="40" a="1"/>
  <c r="S557" i="40" s="1"/>
  <c r="R557" i="40"/>
  <c r="Q557" i="40"/>
  <c r="S556" i="40" a="1"/>
  <c r="S556" i="40" s="1"/>
  <c r="R556" i="40"/>
  <c r="Q556" i="40"/>
  <c r="S555" i="40" a="1"/>
  <c r="S555" i="40" s="1"/>
  <c r="R555" i="40"/>
  <c r="Q555" i="40"/>
  <c r="S554" i="40" a="1"/>
  <c r="S554" i="40" s="1"/>
  <c r="R554" i="40"/>
  <c r="Q554" i="40"/>
  <c r="S553" i="40" a="1"/>
  <c r="S553" i="40" s="1"/>
  <c r="R553" i="40"/>
  <c r="Q553" i="40"/>
  <c r="S552" i="40" a="1"/>
  <c r="S552" i="40" s="1"/>
  <c r="R552" i="40"/>
  <c r="Q552" i="40"/>
  <c r="S551" i="40" a="1"/>
  <c r="S551" i="40" s="1"/>
  <c r="R551" i="40"/>
  <c r="Q551" i="40"/>
  <c r="S550" i="40" a="1"/>
  <c r="S550" i="40" s="1"/>
  <c r="R550" i="40"/>
  <c r="Q550" i="40"/>
  <c r="S549" i="40" a="1"/>
  <c r="S549" i="40" s="1"/>
  <c r="R549" i="40"/>
  <c r="Q549" i="40"/>
  <c r="S548" i="40" a="1"/>
  <c r="S548" i="40" s="1"/>
  <c r="R548" i="40"/>
  <c r="Q548" i="40"/>
  <c r="S547" i="40" a="1"/>
  <c r="S547" i="40" s="1"/>
  <c r="R547" i="40"/>
  <c r="Q547" i="40"/>
  <c r="S546" i="40" a="1"/>
  <c r="S546" i="40" s="1"/>
  <c r="R546" i="40"/>
  <c r="Q546" i="40"/>
  <c r="S545" i="40" a="1"/>
  <c r="S545" i="40" s="1"/>
  <c r="R545" i="40"/>
  <c r="Q545" i="40"/>
  <c r="S544" i="40" a="1"/>
  <c r="S544" i="40" s="1"/>
  <c r="R544" i="40"/>
  <c r="Q544" i="40"/>
  <c r="S543" i="40" a="1"/>
  <c r="S543" i="40" s="1"/>
  <c r="R543" i="40"/>
  <c r="Q543" i="40"/>
  <c r="S542" i="40" a="1"/>
  <c r="S542" i="40" s="1"/>
  <c r="R542" i="40"/>
  <c r="Q542" i="40"/>
  <c r="S541" i="40" a="1"/>
  <c r="S541" i="40" s="1"/>
  <c r="R541" i="40"/>
  <c r="Q541" i="40"/>
  <c r="S540" i="40" a="1"/>
  <c r="S540" i="40" s="1"/>
  <c r="R540" i="40"/>
  <c r="Q540" i="40"/>
  <c r="S539" i="40" a="1"/>
  <c r="S539" i="40" s="1"/>
  <c r="R539" i="40"/>
  <c r="Q539" i="40"/>
  <c r="S538" i="40" a="1"/>
  <c r="S538" i="40" s="1"/>
  <c r="R538" i="40"/>
  <c r="Q538" i="40"/>
  <c r="S537" i="40" a="1"/>
  <c r="S537" i="40" s="1"/>
  <c r="R537" i="40"/>
  <c r="Q537" i="40"/>
  <c r="S536" i="40" a="1"/>
  <c r="S536" i="40" s="1"/>
  <c r="R536" i="40"/>
  <c r="Q536" i="40"/>
  <c r="S535" i="40" a="1"/>
  <c r="S535" i="40" s="1"/>
  <c r="R535" i="40"/>
  <c r="Q535" i="40"/>
  <c r="S534" i="40" a="1"/>
  <c r="S534" i="40" s="1"/>
  <c r="R534" i="40"/>
  <c r="Q534" i="40"/>
  <c r="S533" i="40" a="1"/>
  <c r="S533" i="40" s="1"/>
  <c r="R533" i="40"/>
  <c r="Q533" i="40"/>
  <c r="S532" i="40" a="1"/>
  <c r="S532" i="40" s="1"/>
  <c r="R532" i="40"/>
  <c r="Q532" i="40"/>
  <c r="S531" i="40" a="1"/>
  <c r="S531" i="40" s="1"/>
  <c r="R531" i="40"/>
  <c r="Q531" i="40"/>
  <c r="S530" i="40" a="1"/>
  <c r="S530" i="40" s="1"/>
  <c r="R530" i="40"/>
  <c r="Q530" i="40"/>
  <c r="S529" i="40" a="1"/>
  <c r="S529" i="40" s="1"/>
  <c r="R529" i="40"/>
  <c r="Q529" i="40"/>
  <c r="S528" i="40" a="1"/>
  <c r="S528" i="40" s="1"/>
  <c r="R528" i="40"/>
  <c r="Q528" i="40"/>
  <c r="S527" i="40" a="1"/>
  <c r="S527" i="40" s="1"/>
  <c r="R527" i="40"/>
  <c r="Q527" i="40"/>
  <c r="S526" i="40" a="1"/>
  <c r="S526" i="40" s="1"/>
  <c r="R526" i="40"/>
  <c r="Q526" i="40"/>
  <c r="S525" i="40" a="1"/>
  <c r="S525" i="40" s="1"/>
  <c r="R525" i="40"/>
  <c r="Q525" i="40"/>
  <c r="S524" i="40" a="1"/>
  <c r="S524" i="40" s="1"/>
  <c r="R524" i="40"/>
  <c r="Q524" i="40"/>
  <c r="S523" i="40" a="1"/>
  <c r="S523" i="40" s="1"/>
  <c r="R523" i="40"/>
  <c r="Q523" i="40"/>
  <c r="S522" i="40" a="1"/>
  <c r="S522" i="40" s="1"/>
  <c r="R522" i="40"/>
  <c r="Q522" i="40"/>
  <c r="S521" i="40" a="1"/>
  <c r="S521" i="40" s="1"/>
  <c r="R521" i="40"/>
  <c r="Q521" i="40"/>
  <c r="S520" i="40" a="1"/>
  <c r="S520" i="40" s="1"/>
  <c r="R520" i="40"/>
  <c r="Q520" i="40"/>
  <c r="S519" i="40" a="1"/>
  <c r="S519" i="40" s="1"/>
  <c r="R519" i="40"/>
  <c r="Q519" i="40"/>
  <c r="S518" i="40" a="1"/>
  <c r="S518" i="40" s="1"/>
  <c r="R518" i="40"/>
  <c r="Q518" i="40"/>
  <c r="S517" i="40" a="1"/>
  <c r="S517" i="40" s="1"/>
  <c r="R517" i="40"/>
  <c r="Q517" i="40"/>
  <c r="S516" i="40" a="1"/>
  <c r="S516" i="40" s="1"/>
  <c r="R516" i="40"/>
  <c r="Q516" i="40"/>
  <c r="S515" i="40" a="1"/>
  <c r="S515" i="40" s="1"/>
  <c r="R515" i="40"/>
  <c r="Q515" i="40"/>
  <c r="S514" i="40" a="1"/>
  <c r="S514" i="40" s="1"/>
  <c r="R514" i="40"/>
  <c r="Q514" i="40"/>
  <c r="S513" i="40" a="1"/>
  <c r="S513" i="40" s="1"/>
  <c r="R513" i="40"/>
  <c r="Q513" i="40"/>
  <c r="S512" i="40" a="1"/>
  <c r="S512" i="40" s="1"/>
  <c r="R512" i="40"/>
  <c r="Q512" i="40"/>
  <c r="S511" i="40" a="1"/>
  <c r="S511" i="40" s="1"/>
  <c r="R511" i="40"/>
  <c r="Q511" i="40"/>
  <c r="S510" i="40" a="1"/>
  <c r="S510" i="40" s="1"/>
  <c r="R510" i="40"/>
  <c r="Q510" i="40"/>
  <c r="S509" i="40" a="1"/>
  <c r="S509" i="40" s="1"/>
  <c r="R509" i="40"/>
  <c r="Q509" i="40"/>
  <c r="S508" i="40" a="1"/>
  <c r="S508" i="40" s="1"/>
  <c r="R508" i="40"/>
  <c r="Q508" i="40"/>
  <c r="S507" i="40" a="1"/>
  <c r="S507" i="40" s="1"/>
  <c r="R507" i="40"/>
  <c r="Q507" i="40"/>
  <c r="S506" i="40" a="1"/>
  <c r="S506" i="40" s="1"/>
  <c r="R506" i="40"/>
  <c r="Q506" i="40"/>
  <c r="S505" i="40" a="1"/>
  <c r="S505" i="40" s="1"/>
  <c r="R505" i="40"/>
  <c r="Q505" i="40"/>
  <c r="S504" i="40" a="1"/>
  <c r="S504" i="40" s="1"/>
  <c r="R504" i="40"/>
  <c r="Q504" i="40"/>
  <c r="S503" i="40" a="1"/>
  <c r="S503" i="40" s="1"/>
  <c r="R503" i="40"/>
  <c r="Q503" i="40"/>
  <c r="S502" i="40" a="1"/>
  <c r="S502" i="40" s="1"/>
  <c r="R502" i="40"/>
  <c r="Q502" i="40"/>
  <c r="S501" i="40" a="1"/>
  <c r="S501" i="40" s="1"/>
  <c r="R501" i="40"/>
  <c r="Q501" i="40"/>
  <c r="S500" i="40" a="1"/>
  <c r="S500" i="40" s="1"/>
  <c r="R500" i="40"/>
  <c r="Q500" i="40"/>
  <c r="S499" i="40" a="1"/>
  <c r="S499" i="40" s="1"/>
  <c r="R499" i="40"/>
  <c r="Q499" i="40"/>
  <c r="S498" i="40" a="1"/>
  <c r="S498" i="40" s="1"/>
  <c r="R498" i="40"/>
  <c r="Q498" i="40"/>
  <c r="S497" i="40" a="1"/>
  <c r="S497" i="40" s="1"/>
  <c r="R497" i="40"/>
  <c r="Q497" i="40"/>
  <c r="S496" i="40" a="1"/>
  <c r="S496" i="40" s="1"/>
  <c r="R496" i="40"/>
  <c r="Q496" i="40"/>
  <c r="S495" i="40" a="1"/>
  <c r="S495" i="40" s="1"/>
  <c r="R495" i="40"/>
  <c r="Q495" i="40"/>
  <c r="S494" i="40" a="1"/>
  <c r="S494" i="40" s="1"/>
  <c r="R494" i="40"/>
  <c r="Q494" i="40"/>
  <c r="S493" i="40" a="1"/>
  <c r="S493" i="40" s="1"/>
  <c r="R493" i="40"/>
  <c r="Q493" i="40"/>
  <c r="S492" i="40" a="1"/>
  <c r="S492" i="40" s="1"/>
  <c r="R492" i="40"/>
  <c r="Q492" i="40"/>
  <c r="S491" i="40" a="1"/>
  <c r="S491" i="40" s="1"/>
  <c r="R491" i="40"/>
  <c r="Q491" i="40"/>
  <c r="S490" i="40" a="1"/>
  <c r="S490" i="40" s="1"/>
  <c r="R490" i="40"/>
  <c r="Q490" i="40"/>
  <c r="S489" i="40" a="1"/>
  <c r="S489" i="40" s="1"/>
  <c r="R489" i="40"/>
  <c r="Q489" i="40"/>
  <c r="S488" i="40" a="1"/>
  <c r="S488" i="40" s="1"/>
  <c r="R488" i="40"/>
  <c r="Q488" i="40"/>
  <c r="S487" i="40" a="1"/>
  <c r="S487" i="40" s="1"/>
  <c r="R487" i="40"/>
  <c r="Q487" i="40"/>
  <c r="S486" i="40" a="1"/>
  <c r="S486" i="40" s="1"/>
  <c r="R486" i="40"/>
  <c r="Q486" i="40"/>
  <c r="S485" i="40" a="1"/>
  <c r="S485" i="40" s="1"/>
  <c r="R485" i="40"/>
  <c r="Q485" i="40"/>
  <c r="S484" i="40" a="1"/>
  <c r="S484" i="40" s="1"/>
  <c r="R484" i="40"/>
  <c r="Q484" i="40"/>
  <c r="S483" i="40" a="1"/>
  <c r="S483" i="40" s="1"/>
  <c r="R483" i="40"/>
  <c r="Q483" i="40"/>
  <c r="S482" i="40" a="1"/>
  <c r="S482" i="40" s="1"/>
  <c r="R482" i="40"/>
  <c r="Q482" i="40"/>
  <c r="S481" i="40" a="1"/>
  <c r="S481" i="40" s="1"/>
  <c r="R481" i="40"/>
  <c r="Q481" i="40"/>
  <c r="S480" i="40" a="1"/>
  <c r="S480" i="40" s="1"/>
  <c r="R480" i="40"/>
  <c r="Q480" i="40"/>
  <c r="S479" i="40" a="1"/>
  <c r="S479" i="40" s="1"/>
  <c r="R479" i="40"/>
  <c r="Q479" i="40"/>
  <c r="S478" i="40" a="1"/>
  <c r="S478" i="40" s="1"/>
  <c r="R478" i="40"/>
  <c r="Q478" i="40"/>
  <c r="S477" i="40" a="1"/>
  <c r="S477" i="40" s="1"/>
  <c r="R477" i="40"/>
  <c r="Q477" i="40"/>
  <c r="S476" i="40" a="1"/>
  <c r="S476" i="40" s="1"/>
  <c r="R476" i="40"/>
  <c r="Q476" i="40"/>
  <c r="S475" i="40" a="1"/>
  <c r="S475" i="40" s="1"/>
  <c r="R475" i="40"/>
  <c r="Q475" i="40"/>
  <c r="S474" i="40" a="1"/>
  <c r="S474" i="40" s="1"/>
  <c r="R474" i="40"/>
  <c r="Q474" i="40"/>
  <c r="S473" i="40" a="1"/>
  <c r="S473" i="40" s="1"/>
  <c r="R473" i="40"/>
  <c r="Q473" i="40"/>
  <c r="S472" i="40" a="1"/>
  <c r="S472" i="40" s="1"/>
  <c r="R472" i="40"/>
  <c r="Q472" i="40"/>
  <c r="S471" i="40" a="1"/>
  <c r="S471" i="40" s="1"/>
  <c r="R471" i="40"/>
  <c r="Q471" i="40"/>
  <c r="S470" i="40" a="1"/>
  <c r="S470" i="40" s="1"/>
  <c r="R470" i="40"/>
  <c r="Q470" i="40"/>
  <c r="S469" i="40" a="1"/>
  <c r="S469" i="40" s="1"/>
  <c r="R469" i="40"/>
  <c r="Q469" i="40"/>
  <c r="S468" i="40" a="1"/>
  <c r="S468" i="40" s="1"/>
  <c r="R468" i="40"/>
  <c r="Q468" i="40"/>
  <c r="S467" i="40" a="1"/>
  <c r="S467" i="40" s="1"/>
  <c r="R467" i="40"/>
  <c r="Q467" i="40"/>
  <c r="S466" i="40" a="1"/>
  <c r="S466" i="40" s="1"/>
  <c r="R466" i="40"/>
  <c r="Q466" i="40"/>
  <c r="S465" i="40" a="1"/>
  <c r="S465" i="40" s="1"/>
  <c r="R465" i="40"/>
  <c r="Q465" i="40"/>
  <c r="S464" i="40" a="1"/>
  <c r="S464" i="40" s="1"/>
  <c r="R464" i="40"/>
  <c r="Q464" i="40"/>
  <c r="S463" i="40" a="1"/>
  <c r="S463" i="40" s="1"/>
  <c r="R463" i="40"/>
  <c r="Q463" i="40"/>
  <c r="S462" i="40" a="1"/>
  <c r="S462" i="40" s="1"/>
  <c r="R462" i="40"/>
  <c r="Q462" i="40"/>
  <c r="S461" i="40" a="1"/>
  <c r="S461" i="40" s="1"/>
  <c r="R461" i="40"/>
  <c r="Q461" i="40"/>
  <c r="S460" i="40" a="1"/>
  <c r="S460" i="40" s="1"/>
  <c r="R460" i="40"/>
  <c r="Q460" i="40"/>
  <c r="S459" i="40" a="1"/>
  <c r="S459" i="40" s="1"/>
  <c r="R459" i="40"/>
  <c r="Q459" i="40"/>
  <c r="S458" i="40" a="1"/>
  <c r="S458" i="40" s="1"/>
  <c r="R458" i="40"/>
  <c r="Q458" i="40"/>
  <c r="S457" i="40" a="1"/>
  <c r="S457" i="40" s="1"/>
  <c r="R457" i="40"/>
  <c r="Q457" i="40"/>
  <c r="S456" i="40" a="1"/>
  <c r="S456" i="40" s="1"/>
  <c r="R456" i="40"/>
  <c r="Q456" i="40"/>
  <c r="S455" i="40" a="1"/>
  <c r="S455" i="40" s="1"/>
  <c r="R455" i="40"/>
  <c r="Q455" i="40"/>
  <c r="S454" i="40" a="1"/>
  <c r="S454" i="40" s="1"/>
  <c r="R454" i="40"/>
  <c r="Q454" i="40"/>
  <c r="S453" i="40" a="1"/>
  <c r="S453" i="40" s="1"/>
  <c r="R453" i="40"/>
  <c r="Q453" i="40"/>
  <c r="S452" i="40" a="1"/>
  <c r="S452" i="40" s="1"/>
  <c r="R452" i="40"/>
  <c r="Q452" i="40"/>
  <c r="S451" i="40" a="1"/>
  <c r="S451" i="40" s="1"/>
  <c r="R451" i="40"/>
  <c r="Q451" i="40"/>
  <c r="S450" i="40" a="1"/>
  <c r="S450" i="40" s="1"/>
  <c r="R450" i="40"/>
  <c r="Q450" i="40"/>
  <c r="S449" i="40" a="1"/>
  <c r="S449" i="40" s="1"/>
  <c r="R449" i="40"/>
  <c r="Q449" i="40"/>
  <c r="S448" i="40" a="1"/>
  <c r="S448" i="40" s="1"/>
  <c r="R448" i="40"/>
  <c r="Q448" i="40"/>
  <c r="S447" i="40" a="1"/>
  <c r="S447" i="40" s="1"/>
  <c r="R447" i="40"/>
  <c r="Q447" i="40"/>
  <c r="S446" i="40" a="1"/>
  <c r="S446" i="40" s="1"/>
  <c r="R446" i="40"/>
  <c r="Q446" i="40"/>
  <c r="S445" i="40" a="1"/>
  <c r="S445" i="40" s="1"/>
  <c r="R445" i="40"/>
  <c r="Q445" i="40"/>
  <c r="S444" i="40" a="1"/>
  <c r="S444" i="40" s="1"/>
  <c r="R444" i="40"/>
  <c r="Q444" i="40"/>
  <c r="S443" i="40" a="1"/>
  <c r="S443" i="40" s="1"/>
  <c r="R443" i="40"/>
  <c r="Q443" i="40"/>
  <c r="S442" i="40" a="1"/>
  <c r="S442" i="40" s="1"/>
  <c r="R442" i="40"/>
  <c r="Q442" i="40"/>
  <c r="S441" i="40" a="1"/>
  <c r="S441" i="40" s="1"/>
  <c r="R441" i="40"/>
  <c r="Q441" i="40"/>
  <c r="S440" i="40" a="1"/>
  <c r="S440" i="40" s="1"/>
  <c r="R440" i="40"/>
  <c r="Q440" i="40"/>
  <c r="S439" i="40" a="1"/>
  <c r="S439" i="40" s="1"/>
  <c r="R439" i="40"/>
  <c r="Q439" i="40"/>
  <c r="S438" i="40" a="1"/>
  <c r="S438" i="40" s="1"/>
  <c r="R438" i="40"/>
  <c r="Q438" i="40"/>
  <c r="S437" i="40" a="1"/>
  <c r="S437" i="40" s="1"/>
  <c r="R437" i="40"/>
  <c r="Q437" i="40"/>
  <c r="S436" i="40" a="1"/>
  <c r="S436" i="40" s="1"/>
  <c r="R436" i="40"/>
  <c r="Q436" i="40"/>
  <c r="S435" i="40" a="1"/>
  <c r="S435" i="40" s="1"/>
  <c r="R435" i="40"/>
  <c r="Q435" i="40"/>
  <c r="S434" i="40" a="1"/>
  <c r="S434" i="40" s="1"/>
  <c r="R434" i="40"/>
  <c r="Q434" i="40"/>
  <c r="S433" i="40" a="1"/>
  <c r="S433" i="40" s="1"/>
  <c r="R433" i="40"/>
  <c r="Q433" i="40"/>
  <c r="S432" i="40" a="1"/>
  <c r="S432" i="40" s="1"/>
  <c r="R432" i="40"/>
  <c r="Q432" i="40"/>
  <c r="S431" i="40" a="1"/>
  <c r="S431" i="40" s="1"/>
  <c r="R431" i="40"/>
  <c r="Q431" i="40"/>
  <c r="S430" i="40" a="1"/>
  <c r="S430" i="40" s="1"/>
  <c r="R430" i="40"/>
  <c r="Q430" i="40"/>
  <c r="S429" i="40" a="1"/>
  <c r="S429" i="40" s="1"/>
  <c r="R429" i="40"/>
  <c r="Q429" i="40"/>
  <c r="S428" i="40" a="1"/>
  <c r="S428" i="40" s="1"/>
  <c r="R428" i="40"/>
  <c r="Q428" i="40"/>
  <c r="S427" i="40" a="1"/>
  <c r="S427" i="40" s="1"/>
  <c r="R427" i="40"/>
  <c r="Q427" i="40"/>
  <c r="S426" i="40" a="1"/>
  <c r="S426" i="40" s="1"/>
  <c r="R426" i="40"/>
  <c r="Q426" i="40"/>
  <c r="S425" i="40" a="1"/>
  <c r="S425" i="40" s="1"/>
  <c r="R425" i="40"/>
  <c r="Q425" i="40"/>
  <c r="S424" i="40" a="1"/>
  <c r="S424" i="40" s="1"/>
  <c r="R424" i="40"/>
  <c r="Q424" i="40"/>
  <c r="S423" i="40" a="1"/>
  <c r="S423" i="40" s="1"/>
  <c r="R423" i="40"/>
  <c r="Q423" i="40"/>
  <c r="S422" i="40" a="1"/>
  <c r="S422" i="40" s="1"/>
  <c r="R422" i="40"/>
  <c r="Q422" i="40"/>
  <c r="S421" i="40" a="1"/>
  <c r="S421" i="40" s="1"/>
  <c r="R421" i="40"/>
  <c r="Q421" i="40"/>
  <c r="S420" i="40" a="1"/>
  <c r="S420" i="40" s="1"/>
  <c r="R420" i="40"/>
  <c r="Q420" i="40"/>
  <c r="S419" i="40" a="1"/>
  <c r="S419" i="40" s="1"/>
  <c r="R419" i="40"/>
  <c r="Q419" i="40"/>
  <c r="S418" i="40" a="1"/>
  <c r="S418" i="40" s="1"/>
  <c r="R418" i="40"/>
  <c r="Q418" i="40"/>
  <c r="S417" i="40" a="1"/>
  <c r="S417" i="40" s="1"/>
  <c r="R417" i="40"/>
  <c r="Q417" i="40"/>
  <c r="S416" i="40" a="1"/>
  <c r="S416" i="40" s="1"/>
  <c r="R416" i="40"/>
  <c r="Q416" i="40"/>
  <c r="S415" i="40" a="1"/>
  <c r="S415" i="40" s="1"/>
  <c r="R415" i="40"/>
  <c r="Q415" i="40"/>
  <c r="S414" i="40" a="1"/>
  <c r="S414" i="40" s="1"/>
  <c r="R414" i="40"/>
  <c r="Q414" i="40"/>
  <c r="S413" i="40" a="1"/>
  <c r="S413" i="40" s="1"/>
  <c r="R413" i="40"/>
  <c r="Q413" i="40"/>
  <c r="S412" i="40" a="1"/>
  <c r="S412" i="40" s="1"/>
  <c r="R412" i="40"/>
  <c r="Q412" i="40"/>
  <c r="S411" i="40" a="1"/>
  <c r="S411" i="40" s="1"/>
  <c r="R411" i="40"/>
  <c r="Q411" i="40"/>
  <c r="S410" i="40" a="1"/>
  <c r="S410" i="40" s="1"/>
  <c r="R410" i="40"/>
  <c r="Q410" i="40"/>
  <c r="S409" i="40" a="1"/>
  <c r="S409" i="40" s="1"/>
  <c r="R409" i="40"/>
  <c r="Q409" i="40"/>
  <c r="S408" i="40" a="1"/>
  <c r="S408" i="40" s="1"/>
  <c r="R408" i="40"/>
  <c r="Q408" i="40"/>
  <c r="S407" i="40" a="1"/>
  <c r="S407" i="40" s="1"/>
  <c r="R407" i="40"/>
  <c r="Q407" i="40"/>
  <c r="S406" i="40" a="1"/>
  <c r="S406" i="40" s="1"/>
  <c r="R406" i="40"/>
  <c r="Q406" i="40"/>
  <c r="S405" i="40" a="1"/>
  <c r="S405" i="40" s="1"/>
  <c r="R405" i="40"/>
  <c r="Q405" i="40"/>
  <c r="S404" i="40" a="1"/>
  <c r="S404" i="40" s="1"/>
  <c r="R404" i="40"/>
  <c r="Q404" i="40"/>
  <c r="S403" i="40" a="1"/>
  <c r="S403" i="40" s="1"/>
  <c r="R403" i="40"/>
  <c r="Q403" i="40"/>
  <c r="S402" i="40" a="1"/>
  <c r="S402" i="40" s="1"/>
  <c r="R402" i="40"/>
  <c r="Q402" i="40"/>
  <c r="S401" i="40" a="1"/>
  <c r="S401" i="40" s="1"/>
  <c r="R401" i="40"/>
  <c r="Q401" i="40"/>
  <c r="S400" i="40" a="1"/>
  <c r="S400" i="40" s="1"/>
  <c r="R400" i="40"/>
  <c r="Q400" i="40"/>
  <c r="S399" i="40" a="1"/>
  <c r="S399" i="40" s="1"/>
  <c r="R399" i="40"/>
  <c r="Q399" i="40"/>
  <c r="S398" i="40" a="1"/>
  <c r="S398" i="40" s="1"/>
  <c r="R398" i="40"/>
  <c r="Q398" i="40"/>
  <c r="S397" i="40" a="1"/>
  <c r="S397" i="40" s="1"/>
  <c r="R397" i="40"/>
  <c r="Q397" i="40"/>
  <c r="S396" i="40" a="1"/>
  <c r="S396" i="40" s="1"/>
  <c r="R396" i="40"/>
  <c r="Q396" i="40"/>
  <c r="S395" i="40" a="1"/>
  <c r="S395" i="40" s="1"/>
  <c r="R395" i="40"/>
  <c r="Q395" i="40"/>
  <c r="S394" i="40" a="1"/>
  <c r="S394" i="40" s="1"/>
  <c r="R394" i="40"/>
  <c r="Q394" i="40"/>
  <c r="S393" i="40" a="1"/>
  <c r="S393" i="40" s="1"/>
  <c r="R393" i="40"/>
  <c r="Q393" i="40"/>
  <c r="S392" i="40" a="1"/>
  <c r="S392" i="40" s="1"/>
  <c r="R392" i="40"/>
  <c r="Q392" i="40"/>
  <c r="S391" i="40" a="1"/>
  <c r="S391" i="40" s="1"/>
  <c r="R391" i="40"/>
  <c r="Q391" i="40"/>
  <c r="S390" i="40" a="1"/>
  <c r="S390" i="40" s="1"/>
  <c r="R390" i="40"/>
  <c r="Q390" i="40"/>
  <c r="S389" i="40" a="1"/>
  <c r="S389" i="40" s="1"/>
  <c r="R389" i="40"/>
  <c r="Q389" i="40"/>
  <c r="S388" i="40" a="1"/>
  <c r="S388" i="40" s="1"/>
  <c r="R388" i="40"/>
  <c r="Q388" i="40"/>
  <c r="S387" i="40" a="1"/>
  <c r="S387" i="40" s="1"/>
  <c r="R387" i="40"/>
  <c r="Q387" i="40"/>
  <c r="S386" i="40" a="1"/>
  <c r="S386" i="40" s="1"/>
  <c r="R386" i="40"/>
  <c r="Q386" i="40"/>
  <c r="S385" i="40" a="1"/>
  <c r="S385" i="40" s="1"/>
  <c r="R385" i="40"/>
  <c r="Q385" i="40"/>
  <c r="S384" i="40" a="1"/>
  <c r="S384" i="40" s="1"/>
  <c r="R384" i="40"/>
  <c r="Q384" i="40"/>
  <c r="S383" i="40" a="1"/>
  <c r="S383" i="40" s="1"/>
  <c r="R383" i="40"/>
  <c r="Q383" i="40"/>
  <c r="S382" i="40" a="1"/>
  <c r="S382" i="40" s="1"/>
  <c r="R382" i="40"/>
  <c r="Q382" i="40"/>
  <c r="S381" i="40" a="1"/>
  <c r="S381" i="40" s="1"/>
  <c r="R381" i="40"/>
  <c r="Q381" i="40"/>
  <c r="S380" i="40" a="1"/>
  <c r="S380" i="40" s="1"/>
  <c r="R380" i="40"/>
  <c r="Q380" i="40"/>
  <c r="S379" i="40" a="1"/>
  <c r="S379" i="40" s="1"/>
  <c r="R379" i="40"/>
  <c r="Q379" i="40"/>
  <c r="S378" i="40" a="1"/>
  <c r="S378" i="40" s="1"/>
  <c r="R378" i="40"/>
  <c r="Q378" i="40"/>
  <c r="S377" i="40" a="1"/>
  <c r="S377" i="40" s="1"/>
  <c r="R377" i="40"/>
  <c r="Q377" i="40"/>
  <c r="S376" i="40" a="1"/>
  <c r="S376" i="40" s="1"/>
  <c r="R376" i="40"/>
  <c r="Q376" i="40"/>
  <c r="S375" i="40" a="1"/>
  <c r="S375" i="40" s="1"/>
  <c r="R375" i="40"/>
  <c r="Q375" i="40"/>
  <c r="S374" i="40" a="1"/>
  <c r="S374" i="40" s="1"/>
  <c r="R374" i="40"/>
  <c r="Q374" i="40"/>
  <c r="S373" i="40" a="1"/>
  <c r="S373" i="40" s="1"/>
  <c r="R373" i="40"/>
  <c r="Q373" i="40"/>
  <c r="S372" i="40" a="1"/>
  <c r="S372" i="40" s="1"/>
  <c r="R372" i="40"/>
  <c r="Q372" i="40"/>
  <c r="S371" i="40" a="1"/>
  <c r="S371" i="40" s="1"/>
  <c r="R371" i="40"/>
  <c r="Q371" i="40"/>
  <c r="S370" i="40" a="1"/>
  <c r="S370" i="40" s="1"/>
  <c r="R370" i="40"/>
  <c r="Q370" i="40"/>
  <c r="S369" i="40" a="1"/>
  <c r="S369" i="40" s="1"/>
  <c r="R369" i="40"/>
  <c r="Q369" i="40"/>
  <c r="S368" i="40" a="1"/>
  <c r="S368" i="40" s="1"/>
  <c r="R368" i="40"/>
  <c r="Q368" i="40"/>
  <c r="S367" i="40" a="1"/>
  <c r="S367" i="40" s="1"/>
  <c r="R367" i="40"/>
  <c r="Q367" i="40"/>
  <c r="S366" i="40" a="1"/>
  <c r="S366" i="40" s="1"/>
  <c r="R366" i="40"/>
  <c r="Q366" i="40"/>
  <c r="S365" i="40" a="1"/>
  <c r="S365" i="40" s="1"/>
  <c r="R365" i="40"/>
  <c r="Q365" i="40"/>
  <c r="S364" i="40" a="1"/>
  <c r="S364" i="40" s="1"/>
  <c r="R364" i="40"/>
  <c r="Q364" i="40"/>
  <c r="S363" i="40" a="1"/>
  <c r="S363" i="40" s="1"/>
  <c r="R363" i="40"/>
  <c r="Q363" i="40"/>
  <c r="S362" i="40" a="1"/>
  <c r="S362" i="40" s="1"/>
  <c r="R362" i="40"/>
  <c r="Q362" i="40"/>
  <c r="S361" i="40" a="1"/>
  <c r="S361" i="40" s="1"/>
  <c r="R361" i="40"/>
  <c r="Q361" i="40"/>
  <c r="S360" i="40" a="1"/>
  <c r="S360" i="40" s="1"/>
  <c r="R360" i="40"/>
  <c r="Q360" i="40"/>
  <c r="S359" i="40" a="1"/>
  <c r="S359" i="40" s="1"/>
  <c r="R359" i="40"/>
  <c r="Q359" i="40"/>
  <c r="S358" i="40" a="1"/>
  <c r="S358" i="40" s="1"/>
  <c r="R358" i="40"/>
  <c r="Q358" i="40"/>
  <c r="S357" i="40" a="1"/>
  <c r="S357" i="40" s="1"/>
  <c r="R357" i="40"/>
  <c r="Q357" i="40"/>
  <c r="S356" i="40" a="1"/>
  <c r="S356" i="40" s="1"/>
  <c r="R356" i="40"/>
  <c r="Q356" i="40"/>
  <c r="S355" i="40" a="1"/>
  <c r="S355" i="40" s="1"/>
  <c r="R355" i="40"/>
  <c r="Q355" i="40"/>
  <c r="S354" i="40" a="1"/>
  <c r="S354" i="40" s="1"/>
  <c r="R354" i="40"/>
  <c r="Q354" i="40"/>
  <c r="S353" i="40" a="1"/>
  <c r="S353" i="40" s="1"/>
  <c r="R353" i="40"/>
  <c r="Q353" i="40"/>
  <c r="S352" i="40" a="1"/>
  <c r="S352" i="40" s="1"/>
  <c r="R352" i="40"/>
  <c r="Q352" i="40"/>
  <c r="S351" i="40" a="1"/>
  <c r="S351" i="40" s="1"/>
  <c r="R351" i="40"/>
  <c r="Q351" i="40"/>
  <c r="S350" i="40" a="1"/>
  <c r="S350" i="40" s="1"/>
  <c r="R350" i="40"/>
  <c r="Q350" i="40"/>
  <c r="S349" i="40" a="1"/>
  <c r="S349" i="40" s="1"/>
  <c r="R349" i="40"/>
  <c r="Q349" i="40"/>
  <c r="S348" i="40" a="1"/>
  <c r="S348" i="40" s="1"/>
  <c r="R348" i="40"/>
  <c r="Q348" i="40"/>
  <c r="S347" i="40" a="1"/>
  <c r="S347" i="40" s="1"/>
  <c r="R347" i="40"/>
  <c r="Q347" i="40"/>
  <c r="S346" i="40" a="1"/>
  <c r="S346" i="40" s="1"/>
  <c r="R346" i="40"/>
  <c r="Q346" i="40"/>
  <c r="S345" i="40" a="1"/>
  <c r="S345" i="40" s="1"/>
  <c r="R345" i="40"/>
  <c r="Q345" i="40"/>
  <c r="S344" i="40" a="1"/>
  <c r="S344" i="40" s="1"/>
  <c r="R344" i="40"/>
  <c r="Q344" i="40"/>
  <c r="S343" i="40" a="1"/>
  <c r="S343" i="40" s="1"/>
  <c r="R343" i="40"/>
  <c r="Q343" i="40"/>
  <c r="S342" i="40" a="1"/>
  <c r="S342" i="40" s="1"/>
  <c r="R342" i="40"/>
  <c r="Q342" i="40"/>
  <c r="S341" i="40" a="1"/>
  <c r="S341" i="40" s="1"/>
  <c r="R341" i="40"/>
  <c r="Q341" i="40"/>
  <c r="S340" i="40" a="1"/>
  <c r="S340" i="40" s="1"/>
  <c r="R340" i="40"/>
  <c r="Q340" i="40"/>
  <c r="S339" i="40" a="1"/>
  <c r="S339" i="40" s="1"/>
  <c r="R339" i="40"/>
  <c r="Q339" i="40"/>
  <c r="S338" i="40" a="1"/>
  <c r="S338" i="40" s="1"/>
  <c r="R338" i="40"/>
  <c r="Q338" i="40"/>
  <c r="S337" i="40" a="1"/>
  <c r="S337" i="40" s="1"/>
  <c r="R337" i="40"/>
  <c r="Q337" i="40"/>
  <c r="S336" i="40" a="1"/>
  <c r="S336" i="40" s="1"/>
  <c r="R336" i="40"/>
  <c r="Q336" i="40"/>
  <c r="S335" i="40" a="1"/>
  <c r="S335" i="40" s="1"/>
  <c r="R335" i="40"/>
  <c r="Q335" i="40"/>
  <c r="S334" i="40" a="1"/>
  <c r="S334" i="40" s="1"/>
  <c r="R334" i="40"/>
  <c r="Q334" i="40"/>
  <c r="S333" i="40" a="1"/>
  <c r="S333" i="40" s="1"/>
  <c r="R333" i="40"/>
  <c r="Q333" i="40"/>
  <c r="S332" i="40" a="1"/>
  <c r="S332" i="40" s="1"/>
  <c r="R332" i="40"/>
  <c r="Q332" i="40"/>
  <c r="S331" i="40" a="1"/>
  <c r="S331" i="40" s="1"/>
  <c r="R331" i="40"/>
  <c r="Q331" i="40"/>
  <c r="S330" i="40" a="1"/>
  <c r="S330" i="40" s="1"/>
  <c r="R330" i="40"/>
  <c r="Q330" i="40"/>
  <c r="S329" i="40" a="1"/>
  <c r="S329" i="40" s="1"/>
  <c r="R329" i="40"/>
  <c r="Q329" i="40"/>
  <c r="S328" i="40" a="1"/>
  <c r="S328" i="40" s="1"/>
  <c r="R328" i="40"/>
  <c r="Q328" i="40"/>
  <c r="S327" i="40" a="1"/>
  <c r="S327" i="40" s="1"/>
  <c r="R327" i="40"/>
  <c r="Q327" i="40"/>
  <c r="S326" i="40" a="1"/>
  <c r="S326" i="40" s="1"/>
  <c r="R326" i="40"/>
  <c r="Q326" i="40"/>
  <c r="S325" i="40" a="1"/>
  <c r="S325" i="40" s="1"/>
  <c r="R325" i="40"/>
  <c r="Q325" i="40"/>
  <c r="S324" i="40" a="1"/>
  <c r="S324" i="40" s="1"/>
  <c r="R324" i="40"/>
  <c r="Q324" i="40"/>
  <c r="S323" i="40" a="1"/>
  <c r="S323" i="40" s="1"/>
  <c r="R323" i="40"/>
  <c r="Q323" i="40"/>
  <c r="S322" i="40" a="1"/>
  <c r="S322" i="40" s="1"/>
  <c r="R322" i="40"/>
  <c r="Q322" i="40"/>
  <c r="S321" i="40" a="1"/>
  <c r="S321" i="40" s="1"/>
  <c r="R321" i="40"/>
  <c r="Q321" i="40"/>
  <c r="S320" i="40" a="1"/>
  <c r="S320" i="40" s="1"/>
  <c r="R320" i="40"/>
  <c r="Q320" i="40"/>
  <c r="S319" i="40" a="1"/>
  <c r="S319" i="40" s="1"/>
  <c r="R319" i="40"/>
  <c r="Q319" i="40"/>
  <c r="S318" i="40" a="1"/>
  <c r="S318" i="40" s="1"/>
  <c r="R318" i="40"/>
  <c r="Q318" i="40"/>
  <c r="S317" i="40" a="1"/>
  <c r="S317" i="40" s="1"/>
  <c r="R317" i="40"/>
  <c r="Q317" i="40"/>
  <c r="S316" i="40" a="1"/>
  <c r="S316" i="40" s="1"/>
  <c r="R316" i="40"/>
  <c r="Q316" i="40"/>
  <c r="S315" i="40" a="1"/>
  <c r="S315" i="40" s="1"/>
  <c r="R315" i="40"/>
  <c r="Q315" i="40"/>
  <c r="S314" i="40" a="1"/>
  <c r="S314" i="40" s="1"/>
  <c r="R314" i="40"/>
  <c r="Q314" i="40"/>
  <c r="S313" i="40" a="1"/>
  <c r="S313" i="40" s="1"/>
  <c r="R313" i="40"/>
  <c r="Q313" i="40"/>
  <c r="S312" i="40" a="1"/>
  <c r="S312" i="40" s="1"/>
  <c r="R312" i="40"/>
  <c r="Q312" i="40"/>
  <c r="S311" i="40" a="1"/>
  <c r="S311" i="40" s="1"/>
  <c r="R311" i="40"/>
  <c r="Q311" i="40"/>
  <c r="S310" i="40" a="1"/>
  <c r="S310" i="40" s="1"/>
  <c r="R310" i="40"/>
  <c r="Q310" i="40"/>
  <c r="S309" i="40" a="1"/>
  <c r="S309" i="40" s="1"/>
  <c r="R309" i="40"/>
  <c r="Q309" i="40"/>
  <c r="S308" i="40" a="1"/>
  <c r="S308" i="40" s="1"/>
  <c r="R308" i="40"/>
  <c r="Q308" i="40"/>
  <c r="S307" i="40" a="1"/>
  <c r="S307" i="40" s="1"/>
  <c r="R307" i="40"/>
  <c r="Q307" i="40"/>
  <c r="S306" i="40" a="1"/>
  <c r="S306" i="40" s="1"/>
  <c r="R306" i="40"/>
  <c r="Q306" i="40"/>
  <c r="S305" i="40" a="1"/>
  <c r="S305" i="40" s="1"/>
  <c r="R305" i="40"/>
  <c r="Q305" i="40"/>
  <c r="S304" i="40" a="1"/>
  <c r="S304" i="40" s="1"/>
  <c r="R304" i="40"/>
  <c r="Q304" i="40"/>
  <c r="S303" i="40" a="1"/>
  <c r="S303" i="40" s="1"/>
  <c r="R303" i="40"/>
  <c r="Q303" i="40"/>
  <c r="S302" i="40" a="1"/>
  <c r="S302" i="40" s="1"/>
  <c r="R302" i="40"/>
  <c r="Q302" i="40"/>
  <c r="S301" i="40" a="1"/>
  <c r="S301" i="40" s="1"/>
  <c r="R301" i="40"/>
  <c r="Q301" i="40"/>
  <c r="S300" i="40" a="1"/>
  <c r="S300" i="40" s="1"/>
  <c r="R300" i="40"/>
  <c r="Q300" i="40"/>
  <c r="S299" i="40" a="1"/>
  <c r="S299" i="40" s="1"/>
  <c r="R299" i="40"/>
  <c r="Q299" i="40"/>
  <c r="S298" i="40" a="1"/>
  <c r="S298" i="40" s="1"/>
  <c r="R298" i="40"/>
  <c r="Q298" i="40"/>
  <c r="S297" i="40" a="1"/>
  <c r="S297" i="40" s="1"/>
  <c r="R297" i="40"/>
  <c r="Q297" i="40"/>
  <c r="S296" i="40" a="1"/>
  <c r="S296" i="40" s="1"/>
  <c r="R296" i="40"/>
  <c r="Q296" i="40"/>
  <c r="S295" i="40" a="1"/>
  <c r="S295" i="40" s="1"/>
  <c r="R295" i="40"/>
  <c r="Q295" i="40"/>
  <c r="S294" i="40" a="1"/>
  <c r="S294" i="40" s="1"/>
  <c r="R294" i="40"/>
  <c r="Q294" i="40"/>
  <c r="S293" i="40" a="1"/>
  <c r="S293" i="40" s="1"/>
  <c r="R293" i="40"/>
  <c r="Q293" i="40"/>
  <c r="S292" i="40" a="1"/>
  <c r="S292" i="40" s="1"/>
  <c r="R292" i="40"/>
  <c r="Q292" i="40"/>
  <c r="S291" i="40" a="1"/>
  <c r="S291" i="40" s="1"/>
  <c r="R291" i="40"/>
  <c r="Q291" i="40"/>
  <c r="S290" i="40" a="1"/>
  <c r="S290" i="40" s="1"/>
  <c r="R290" i="40"/>
  <c r="Q290" i="40"/>
  <c r="S289" i="40" a="1"/>
  <c r="S289" i="40" s="1"/>
  <c r="R289" i="40"/>
  <c r="Q289" i="40"/>
  <c r="S288" i="40" a="1"/>
  <c r="S288" i="40" s="1"/>
  <c r="R288" i="40"/>
  <c r="Q288" i="40"/>
  <c r="S287" i="40" a="1"/>
  <c r="S287" i="40" s="1"/>
  <c r="R287" i="40"/>
  <c r="Q287" i="40"/>
  <c r="S286" i="40" a="1"/>
  <c r="S286" i="40" s="1"/>
  <c r="R286" i="40"/>
  <c r="Q286" i="40"/>
  <c r="S285" i="40" a="1"/>
  <c r="S285" i="40" s="1"/>
  <c r="R285" i="40"/>
  <c r="Q285" i="40"/>
  <c r="S284" i="40" a="1"/>
  <c r="S284" i="40" s="1"/>
  <c r="R284" i="40"/>
  <c r="Q284" i="40"/>
  <c r="S283" i="40" a="1"/>
  <c r="S283" i="40" s="1"/>
  <c r="R283" i="40"/>
  <c r="Q283" i="40"/>
  <c r="S282" i="40" a="1"/>
  <c r="S282" i="40" s="1"/>
  <c r="R282" i="40"/>
  <c r="Q282" i="40"/>
  <c r="S281" i="40" a="1"/>
  <c r="S281" i="40" s="1"/>
  <c r="R281" i="40"/>
  <c r="Q281" i="40"/>
  <c r="S280" i="40" a="1"/>
  <c r="S280" i="40" s="1"/>
  <c r="R280" i="40"/>
  <c r="Q280" i="40"/>
  <c r="S279" i="40" a="1"/>
  <c r="S279" i="40" s="1"/>
  <c r="R279" i="40"/>
  <c r="Q279" i="40"/>
  <c r="S278" i="40" a="1"/>
  <c r="S278" i="40" s="1"/>
  <c r="R278" i="40"/>
  <c r="Q278" i="40"/>
  <c r="S277" i="40" a="1"/>
  <c r="S277" i="40" s="1"/>
  <c r="R277" i="40"/>
  <c r="Q277" i="40"/>
  <c r="S276" i="40" a="1"/>
  <c r="S276" i="40" s="1"/>
  <c r="R276" i="40"/>
  <c r="Q276" i="40"/>
  <c r="S275" i="40" a="1"/>
  <c r="S275" i="40" s="1"/>
  <c r="R275" i="40"/>
  <c r="Q275" i="40"/>
  <c r="S274" i="40" a="1"/>
  <c r="S274" i="40" s="1"/>
  <c r="R274" i="40"/>
  <c r="Q274" i="40"/>
  <c r="S273" i="40" a="1"/>
  <c r="S273" i="40" s="1"/>
  <c r="R273" i="40"/>
  <c r="Q273" i="40"/>
  <c r="S272" i="40" a="1"/>
  <c r="S272" i="40" s="1"/>
  <c r="R272" i="40"/>
  <c r="Q272" i="40"/>
  <c r="S271" i="40" a="1"/>
  <c r="S271" i="40" s="1"/>
  <c r="R271" i="40"/>
  <c r="Q271" i="40"/>
  <c r="S270" i="40" a="1"/>
  <c r="S270" i="40" s="1"/>
  <c r="R270" i="40"/>
  <c r="Q270" i="40"/>
  <c r="S269" i="40" a="1"/>
  <c r="S269" i="40" s="1"/>
  <c r="R269" i="40"/>
  <c r="Q269" i="40"/>
  <c r="S268" i="40" a="1"/>
  <c r="S268" i="40" s="1"/>
  <c r="R268" i="40"/>
  <c r="Q268" i="40"/>
  <c r="S267" i="40" a="1"/>
  <c r="S267" i="40" s="1"/>
  <c r="R267" i="40"/>
  <c r="Q267" i="40"/>
  <c r="S266" i="40" a="1"/>
  <c r="S266" i="40" s="1"/>
  <c r="R266" i="40"/>
  <c r="Q266" i="40"/>
  <c r="S265" i="40" a="1"/>
  <c r="S265" i="40" s="1"/>
  <c r="R265" i="40"/>
  <c r="Q265" i="40"/>
  <c r="S264" i="40" a="1"/>
  <c r="S264" i="40" s="1"/>
  <c r="R264" i="40"/>
  <c r="Q264" i="40"/>
  <c r="S263" i="40" a="1"/>
  <c r="S263" i="40" s="1"/>
  <c r="R263" i="40"/>
  <c r="Q263" i="40"/>
  <c r="S262" i="40" a="1"/>
  <c r="S262" i="40" s="1"/>
  <c r="R262" i="40"/>
  <c r="Q262" i="40"/>
  <c r="S261" i="40" a="1"/>
  <c r="S261" i="40" s="1"/>
  <c r="R261" i="40"/>
  <c r="Q261" i="40"/>
  <c r="S260" i="40" a="1"/>
  <c r="S260" i="40" s="1"/>
  <c r="R260" i="40"/>
  <c r="Q260" i="40"/>
  <c r="S259" i="40" a="1"/>
  <c r="S259" i="40" s="1"/>
  <c r="R259" i="40"/>
  <c r="Q259" i="40"/>
  <c r="S258" i="40" a="1"/>
  <c r="S258" i="40" s="1"/>
  <c r="R258" i="40"/>
  <c r="Q258" i="40"/>
  <c r="S257" i="40" a="1"/>
  <c r="S257" i="40" s="1"/>
  <c r="R257" i="40"/>
  <c r="Q257" i="40"/>
  <c r="S256" i="40" a="1"/>
  <c r="S256" i="40" s="1"/>
  <c r="R256" i="40"/>
  <c r="Q256" i="40"/>
  <c r="S255" i="40" a="1"/>
  <c r="S255" i="40" s="1"/>
  <c r="R255" i="40"/>
  <c r="Q255" i="40"/>
  <c r="S254" i="40" a="1"/>
  <c r="S254" i="40" s="1"/>
  <c r="R254" i="40"/>
  <c r="Q254" i="40"/>
  <c r="S253" i="40" a="1"/>
  <c r="S253" i="40" s="1"/>
  <c r="R253" i="40"/>
  <c r="Q253" i="40"/>
  <c r="S252" i="40" a="1"/>
  <c r="S252" i="40" s="1"/>
  <c r="R252" i="40"/>
  <c r="Q252" i="40"/>
  <c r="S251" i="40" a="1"/>
  <c r="S251" i="40" s="1"/>
  <c r="R251" i="40"/>
  <c r="Q251" i="40"/>
  <c r="S250" i="40" a="1"/>
  <c r="S250" i="40" s="1"/>
  <c r="R250" i="40"/>
  <c r="Q250" i="40"/>
  <c r="S249" i="40" a="1"/>
  <c r="S249" i="40" s="1"/>
  <c r="R249" i="40"/>
  <c r="Q249" i="40"/>
  <c r="S248" i="40" a="1"/>
  <c r="S248" i="40" s="1"/>
  <c r="R248" i="40"/>
  <c r="Q248" i="40"/>
  <c r="S247" i="40" a="1"/>
  <c r="S247" i="40" s="1"/>
  <c r="R247" i="40"/>
  <c r="Q247" i="40"/>
  <c r="S246" i="40" a="1"/>
  <c r="S246" i="40" s="1"/>
  <c r="R246" i="40"/>
  <c r="Q246" i="40"/>
  <c r="S245" i="40" a="1"/>
  <c r="S245" i="40" s="1"/>
  <c r="R245" i="40"/>
  <c r="Q245" i="40"/>
  <c r="S244" i="40" a="1"/>
  <c r="S244" i="40" s="1"/>
  <c r="R244" i="40"/>
  <c r="Q244" i="40"/>
  <c r="S243" i="40" a="1"/>
  <c r="S243" i="40" s="1"/>
  <c r="R243" i="40"/>
  <c r="Q243" i="40"/>
  <c r="S242" i="40" a="1"/>
  <c r="S242" i="40" s="1"/>
  <c r="R242" i="40"/>
  <c r="Q242" i="40"/>
  <c r="S241" i="40" a="1"/>
  <c r="S241" i="40" s="1"/>
  <c r="R241" i="40"/>
  <c r="Q241" i="40"/>
  <c r="S240" i="40" a="1"/>
  <c r="S240" i="40" s="1"/>
  <c r="R240" i="40"/>
  <c r="Q240" i="40"/>
  <c r="S239" i="40" a="1"/>
  <c r="S239" i="40" s="1"/>
  <c r="R239" i="40"/>
  <c r="Q239" i="40"/>
  <c r="S238" i="40" a="1"/>
  <c r="S238" i="40" s="1"/>
  <c r="R238" i="40"/>
  <c r="Q238" i="40"/>
  <c r="S237" i="40" a="1"/>
  <c r="S237" i="40" s="1"/>
  <c r="R237" i="40"/>
  <c r="Q237" i="40"/>
  <c r="S236" i="40" a="1"/>
  <c r="S236" i="40" s="1"/>
  <c r="R236" i="40"/>
  <c r="Q236" i="40"/>
  <c r="S235" i="40" a="1"/>
  <c r="S235" i="40" s="1"/>
  <c r="R235" i="40"/>
  <c r="Q235" i="40"/>
  <c r="S234" i="40" a="1"/>
  <c r="S234" i="40" s="1"/>
  <c r="R234" i="40"/>
  <c r="Q234" i="40"/>
  <c r="S233" i="40" a="1"/>
  <c r="S233" i="40" s="1"/>
  <c r="R233" i="40"/>
  <c r="Q233" i="40"/>
  <c r="S232" i="40" a="1"/>
  <c r="S232" i="40" s="1"/>
  <c r="R232" i="40"/>
  <c r="Q232" i="40"/>
  <c r="S231" i="40" a="1"/>
  <c r="S231" i="40" s="1"/>
  <c r="R231" i="40"/>
  <c r="Q231" i="40"/>
  <c r="S230" i="40" a="1"/>
  <c r="S230" i="40" s="1"/>
  <c r="R230" i="40"/>
  <c r="Q230" i="40"/>
  <c r="S229" i="40" a="1"/>
  <c r="S229" i="40" s="1"/>
  <c r="R229" i="40"/>
  <c r="Q229" i="40"/>
  <c r="S228" i="40" a="1"/>
  <c r="S228" i="40" s="1"/>
  <c r="R228" i="40"/>
  <c r="Q228" i="40"/>
  <c r="S227" i="40" a="1"/>
  <c r="S227" i="40" s="1"/>
  <c r="R227" i="40"/>
  <c r="Q227" i="40"/>
  <c r="S226" i="40" a="1"/>
  <c r="S226" i="40" s="1"/>
  <c r="R226" i="40"/>
  <c r="Q226" i="40"/>
  <c r="S225" i="40" a="1"/>
  <c r="S225" i="40" s="1"/>
  <c r="R225" i="40"/>
  <c r="Q225" i="40"/>
  <c r="S224" i="40" a="1"/>
  <c r="S224" i="40" s="1"/>
  <c r="R224" i="40"/>
  <c r="Q224" i="40"/>
  <c r="S223" i="40" a="1"/>
  <c r="S223" i="40" s="1"/>
  <c r="R223" i="40"/>
  <c r="Q223" i="40"/>
  <c r="S222" i="40" a="1"/>
  <c r="S222" i="40" s="1"/>
  <c r="R222" i="40"/>
  <c r="Q222" i="40"/>
  <c r="S221" i="40" a="1"/>
  <c r="S221" i="40" s="1"/>
  <c r="R221" i="40"/>
  <c r="Q221" i="40"/>
  <c r="S220" i="40" a="1"/>
  <c r="S220" i="40" s="1"/>
  <c r="R220" i="40"/>
  <c r="Q220" i="40"/>
  <c r="S219" i="40" a="1"/>
  <c r="S219" i="40" s="1"/>
  <c r="R219" i="40"/>
  <c r="Q219" i="40"/>
  <c r="S218" i="40" a="1"/>
  <c r="S218" i="40" s="1"/>
  <c r="R218" i="40"/>
  <c r="Q218" i="40"/>
  <c r="S217" i="40" a="1"/>
  <c r="S217" i="40" s="1"/>
  <c r="R217" i="40"/>
  <c r="Q217" i="40"/>
  <c r="S216" i="40" a="1"/>
  <c r="S216" i="40" s="1"/>
  <c r="R216" i="40"/>
  <c r="Q216" i="40"/>
  <c r="S215" i="40" a="1"/>
  <c r="S215" i="40" s="1"/>
  <c r="R215" i="40"/>
  <c r="Q215" i="40"/>
  <c r="S214" i="40" a="1"/>
  <c r="S214" i="40" s="1"/>
  <c r="R214" i="40"/>
  <c r="Q214" i="40"/>
  <c r="S213" i="40" a="1"/>
  <c r="S213" i="40" s="1"/>
  <c r="R213" i="40"/>
  <c r="Q213" i="40"/>
  <c r="S212" i="40" a="1"/>
  <c r="S212" i="40" s="1"/>
  <c r="R212" i="40"/>
  <c r="Q212" i="40"/>
  <c r="S211" i="40" a="1"/>
  <c r="S211" i="40" s="1"/>
  <c r="R211" i="40"/>
  <c r="Q211" i="40"/>
  <c r="S210" i="40" a="1"/>
  <c r="S210" i="40" s="1"/>
  <c r="R210" i="40"/>
  <c r="Q210" i="40"/>
  <c r="S209" i="40" a="1"/>
  <c r="S209" i="40" s="1"/>
  <c r="R209" i="40"/>
  <c r="Q209" i="40"/>
  <c r="S208" i="40" a="1"/>
  <c r="S208" i="40" s="1"/>
  <c r="R208" i="40"/>
  <c r="Q208" i="40"/>
  <c r="S207" i="40" a="1"/>
  <c r="S207" i="40" s="1"/>
  <c r="R207" i="40"/>
  <c r="Q207" i="40"/>
  <c r="S206" i="40" a="1"/>
  <c r="S206" i="40" s="1"/>
  <c r="R206" i="40"/>
  <c r="Q206" i="40"/>
  <c r="S205" i="40" a="1"/>
  <c r="S205" i="40" s="1"/>
  <c r="R205" i="40"/>
  <c r="Q205" i="40"/>
  <c r="S204" i="40" a="1"/>
  <c r="S204" i="40" s="1"/>
  <c r="R204" i="40"/>
  <c r="Q204" i="40"/>
  <c r="S203" i="40" a="1"/>
  <c r="S203" i="40" s="1"/>
  <c r="R203" i="40"/>
  <c r="Q203" i="40"/>
  <c r="S202" i="40" a="1"/>
  <c r="S202" i="40" s="1"/>
  <c r="R202" i="40"/>
  <c r="Q202" i="40"/>
  <c r="S201" i="40" a="1"/>
  <c r="S201" i="40" s="1"/>
  <c r="R201" i="40"/>
  <c r="Q201" i="40"/>
  <c r="S200" i="40" a="1"/>
  <c r="S200" i="40" s="1"/>
  <c r="R200" i="40"/>
  <c r="Q200" i="40"/>
  <c r="S199" i="40" a="1"/>
  <c r="S199" i="40" s="1"/>
  <c r="R199" i="40"/>
  <c r="Q199" i="40"/>
  <c r="S198" i="40" a="1"/>
  <c r="S198" i="40" s="1"/>
  <c r="R198" i="40"/>
  <c r="Q198" i="40"/>
  <c r="S197" i="40" a="1"/>
  <c r="S197" i="40" s="1"/>
  <c r="R197" i="40"/>
  <c r="Q197" i="40"/>
  <c r="S196" i="40" a="1"/>
  <c r="S196" i="40" s="1"/>
  <c r="R196" i="40"/>
  <c r="Q196" i="40"/>
  <c r="S195" i="40" a="1"/>
  <c r="S195" i="40" s="1"/>
  <c r="R195" i="40"/>
  <c r="Q195" i="40"/>
  <c r="S194" i="40" a="1"/>
  <c r="S194" i="40" s="1"/>
  <c r="R194" i="40"/>
  <c r="Q194" i="40"/>
  <c r="S193" i="40" a="1"/>
  <c r="S193" i="40" s="1"/>
  <c r="R193" i="40"/>
  <c r="Q193" i="40"/>
  <c r="S192" i="40" a="1"/>
  <c r="S192" i="40" s="1"/>
  <c r="R192" i="40"/>
  <c r="Q192" i="40"/>
  <c r="S191" i="40" a="1"/>
  <c r="S191" i="40" s="1"/>
  <c r="R191" i="40"/>
  <c r="Q191" i="40"/>
  <c r="S190" i="40" a="1"/>
  <c r="S190" i="40" s="1"/>
  <c r="R190" i="40"/>
  <c r="Q190" i="40"/>
  <c r="S189" i="40" a="1"/>
  <c r="S189" i="40" s="1"/>
  <c r="R189" i="40"/>
  <c r="Q189" i="40"/>
  <c r="S188" i="40" a="1"/>
  <c r="S188" i="40" s="1"/>
  <c r="R188" i="40"/>
  <c r="Q188" i="40"/>
  <c r="S187" i="40" a="1"/>
  <c r="S187" i="40" s="1"/>
  <c r="R187" i="40"/>
  <c r="Q187" i="40"/>
  <c r="S186" i="40" a="1"/>
  <c r="S186" i="40" s="1"/>
  <c r="R186" i="40"/>
  <c r="Q186" i="40"/>
  <c r="S185" i="40" a="1"/>
  <c r="S185" i="40" s="1"/>
  <c r="R185" i="40"/>
  <c r="Q185" i="40"/>
  <c r="S184" i="40" a="1"/>
  <c r="S184" i="40" s="1"/>
  <c r="R184" i="40"/>
  <c r="Q184" i="40"/>
  <c r="S183" i="40" a="1"/>
  <c r="S183" i="40" s="1"/>
  <c r="R183" i="40"/>
  <c r="Q183" i="40"/>
  <c r="S182" i="40" a="1"/>
  <c r="S182" i="40" s="1"/>
  <c r="R182" i="40"/>
  <c r="Q182" i="40"/>
  <c r="S181" i="40" a="1"/>
  <c r="S181" i="40" s="1"/>
  <c r="R181" i="40"/>
  <c r="Q181" i="40"/>
  <c r="S180" i="40" a="1"/>
  <c r="S180" i="40" s="1"/>
  <c r="R180" i="40"/>
  <c r="Q180" i="40"/>
  <c r="S179" i="40" a="1"/>
  <c r="S179" i="40" s="1"/>
  <c r="R179" i="40"/>
  <c r="Q179" i="40"/>
  <c r="S178" i="40" a="1"/>
  <c r="S178" i="40" s="1"/>
  <c r="R178" i="40"/>
  <c r="Q178" i="40"/>
  <c r="S177" i="40" a="1"/>
  <c r="S177" i="40" s="1"/>
  <c r="R177" i="40"/>
  <c r="Q177" i="40"/>
  <c r="S176" i="40" a="1"/>
  <c r="S176" i="40" s="1"/>
  <c r="R176" i="40"/>
  <c r="Q176" i="40"/>
  <c r="S175" i="40" a="1"/>
  <c r="S175" i="40" s="1"/>
  <c r="R175" i="40"/>
  <c r="Q175" i="40"/>
  <c r="S174" i="40" a="1"/>
  <c r="S174" i="40" s="1"/>
  <c r="R174" i="40"/>
  <c r="Q174" i="40"/>
  <c r="S173" i="40" a="1"/>
  <c r="S173" i="40" s="1"/>
  <c r="R173" i="40"/>
  <c r="Q173" i="40"/>
  <c r="S172" i="40" a="1"/>
  <c r="S172" i="40" s="1"/>
  <c r="R172" i="40"/>
  <c r="Q172" i="40"/>
  <c r="S171" i="40" a="1"/>
  <c r="S171" i="40" s="1"/>
  <c r="R171" i="40"/>
  <c r="Q171" i="40"/>
  <c r="S170" i="40" a="1"/>
  <c r="S170" i="40" s="1"/>
  <c r="R170" i="40"/>
  <c r="Q170" i="40"/>
  <c r="S169" i="40" a="1"/>
  <c r="S169" i="40" s="1"/>
  <c r="R169" i="40"/>
  <c r="Q169" i="40"/>
  <c r="S168" i="40" a="1"/>
  <c r="S168" i="40" s="1"/>
  <c r="R168" i="40"/>
  <c r="Q168" i="40"/>
  <c r="S167" i="40" a="1"/>
  <c r="S167" i="40" s="1"/>
  <c r="R167" i="40"/>
  <c r="Q167" i="40"/>
  <c r="S166" i="40" a="1"/>
  <c r="S166" i="40" s="1"/>
  <c r="R166" i="40"/>
  <c r="Q166" i="40"/>
  <c r="S165" i="40" a="1"/>
  <c r="S165" i="40" s="1"/>
  <c r="R165" i="40"/>
  <c r="Q165" i="40"/>
  <c r="S164" i="40" a="1"/>
  <c r="S164" i="40" s="1"/>
  <c r="R164" i="40"/>
  <c r="Q164" i="40"/>
  <c r="S163" i="40" a="1"/>
  <c r="S163" i="40" s="1"/>
  <c r="R163" i="40"/>
  <c r="Q163" i="40"/>
  <c r="S162" i="40" a="1"/>
  <c r="S162" i="40" s="1"/>
  <c r="R162" i="40"/>
  <c r="Q162" i="40"/>
  <c r="S161" i="40" a="1"/>
  <c r="S161" i="40" s="1"/>
  <c r="R161" i="40"/>
  <c r="Q161" i="40"/>
  <c r="S160" i="40" a="1"/>
  <c r="S160" i="40" s="1"/>
  <c r="R160" i="40"/>
  <c r="Q160" i="40"/>
  <c r="S159" i="40" a="1"/>
  <c r="S159" i="40" s="1"/>
  <c r="R159" i="40"/>
  <c r="Q159" i="40"/>
  <c r="S158" i="40" a="1"/>
  <c r="S158" i="40" s="1"/>
  <c r="R158" i="40"/>
  <c r="Q158" i="40"/>
  <c r="S157" i="40" a="1"/>
  <c r="S157" i="40" s="1"/>
  <c r="R157" i="40"/>
  <c r="Q157" i="40"/>
  <c r="S156" i="40" a="1"/>
  <c r="S156" i="40" s="1"/>
  <c r="R156" i="40"/>
  <c r="Q156" i="40"/>
  <c r="S155" i="40" a="1"/>
  <c r="S155" i="40" s="1"/>
  <c r="R155" i="40"/>
  <c r="Q155" i="40"/>
  <c r="S154" i="40" a="1"/>
  <c r="S154" i="40" s="1"/>
  <c r="R154" i="40"/>
  <c r="Q154" i="40"/>
  <c r="S153" i="40" a="1"/>
  <c r="S153" i="40" s="1"/>
  <c r="R153" i="40"/>
  <c r="Q153" i="40"/>
  <c r="S152" i="40" a="1"/>
  <c r="S152" i="40" s="1"/>
  <c r="R152" i="40"/>
  <c r="Q152" i="40"/>
  <c r="S151" i="40" a="1"/>
  <c r="S151" i="40" s="1"/>
  <c r="R151" i="40"/>
  <c r="Q151" i="40"/>
  <c r="S150" i="40" a="1"/>
  <c r="S150" i="40" s="1"/>
  <c r="R150" i="40"/>
  <c r="Q150" i="40"/>
  <c r="S149" i="40" a="1"/>
  <c r="S149" i="40" s="1"/>
  <c r="R149" i="40"/>
  <c r="Q149" i="40"/>
  <c r="S148" i="40" a="1"/>
  <c r="S148" i="40" s="1"/>
  <c r="R148" i="40"/>
  <c r="Q148" i="40"/>
  <c r="S147" i="40" a="1"/>
  <c r="S147" i="40" s="1"/>
  <c r="R147" i="40"/>
  <c r="Q147" i="40"/>
  <c r="S146" i="40" a="1"/>
  <c r="S146" i="40" s="1"/>
  <c r="R146" i="40"/>
  <c r="Q146" i="40"/>
  <c r="S145" i="40" a="1"/>
  <c r="S145" i="40" s="1"/>
  <c r="R145" i="40"/>
  <c r="Q145" i="40"/>
  <c r="S144" i="40" a="1"/>
  <c r="S144" i="40" s="1"/>
  <c r="R144" i="40"/>
  <c r="Q144" i="40"/>
  <c r="S143" i="40" a="1"/>
  <c r="S143" i="40" s="1"/>
  <c r="R143" i="40"/>
  <c r="Q143" i="40"/>
  <c r="S142" i="40" a="1"/>
  <c r="S142" i="40" s="1"/>
  <c r="R142" i="40"/>
  <c r="Q142" i="40"/>
  <c r="S141" i="40" a="1"/>
  <c r="S141" i="40" s="1"/>
  <c r="R141" i="40"/>
  <c r="Q141" i="40"/>
  <c r="S140" i="40" a="1"/>
  <c r="S140" i="40" s="1"/>
  <c r="R140" i="40"/>
  <c r="Q140" i="40"/>
  <c r="S139" i="40" a="1"/>
  <c r="S139" i="40" s="1"/>
  <c r="R139" i="40"/>
  <c r="Q139" i="40"/>
  <c r="S138" i="40" a="1"/>
  <c r="S138" i="40" s="1"/>
  <c r="R138" i="40"/>
  <c r="Q138" i="40"/>
  <c r="S137" i="40" a="1"/>
  <c r="S137" i="40" s="1"/>
  <c r="R137" i="40"/>
  <c r="Q137" i="40"/>
  <c r="S136" i="40" a="1"/>
  <c r="S136" i="40" s="1"/>
  <c r="R136" i="40"/>
  <c r="Q136" i="40"/>
  <c r="S135" i="40" a="1"/>
  <c r="S135" i="40" s="1"/>
  <c r="R135" i="40"/>
  <c r="Q135" i="40"/>
  <c r="S134" i="40" a="1"/>
  <c r="S134" i="40" s="1"/>
  <c r="R134" i="40"/>
  <c r="Q134" i="40"/>
  <c r="S133" i="40" a="1"/>
  <c r="S133" i="40" s="1"/>
  <c r="R133" i="40"/>
  <c r="Q133" i="40"/>
  <c r="S132" i="40" a="1"/>
  <c r="S132" i="40" s="1"/>
  <c r="R132" i="40"/>
  <c r="Q132" i="40"/>
  <c r="S131" i="40" a="1"/>
  <c r="S131" i="40" s="1"/>
  <c r="R131" i="40"/>
  <c r="Q131" i="40"/>
  <c r="S130" i="40" a="1"/>
  <c r="S130" i="40" s="1"/>
  <c r="R130" i="40"/>
  <c r="Q130" i="40"/>
  <c r="S129" i="40" a="1"/>
  <c r="S129" i="40" s="1"/>
  <c r="R129" i="40"/>
  <c r="Q129" i="40"/>
  <c r="S128" i="40" a="1"/>
  <c r="S128" i="40" s="1"/>
  <c r="R128" i="40"/>
  <c r="Q128" i="40"/>
  <c r="S127" i="40" a="1"/>
  <c r="S127" i="40" s="1"/>
  <c r="R127" i="40"/>
  <c r="Q127" i="40"/>
  <c r="S126" i="40" a="1"/>
  <c r="S126" i="40" s="1"/>
  <c r="R126" i="40"/>
  <c r="Q126" i="40"/>
  <c r="S125" i="40" a="1"/>
  <c r="S125" i="40" s="1"/>
  <c r="R125" i="40"/>
  <c r="Q125" i="40"/>
  <c r="S124" i="40" a="1"/>
  <c r="S124" i="40" s="1"/>
  <c r="R124" i="40"/>
  <c r="Q124" i="40"/>
  <c r="S123" i="40" a="1"/>
  <c r="S123" i="40" s="1"/>
  <c r="R123" i="40"/>
  <c r="Q123" i="40"/>
  <c r="S122" i="40" a="1"/>
  <c r="S122" i="40" s="1"/>
  <c r="R122" i="40"/>
  <c r="Q122" i="40"/>
  <c r="S121" i="40" a="1"/>
  <c r="S121" i="40" s="1"/>
  <c r="R121" i="40"/>
  <c r="Q121" i="40"/>
  <c r="S120" i="40" a="1"/>
  <c r="S120" i="40" s="1"/>
  <c r="R120" i="40"/>
  <c r="Q120" i="40"/>
  <c r="S119" i="40" a="1"/>
  <c r="S119" i="40" s="1"/>
  <c r="R119" i="40"/>
  <c r="Q119" i="40"/>
  <c r="S118" i="40" a="1"/>
  <c r="S118" i="40" s="1"/>
  <c r="R118" i="40"/>
  <c r="Q118" i="40"/>
  <c r="S117" i="40" a="1"/>
  <c r="S117" i="40" s="1"/>
  <c r="R117" i="40"/>
  <c r="Q117" i="40"/>
  <c r="S116" i="40" a="1"/>
  <c r="S116" i="40" s="1"/>
  <c r="R116" i="40"/>
  <c r="Q116" i="40"/>
  <c r="S115" i="40" a="1"/>
  <c r="S115" i="40" s="1"/>
  <c r="R115" i="40"/>
  <c r="Q115" i="40"/>
  <c r="S114" i="40" a="1"/>
  <c r="S114" i="40" s="1"/>
  <c r="R114" i="40"/>
  <c r="Q114" i="40"/>
  <c r="S113" i="40" a="1"/>
  <c r="S113" i="40" s="1"/>
  <c r="R113" i="40"/>
  <c r="Q113" i="40"/>
  <c r="S112" i="40" a="1"/>
  <c r="S112" i="40" s="1"/>
  <c r="R112" i="40"/>
  <c r="Q112" i="40"/>
  <c r="S111" i="40" a="1"/>
  <c r="S111" i="40" s="1"/>
  <c r="R111" i="40"/>
  <c r="Q111" i="40"/>
  <c r="S110" i="40" a="1"/>
  <c r="S110" i="40" s="1"/>
  <c r="R110" i="40"/>
  <c r="Q110" i="40"/>
  <c r="S109" i="40" a="1"/>
  <c r="S109" i="40" s="1"/>
  <c r="R109" i="40"/>
  <c r="Q109" i="40"/>
  <c r="S108" i="40" a="1"/>
  <c r="S108" i="40" s="1"/>
  <c r="R108" i="40"/>
  <c r="Q108" i="40"/>
  <c r="S107" i="40" a="1"/>
  <c r="S107" i="40" s="1"/>
  <c r="R107" i="40"/>
  <c r="Q107" i="40"/>
  <c r="S106" i="40" a="1"/>
  <c r="S106" i="40" s="1"/>
  <c r="R106" i="40"/>
  <c r="Q106" i="40"/>
  <c r="S105" i="40" a="1"/>
  <c r="S105" i="40" s="1"/>
  <c r="R105" i="40"/>
  <c r="Q105" i="40"/>
  <c r="S104" i="40" a="1"/>
  <c r="S104" i="40" s="1"/>
  <c r="R104" i="40"/>
  <c r="Q104" i="40"/>
  <c r="S103" i="40" a="1"/>
  <c r="S103" i="40" s="1"/>
  <c r="R103" i="40"/>
  <c r="Q103" i="40"/>
  <c r="S102" i="40" a="1"/>
  <c r="S102" i="40" s="1"/>
  <c r="R102" i="40"/>
  <c r="Q102" i="40"/>
  <c r="S101" i="40" a="1"/>
  <c r="S101" i="40" s="1"/>
  <c r="R101" i="40"/>
  <c r="Q101" i="40"/>
  <c r="S100" i="40" a="1"/>
  <c r="S100" i="40" s="1"/>
  <c r="R100" i="40"/>
  <c r="Q100" i="40"/>
  <c r="S99" i="40" a="1"/>
  <c r="S99" i="40" s="1"/>
  <c r="R99" i="40"/>
  <c r="Q99" i="40"/>
  <c r="S98" i="40" a="1"/>
  <c r="S98" i="40" s="1"/>
  <c r="R98" i="40"/>
  <c r="Q98" i="40"/>
  <c r="S97" i="40" a="1"/>
  <c r="S97" i="40" s="1"/>
  <c r="R97" i="40"/>
  <c r="Q97" i="40"/>
  <c r="S96" i="40" a="1"/>
  <c r="S96" i="40" s="1"/>
  <c r="R96" i="40"/>
  <c r="Q96" i="40"/>
  <c r="S95" i="40" a="1"/>
  <c r="S95" i="40" s="1"/>
  <c r="R95" i="40"/>
  <c r="Q95" i="40"/>
  <c r="S94" i="40" a="1"/>
  <c r="S94" i="40" s="1"/>
  <c r="R94" i="40"/>
  <c r="Q94" i="40"/>
  <c r="S93" i="40" a="1"/>
  <c r="S93" i="40" s="1"/>
  <c r="R93" i="40"/>
  <c r="Q93" i="40"/>
  <c r="S92" i="40" a="1"/>
  <c r="S92" i="40" s="1"/>
  <c r="R92" i="40"/>
  <c r="Q92" i="40"/>
  <c r="S91" i="40" a="1"/>
  <c r="S91" i="40" s="1"/>
  <c r="R91" i="40"/>
  <c r="Q91" i="40"/>
  <c r="S90" i="40" a="1"/>
  <c r="S90" i="40" s="1"/>
  <c r="R90" i="40"/>
  <c r="Q90" i="40"/>
  <c r="S89" i="40" a="1"/>
  <c r="S89" i="40" s="1"/>
  <c r="R89" i="40"/>
  <c r="Q89" i="40"/>
  <c r="S88" i="40" a="1"/>
  <c r="S88" i="40" s="1"/>
  <c r="R88" i="40"/>
  <c r="Q88" i="40"/>
  <c r="S87" i="40" a="1"/>
  <c r="S87" i="40" s="1"/>
  <c r="R87" i="40"/>
  <c r="Q87" i="40"/>
  <c r="S86" i="40" a="1"/>
  <c r="S86" i="40" s="1"/>
  <c r="R86" i="40"/>
  <c r="Q86" i="40"/>
  <c r="S85" i="40" a="1"/>
  <c r="S85" i="40" s="1"/>
  <c r="R85" i="40"/>
  <c r="Q85" i="40"/>
  <c r="S84" i="40" a="1"/>
  <c r="S84" i="40" s="1"/>
  <c r="R84" i="40"/>
  <c r="Q84" i="40"/>
  <c r="S83" i="40" a="1"/>
  <c r="S83" i="40" s="1"/>
  <c r="R83" i="40"/>
  <c r="Q83" i="40"/>
  <c r="S82" i="40" a="1"/>
  <c r="S82" i="40" s="1"/>
  <c r="R82" i="40"/>
  <c r="Q82" i="40"/>
  <c r="S81" i="40" a="1"/>
  <c r="S81" i="40" s="1"/>
  <c r="R81" i="40"/>
  <c r="Q81" i="40"/>
  <c r="S80" i="40" a="1"/>
  <c r="S80" i="40" s="1"/>
  <c r="R80" i="40"/>
  <c r="Q80" i="40"/>
  <c r="S79" i="40" a="1"/>
  <c r="S79" i="40" s="1"/>
  <c r="R79" i="40"/>
  <c r="Q79" i="40"/>
  <c r="S78" i="40" a="1"/>
  <c r="S78" i="40" s="1"/>
  <c r="R78" i="40"/>
  <c r="Q78" i="40"/>
  <c r="S77" i="40" a="1"/>
  <c r="S77" i="40" s="1"/>
  <c r="R77" i="40"/>
  <c r="Q77" i="40"/>
  <c r="S76" i="40" a="1"/>
  <c r="S76" i="40" s="1"/>
  <c r="R76" i="40"/>
  <c r="Q76" i="40"/>
  <c r="S75" i="40" a="1"/>
  <c r="S75" i="40" s="1"/>
  <c r="R75" i="40"/>
  <c r="Q75" i="40"/>
  <c r="S74" i="40" a="1"/>
  <c r="S74" i="40" s="1"/>
  <c r="R74" i="40"/>
  <c r="Q74" i="40"/>
  <c r="S73" i="40" a="1"/>
  <c r="S73" i="40" s="1"/>
  <c r="R73" i="40"/>
  <c r="Q73" i="40"/>
  <c r="S72" i="40" a="1"/>
  <c r="S72" i="40" s="1"/>
  <c r="R72" i="40"/>
  <c r="Q72" i="40"/>
  <c r="S71" i="40" a="1"/>
  <c r="S71" i="40" s="1"/>
  <c r="R71" i="40"/>
  <c r="Q71" i="40"/>
  <c r="S70" i="40" a="1"/>
  <c r="S70" i="40" s="1"/>
  <c r="R70" i="40"/>
  <c r="Q70" i="40"/>
  <c r="S69" i="40" a="1"/>
  <c r="S69" i="40" s="1"/>
  <c r="R69" i="40"/>
  <c r="Q69" i="40"/>
  <c r="S68" i="40" a="1"/>
  <c r="S68" i="40" s="1"/>
  <c r="R68" i="40"/>
  <c r="Q68" i="40"/>
  <c r="S67" i="40" a="1"/>
  <c r="S67" i="40" s="1"/>
  <c r="R67" i="40"/>
  <c r="Q67" i="40"/>
  <c r="S66" i="40" a="1"/>
  <c r="S66" i="40" s="1"/>
  <c r="R66" i="40"/>
  <c r="Q66" i="40"/>
  <c r="S65" i="40" a="1"/>
  <c r="S65" i="40" s="1"/>
  <c r="R65" i="40"/>
  <c r="Q65" i="40"/>
  <c r="S64" i="40" a="1"/>
  <c r="S64" i="40" s="1"/>
  <c r="R64" i="40"/>
  <c r="Q64" i="40"/>
  <c r="S63" i="40" a="1"/>
  <c r="S63" i="40" s="1"/>
  <c r="R63" i="40"/>
  <c r="Q63" i="40"/>
  <c r="S62" i="40" a="1"/>
  <c r="S62" i="40" s="1"/>
  <c r="R62" i="40"/>
  <c r="Q62" i="40"/>
  <c r="S61" i="40" a="1"/>
  <c r="S61" i="40" s="1"/>
  <c r="R61" i="40"/>
  <c r="Q61" i="40"/>
  <c r="S60" i="40" a="1"/>
  <c r="S60" i="40" s="1"/>
  <c r="R60" i="40"/>
  <c r="Q60" i="40"/>
  <c r="S59" i="40" a="1"/>
  <c r="S59" i="40" s="1"/>
  <c r="R59" i="40"/>
  <c r="Q59" i="40"/>
  <c r="S58" i="40" a="1"/>
  <c r="S58" i="40" s="1"/>
  <c r="R58" i="40"/>
  <c r="Q58" i="40"/>
  <c r="S57" i="40" a="1"/>
  <c r="S57" i="40" s="1"/>
  <c r="R57" i="40"/>
  <c r="Q57" i="40"/>
  <c r="S56" i="40" a="1"/>
  <c r="S56" i="40" s="1"/>
  <c r="R56" i="40"/>
  <c r="Q56" i="40"/>
  <c r="S55" i="40" a="1"/>
  <c r="S55" i="40" s="1"/>
  <c r="R55" i="40"/>
  <c r="Q55" i="40"/>
  <c r="S54" i="40" a="1"/>
  <c r="S54" i="40" s="1"/>
  <c r="R54" i="40"/>
  <c r="Q54" i="40"/>
  <c r="S53" i="40" a="1"/>
  <c r="S53" i="40" s="1"/>
  <c r="R53" i="40"/>
  <c r="Q53" i="40"/>
  <c r="S52" i="40" a="1"/>
  <c r="S52" i="40" s="1"/>
  <c r="R52" i="40"/>
  <c r="Q52" i="40"/>
  <c r="S51" i="40" a="1"/>
  <c r="S51" i="40" s="1"/>
  <c r="R51" i="40"/>
  <c r="Q51" i="40"/>
  <c r="S50" i="40" a="1"/>
  <c r="S50" i="40" s="1"/>
  <c r="R50" i="40"/>
  <c r="Q50" i="40"/>
  <c r="S49" i="40" a="1"/>
  <c r="S49" i="40" s="1"/>
  <c r="R49" i="40"/>
  <c r="Q49" i="40"/>
  <c r="S48" i="40" a="1"/>
  <c r="S48" i="40" s="1"/>
  <c r="R48" i="40"/>
  <c r="Q48" i="40"/>
  <c r="S47" i="40" a="1"/>
  <c r="S47" i="40" s="1"/>
  <c r="R47" i="40"/>
  <c r="Q47" i="40"/>
  <c r="S46" i="40" a="1"/>
  <c r="S46" i="40" s="1"/>
  <c r="R46" i="40"/>
  <c r="Q46" i="40"/>
  <c r="S45" i="40" a="1"/>
  <c r="S45" i="40" s="1"/>
  <c r="R45" i="40"/>
  <c r="Q45" i="40"/>
  <c r="S44" i="40" a="1"/>
  <c r="S44" i="40" s="1"/>
  <c r="R44" i="40"/>
  <c r="Q44" i="40"/>
  <c r="S43" i="40" a="1"/>
  <c r="S43" i="40" s="1"/>
  <c r="R43" i="40"/>
  <c r="Q43" i="40"/>
  <c r="S42" i="40" a="1"/>
  <c r="S42" i="40" s="1"/>
  <c r="R42" i="40"/>
  <c r="Q42" i="40"/>
  <c r="S41" i="40" a="1"/>
  <c r="S41" i="40" s="1"/>
  <c r="R41" i="40"/>
  <c r="Q41" i="40"/>
  <c r="S40" i="40" a="1"/>
  <c r="S40" i="40" s="1"/>
  <c r="R40" i="40"/>
  <c r="Q40" i="40"/>
  <c r="S39" i="40" a="1"/>
  <c r="S39" i="40" s="1"/>
  <c r="R39" i="40"/>
  <c r="Q39" i="40"/>
  <c r="S38" i="40" a="1"/>
  <c r="S38" i="40" s="1"/>
  <c r="R38" i="40"/>
  <c r="Q38" i="40"/>
  <c r="S37" i="40" a="1"/>
  <c r="S37" i="40" s="1"/>
  <c r="R37" i="40"/>
  <c r="Q37" i="40"/>
  <c r="S36" i="40" a="1"/>
  <c r="S36" i="40" s="1"/>
  <c r="R36" i="40"/>
  <c r="Q36" i="40"/>
  <c r="S35" i="40" a="1"/>
  <c r="S35" i="40" s="1"/>
  <c r="R35" i="40"/>
  <c r="Q35" i="40"/>
  <c r="S34" i="40" a="1"/>
  <c r="S34" i="40" s="1"/>
  <c r="R34" i="40"/>
  <c r="Q34" i="40"/>
  <c r="S33" i="40" a="1"/>
  <c r="S33" i="40" s="1"/>
  <c r="R33" i="40"/>
  <c r="Q33" i="40"/>
  <c r="S32" i="40" a="1"/>
  <c r="S32" i="40" s="1"/>
  <c r="R32" i="40"/>
  <c r="Q32" i="40"/>
  <c r="S31" i="40" a="1"/>
  <c r="S31" i="40" s="1"/>
  <c r="R31" i="40"/>
  <c r="Q31" i="40"/>
  <c r="S30" i="40" a="1"/>
  <c r="S30" i="40" s="1"/>
  <c r="R30" i="40"/>
  <c r="Q30" i="40"/>
  <c r="S29" i="40" a="1"/>
  <c r="S29" i="40" s="1"/>
  <c r="R29" i="40"/>
  <c r="Q29" i="40"/>
  <c r="S28" i="40" a="1"/>
  <c r="S28" i="40" s="1"/>
  <c r="R28" i="40"/>
  <c r="Q28" i="40"/>
  <c r="S27" i="40" a="1"/>
  <c r="S27" i="40" s="1"/>
  <c r="R27" i="40"/>
  <c r="Q27" i="40"/>
  <c r="S26" i="40" a="1"/>
  <c r="S26" i="40" s="1"/>
  <c r="R26" i="40"/>
  <c r="Q26" i="40"/>
  <c r="S25" i="40" a="1"/>
  <c r="S25" i="40" s="1"/>
  <c r="R25" i="40"/>
  <c r="Q25" i="40"/>
  <c r="S24" i="40" a="1"/>
  <c r="S24" i="40" s="1"/>
  <c r="R24" i="40"/>
  <c r="Q24" i="40"/>
  <c r="S23" i="40" a="1"/>
  <c r="S23" i="40" s="1"/>
  <c r="R23" i="40"/>
  <c r="Q23" i="40"/>
  <c r="S22" i="40" a="1"/>
  <c r="S22" i="40" s="1"/>
  <c r="R22" i="40"/>
  <c r="Q22" i="40"/>
  <c r="S21" i="40" a="1"/>
  <c r="S21" i="40" s="1"/>
  <c r="R21" i="40"/>
  <c r="Q21" i="40"/>
  <c r="S20" i="40" a="1"/>
  <c r="S20" i="40" s="1"/>
  <c r="R20" i="40"/>
  <c r="Q20" i="40"/>
  <c r="S19" i="40" a="1"/>
  <c r="S19" i="40" s="1"/>
  <c r="R19" i="40"/>
  <c r="Q19" i="40"/>
  <c r="S18" i="40" a="1"/>
  <c r="S18" i="40" s="1"/>
  <c r="R18" i="40"/>
  <c r="Q18" i="40"/>
  <c r="S17" i="40" a="1"/>
  <c r="S17" i="40" s="1"/>
  <c r="R17" i="40"/>
  <c r="Q17" i="40"/>
  <c r="S16" i="40" a="1"/>
  <c r="S16" i="40" s="1"/>
  <c r="R16" i="40"/>
  <c r="Q16" i="40"/>
  <c r="S15" i="40" a="1"/>
  <c r="S15" i="40" s="1"/>
  <c r="R15" i="40"/>
  <c r="Q15" i="40"/>
  <c r="S14" i="40" a="1"/>
  <c r="S14" i="40" s="1"/>
  <c r="R14" i="40"/>
  <c r="Q14" i="40"/>
  <c r="S13" i="40" a="1"/>
  <c r="S13" i="40" s="1"/>
  <c r="R13" i="40"/>
  <c r="Q13" i="40"/>
  <c r="S12" i="40" a="1"/>
  <c r="S12" i="40" s="1"/>
  <c r="R12" i="40"/>
  <c r="Q12" i="40"/>
  <c r="S11" i="40" a="1"/>
  <c r="S11" i="40" s="1"/>
  <c r="R11" i="40"/>
  <c r="Q11" i="40"/>
  <c r="S10" i="40" a="1"/>
  <c r="S10" i="40" s="1"/>
  <c r="R10" i="40"/>
  <c r="Q10" i="40"/>
  <c r="S9" i="40" a="1"/>
  <c r="S9" i="40" s="1"/>
  <c r="R9" i="40"/>
  <c r="Q9" i="40"/>
  <c r="S8" i="40" a="1"/>
  <c r="S8" i="40" s="1"/>
  <c r="R8" i="40"/>
  <c r="Q8" i="40"/>
  <c r="S7" i="40" a="1"/>
  <c r="S7" i="40" s="1"/>
  <c r="R7" i="40"/>
  <c r="Q7" i="40"/>
  <c r="S6" i="40" a="1"/>
  <c r="S6" i="40" s="1"/>
  <c r="R6" i="40"/>
  <c r="Q6" i="40"/>
  <c r="S5" i="40" a="1"/>
  <c r="S5" i="40" s="1"/>
  <c r="R5" i="40"/>
  <c r="Q5" i="40"/>
  <c r="S4" i="40" a="1"/>
  <c r="S4" i="40" s="1"/>
  <c r="R4" i="40"/>
  <c r="Q4" i="40"/>
  <c r="S658" i="40" a="1"/>
  <c r="S658" i="40" s="1"/>
  <c r="Q658" i="40"/>
  <c r="S636" i="40" a="1"/>
  <c r="S636" i="40" s="1"/>
  <c r="R636" i="40"/>
  <c r="Q636" i="40"/>
  <c r="H677" i="40" l="1"/>
  <c r="F677" i="40"/>
  <c r="F676" i="40"/>
  <c r="H676" i="40"/>
  <c r="H674" i="40"/>
  <c r="F675" i="40"/>
  <c r="J3" i="39" l="1"/>
  <c r="J12" i="39"/>
  <c r="J4" i="39"/>
  <c r="J14" i="39"/>
  <c r="J19" i="39"/>
  <c r="J30" i="39"/>
  <c r="J48" i="39"/>
  <c r="J40" i="39"/>
  <c r="J17" i="39"/>
  <c r="J18" i="39"/>
  <c r="J42" i="39"/>
  <c r="J44" i="39"/>
  <c r="J13" i="39"/>
  <c r="J45" i="39"/>
  <c r="J49" i="39"/>
  <c r="J26" i="39"/>
  <c r="J8" i="39"/>
  <c r="J36" i="39"/>
  <c r="J50" i="39"/>
  <c r="J16" i="39"/>
  <c r="J47" i="39"/>
  <c r="J20" i="39"/>
  <c r="J51" i="39"/>
  <c r="J21" i="39"/>
  <c r="J24" i="39"/>
  <c r="J9" i="39"/>
  <c r="J22" i="39"/>
  <c r="J25" i="39"/>
  <c r="J37" i="39"/>
  <c r="J52" i="39"/>
  <c r="J43" i="39"/>
  <c r="J38" i="39"/>
  <c r="J23" i="39"/>
  <c r="J27" i="39"/>
  <c r="J11" i="39"/>
  <c r="J28" i="39"/>
  <c r="J41" i="39"/>
  <c r="J39" i="39"/>
  <c r="J15" i="39"/>
  <c r="J46" i="39"/>
  <c r="J10" i="39"/>
  <c r="J6" i="39"/>
  <c r="J29" i="39"/>
  <c r="J7" i="39"/>
  <c r="J5" i="39"/>
  <c r="J31" i="39"/>
  <c r="J32" i="39"/>
  <c r="J33" i="39"/>
  <c r="J34" i="39"/>
  <c r="J35" i="39"/>
  <c r="E53" i="39"/>
  <c r="G53" i="39"/>
  <c r="U53" i="39"/>
  <c r="E28" i="38"/>
  <c r="E29" i="38"/>
  <c r="E30" i="38"/>
  <c r="E31" i="38"/>
  <c r="C32" i="38"/>
  <c r="C33" i="38" s="1"/>
  <c r="D32" i="38"/>
  <c r="E36" i="38"/>
  <c r="E37" i="38"/>
  <c r="E38" i="38"/>
  <c r="C39" i="38"/>
  <c r="C40" i="38" s="1"/>
  <c r="D39" i="38"/>
  <c r="E43" i="38"/>
  <c r="E44" i="38"/>
  <c r="E45" i="38"/>
  <c r="C46" i="38"/>
  <c r="C47" i="38" s="1"/>
  <c r="D46" i="38"/>
  <c r="E50" i="38"/>
  <c r="E51" i="38"/>
  <c r="E52" i="38"/>
  <c r="E53" i="38"/>
  <c r="E54" i="38"/>
  <c r="E55" i="38"/>
  <c r="E56" i="38"/>
  <c r="E57" i="38"/>
  <c r="E58" i="38"/>
  <c r="E59" i="38"/>
  <c r="E60" i="38"/>
  <c r="E61" i="38"/>
  <c r="C62" i="38"/>
  <c r="C63" i="38" s="1"/>
  <c r="D62" i="38"/>
  <c r="E66" i="38"/>
  <c r="E67" i="38"/>
  <c r="E68" i="38"/>
  <c r="E69" i="38"/>
  <c r="E70" i="38"/>
  <c r="E71" i="38"/>
  <c r="E72" i="38"/>
  <c r="E73" i="38"/>
  <c r="E74" i="38"/>
  <c r="E75" i="38"/>
  <c r="C76" i="38"/>
  <c r="C77" i="38" s="1"/>
  <c r="D76" i="38"/>
  <c r="E146" i="37"/>
  <c r="H3" i="36"/>
  <c r="H4" i="36"/>
  <c r="H5" i="36"/>
  <c r="H6" i="36"/>
  <c r="H15" i="36"/>
  <c r="H7" i="36"/>
  <c r="H8" i="36"/>
  <c r="H9" i="36"/>
  <c r="H10" i="36"/>
  <c r="H11" i="36"/>
  <c r="H12" i="36"/>
  <c r="H13" i="36"/>
  <c r="H14" i="36"/>
  <c r="H16" i="36"/>
  <c r="H17" i="36"/>
  <c r="H18" i="36"/>
  <c r="H19" i="36"/>
  <c r="H20" i="36"/>
  <c r="H21" i="36"/>
  <c r="H22" i="36"/>
  <c r="H23" i="36"/>
  <c r="H24" i="36"/>
  <c r="H25" i="36"/>
  <c r="H26" i="36"/>
  <c r="H27" i="36"/>
  <c r="H28" i="36"/>
  <c r="H29" i="36"/>
  <c r="H30" i="36"/>
  <c r="H31" i="36"/>
  <c r="H32" i="36"/>
  <c r="H33" i="36"/>
  <c r="H34" i="36"/>
  <c r="H35" i="36"/>
  <c r="H36" i="36"/>
  <c r="H37" i="36"/>
  <c r="H38" i="36"/>
  <c r="H39" i="36"/>
  <c r="H40" i="36"/>
  <c r="H41" i="36"/>
  <c r="H42" i="36"/>
  <c r="H43" i="36"/>
  <c r="H44" i="36"/>
  <c r="H45" i="36"/>
  <c r="H46" i="36"/>
  <c r="H47" i="36"/>
  <c r="H50" i="36"/>
  <c r="H54" i="36"/>
  <c r="H55" i="36"/>
  <c r="F93" i="36"/>
  <c r="H48" i="36"/>
  <c r="H49" i="36"/>
  <c r="H51" i="36"/>
  <c r="H52" i="36"/>
  <c r="H53" i="36"/>
  <c r="H56" i="36"/>
  <c r="H57" i="36"/>
  <c r="H58" i="36"/>
  <c r="H59" i="36"/>
  <c r="H60" i="36"/>
  <c r="H61" i="36"/>
  <c r="H62" i="36"/>
  <c r="H63" i="36"/>
  <c r="H64" i="36"/>
  <c r="H65" i="36"/>
  <c r="H66" i="36"/>
  <c r="H67" i="36"/>
  <c r="H68" i="36"/>
  <c r="H69" i="36"/>
  <c r="H70" i="36"/>
  <c r="H71" i="36"/>
  <c r="H72" i="36"/>
  <c r="H73" i="36"/>
  <c r="H74" i="36"/>
  <c r="H75" i="36"/>
  <c r="H76" i="36"/>
  <c r="H77" i="36"/>
  <c r="H78" i="36"/>
  <c r="H79" i="36"/>
  <c r="H80" i="36"/>
  <c r="H81" i="36"/>
  <c r="H82" i="36"/>
  <c r="H83" i="36"/>
  <c r="H84" i="36"/>
  <c r="H85" i="36"/>
  <c r="H86" i="36"/>
  <c r="H87" i="36"/>
  <c r="H88" i="36"/>
  <c r="H89" i="36"/>
  <c r="H90" i="36"/>
  <c r="H91" i="36"/>
  <c r="F92" i="36"/>
  <c r="H95" i="36"/>
  <c r="O26" i="35"/>
  <c r="O27" i="35"/>
  <c r="O38" i="35"/>
  <c r="O49" i="35"/>
  <c r="O50" i="35"/>
  <c r="O51" i="35"/>
  <c r="O52" i="35"/>
  <c r="O53" i="35"/>
  <c r="O54" i="35"/>
  <c r="O66" i="35"/>
  <c r="F262" i="35"/>
  <c r="H262" i="35"/>
  <c r="N262" i="35"/>
  <c r="O262" i="35"/>
  <c r="O3" i="35"/>
  <c r="N4" i="35"/>
  <c r="O4" i="35"/>
  <c r="N5" i="35"/>
  <c r="O5" i="35"/>
  <c r="O6" i="35"/>
  <c r="O7" i="35"/>
  <c r="O8" i="35"/>
  <c r="O9" i="35"/>
  <c r="O10" i="35"/>
  <c r="O11" i="35"/>
  <c r="O12" i="35"/>
  <c r="O15" i="35"/>
  <c r="N17" i="35"/>
  <c r="O17" i="35"/>
  <c r="O18" i="35"/>
  <c r="O19" i="35"/>
  <c r="O20" i="35"/>
  <c r="N21" i="35"/>
  <c r="O21" i="35"/>
  <c r="O23" i="35"/>
  <c r="N28" i="35"/>
  <c r="O28" i="35"/>
  <c r="O29" i="35"/>
  <c r="O30" i="35"/>
  <c r="O33" i="35"/>
  <c r="O34" i="35"/>
  <c r="O39" i="35"/>
  <c r="O41" i="35"/>
  <c r="N42" i="35"/>
  <c r="O42" i="35"/>
  <c r="O43" i="35"/>
  <c r="O44" i="35"/>
  <c r="N45" i="35"/>
  <c r="O45" i="35"/>
  <c r="O46" i="35"/>
  <c r="O47" i="35"/>
  <c r="O55" i="35"/>
  <c r="O56" i="35"/>
  <c r="O57" i="35"/>
  <c r="O58" i="35"/>
  <c r="O59" i="35"/>
  <c r="O67" i="35"/>
  <c r="O68" i="35"/>
  <c r="O69" i="35"/>
  <c r="N70" i="35"/>
  <c r="O70" i="35"/>
  <c r="O72" i="35"/>
  <c r="O80" i="35"/>
  <c r="O86" i="35"/>
  <c r="F263" i="35"/>
  <c r="H263" i="35"/>
  <c r="N263" i="35"/>
  <c r="O263" i="35"/>
  <c r="O82" i="35"/>
  <c r="F264" i="35"/>
  <c r="H264" i="35"/>
  <c r="N264" i="35"/>
  <c r="O264" i="35"/>
  <c r="O13" i="35"/>
  <c r="O14" i="35"/>
  <c r="O16" i="35"/>
  <c r="O22" i="35"/>
  <c r="O24" i="35"/>
  <c r="O25" i="35"/>
  <c r="O31" i="35"/>
  <c r="O32" i="35"/>
  <c r="O35" i="35"/>
  <c r="O36" i="35"/>
  <c r="O40" i="35"/>
  <c r="O48" i="35"/>
  <c r="O60" i="35"/>
  <c r="O61" i="35"/>
  <c r="O62" i="35"/>
  <c r="O63" i="35"/>
  <c r="O64" i="35"/>
  <c r="O71" i="35"/>
  <c r="O73" i="35"/>
  <c r="O74" i="35"/>
  <c r="O75" i="35"/>
  <c r="O76" i="35"/>
  <c r="O81" i="35"/>
  <c r="O83" i="35"/>
  <c r="O84" i="35"/>
  <c r="O87" i="35"/>
  <c r="O88" i="35"/>
  <c r="O89" i="35"/>
  <c r="O91" i="35"/>
  <c r="O92" i="35"/>
  <c r="O93" i="35"/>
  <c r="O94" i="35"/>
  <c r="O95" i="35"/>
  <c r="O96" i="35"/>
  <c r="N100" i="35"/>
  <c r="O100" i="35"/>
  <c r="O102" i="35"/>
  <c r="O103" i="35"/>
  <c r="O104" i="35"/>
  <c r="O105" i="35"/>
  <c r="O107" i="35"/>
  <c r="O108" i="35"/>
  <c r="O109" i="35"/>
  <c r="O111" i="35"/>
  <c r="O112" i="35"/>
  <c r="O113" i="35"/>
  <c r="O115" i="35"/>
  <c r="O117" i="35"/>
  <c r="O120" i="35"/>
  <c r="O121" i="35"/>
  <c r="O125" i="35"/>
  <c r="O126" i="35"/>
  <c r="O127" i="35"/>
  <c r="O130" i="35"/>
  <c r="N131" i="35"/>
  <c r="O131" i="35"/>
  <c r="O132" i="35"/>
  <c r="O133" i="35"/>
  <c r="O134" i="35"/>
  <c r="O135" i="35"/>
  <c r="O136" i="35"/>
  <c r="O141" i="35"/>
  <c r="O147" i="35"/>
  <c r="O148" i="35"/>
  <c r="O152" i="35"/>
  <c r="O154" i="35"/>
  <c r="N155" i="35"/>
  <c r="O155" i="35"/>
  <c r="N156" i="35"/>
  <c r="O156" i="35"/>
  <c r="O157" i="35"/>
  <c r="O158" i="35"/>
  <c r="O159" i="35"/>
  <c r="O161" i="35"/>
  <c r="N162" i="35"/>
  <c r="O162" i="35"/>
  <c r="O163" i="35"/>
  <c r="O164" i="35"/>
  <c r="O165" i="35"/>
  <c r="O166" i="35"/>
  <c r="O167" i="35"/>
  <c r="N173" i="35"/>
  <c r="O173" i="35"/>
  <c r="O174" i="35"/>
  <c r="O175" i="35"/>
  <c r="O178" i="35"/>
  <c r="O183" i="35"/>
  <c r="O185" i="35"/>
  <c r="O193" i="35"/>
  <c r="O194" i="35"/>
  <c r="O195" i="35"/>
  <c r="O199" i="35"/>
  <c r="O201" i="35"/>
  <c r="O202" i="35"/>
  <c r="N203" i="35"/>
  <c r="O203" i="35"/>
  <c r="O209" i="35"/>
  <c r="N212" i="35"/>
  <c r="O212" i="35"/>
  <c r="O216" i="35"/>
  <c r="O217" i="35"/>
  <c r="O218" i="35"/>
  <c r="N224" i="35"/>
  <c r="O224" i="35"/>
  <c r="O225" i="35"/>
  <c r="N226" i="35"/>
  <c r="O226" i="35"/>
  <c r="N227" i="35"/>
  <c r="O227" i="35"/>
  <c r="N228" i="35"/>
  <c r="O228" i="35"/>
  <c r="O229" i="35"/>
  <c r="O230" i="35"/>
  <c r="O232" i="35"/>
  <c r="O233" i="35"/>
  <c r="O234" i="35"/>
  <c r="O235" i="35"/>
  <c r="O241" i="35"/>
  <c r="O242" i="35"/>
  <c r="N246" i="35"/>
  <c r="O246" i="35"/>
  <c r="O247" i="35"/>
  <c r="N248" i="35"/>
  <c r="O248" i="35"/>
  <c r="N249" i="35"/>
  <c r="O249" i="35"/>
  <c r="O251" i="35"/>
  <c r="O252" i="35"/>
  <c r="O253" i="35"/>
  <c r="O254" i="35"/>
  <c r="O255" i="35"/>
  <c r="N256" i="35"/>
  <c r="O256" i="35"/>
  <c r="O257" i="35"/>
  <c r="O258" i="35"/>
  <c r="O259" i="35"/>
  <c r="O260" i="35"/>
  <c r="O261" i="35"/>
  <c r="F265" i="35"/>
  <c r="H265" i="35"/>
  <c r="O265" i="35"/>
  <c r="O37" i="35"/>
  <c r="O65" i="35"/>
  <c r="O77" i="35"/>
  <c r="O110" i="35"/>
  <c r="O168" i="35"/>
  <c r="O176" i="35"/>
  <c r="O177" i="35"/>
  <c r="O204" i="35"/>
  <c r="F266" i="35"/>
  <c r="H266" i="35"/>
  <c r="O266" i="35"/>
  <c r="O78" i="35"/>
  <c r="O79" i="35"/>
  <c r="O85" i="35"/>
  <c r="O90" i="35"/>
  <c r="O97" i="35"/>
  <c r="N98" i="35"/>
  <c r="O98" i="35"/>
  <c r="O99" i="35"/>
  <c r="O101" i="35"/>
  <c r="O106" i="35"/>
  <c r="O114" i="35"/>
  <c r="O116" i="35"/>
  <c r="O118" i="35"/>
  <c r="O119" i="35"/>
  <c r="O122" i="35"/>
  <c r="O123" i="35"/>
  <c r="O124" i="35"/>
  <c r="O128" i="35"/>
  <c r="O129" i="35"/>
  <c r="O137" i="35"/>
  <c r="O138" i="35"/>
  <c r="O139" i="35"/>
  <c r="O140" i="35"/>
  <c r="O142" i="35"/>
  <c r="O143" i="35"/>
  <c r="O144" i="35"/>
  <c r="O145" i="35"/>
  <c r="O146" i="35"/>
  <c r="O149" i="35"/>
  <c r="O150" i="35"/>
  <c r="O151" i="35"/>
  <c r="O153" i="35"/>
  <c r="O160" i="35"/>
  <c r="O169" i="35"/>
  <c r="O170" i="35"/>
  <c r="O171" i="35"/>
  <c r="O172" i="35"/>
  <c r="O179" i="35"/>
  <c r="O180" i="35"/>
  <c r="O181" i="35"/>
  <c r="O182" i="35"/>
  <c r="O184" i="35"/>
  <c r="O186" i="35"/>
  <c r="O187" i="35"/>
  <c r="O188" i="35"/>
  <c r="O189" i="35"/>
  <c r="O190" i="35"/>
  <c r="O191" i="35"/>
  <c r="O192" i="35"/>
  <c r="O196" i="35"/>
  <c r="O197" i="35"/>
  <c r="O198" i="35"/>
  <c r="O200" i="35"/>
  <c r="O205" i="35"/>
  <c r="O206" i="35"/>
  <c r="O207" i="35"/>
  <c r="O208" i="35"/>
  <c r="O210" i="35"/>
  <c r="O211" i="35"/>
  <c r="O213" i="35"/>
  <c r="O214" i="35"/>
  <c r="O215" i="35"/>
  <c r="O219" i="35"/>
  <c r="O220" i="35"/>
  <c r="O221" i="35"/>
  <c r="O222" i="35"/>
  <c r="O223" i="35"/>
  <c r="O231" i="35"/>
  <c r="O236" i="35"/>
  <c r="O237" i="35"/>
  <c r="O238" i="35"/>
  <c r="O239" i="35"/>
  <c r="O240" i="35"/>
  <c r="O243" i="35"/>
  <c r="O244" i="35"/>
  <c r="O245" i="35"/>
  <c r="O250" i="35"/>
  <c r="F267" i="35"/>
  <c r="H267" i="35"/>
  <c r="N267" i="35"/>
  <c r="L268" i="35"/>
  <c r="E62" i="38" l="1"/>
  <c r="E76" i="38"/>
  <c r="F94" i="36"/>
  <c r="E39" i="38"/>
  <c r="E46" i="38"/>
  <c r="G54" i="39"/>
  <c r="H93" i="36"/>
  <c r="E55" i="39"/>
  <c r="H268" i="35"/>
  <c r="H92" i="36"/>
  <c r="E32" i="38"/>
  <c r="F268" i="35"/>
  <c r="H269" i="35"/>
  <c r="F269" i="35"/>
  <c r="G55" i="39"/>
  <c r="E54" i="39"/>
  <c r="H94" i="36" l="1"/>
  <c r="H97" i="36" s="1"/>
  <c r="H96" i="36"/>
  <c r="H98" i="36" s="1"/>
  <c r="H99" i="36" l="1"/>
  <c r="F273" i="8"/>
  <c r="B372" i="26" a="1"/>
  <c r="B372" i="26" s="1"/>
  <c r="B371" i="26" a="1"/>
  <c r="B371" i="26" s="1"/>
  <c r="B370" i="26" a="1"/>
  <c r="B370" i="26" s="1"/>
  <c r="B369" i="26" a="1"/>
  <c r="B369" i="26" s="1"/>
  <c r="B368" i="26" a="1"/>
  <c r="B368" i="26" s="1"/>
  <c r="B367" i="26" a="1"/>
  <c r="B367" i="26" s="1"/>
  <c r="B366" i="26" a="1"/>
  <c r="B366" i="26" s="1"/>
  <c r="B365" i="26" a="1"/>
  <c r="B365" i="26" s="1"/>
  <c r="B364" i="26" a="1"/>
  <c r="B364" i="26" s="1"/>
  <c r="B363" i="26" a="1"/>
  <c r="B363" i="26" s="1"/>
  <c r="B362" i="26" a="1"/>
  <c r="B362" i="26" s="1"/>
  <c r="B361" i="26" a="1"/>
  <c r="B361" i="26" s="1"/>
  <c r="B360" i="26" a="1"/>
  <c r="B360" i="26" s="1"/>
  <c r="B359" i="26" a="1"/>
  <c r="B359" i="26" s="1"/>
  <c r="B358" i="26" a="1"/>
  <c r="B358" i="26" s="1"/>
  <c r="B357" i="26" a="1"/>
  <c r="B357" i="26" s="1"/>
  <c r="B356" i="26" a="1"/>
  <c r="B356" i="26" s="1"/>
  <c r="B355" i="26" a="1"/>
  <c r="B355" i="26" s="1"/>
  <c r="B354" i="26" a="1"/>
  <c r="B354" i="26" s="1"/>
  <c r="B353" i="26" a="1"/>
  <c r="B353" i="26" s="1"/>
  <c r="B352" i="26" a="1"/>
  <c r="B352" i="26" s="1"/>
  <c r="B351" i="26" a="1"/>
  <c r="B351" i="26" s="1"/>
  <c r="B350" i="26" a="1"/>
  <c r="B350" i="26" s="1"/>
  <c r="B349" i="26" a="1"/>
  <c r="B349" i="26" s="1"/>
  <c r="B348" i="26" a="1"/>
  <c r="B348" i="26" s="1"/>
  <c r="B347" i="26" a="1"/>
  <c r="B347" i="26" s="1"/>
  <c r="B346" i="26" a="1"/>
  <c r="B346" i="26" s="1"/>
  <c r="B345" i="26" a="1"/>
  <c r="B345" i="26" s="1"/>
  <c r="B344" i="26" a="1"/>
  <c r="B344" i="26" s="1"/>
  <c r="B343" i="26" a="1"/>
  <c r="B343" i="26" s="1"/>
  <c r="B342" i="26" a="1"/>
  <c r="B342" i="26" s="1"/>
  <c r="B341" i="26" a="1"/>
  <c r="B341" i="26" s="1"/>
  <c r="B340" i="26" a="1"/>
  <c r="B340" i="26" s="1"/>
  <c r="B339" i="26" a="1"/>
  <c r="B339" i="26" s="1"/>
  <c r="B338" i="26" a="1"/>
  <c r="B338" i="26" s="1"/>
  <c r="B337" i="26" a="1"/>
  <c r="B337" i="26" s="1"/>
  <c r="B336" i="26" a="1"/>
  <c r="B336" i="26" s="1"/>
  <c r="B335" i="26" a="1"/>
  <c r="B335" i="26" s="1"/>
  <c r="B334" i="26" a="1"/>
  <c r="B334" i="26" s="1"/>
  <c r="B333" i="26" a="1"/>
  <c r="B333" i="26" s="1"/>
  <c r="B332" i="26" a="1"/>
  <c r="B332" i="26" s="1"/>
  <c r="B331" i="26" a="1"/>
  <c r="B331" i="26" s="1"/>
  <c r="B330" i="26" a="1"/>
  <c r="B330" i="26" s="1"/>
  <c r="B329" i="26" a="1"/>
  <c r="B329" i="26" s="1"/>
  <c r="B328" i="26" a="1"/>
  <c r="B328" i="26" s="1"/>
  <c r="B327" i="26" a="1"/>
  <c r="B327" i="26" s="1"/>
  <c r="B326" i="26" a="1"/>
  <c r="B326" i="26" s="1"/>
  <c r="B325" i="26" a="1"/>
  <c r="B325" i="26" s="1"/>
  <c r="B324" i="26" a="1"/>
  <c r="B324" i="26" s="1"/>
  <c r="B323" i="26" a="1"/>
  <c r="B323" i="26" s="1"/>
  <c r="B322" i="26" a="1"/>
  <c r="B322" i="26" s="1"/>
  <c r="B321" i="26" a="1"/>
  <c r="B321" i="26" s="1"/>
  <c r="B320" i="26" a="1"/>
  <c r="B320" i="26" s="1"/>
  <c r="B319" i="26" a="1"/>
  <c r="B319" i="26" s="1"/>
  <c r="B318" i="26" a="1"/>
  <c r="B318" i="26" s="1"/>
  <c r="B317" i="26" a="1"/>
  <c r="B317" i="26" s="1"/>
  <c r="B316" i="26" a="1"/>
  <c r="B316" i="26" s="1"/>
  <c r="B315" i="26" a="1"/>
  <c r="B315" i="26" s="1"/>
  <c r="B314" i="26" a="1"/>
  <c r="B314" i="26" s="1"/>
  <c r="B313" i="26" a="1"/>
  <c r="B313" i="26" s="1"/>
  <c r="B312" i="26" a="1"/>
  <c r="B312" i="26" s="1"/>
  <c r="B311" i="26" a="1"/>
  <c r="B311" i="26" s="1"/>
  <c r="B310" i="26" a="1"/>
  <c r="B310" i="26" s="1"/>
  <c r="B309" i="26" a="1"/>
  <c r="B309" i="26" s="1"/>
  <c r="B308" i="26" a="1"/>
  <c r="B308" i="26" s="1"/>
  <c r="B307" i="26" a="1"/>
  <c r="B307" i="26" s="1"/>
  <c r="B306" i="26" a="1"/>
  <c r="B306" i="26" s="1"/>
  <c r="B305" i="26" a="1"/>
  <c r="B305" i="26" s="1"/>
  <c r="B304" i="26" a="1"/>
  <c r="B304" i="26" s="1"/>
  <c r="B303" i="26" a="1"/>
  <c r="B303" i="26" s="1"/>
  <c r="B302" i="26" a="1"/>
  <c r="B302" i="26" s="1"/>
  <c r="B301" i="26" a="1"/>
  <c r="B301" i="26" s="1"/>
  <c r="B300" i="26" a="1"/>
  <c r="B300" i="26" s="1"/>
  <c r="B299" i="26" a="1"/>
  <c r="B299" i="26" s="1"/>
  <c r="B298" i="26" a="1"/>
  <c r="B298" i="26" s="1"/>
  <c r="B297" i="26" a="1"/>
  <c r="B297" i="26" s="1"/>
  <c r="B296" i="26" a="1"/>
  <c r="B296" i="26" s="1"/>
  <c r="B295" i="26" a="1"/>
  <c r="B295" i="26" s="1"/>
  <c r="B294" i="26" a="1"/>
  <c r="B294" i="26" s="1"/>
  <c r="B293" i="26" a="1"/>
  <c r="B293" i="26" s="1"/>
  <c r="B292" i="26" a="1"/>
  <c r="B292" i="26" s="1"/>
  <c r="B291" i="26" a="1"/>
  <c r="B291" i="26" s="1"/>
  <c r="B290" i="26" a="1"/>
  <c r="B290" i="26" s="1"/>
  <c r="B289" i="26" a="1"/>
  <c r="B289" i="26" s="1"/>
  <c r="B288" i="26" a="1"/>
  <c r="B288" i="26" s="1"/>
  <c r="B287" i="26" a="1"/>
  <c r="B287" i="26" s="1"/>
  <c r="B286" i="26" a="1"/>
  <c r="B286" i="26" s="1"/>
  <c r="B285" i="26" a="1"/>
  <c r="B285" i="26" s="1"/>
  <c r="B284" i="26" a="1"/>
  <c r="B284" i="26" s="1"/>
  <c r="B283" i="26" a="1"/>
  <c r="B283" i="26" s="1"/>
  <c r="B282" i="26" a="1"/>
  <c r="B282" i="26" s="1"/>
  <c r="B281" i="26" a="1"/>
  <c r="B281" i="26" s="1"/>
  <c r="B280" i="26" a="1"/>
  <c r="B280" i="26" s="1"/>
  <c r="B279" i="26" a="1"/>
  <c r="B279" i="26" s="1"/>
  <c r="B278" i="26" a="1"/>
  <c r="B278" i="26" s="1"/>
  <c r="B277" i="26" a="1"/>
  <c r="B277" i="26" s="1"/>
  <c r="B276" i="26" a="1"/>
  <c r="B276" i="26" s="1"/>
  <c r="B275" i="26" a="1"/>
  <c r="B275" i="26" s="1"/>
  <c r="B274" i="26" a="1"/>
  <c r="B274" i="26" s="1"/>
  <c r="B273" i="26" a="1"/>
  <c r="B273" i="26" s="1"/>
  <c r="B272" i="26" a="1"/>
  <c r="B272" i="26" s="1"/>
  <c r="B271" i="26" a="1"/>
  <c r="B271" i="26" s="1"/>
  <c r="B270" i="26" a="1"/>
  <c r="B270" i="26" s="1"/>
  <c r="B269" i="26" a="1"/>
  <c r="B269" i="26" s="1"/>
  <c r="B268" i="26" a="1"/>
  <c r="B268" i="26" s="1"/>
  <c r="B267" i="26" a="1"/>
  <c r="B267" i="26" s="1"/>
  <c r="B266" i="26" a="1"/>
  <c r="B266" i="26" s="1"/>
  <c r="B265" i="26" a="1"/>
  <c r="B265" i="26" s="1"/>
  <c r="B264" i="26" a="1"/>
  <c r="B264" i="26" s="1"/>
  <c r="B263" i="26" a="1"/>
  <c r="B263" i="26" s="1"/>
  <c r="B262" i="26" a="1"/>
  <c r="B262" i="26" s="1"/>
  <c r="B261" i="26" a="1"/>
  <c r="B261" i="26" s="1"/>
  <c r="B260" i="26" a="1"/>
  <c r="B260" i="26" s="1"/>
  <c r="B259" i="26" a="1"/>
  <c r="B259" i="26" s="1"/>
  <c r="B258" i="26" a="1"/>
  <c r="B258" i="26" s="1"/>
  <c r="B257" i="26" a="1"/>
  <c r="B257" i="26" s="1"/>
  <c r="B256" i="26" a="1"/>
  <c r="B256" i="26" s="1"/>
  <c r="B255" i="26" a="1"/>
  <c r="B255" i="26" s="1"/>
  <c r="B254" i="26" a="1"/>
  <c r="B254" i="26" s="1"/>
  <c r="B253" i="26" a="1"/>
  <c r="B253" i="26" s="1"/>
  <c r="B252" i="26" a="1"/>
  <c r="B252" i="26" s="1"/>
  <c r="B251" i="26" a="1"/>
  <c r="B251" i="26" s="1"/>
  <c r="B250" i="26" a="1"/>
  <c r="B250" i="26" s="1"/>
  <c r="B249" i="26" a="1"/>
  <c r="B249" i="26" s="1"/>
  <c r="B248" i="26" a="1"/>
  <c r="B248" i="26" s="1"/>
  <c r="B247" i="26" a="1"/>
  <c r="B247" i="26" s="1"/>
  <c r="B246" i="26" a="1"/>
  <c r="B246" i="26" s="1"/>
  <c r="B245" i="26" a="1"/>
  <c r="B245" i="26" s="1"/>
  <c r="B244" i="26" a="1"/>
  <c r="B244" i="26" s="1"/>
  <c r="B243" i="26" a="1"/>
  <c r="B243" i="26" s="1"/>
  <c r="B242" i="26" a="1"/>
  <c r="B242" i="26" s="1"/>
  <c r="B241" i="26" a="1"/>
  <c r="B241" i="26" s="1"/>
  <c r="B240" i="26" a="1"/>
  <c r="B240" i="26" s="1"/>
  <c r="B239" i="26" a="1"/>
  <c r="B239" i="26" s="1"/>
  <c r="B238" i="26" a="1"/>
  <c r="B238" i="26" s="1"/>
  <c r="B237" i="26" a="1"/>
  <c r="B237" i="26" s="1"/>
  <c r="B236" i="26" a="1"/>
  <c r="B236" i="26" s="1"/>
  <c r="B235" i="26" a="1"/>
  <c r="B235" i="26" s="1"/>
  <c r="B234" i="26" a="1"/>
  <c r="B234" i="26" s="1"/>
  <c r="B233" i="26" a="1"/>
  <c r="B233" i="26" s="1"/>
  <c r="B232" i="26" a="1"/>
  <c r="B232" i="26" s="1"/>
  <c r="B231" i="26" a="1"/>
  <c r="B231" i="26" s="1"/>
  <c r="B230" i="26" a="1"/>
  <c r="B230" i="26" s="1"/>
  <c r="B229" i="26" a="1"/>
  <c r="B229" i="26" s="1"/>
  <c r="B228" i="26" a="1"/>
  <c r="B228" i="26" s="1"/>
  <c r="B227" i="26" a="1"/>
  <c r="B227" i="26" s="1"/>
  <c r="B226" i="26" a="1"/>
  <c r="B226" i="26" s="1"/>
  <c r="B225" i="26" a="1"/>
  <c r="B225" i="26" s="1"/>
  <c r="B224" i="26" a="1"/>
  <c r="B224" i="26" s="1"/>
  <c r="B223" i="26" a="1"/>
  <c r="B223" i="26" s="1"/>
  <c r="B222" i="26" a="1"/>
  <c r="B222" i="26" s="1"/>
  <c r="B221" i="26" a="1"/>
  <c r="B221" i="26" s="1"/>
  <c r="B220" i="26" a="1"/>
  <c r="B220" i="26" s="1"/>
  <c r="B219" i="26" a="1"/>
  <c r="B219" i="26" s="1"/>
  <c r="B218" i="26" a="1"/>
  <c r="B218" i="26" s="1"/>
  <c r="B217" i="26" a="1"/>
  <c r="B217" i="26" s="1"/>
  <c r="B216" i="26" a="1"/>
  <c r="B216" i="26" s="1"/>
  <c r="B215" i="26" a="1"/>
  <c r="B215" i="26" s="1"/>
  <c r="B214" i="26" a="1"/>
  <c r="B214" i="26" s="1"/>
  <c r="B213" i="26" a="1"/>
  <c r="B213" i="26" s="1"/>
  <c r="B212" i="26" a="1"/>
  <c r="B212" i="26" s="1"/>
  <c r="B211" i="26" a="1"/>
  <c r="B211" i="26" s="1"/>
  <c r="B210" i="26" a="1"/>
  <c r="B210" i="26" s="1"/>
  <c r="B209" i="26" a="1"/>
  <c r="B209" i="26" s="1"/>
  <c r="B208" i="26" a="1"/>
  <c r="B208" i="26" s="1"/>
  <c r="B207" i="26" a="1"/>
  <c r="B207" i="26" s="1"/>
  <c r="B206" i="26" a="1"/>
  <c r="B206" i="26" s="1"/>
  <c r="B205" i="26" a="1"/>
  <c r="B205" i="26" s="1"/>
  <c r="B204" i="26" a="1"/>
  <c r="B204" i="26" s="1"/>
  <c r="B203" i="26" a="1"/>
  <c r="B203" i="26" s="1"/>
  <c r="B202" i="26" a="1"/>
  <c r="B202" i="26" s="1"/>
  <c r="B201" i="26" a="1"/>
  <c r="B201" i="26" s="1"/>
  <c r="B200" i="26" a="1"/>
  <c r="B200" i="26" s="1"/>
  <c r="B199" i="26" a="1"/>
  <c r="B199" i="26" s="1"/>
  <c r="B198" i="26" a="1"/>
  <c r="B198" i="26" s="1"/>
  <c r="B197" i="26" a="1"/>
  <c r="B197" i="26" s="1"/>
  <c r="B196" i="26" a="1"/>
  <c r="B196" i="26" s="1"/>
  <c r="B195" i="26" a="1"/>
  <c r="B195" i="26" s="1"/>
  <c r="B194" i="26" a="1"/>
  <c r="B194" i="26" s="1"/>
  <c r="B193" i="26" a="1"/>
  <c r="B193" i="26" s="1"/>
  <c r="B192" i="26" a="1"/>
  <c r="B192" i="26" s="1"/>
  <c r="B191" i="26" a="1"/>
  <c r="B191" i="26" s="1"/>
  <c r="B190" i="26" a="1"/>
  <c r="B190" i="26" s="1"/>
  <c r="B189" i="26" a="1"/>
  <c r="B189" i="26" s="1"/>
  <c r="B188" i="26" a="1"/>
  <c r="B188" i="26" s="1"/>
  <c r="B187" i="26" a="1"/>
  <c r="B187" i="26" s="1"/>
  <c r="B186" i="26" a="1"/>
  <c r="B186" i="26" s="1"/>
  <c r="B185" i="26" a="1"/>
  <c r="B185" i="26" s="1"/>
  <c r="B184" i="26" a="1"/>
  <c r="B184" i="26" s="1"/>
  <c r="B183" i="26" a="1"/>
  <c r="B183" i="26" s="1"/>
  <c r="B182" i="26" a="1"/>
  <c r="B182" i="26" s="1"/>
  <c r="B181" i="26" a="1"/>
  <c r="B181" i="26" s="1"/>
  <c r="B180" i="26" a="1"/>
  <c r="B180" i="26" s="1"/>
  <c r="B179" i="26" a="1"/>
  <c r="B179" i="26" s="1"/>
  <c r="B178" i="26" a="1"/>
  <c r="B178" i="26" s="1"/>
  <c r="B177" i="26" a="1"/>
  <c r="B177" i="26" s="1"/>
  <c r="B176" i="26" a="1"/>
  <c r="B176" i="26" s="1"/>
  <c r="B175" i="26" a="1"/>
  <c r="B175" i="26" s="1"/>
  <c r="B174" i="26" a="1"/>
  <c r="B174" i="26" s="1"/>
  <c r="B173" i="26" a="1"/>
  <c r="B173" i="26" s="1"/>
  <c r="B172" i="26" a="1"/>
  <c r="B172" i="26" s="1"/>
  <c r="B171" i="26" a="1"/>
  <c r="B171" i="26" s="1"/>
  <c r="B170" i="26" a="1"/>
  <c r="B170" i="26" s="1"/>
  <c r="B169" i="26" a="1"/>
  <c r="B169" i="26" s="1"/>
  <c r="B168" i="26" a="1"/>
  <c r="B168" i="26" s="1"/>
  <c r="B167" i="26" a="1"/>
  <c r="B167" i="26" s="1"/>
  <c r="B166" i="26" a="1"/>
  <c r="B166" i="26" s="1"/>
  <c r="B165" i="26" a="1"/>
  <c r="B165" i="26" s="1"/>
  <c r="B164" i="26" a="1"/>
  <c r="B164" i="26" s="1"/>
  <c r="B163" i="26" a="1"/>
  <c r="B163" i="26" s="1"/>
  <c r="B162" i="26" a="1"/>
  <c r="B162" i="26" s="1"/>
  <c r="B161" i="26" a="1"/>
  <c r="B161" i="26" s="1"/>
  <c r="B160" i="26" a="1"/>
  <c r="B160" i="26" s="1"/>
  <c r="B159" i="26" a="1"/>
  <c r="B159" i="26" s="1"/>
  <c r="B158" i="26" a="1"/>
  <c r="B158" i="26" s="1"/>
  <c r="B157" i="26" a="1"/>
  <c r="B157" i="26" s="1"/>
  <c r="B156" i="26" a="1"/>
  <c r="B156" i="26" s="1"/>
  <c r="B155" i="26" a="1"/>
  <c r="B155" i="26" s="1"/>
  <c r="B154" i="26" a="1"/>
  <c r="B154" i="26" s="1"/>
  <c r="B153" i="26" a="1"/>
  <c r="B153" i="26" s="1"/>
  <c r="B152" i="26" a="1"/>
  <c r="B152" i="26" s="1"/>
  <c r="B151" i="26" a="1"/>
  <c r="B151" i="26" s="1"/>
  <c r="B150" i="26" a="1"/>
  <c r="B150" i="26" s="1"/>
  <c r="B149" i="26" a="1"/>
  <c r="B149" i="26" s="1"/>
  <c r="B148" i="26" a="1"/>
  <c r="B148" i="26" s="1"/>
  <c r="B147" i="26" a="1"/>
  <c r="B147" i="26" s="1"/>
  <c r="B146" i="26" a="1"/>
  <c r="B146" i="26" s="1"/>
  <c r="B145" i="26" a="1"/>
  <c r="B145" i="26" s="1"/>
  <c r="B144" i="26" a="1"/>
  <c r="B144" i="26" s="1"/>
  <c r="B143" i="26" a="1"/>
  <c r="B143" i="26" s="1"/>
  <c r="B142" i="26" a="1"/>
  <c r="B142" i="26" s="1"/>
  <c r="B141" i="26" a="1"/>
  <c r="B141" i="26" s="1"/>
  <c r="B140" i="26" a="1"/>
  <c r="B140" i="26" s="1"/>
  <c r="B139" i="26" a="1"/>
  <c r="B139" i="26" s="1"/>
  <c r="B138" i="26" a="1"/>
  <c r="B138" i="26" s="1"/>
  <c r="B137" i="26" a="1"/>
  <c r="B137" i="26" s="1"/>
  <c r="B136" i="26" a="1"/>
  <c r="B136" i="26" s="1"/>
  <c r="B135" i="26" a="1"/>
  <c r="B135" i="26" s="1"/>
  <c r="B134" i="26" a="1"/>
  <c r="B134" i="26" s="1"/>
  <c r="B133" i="26" a="1"/>
  <c r="B133" i="26" s="1"/>
  <c r="B132" i="26" a="1"/>
  <c r="B132" i="26" s="1"/>
  <c r="B131" i="26" a="1"/>
  <c r="B131" i="26" s="1"/>
  <c r="B130" i="26" a="1"/>
  <c r="B130" i="26" s="1"/>
  <c r="B129" i="26" a="1"/>
  <c r="B129" i="26" s="1"/>
  <c r="B128" i="26" a="1"/>
  <c r="B128" i="26" s="1"/>
  <c r="B127" i="26" a="1"/>
  <c r="B127" i="26" s="1"/>
  <c r="B126" i="26" a="1"/>
  <c r="B126" i="26" s="1"/>
  <c r="B125" i="26" a="1"/>
  <c r="B125" i="26" s="1"/>
  <c r="B124" i="26" a="1"/>
  <c r="B124" i="26" s="1"/>
  <c r="B123" i="26" a="1"/>
  <c r="B123" i="26" s="1"/>
  <c r="B122" i="26" a="1"/>
  <c r="B122" i="26" s="1"/>
  <c r="B121" i="26" a="1"/>
  <c r="B121" i="26" s="1"/>
  <c r="B120" i="26" a="1"/>
  <c r="B120" i="26" s="1"/>
  <c r="B119" i="26" a="1"/>
  <c r="B119" i="26" s="1"/>
  <c r="B118" i="26" a="1"/>
  <c r="B118" i="26" s="1"/>
  <c r="B117" i="26" a="1"/>
  <c r="B117" i="26" s="1"/>
  <c r="B116" i="26" a="1"/>
  <c r="B116" i="26" s="1"/>
  <c r="B115" i="26" a="1"/>
  <c r="B115" i="26" s="1"/>
  <c r="B114" i="26" a="1"/>
  <c r="B114" i="26" s="1"/>
  <c r="B113" i="26" a="1"/>
  <c r="B113" i="26" s="1"/>
  <c r="B112" i="26" a="1"/>
  <c r="B112" i="26" s="1"/>
  <c r="B111" i="26" a="1"/>
  <c r="B111" i="26" s="1"/>
  <c r="B110" i="26" a="1"/>
  <c r="B110" i="26" s="1"/>
  <c r="B109" i="26" a="1"/>
  <c r="B109" i="26" s="1"/>
  <c r="B108" i="26" a="1"/>
  <c r="B108" i="26" s="1"/>
  <c r="B107" i="26" a="1"/>
  <c r="B107" i="26" s="1"/>
  <c r="B106" i="26" a="1"/>
  <c r="B106" i="26" s="1"/>
  <c r="B105" i="26" a="1"/>
  <c r="B105" i="26" s="1"/>
  <c r="B104" i="26" a="1"/>
  <c r="B104" i="26" s="1"/>
  <c r="B103" i="26" a="1"/>
  <c r="B103" i="26" s="1"/>
  <c r="B102" i="26" a="1"/>
  <c r="B102" i="26" s="1"/>
  <c r="B101" i="26" a="1"/>
  <c r="B101" i="26" s="1"/>
  <c r="B100" i="26" a="1"/>
  <c r="B100" i="26" s="1"/>
  <c r="B99" i="26" a="1"/>
  <c r="B99" i="26" s="1"/>
  <c r="B98" i="26" a="1"/>
  <c r="B98" i="26" s="1"/>
  <c r="B97" i="26" a="1"/>
  <c r="B97" i="26" s="1"/>
  <c r="B96" i="26" a="1"/>
  <c r="B96" i="26" s="1"/>
  <c r="B95" i="26" a="1"/>
  <c r="B95" i="26" s="1"/>
  <c r="B94" i="26" a="1"/>
  <c r="B94" i="26" s="1"/>
  <c r="B93" i="26" a="1"/>
  <c r="B93" i="26" s="1"/>
  <c r="B92" i="26" a="1"/>
  <c r="B92" i="26" s="1"/>
  <c r="B91" i="26" a="1"/>
  <c r="B91" i="26" s="1"/>
  <c r="B90" i="26" a="1"/>
  <c r="B90" i="26" s="1"/>
  <c r="B89" i="26" a="1"/>
  <c r="B89" i="26" s="1"/>
  <c r="B88" i="26" a="1"/>
  <c r="B88" i="26" s="1"/>
  <c r="B87" i="26" a="1"/>
  <c r="B87" i="26" s="1"/>
  <c r="B86" i="26" a="1"/>
  <c r="B86" i="26" s="1"/>
  <c r="B85" i="26" a="1"/>
  <c r="B85" i="26" s="1"/>
  <c r="B84" i="26" a="1"/>
  <c r="B84" i="26" s="1"/>
  <c r="B83" i="26" a="1"/>
  <c r="B83" i="26" s="1"/>
  <c r="B82" i="26" a="1"/>
  <c r="B82" i="26" s="1"/>
  <c r="B81" i="26" a="1"/>
  <c r="B81" i="26" s="1"/>
  <c r="B80" i="26" a="1"/>
  <c r="B80" i="26" s="1"/>
  <c r="B79" i="26" a="1"/>
  <c r="B79" i="26" s="1"/>
  <c r="B78" i="26" a="1"/>
  <c r="B78" i="26" s="1"/>
  <c r="B77" i="26" a="1"/>
  <c r="B77" i="26" s="1"/>
  <c r="B76" i="26" a="1"/>
  <c r="B76" i="26" s="1"/>
  <c r="B75" i="26" a="1"/>
  <c r="B75" i="26" s="1"/>
  <c r="B74" i="26" a="1"/>
  <c r="B74" i="26" s="1"/>
  <c r="B73" i="26" a="1"/>
  <c r="B73" i="26" s="1"/>
  <c r="B72" i="26" a="1"/>
  <c r="B72" i="26" s="1"/>
  <c r="B71" i="26" a="1"/>
  <c r="B71" i="26" s="1"/>
  <c r="B70" i="26" a="1"/>
  <c r="B70" i="26" s="1"/>
  <c r="B69" i="26" a="1"/>
  <c r="B69" i="26" s="1"/>
  <c r="B68" i="26" a="1"/>
  <c r="B68" i="26" s="1"/>
  <c r="B67" i="26" a="1"/>
  <c r="B67" i="26" s="1"/>
  <c r="B66" i="26" a="1"/>
  <c r="B66" i="26" s="1"/>
  <c r="B65" i="26" a="1"/>
  <c r="B65" i="26" s="1"/>
  <c r="B64" i="26" a="1"/>
  <c r="B64" i="26" s="1"/>
  <c r="B63" i="26" a="1"/>
  <c r="B63" i="26" s="1"/>
  <c r="B62" i="26" a="1"/>
  <c r="B62" i="26" s="1"/>
  <c r="B61" i="26" a="1"/>
  <c r="B61" i="26" s="1"/>
  <c r="B60" i="26" a="1"/>
  <c r="B60" i="26" s="1"/>
  <c r="B59" i="26" a="1"/>
  <c r="B59" i="26" s="1"/>
  <c r="B58" i="26" a="1"/>
  <c r="B58" i="26" s="1"/>
  <c r="B57" i="26" a="1"/>
  <c r="B57" i="26" s="1"/>
  <c r="B56" i="26" a="1"/>
  <c r="B56" i="26" s="1"/>
  <c r="B55" i="26" a="1"/>
  <c r="B55" i="26" s="1"/>
  <c r="B54" i="26" a="1"/>
  <c r="B54" i="26" s="1"/>
  <c r="B53" i="26" a="1"/>
  <c r="B53" i="26" s="1"/>
  <c r="B52" i="26" a="1"/>
  <c r="B52" i="26" s="1"/>
  <c r="B51" i="26" a="1"/>
  <c r="B51" i="26" s="1"/>
  <c r="B50" i="26" a="1"/>
  <c r="B50" i="26" s="1"/>
  <c r="B49" i="26" a="1"/>
  <c r="B49" i="26" s="1"/>
  <c r="B48" i="26" a="1"/>
  <c r="B48" i="26" s="1"/>
  <c r="B47" i="26" a="1"/>
  <c r="B47" i="26" s="1"/>
  <c r="B46" i="26" a="1"/>
  <c r="B46" i="26" s="1"/>
  <c r="B45" i="26" a="1"/>
  <c r="B45" i="26" s="1"/>
  <c r="B44" i="26" a="1"/>
  <c r="B44" i="26" s="1"/>
  <c r="B43" i="26" a="1"/>
  <c r="B43" i="26" s="1"/>
  <c r="B42" i="26" a="1"/>
  <c r="B42" i="26" s="1"/>
  <c r="B41" i="26" a="1"/>
  <c r="B41" i="26" s="1"/>
  <c r="B40" i="26" a="1"/>
  <c r="B40" i="26" s="1"/>
  <c r="B39" i="26" a="1"/>
  <c r="B39" i="26" s="1"/>
  <c r="B38" i="26" a="1"/>
  <c r="B38" i="26" s="1"/>
  <c r="B37" i="26" a="1"/>
  <c r="B37" i="26" s="1"/>
  <c r="B36" i="26" a="1"/>
  <c r="B36" i="26" s="1"/>
  <c r="B35" i="26" a="1"/>
  <c r="B35" i="26" s="1"/>
  <c r="B34" i="26" a="1"/>
  <c r="B34" i="26" s="1"/>
  <c r="B33" i="26" a="1"/>
  <c r="B33" i="26" s="1"/>
  <c r="B32" i="26" a="1"/>
  <c r="B32" i="26" s="1"/>
  <c r="B31" i="26" a="1"/>
  <c r="B31" i="26" s="1"/>
  <c r="B30" i="26" a="1"/>
  <c r="B30" i="26" s="1"/>
  <c r="B29" i="26" a="1"/>
  <c r="B29" i="26" s="1"/>
  <c r="B28" i="26" a="1"/>
  <c r="B28" i="26" s="1"/>
  <c r="B27" i="26" a="1"/>
  <c r="B27" i="26" s="1"/>
  <c r="B26" i="26" a="1"/>
  <c r="B26" i="26" s="1"/>
  <c r="B25" i="26" a="1"/>
  <c r="B25" i="26" s="1"/>
  <c r="B24" i="26" a="1"/>
  <c r="B24" i="26" s="1"/>
  <c r="B23" i="26" a="1"/>
  <c r="B23" i="26" s="1"/>
  <c r="B20" i="26" a="1"/>
  <c r="B20" i="26" s="1"/>
  <c r="B19" i="26" a="1"/>
  <c r="B19" i="26" s="1"/>
  <c r="B18" i="26" a="1"/>
  <c r="B18" i="26" s="1"/>
  <c r="B17" i="26" a="1"/>
  <c r="B17" i="26" s="1"/>
  <c r="B22" i="26" a="1"/>
  <c r="B22" i="26" s="1"/>
  <c r="B21" i="26" a="1"/>
  <c r="B21" i="26" s="1"/>
  <c r="B16" i="26" a="1"/>
  <c r="B16" i="26" s="1"/>
  <c r="B15" i="26" a="1"/>
  <c r="B15" i="26" s="1"/>
  <c r="J272" i="8" l="1"/>
  <c r="H272" i="8"/>
  <c r="K272" i="8" s="1"/>
  <c r="C272" i="8"/>
  <c r="B272" i="8"/>
  <c r="J271" i="8"/>
  <c r="H271" i="8"/>
  <c r="K271" i="8" s="1"/>
  <c r="C271" i="8"/>
  <c r="B271" i="8"/>
  <c r="J270" i="8"/>
  <c r="H270" i="8"/>
  <c r="K270" i="8" s="1"/>
  <c r="C270" i="8"/>
  <c r="B270" i="8"/>
  <c r="J269" i="8"/>
  <c r="H269" i="8"/>
  <c r="K269" i="8" s="1"/>
  <c r="C269" i="8"/>
  <c r="B269" i="8"/>
  <c r="J268" i="8"/>
  <c r="H268" i="8"/>
  <c r="K268" i="8" s="1"/>
  <c r="C268" i="8"/>
  <c r="B268" i="8"/>
  <c r="J267" i="8"/>
  <c r="H267" i="8"/>
  <c r="K267" i="8" s="1"/>
  <c r="C267" i="8"/>
  <c r="B267" i="8"/>
  <c r="J266" i="8"/>
  <c r="H266" i="8"/>
  <c r="K266" i="8" s="1"/>
  <c r="C266" i="8"/>
  <c r="B266" i="8"/>
  <c r="J265" i="8"/>
  <c r="H265" i="8"/>
  <c r="K265" i="8" s="1"/>
  <c r="C265" i="8"/>
  <c r="B265" i="8"/>
  <c r="J264" i="8"/>
  <c r="H264" i="8"/>
  <c r="K264" i="8" s="1"/>
  <c r="C264" i="8"/>
  <c r="B264" i="8"/>
  <c r="J263" i="8"/>
  <c r="H263" i="8"/>
  <c r="K263" i="8" s="1"/>
  <c r="C263" i="8"/>
  <c r="B263" i="8"/>
  <c r="J262" i="8"/>
  <c r="H262" i="8"/>
  <c r="K262" i="8" s="1"/>
  <c r="C262" i="8"/>
  <c r="B262" i="8"/>
  <c r="J261" i="8"/>
  <c r="H261" i="8"/>
  <c r="K261" i="8" s="1"/>
  <c r="C261" i="8"/>
  <c r="B261" i="8"/>
  <c r="J260" i="8"/>
  <c r="H260" i="8"/>
  <c r="K260" i="8" s="1"/>
  <c r="C260" i="8"/>
  <c r="B260" i="8"/>
  <c r="J259" i="8"/>
  <c r="H259" i="8"/>
  <c r="K259" i="8" s="1"/>
  <c r="C259" i="8"/>
  <c r="B259" i="8"/>
  <c r="J258" i="8"/>
  <c r="H258" i="8"/>
  <c r="K258" i="8" s="1"/>
  <c r="C258" i="8"/>
  <c r="B258" i="8"/>
  <c r="J257" i="8"/>
  <c r="H257" i="8"/>
  <c r="K257" i="8" s="1"/>
  <c r="C257" i="8"/>
  <c r="B257" i="8"/>
  <c r="J256" i="8"/>
  <c r="H256" i="8"/>
  <c r="K256" i="8" s="1"/>
  <c r="C256" i="8"/>
  <c r="B256" i="8"/>
  <c r="J255" i="8"/>
  <c r="H255" i="8"/>
  <c r="K255" i="8" s="1"/>
  <c r="C255" i="8"/>
  <c r="B255" i="8"/>
  <c r="J254" i="8"/>
  <c r="H254" i="8"/>
  <c r="K254" i="8" s="1"/>
  <c r="C254" i="8"/>
  <c r="B254" i="8"/>
  <c r="J253" i="8"/>
  <c r="H253" i="8"/>
  <c r="K253" i="8" s="1"/>
  <c r="C253" i="8"/>
  <c r="B253" i="8"/>
  <c r="J252" i="8"/>
  <c r="H252" i="8"/>
  <c r="K252" i="8" s="1"/>
  <c r="C252" i="8"/>
  <c r="B252" i="8"/>
  <c r="J251" i="8"/>
  <c r="H251" i="8"/>
  <c r="K251" i="8" s="1"/>
  <c r="C251" i="8"/>
  <c r="B251" i="8"/>
  <c r="J250" i="8"/>
  <c r="H250" i="8"/>
  <c r="K250" i="8" s="1"/>
  <c r="C250" i="8"/>
  <c r="B250" i="8"/>
  <c r="J249" i="8"/>
  <c r="H249" i="8"/>
  <c r="K249" i="8" s="1"/>
  <c r="C249" i="8"/>
  <c r="B249" i="8"/>
  <c r="H248" i="8"/>
  <c r="K248" i="8" s="1"/>
  <c r="B248" i="8"/>
  <c r="J247" i="8"/>
  <c r="H247" i="8"/>
  <c r="K247" i="8" s="1"/>
  <c r="C247" i="8"/>
  <c r="B247" i="8"/>
  <c r="J246" i="8"/>
  <c r="H246" i="8"/>
  <c r="K246" i="8" s="1"/>
  <c r="C246" i="8"/>
  <c r="B246" i="8"/>
  <c r="J245" i="8"/>
  <c r="H245" i="8"/>
  <c r="K245" i="8" s="1"/>
  <c r="C245" i="8"/>
  <c r="B245" i="8"/>
  <c r="J244" i="8"/>
  <c r="H244" i="8"/>
  <c r="K244" i="8" s="1"/>
  <c r="C244" i="8"/>
  <c r="B244" i="8"/>
  <c r="J243" i="8"/>
  <c r="H243" i="8"/>
  <c r="K243" i="8" s="1"/>
  <c r="C243" i="8"/>
  <c r="B243" i="8"/>
  <c r="J242" i="8"/>
  <c r="H242" i="8"/>
  <c r="K242" i="8" s="1"/>
  <c r="C242" i="8"/>
  <c r="B242" i="8"/>
  <c r="J241" i="8"/>
  <c r="H241" i="8"/>
  <c r="K241" i="8" s="1"/>
  <c r="C241" i="8"/>
  <c r="B241" i="8"/>
  <c r="J240" i="8"/>
  <c r="H240" i="8"/>
  <c r="K240" i="8" s="1"/>
  <c r="C240" i="8"/>
  <c r="B240" i="8"/>
  <c r="J239" i="8"/>
  <c r="H239" i="8"/>
  <c r="K239" i="8" s="1"/>
  <c r="C239" i="8"/>
  <c r="B239" i="8"/>
  <c r="J238" i="8"/>
  <c r="H238" i="8"/>
  <c r="K238" i="8" s="1"/>
  <c r="C238" i="8"/>
  <c r="B238" i="8"/>
  <c r="J237" i="8"/>
  <c r="H237" i="8"/>
  <c r="K237" i="8" s="1"/>
  <c r="C237" i="8"/>
  <c r="B237" i="8"/>
  <c r="J236" i="8"/>
  <c r="H236" i="8"/>
  <c r="K236" i="8" s="1"/>
  <c r="C236" i="8"/>
  <c r="B236" i="8"/>
  <c r="J235" i="8"/>
  <c r="H235" i="8"/>
  <c r="K235" i="8" s="1"/>
  <c r="C235" i="8"/>
  <c r="B235" i="8"/>
  <c r="J234" i="8"/>
  <c r="H234" i="8"/>
  <c r="K234" i="8" s="1"/>
  <c r="C234" i="8"/>
  <c r="B234" i="8"/>
  <c r="J233" i="8"/>
  <c r="H233" i="8"/>
  <c r="K233" i="8" s="1"/>
  <c r="C233" i="8"/>
  <c r="B233" i="8"/>
  <c r="J232" i="8"/>
  <c r="H232" i="8"/>
  <c r="K232" i="8" s="1"/>
  <c r="C232" i="8"/>
  <c r="B232" i="8"/>
  <c r="J231" i="8"/>
  <c r="H231" i="8"/>
  <c r="K231" i="8" s="1"/>
  <c r="C231" i="8"/>
  <c r="B231" i="8"/>
  <c r="J230" i="8"/>
  <c r="H230" i="8"/>
  <c r="K230" i="8" s="1"/>
  <c r="C230" i="8"/>
  <c r="B230" i="8"/>
  <c r="J229" i="8"/>
  <c r="H229" i="8"/>
  <c r="K229" i="8" s="1"/>
  <c r="C229" i="8"/>
  <c r="B229" i="8"/>
  <c r="J228" i="8"/>
  <c r="H228" i="8"/>
  <c r="K228" i="8" s="1"/>
  <c r="C228" i="8"/>
  <c r="B228" i="8"/>
  <c r="J227" i="8"/>
  <c r="H227" i="8"/>
  <c r="K227" i="8" s="1"/>
  <c r="C227" i="8"/>
  <c r="B227" i="8"/>
  <c r="J226" i="8"/>
  <c r="H226" i="8"/>
  <c r="K226" i="8" s="1"/>
  <c r="C226" i="8"/>
  <c r="B226" i="8"/>
  <c r="J225" i="8"/>
  <c r="H225" i="8"/>
  <c r="K225" i="8" s="1"/>
  <c r="C225" i="8"/>
  <c r="B225" i="8"/>
  <c r="J224" i="8"/>
  <c r="H224" i="8"/>
  <c r="K224" i="8" s="1"/>
  <c r="C224" i="8"/>
  <c r="B224" i="8"/>
  <c r="J223" i="8"/>
  <c r="H223" i="8"/>
  <c r="K223" i="8" s="1"/>
  <c r="C223" i="8"/>
  <c r="B223" i="8"/>
  <c r="J222" i="8"/>
  <c r="H222" i="8"/>
  <c r="K222" i="8" s="1"/>
  <c r="C222" i="8"/>
  <c r="B222" i="8"/>
  <c r="J221" i="8"/>
  <c r="H221" i="8"/>
  <c r="K221" i="8" s="1"/>
  <c r="C221" i="8"/>
  <c r="B221" i="8"/>
  <c r="J220" i="8"/>
  <c r="H220" i="8"/>
  <c r="K220" i="8" s="1"/>
  <c r="C220" i="8"/>
  <c r="B220" i="8"/>
  <c r="J219" i="8"/>
  <c r="H219" i="8"/>
  <c r="K219" i="8" s="1"/>
  <c r="C219" i="8"/>
  <c r="B219" i="8"/>
  <c r="J218" i="8"/>
  <c r="H218" i="8"/>
  <c r="K218" i="8" s="1"/>
  <c r="C218" i="8"/>
  <c r="B218" i="8"/>
  <c r="J217" i="8"/>
  <c r="H217" i="8"/>
  <c r="K217" i="8" s="1"/>
  <c r="C217" i="8"/>
  <c r="B217" i="8"/>
  <c r="J216" i="8"/>
  <c r="H216" i="8"/>
  <c r="K216" i="8" s="1"/>
  <c r="C216" i="8"/>
  <c r="B216" i="8"/>
  <c r="J215" i="8"/>
  <c r="H215" i="8"/>
  <c r="K215" i="8" s="1"/>
  <c r="C215" i="8"/>
  <c r="B215" i="8"/>
  <c r="J214" i="8"/>
  <c r="H214" i="8"/>
  <c r="K214" i="8" s="1"/>
  <c r="C214" i="8"/>
  <c r="B214" i="8"/>
  <c r="J213" i="8"/>
  <c r="H213" i="8"/>
  <c r="K213" i="8" s="1"/>
  <c r="C213" i="8"/>
  <c r="B213" i="8"/>
  <c r="J212" i="8"/>
  <c r="H212" i="8"/>
  <c r="K212" i="8" s="1"/>
  <c r="C212" i="8"/>
  <c r="B212" i="8"/>
  <c r="J211" i="8"/>
  <c r="H211" i="8"/>
  <c r="K211" i="8" s="1"/>
  <c r="C211" i="8"/>
  <c r="B211" i="8"/>
  <c r="J210" i="8"/>
  <c r="H210" i="8"/>
  <c r="K210" i="8" s="1"/>
  <c r="C210" i="8"/>
  <c r="B210" i="8"/>
  <c r="J209" i="8"/>
  <c r="H209" i="8"/>
  <c r="K209" i="8" s="1"/>
  <c r="C209" i="8"/>
  <c r="B209" i="8"/>
  <c r="J208" i="8"/>
  <c r="H208" i="8"/>
  <c r="K208" i="8" s="1"/>
  <c r="C208" i="8"/>
  <c r="B208" i="8"/>
  <c r="J207" i="8"/>
  <c r="H207" i="8"/>
  <c r="K207" i="8" s="1"/>
  <c r="C207" i="8"/>
  <c r="B207" i="8"/>
  <c r="J206" i="8"/>
  <c r="H206" i="8"/>
  <c r="K206" i="8" s="1"/>
  <c r="C206" i="8"/>
  <c r="B206" i="8"/>
  <c r="J205" i="8"/>
  <c r="H205" i="8"/>
  <c r="K205" i="8" s="1"/>
  <c r="C205" i="8"/>
  <c r="B205" i="8"/>
  <c r="J204" i="8"/>
  <c r="H204" i="8"/>
  <c r="K204" i="8" s="1"/>
  <c r="C204" i="8"/>
  <c r="B204" i="8"/>
  <c r="J203" i="8"/>
  <c r="H203" i="8"/>
  <c r="K203" i="8" s="1"/>
  <c r="C203" i="8"/>
  <c r="B203" i="8"/>
  <c r="J202" i="8"/>
  <c r="H202" i="8"/>
  <c r="K202" i="8" s="1"/>
  <c r="C202" i="8"/>
  <c r="B202" i="8"/>
  <c r="J201" i="8"/>
  <c r="H201" i="8"/>
  <c r="K201" i="8" s="1"/>
  <c r="C201" i="8"/>
  <c r="B201" i="8"/>
  <c r="J200" i="8"/>
  <c r="H200" i="8"/>
  <c r="K200" i="8" s="1"/>
  <c r="C200" i="8"/>
  <c r="B200" i="8"/>
  <c r="J199" i="8"/>
  <c r="H199" i="8"/>
  <c r="K199" i="8" s="1"/>
  <c r="C199" i="8"/>
  <c r="B199" i="8"/>
  <c r="J198" i="8"/>
  <c r="H198" i="8"/>
  <c r="K198" i="8" s="1"/>
  <c r="C198" i="8"/>
  <c r="B198" i="8"/>
  <c r="J197" i="8"/>
  <c r="H197" i="8"/>
  <c r="K197" i="8" s="1"/>
  <c r="C197" i="8"/>
  <c r="B197" i="8"/>
  <c r="J196" i="8"/>
  <c r="H196" i="8"/>
  <c r="K196" i="8" s="1"/>
  <c r="C196" i="8"/>
  <c r="B196" i="8"/>
  <c r="J195" i="8"/>
  <c r="H195" i="8"/>
  <c r="K195" i="8" s="1"/>
  <c r="C195" i="8"/>
  <c r="B195" i="8"/>
  <c r="J194" i="8"/>
  <c r="H194" i="8"/>
  <c r="K194" i="8" s="1"/>
  <c r="C194" i="8"/>
  <c r="B194" i="8"/>
  <c r="J193" i="8"/>
  <c r="H193" i="8"/>
  <c r="K193" i="8" s="1"/>
  <c r="C193" i="8"/>
  <c r="B193" i="8"/>
  <c r="J192" i="8"/>
  <c r="H192" i="8"/>
  <c r="K192" i="8" s="1"/>
  <c r="C192" i="8"/>
  <c r="B192" i="8"/>
  <c r="J191" i="8"/>
  <c r="H191" i="8"/>
  <c r="K191" i="8" s="1"/>
  <c r="C191" i="8"/>
  <c r="B191" i="8"/>
  <c r="J190" i="8"/>
  <c r="H190" i="8"/>
  <c r="K190" i="8" s="1"/>
  <c r="C190" i="8"/>
  <c r="B190" i="8"/>
  <c r="J189" i="8"/>
  <c r="H189" i="8"/>
  <c r="K189" i="8" s="1"/>
  <c r="C189" i="8"/>
  <c r="B189" i="8"/>
  <c r="J188" i="8"/>
  <c r="H188" i="8"/>
  <c r="K188" i="8" s="1"/>
  <c r="C188" i="8"/>
  <c r="B188" i="8"/>
  <c r="J187" i="8"/>
  <c r="H187" i="8"/>
  <c r="K187" i="8" s="1"/>
  <c r="C187" i="8"/>
  <c r="B187" i="8"/>
  <c r="J186" i="8"/>
  <c r="H186" i="8"/>
  <c r="K186" i="8" s="1"/>
  <c r="C186" i="8"/>
  <c r="B186" i="8"/>
  <c r="J185" i="8"/>
  <c r="H185" i="8"/>
  <c r="K185" i="8" s="1"/>
  <c r="C185" i="8"/>
  <c r="B185" i="8"/>
  <c r="J184" i="8"/>
  <c r="H184" i="8"/>
  <c r="K184" i="8" s="1"/>
  <c r="C184" i="8"/>
  <c r="B184" i="8"/>
  <c r="J183" i="8"/>
  <c r="H183" i="8"/>
  <c r="K183" i="8" s="1"/>
  <c r="C183" i="8"/>
  <c r="B183" i="8"/>
  <c r="J181" i="8"/>
  <c r="H181" i="8"/>
  <c r="K181" i="8" s="1"/>
  <c r="C181" i="8"/>
  <c r="B181" i="8"/>
  <c r="J180" i="8"/>
  <c r="H180" i="8"/>
  <c r="K180" i="8" s="1"/>
  <c r="C180" i="8"/>
  <c r="B180" i="8"/>
  <c r="J179" i="8"/>
  <c r="H179" i="8"/>
  <c r="K179" i="8" s="1"/>
  <c r="C179" i="8"/>
  <c r="B179" i="8"/>
  <c r="J178" i="8"/>
  <c r="H178" i="8"/>
  <c r="K178" i="8" s="1"/>
  <c r="C178" i="8"/>
  <c r="B178" i="8"/>
  <c r="J177" i="8"/>
  <c r="H177" i="8"/>
  <c r="K177" i="8" s="1"/>
  <c r="C177" i="8"/>
  <c r="B177" i="8"/>
  <c r="J176" i="8"/>
  <c r="H176" i="8"/>
  <c r="K176" i="8" s="1"/>
  <c r="C176" i="8"/>
  <c r="B176" i="8"/>
  <c r="J174" i="8"/>
  <c r="H174" i="8"/>
  <c r="K174" i="8" s="1"/>
  <c r="C174" i="8"/>
  <c r="B174" i="8"/>
  <c r="J173" i="8"/>
  <c r="H173" i="8"/>
  <c r="K173" i="8" s="1"/>
  <c r="C173" i="8"/>
  <c r="B173" i="8"/>
  <c r="J172" i="8"/>
  <c r="H172" i="8"/>
  <c r="K172" i="8" s="1"/>
  <c r="C172" i="8"/>
  <c r="B172" i="8"/>
  <c r="H171" i="8"/>
  <c r="K171" i="8" s="1"/>
  <c r="C171" i="8"/>
  <c r="B171" i="8"/>
  <c r="J170" i="8"/>
  <c r="H170" i="8"/>
  <c r="K170" i="8" s="1"/>
  <c r="C170" i="8"/>
  <c r="B170" i="8"/>
  <c r="J169" i="8"/>
  <c r="H169" i="8"/>
  <c r="K169" i="8" s="1"/>
  <c r="C169" i="8"/>
  <c r="B169" i="8"/>
  <c r="J168" i="8"/>
  <c r="H168" i="8"/>
  <c r="K168" i="8" s="1"/>
  <c r="C168" i="8"/>
  <c r="B168" i="8"/>
  <c r="J167" i="8"/>
  <c r="H167" i="8"/>
  <c r="K167" i="8" s="1"/>
  <c r="C167" i="8"/>
  <c r="B167" i="8"/>
  <c r="J166" i="8"/>
  <c r="H166" i="8"/>
  <c r="K166" i="8" s="1"/>
  <c r="C166" i="8"/>
  <c r="B166" i="8"/>
  <c r="J165" i="8"/>
  <c r="H165" i="8"/>
  <c r="K165" i="8" s="1"/>
  <c r="C165" i="8"/>
  <c r="B165" i="8"/>
  <c r="J164" i="8"/>
  <c r="H164" i="8"/>
  <c r="K164" i="8" s="1"/>
  <c r="C164" i="8"/>
  <c r="B164" i="8"/>
  <c r="H163" i="8"/>
  <c r="K163" i="8" s="1"/>
  <c r="C163" i="8"/>
  <c r="B163" i="8"/>
  <c r="J162" i="8"/>
  <c r="H162" i="8"/>
  <c r="K162" i="8" s="1"/>
  <c r="C162" i="8"/>
  <c r="B162" i="8"/>
  <c r="J161" i="8"/>
  <c r="H161" i="8"/>
  <c r="K161" i="8" s="1"/>
  <c r="C161" i="8"/>
  <c r="B161" i="8"/>
  <c r="J160" i="8"/>
  <c r="H160" i="8"/>
  <c r="K160" i="8" s="1"/>
  <c r="C160" i="8"/>
  <c r="B160" i="8"/>
  <c r="J159" i="8"/>
  <c r="H159" i="8"/>
  <c r="K159" i="8" s="1"/>
  <c r="C159" i="8"/>
  <c r="B159" i="8"/>
  <c r="J158" i="8"/>
  <c r="H158" i="8"/>
  <c r="K158" i="8" s="1"/>
  <c r="C158" i="8"/>
  <c r="B158" i="8"/>
  <c r="J157" i="8"/>
  <c r="H157" i="8"/>
  <c r="K157" i="8" s="1"/>
  <c r="C157" i="8"/>
  <c r="B157" i="8"/>
  <c r="J156" i="8"/>
  <c r="H156" i="8"/>
  <c r="K156" i="8" s="1"/>
  <c r="C156" i="8"/>
  <c r="B156" i="8"/>
  <c r="J155" i="8"/>
  <c r="H155" i="8"/>
  <c r="K155" i="8" s="1"/>
  <c r="C155" i="8"/>
  <c r="B155" i="8"/>
  <c r="J154" i="8"/>
  <c r="H154" i="8"/>
  <c r="K154" i="8" s="1"/>
  <c r="C154" i="8"/>
  <c r="B154" i="8"/>
  <c r="J153" i="8"/>
  <c r="H153" i="8"/>
  <c r="K153" i="8" s="1"/>
  <c r="C153" i="8"/>
  <c r="B153" i="8"/>
  <c r="J152" i="8"/>
  <c r="H152" i="8"/>
  <c r="K152" i="8" s="1"/>
  <c r="C152" i="8"/>
  <c r="B152" i="8"/>
  <c r="J151" i="8"/>
  <c r="H151" i="8"/>
  <c r="K151" i="8" s="1"/>
  <c r="C151" i="8"/>
  <c r="B151" i="8"/>
  <c r="J150" i="8"/>
  <c r="H150" i="8"/>
  <c r="K150" i="8" s="1"/>
  <c r="C150" i="8"/>
  <c r="B150" i="8"/>
  <c r="J149" i="8"/>
  <c r="H149" i="8"/>
  <c r="K149" i="8" s="1"/>
  <c r="C149" i="8"/>
  <c r="B149" i="8"/>
  <c r="J148" i="8"/>
  <c r="H148" i="8"/>
  <c r="K148" i="8" s="1"/>
  <c r="C148" i="8"/>
  <c r="B148" i="8"/>
  <c r="J147" i="8"/>
  <c r="H147" i="8"/>
  <c r="K147" i="8" s="1"/>
  <c r="C147" i="8"/>
  <c r="B147" i="8"/>
  <c r="J146" i="8"/>
  <c r="H146" i="8"/>
  <c r="K146" i="8" s="1"/>
  <c r="C146" i="8"/>
  <c r="B146" i="8"/>
  <c r="J145" i="8"/>
  <c r="H145" i="8"/>
  <c r="K145" i="8" s="1"/>
  <c r="C145" i="8"/>
  <c r="B145" i="8"/>
  <c r="J144" i="8"/>
  <c r="H144" i="8"/>
  <c r="K144" i="8" s="1"/>
  <c r="C144" i="8"/>
  <c r="B144" i="8"/>
  <c r="J143" i="8"/>
  <c r="H143" i="8"/>
  <c r="K143" i="8" s="1"/>
  <c r="C143" i="8"/>
  <c r="B143" i="8"/>
  <c r="J142" i="8"/>
  <c r="H142" i="8"/>
  <c r="K142" i="8" s="1"/>
  <c r="C142" i="8"/>
  <c r="B142" i="8"/>
  <c r="J141" i="8"/>
  <c r="H141" i="8"/>
  <c r="K141" i="8" s="1"/>
  <c r="C141" i="8"/>
  <c r="B141" i="8"/>
  <c r="J140" i="8"/>
  <c r="H140" i="8"/>
  <c r="K140" i="8" s="1"/>
  <c r="C140" i="8"/>
  <c r="B140" i="8"/>
  <c r="J139" i="8"/>
  <c r="H139" i="8"/>
  <c r="K139" i="8" s="1"/>
  <c r="C139" i="8"/>
  <c r="B139" i="8"/>
  <c r="J138" i="8"/>
  <c r="H138" i="8"/>
  <c r="K138" i="8" s="1"/>
  <c r="C138" i="8"/>
  <c r="B138" i="8"/>
  <c r="J137" i="8"/>
  <c r="H137" i="8"/>
  <c r="K137" i="8" s="1"/>
  <c r="C137" i="8"/>
  <c r="B137" i="8"/>
  <c r="J136" i="8"/>
  <c r="H136" i="8"/>
  <c r="K136" i="8" s="1"/>
  <c r="C136" i="8"/>
  <c r="B136" i="8"/>
  <c r="J135" i="8"/>
  <c r="H135" i="8"/>
  <c r="K135" i="8" s="1"/>
  <c r="C135" i="8"/>
  <c r="B135" i="8"/>
  <c r="J134" i="8"/>
  <c r="H134" i="8"/>
  <c r="K134" i="8" s="1"/>
  <c r="C134" i="8"/>
  <c r="B134" i="8"/>
  <c r="J133" i="8"/>
  <c r="H133" i="8"/>
  <c r="K133" i="8" s="1"/>
  <c r="C133" i="8"/>
  <c r="B133" i="8"/>
  <c r="J132" i="8"/>
  <c r="H132" i="8"/>
  <c r="K132" i="8" s="1"/>
  <c r="C132" i="8"/>
  <c r="B132" i="8"/>
  <c r="J131" i="8"/>
  <c r="H131" i="8"/>
  <c r="K131" i="8" s="1"/>
  <c r="C131" i="8"/>
  <c r="B131" i="8"/>
  <c r="J130" i="8"/>
  <c r="H130" i="8"/>
  <c r="K130" i="8" s="1"/>
  <c r="C130" i="8"/>
  <c r="B130" i="8"/>
  <c r="J129" i="8"/>
  <c r="H129" i="8"/>
  <c r="K129" i="8" s="1"/>
  <c r="C129" i="8"/>
  <c r="B129" i="8"/>
  <c r="J128" i="8"/>
  <c r="H128" i="8"/>
  <c r="K128" i="8" s="1"/>
  <c r="C128" i="8"/>
  <c r="B128" i="8"/>
  <c r="J127" i="8"/>
  <c r="H127" i="8"/>
  <c r="K127" i="8" s="1"/>
  <c r="C127" i="8"/>
  <c r="B127" i="8"/>
  <c r="J126" i="8"/>
  <c r="H126" i="8"/>
  <c r="K126" i="8" s="1"/>
  <c r="C126" i="8"/>
  <c r="B126" i="8"/>
  <c r="J125" i="8"/>
  <c r="H125" i="8"/>
  <c r="K125" i="8" s="1"/>
  <c r="C125" i="8"/>
  <c r="B125" i="8"/>
  <c r="J124" i="8"/>
  <c r="H124" i="8"/>
  <c r="K124" i="8" s="1"/>
  <c r="C124" i="8"/>
  <c r="B124" i="8"/>
  <c r="J123" i="8"/>
  <c r="H123" i="8"/>
  <c r="K123" i="8" s="1"/>
  <c r="C123" i="8"/>
  <c r="B123" i="8"/>
  <c r="J122" i="8"/>
  <c r="H122" i="8"/>
  <c r="K122" i="8" s="1"/>
  <c r="C122" i="8"/>
  <c r="B122" i="8"/>
  <c r="J121" i="8"/>
  <c r="H121" i="8"/>
  <c r="K121" i="8" s="1"/>
  <c r="C121" i="8"/>
  <c r="B121" i="8"/>
  <c r="J120" i="8"/>
  <c r="H120" i="8"/>
  <c r="K120" i="8" s="1"/>
  <c r="C120" i="8"/>
  <c r="B120" i="8"/>
  <c r="J119" i="8"/>
  <c r="H119" i="8"/>
  <c r="K119" i="8" s="1"/>
  <c r="C119" i="8"/>
  <c r="B119" i="8"/>
  <c r="J118" i="8"/>
  <c r="H118" i="8"/>
  <c r="K118" i="8" s="1"/>
  <c r="C118" i="8"/>
  <c r="B118" i="8"/>
  <c r="J117" i="8"/>
  <c r="H117" i="8"/>
  <c r="K117" i="8" s="1"/>
  <c r="C117" i="8"/>
  <c r="B117" i="8"/>
  <c r="H116" i="8"/>
  <c r="K116" i="8" s="1"/>
  <c r="C116" i="8"/>
  <c r="B116" i="8"/>
  <c r="H115" i="8"/>
  <c r="K115" i="8" s="1"/>
  <c r="C115" i="8"/>
  <c r="B115" i="8"/>
  <c r="H114" i="8"/>
  <c r="K114" i="8" s="1"/>
  <c r="C114" i="8"/>
  <c r="B114" i="8"/>
  <c r="H113" i="8"/>
  <c r="K113" i="8" s="1"/>
  <c r="C113" i="8"/>
  <c r="B113" i="8"/>
  <c r="H112" i="8"/>
  <c r="K112" i="8" s="1"/>
  <c r="C112" i="8"/>
  <c r="B112" i="8"/>
  <c r="H111" i="8"/>
  <c r="K111" i="8" s="1"/>
  <c r="C111" i="8"/>
  <c r="B111" i="8"/>
  <c r="H110" i="8"/>
  <c r="K110" i="8" s="1"/>
  <c r="C110" i="8"/>
  <c r="B110" i="8"/>
  <c r="H109" i="8"/>
  <c r="K109" i="8" s="1"/>
  <c r="C109" i="8"/>
  <c r="B109" i="8"/>
  <c r="H108" i="8"/>
  <c r="K108" i="8" s="1"/>
  <c r="C108" i="8"/>
  <c r="B108" i="8"/>
  <c r="H107" i="8"/>
  <c r="K107" i="8" s="1"/>
  <c r="C107" i="8"/>
  <c r="B107" i="8"/>
  <c r="H106" i="8"/>
  <c r="K106" i="8" s="1"/>
  <c r="C106" i="8"/>
  <c r="B106" i="8"/>
  <c r="H105" i="8"/>
  <c r="K105" i="8" s="1"/>
  <c r="C105" i="8"/>
  <c r="B105" i="8"/>
  <c r="H104" i="8"/>
  <c r="K104" i="8" s="1"/>
  <c r="C104" i="8"/>
  <c r="B104" i="8"/>
  <c r="H103" i="8"/>
  <c r="K103" i="8" s="1"/>
  <c r="C103" i="8"/>
  <c r="B103" i="8"/>
  <c r="H102" i="8"/>
  <c r="K102" i="8" s="1"/>
  <c r="C102" i="8"/>
  <c r="B102" i="8"/>
  <c r="H101" i="8"/>
  <c r="K101" i="8" s="1"/>
  <c r="C101" i="8"/>
  <c r="B101" i="8"/>
  <c r="H100" i="8"/>
  <c r="K100" i="8" s="1"/>
  <c r="C100" i="8"/>
  <c r="B100" i="8"/>
  <c r="H99" i="8"/>
  <c r="K99" i="8" s="1"/>
  <c r="C99" i="8"/>
  <c r="B99" i="8"/>
  <c r="H98" i="8"/>
  <c r="K98" i="8" s="1"/>
  <c r="C98" i="8"/>
  <c r="B98" i="8"/>
  <c r="H97" i="8"/>
  <c r="K97" i="8" s="1"/>
  <c r="C97" i="8"/>
  <c r="B97" i="8"/>
  <c r="H96" i="8"/>
  <c r="K96" i="8" s="1"/>
  <c r="C96" i="8"/>
  <c r="B96" i="8"/>
  <c r="H95" i="8"/>
  <c r="K95" i="8" s="1"/>
  <c r="C95" i="8"/>
  <c r="B95" i="8"/>
  <c r="H94" i="8"/>
  <c r="K94" i="8" s="1"/>
  <c r="C94" i="8"/>
  <c r="B94" i="8"/>
  <c r="H93" i="8"/>
  <c r="K93" i="8" s="1"/>
  <c r="C93" i="8"/>
  <c r="B93" i="8"/>
  <c r="H92" i="8"/>
  <c r="K92" i="8" s="1"/>
  <c r="C92" i="8"/>
  <c r="B92" i="8"/>
  <c r="H91" i="8"/>
  <c r="K91" i="8" s="1"/>
  <c r="C91" i="8"/>
  <c r="B91" i="8"/>
  <c r="H90" i="8"/>
  <c r="K90" i="8" s="1"/>
  <c r="C90" i="8"/>
  <c r="B90" i="8"/>
  <c r="H89" i="8"/>
  <c r="K89" i="8" s="1"/>
  <c r="C89" i="8"/>
  <c r="B89" i="8"/>
  <c r="H88" i="8"/>
  <c r="K88" i="8" s="1"/>
  <c r="C88" i="8"/>
  <c r="B88" i="8"/>
  <c r="H87" i="8"/>
  <c r="K87" i="8" s="1"/>
  <c r="C87" i="8"/>
  <c r="B87" i="8"/>
  <c r="H86" i="8"/>
  <c r="K86" i="8" s="1"/>
  <c r="C86" i="8"/>
  <c r="B86" i="8"/>
  <c r="H85" i="8"/>
  <c r="K85" i="8" s="1"/>
  <c r="C85" i="8"/>
  <c r="B85" i="8"/>
  <c r="H84" i="8"/>
  <c r="K84" i="8" s="1"/>
  <c r="C84" i="8"/>
  <c r="B84" i="8"/>
  <c r="H83" i="8"/>
  <c r="K83" i="8" s="1"/>
  <c r="C83" i="8"/>
  <c r="B83" i="8"/>
  <c r="H82" i="8"/>
  <c r="K82" i="8" s="1"/>
  <c r="C82" i="8"/>
  <c r="B82" i="8"/>
  <c r="H81" i="8"/>
  <c r="K81" i="8" s="1"/>
  <c r="C81" i="8"/>
  <c r="B81" i="8"/>
  <c r="H80" i="8"/>
  <c r="K80" i="8" s="1"/>
  <c r="C80" i="8"/>
  <c r="B80" i="8"/>
  <c r="H79" i="8"/>
  <c r="K79" i="8" s="1"/>
  <c r="C79" i="8"/>
  <c r="B79" i="8"/>
  <c r="H78" i="8"/>
  <c r="K78" i="8" s="1"/>
  <c r="C78" i="8"/>
  <c r="B78" i="8"/>
  <c r="H77" i="8"/>
  <c r="K77" i="8" s="1"/>
  <c r="C77" i="8"/>
  <c r="B77" i="8"/>
  <c r="H76" i="8"/>
  <c r="K76" i="8" s="1"/>
  <c r="C76" i="8"/>
  <c r="B76" i="8"/>
  <c r="H75" i="8"/>
  <c r="K75" i="8" s="1"/>
  <c r="C75" i="8"/>
  <c r="B75" i="8"/>
  <c r="H74" i="8"/>
  <c r="K74" i="8" s="1"/>
  <c r="C74" i="8"/>
  <c r="B74" i="8"/>
  <c r="H73" i="8"/>
  <c r="K73" i="8" s="1"/>
  <c r="C73" i="8"/>
  <c r="B73" i="8"/>
  <c r="H72" i="8"/>
  <c r="K72" i="8" s="1"/>
  <c r="C72" i="8"/>
  <c r="B72" i="8"/>
  <c r="H71" i="8"/>
  <c r="K71" i="8" s="1"/>
  <c r="C71" i="8"/>
  <c r="B71" i="8"/>
  <c r="H70" i="8"/>
  <c r="K70" i="8" s="1"/>
  <c r="C70" i="8"/>
  <c r="B70" i="8"/>
  <c r="H69" i="8"/>
  <c r="K69" i="8" s="1"/>
  <c r="C69" i="8"/>
  <c r="B69" i="8"/>
  <c r="H68" i="8"/>
  <c r="K68" i="8" s="1"/>
  <c r="C68" i="8"/>
  <c r="B68" i="8"/>
  <c r="H67" i="8"/>
  <c r="K67" i="8" s="1"/>
  <c r="C67" i="8"/>
  <c r="B67" i="8"/>
  <c r="H66" i="8"/>
  <c r="K66" i="8" s="1"/>
  <c r="C66" i="8"/>
  <c r="B66" i="8"/>
  <c r="H65" i="8"/>
  <c r="K65" i="8" s="1"/>
  <c r="C65" i="8"/>
  <c r="B65" i="8"/>
  <c r="H64" i="8"/>
  <c r="K64" i="8" s="1"/>
  <c r="C64" i="8"/>
  <c r="B64" i="8"/>
  <c r="H63" i="8"/>
  <c r="K63" i="8" s="1"/>
  <c r="C63" i="8"/>
  <c r="B63" i="8"/>
  <c r="H62" i="8"/>
  <c r="K62" i="8" s="1"/>
  <c r="C62" i="8"/>
  <c r="B62" i="8"/>
  <c r="H61" i="8"/>
  <c r="K61" i="8" s="1"/>
  <c r="C61" i="8"/>
  <c r="B61" i="8"/>
  <c r="H60" i="8"/>
  <c r="K60" i="8" s="1"/>
  <c r="C60" i="8"/>
  <c r="B60" i="8"/>
  <c r="H59" i="8"/>
  <c r="K59" i="8" s="1"/>
  <c r="C59" i="8"/>
  <c r="B59" i="8"/>
  <c r="H58" i="8"/>
  <c r="K58" i="8" s="1"/>
  <c r="C58" i="8"/>
  <c r="B58" i="8"/>
  <c r="H57" i="8"/>
  <c r="K57" i="8" s="1"/>
  <c r="C57" i="8"/>
  <c r="B57" i="8"/>
  <c r="H56" i="8"/>
  <c r="K56" i="8" s="1"/>
  <c r="C56" i="8"/>
  <c r="B56" i="8"/>
  <c r="H55" i="8"/>
  <c r="K55" i="8" s="1"/>
  <c r="C55" i="8"/>
  <c r="B55" i="8"/>
  <c r="H54" i="8"/>
  <c r="K54" i="8" s="1"/>
  <c r="C54" i="8"/>
  <c r="B54" i="8"/>
  <c r="H53" i="8"/>
  <c r="K53" i="8" s="1"/>
  <c r="C53" i="8"/>
  <c r="B53" i="8"/>
  <c r="H52" i="8"/>
  <c r="K52" i="8" s="1"/>
  <c r="C52" i="8"/>
  <c r="B52" i="8"/>
  <c r="H51" i="8"/>
  <c r="K51" i="8" s="1"/>
  <c r="C51" i="8"/>
  <c r="B51" i="8"/>
  <c r="H50" i="8"/>
  <c r="K50" i="8" s="1"/>
  <c r="C50" i="8"/>
  <c r="B50" i="8"/>
  <c r="H49" i="8"/>
  <c r="K49" i="8" s="1"/>
  <c r="C49" i="8"/>
  <c r="B49" i="8"/>
  <c r="H48" i="8"/>
  <c r="K48" i="8" s="1"/>
  <c r="C48" i="8"/>
  <c r="B48" i="8"/>
  <c r="H47" i="8"/>
  <c r="K47" i="8" s="1"/>
  <c r="C47" i="8"/>
  <c r="B47" i="8"/>
  <c r="H46" i="8"/>
  <c r="K46" i="8" s="1"/>
  <c r="C46" i="8"/>
  <c r="B46" i="8"/>
  <c r="H45" i="8"/>
  <c r="K45" i="8" s="1"/>
  <c r="C45" i="8"/>
  <c r="B45" i="8"/>
  <c r="H44" i="8"/>
  <c r="K44" i="8" s="1"/>
  <c r="C44" i="8"/>
  <c r="B44" i="8"/>
  <c r="H43" i="8"/>
  <c r="K43" i="8" s="1"/>
  <c r="C43" i="8"/>
  <c r="B43" i="8"/>
  <c r="H42" i="8"/>
  <c r="K42" i="8" s="1"/>
  <c r="C42" i="8"/>
  <c r="B42" i="8"/>
  <c r="H41" i="8"/>
  <c r="K41" i="8" s="1"/>
  <c r="C41" i="8"/>
  <c r="B41" i="8"/>
  <c r="H40" i="8"/>
  <c r="K40" i="8" s="1"/>
  <c r="C40" i="8"/>
  <c r="B40" i="8"/>
  <c r="H39" i="8"/>
  <c r="K39" i="8" s="1"/>
  <c r="C39" i="8"/>
  <c r="B39" i="8"/>
  <c r="H38" i="8"/>
  <c r="K38" i="8" s="1"/>
  <c r="C38" i="8"/>
  <c r="B38" i="8"/>
  <c r="H37" i="8"/>
  <c r="K37" i="8" s="1"/>
  <c r="C37" i="8"/>
  <c r="B37" i="8"/>
  <c r="H36" i="8"/>
  <c r="K36" i="8" s="1"/>
  <c r="C36" i="8"/>
  <c r="B36" i="8"/>
  <c r="H35" i="8"/>
  <c r="K35" i="8" s="1"/>
  <c r="C35" i="8"/>
  <c r="B35" i="8"/>
  <c r="H34" i="8"/>
  <c r="K34" i="8" s="1"/>
  <c r="C34" i="8"/>
  <c r="B34" i="8"/>
  <c r="H33" i="8"/>
  <c r="K33" i="8" s="1"/>
  <c r="C33" i="8"/>
  <c r="B33" i="8"/>
  <c r="H32" i="8"/>
  <c r="K32" i="8" s="1"/>
  <c r="C32" i="8"/>
  <c r="B32" i="8"/>
  <c r="H31" i="8"/>
  <c r="K31" i="8" s="1"/>
  <c r="C31" i="8"/>
  <c r="B31" i="8"/>
  <c r="H30" i="8"/>
  <c r="K30" i="8" s="1"/>
  <c r="C30" i="8"/>
  <c r="B30" i="8"/>
  <c r="H29" i="8"/>
  <c r="K29" i="8" s="1"/>
  <c r="C29" i="8"/>
  <c r="B29" i="8"/>
  <c r="H28" i="8"/>
  <c r="K28" i="8" s="1"/>
  <c r="C28" i="8"/>
  <c r="B28" i="8"/>
  <c r="H27" i="8"/>
  <c r="K27" i="8" s="1"/>
  <c r="C27" i="8"/>
  <c r="B27" i="8"/>
  <c r="H26" i="8"/>
  <c r="K26" i="8" s="1"/>
  <c r="C26" i="8"/>
  <c r="B26" i="8"/>
  <c r="H25" i="8"/>
  <c r="K25" i="8" s="1"/>
  <c r="C25" i="8"/>
  <c r="B25" i="8"/>
  <c r="H24" i="8"/>
  <c r="K24" i="8" s="1"/>
  <c r="C24" i="8"/>
  <c r="B24" i="8"/>
  <c r="H23" i="8"/>
  <c r="K23" i="8" s="1"/>
  <c r="C23" i="8"/>
  <c r="B23" i="8"/>
  <c r="H20" i="8"/>
  <c r="C20" i="8"/>
  <c r="B20" i="8"/>
  <c r="H19" i="8"/>
  <c r="K19" i="8" s="1"/>
  <c r="C19" i="8"/>
  <c r="B19" i="8"/>
  <c r="H18" i="8"/>
  <c r="K18" i="8" s="1"/>
  <c r="C18" i="8"/>
  <c r="B18" i="8"/>
  <c r="H17" i="8"/>
  <c r="K17" i="8" s="1"/>
  <c r="C17" i="8"/>
  <c r="B17" i="8"/>
  <c r="H16" i="8"/>
  <c r="K16" i="8" s="1"/>
  <c r="C16" i="8"/>
  <c r="B16" i="8"/>
  <c r="H15" i="8"/>
  <c r="K15" i="8" s="1"/>
  <c r="C15" i="8"/>
  <c r="B15" i="8"/>
  <c r="H14" i="8"/>
  <c r="K14" i="8" s="1"/>
  <c r="C14" i="8"/>
  <c r="B14" i="8"/>
  <c r="H13" i="8"/>
  <c r="K13" i="8" s="1"/>
  <c r="C13" i="8"/>
  <c r="B13" i="8"/>
  <c r="H12" i="8"/>
  <c r="K12" i="8" s="1"/>
  <c r="C12" i="8"/>
  <c r="B12" i="8"/>
  <c r="H11" i="8"/>
  <c r="K11" i="8" s="1"/>
  <c r="C11" i="8"/>
  <c r="B11" i="8"/>
  <c r="H10" i="8"/>
  <c r="K10" i="8" s="1"/>
  <c r="C10" i="8"/>
  <c r="B10" i="8"/>
  <c r="H9" i="8"/>
  <c r="K9" i="8" s="1"/>
  <c r="C9" i="8"/>
  <c r="B9" i="8"/>
  <c r="H8" i="8"/>
  <c r="K8" i="8" s="1"/>
  <c r="C8" i="8"/>
  <c r="B8" i="8"/>
  <c r="H7" i="8"/>
  <c r="K7" i="8" s="1"/>
  <c r="C7" i="8"/>
  <c r="B7" i="8"/>
  <c r="H6" i="8"/>
  <c r="K6" i="8" s="1"/>
  <c r="C6" i="8"/>
  <c r="B6" i="8"/>
  <c r="H5" i="8"/>
  <c r="K5" i="8" s="1"/>
  <c r="C5" i="8"/>
  <c r="B5" i="8"/>
  <c r="H4" i="8"/>
  <c r="C4" i="8"/>
  <c r="B4" i="8"/>
  <c r="G9" i="3"/>
  <c r="E9" i="3"/>
  <c r="G15" i="1"/>
  <c r="E15" i="1"/>
  <c r="H273" i="8" l="1"/>
  <c r="K4" i="8"/>
  <c r="K273" i="8" s="1"/>
</calcChain>
</file>

<file path=xl/sharedStrings.xml><?xml version="1.0" encoding="utf-8"?>
<sst xmlns="http://schemas.openxmlformats.org/spreadsheetml/2006/main" count="12260" uniqueCount="3999">
  <si>
    <t>王貴儀</t>
  </si>
  <si>
    <t>林美雲</t>
  </si>
  <si>
    <t>103/04/03</t>
  </si>
  <si>
    <t>103/05/05</t>
  </si>
  <si>
    <t>103/06/17</t>
  </si>
  <si>
    <t>103/08/22</t>
  </si>
  <si>
    <t>103/08/28</t>
  </si>
  <si>
    <t>103/09/12</t>
  </si>
  <si>
    <t>羅栩亮</t>
  </si>
  <si>
    <t>103/01/10</t>
  </si>
  <si>
    <t>103/10/21</t>
  </si>
  <si>
    <t>103/11/07</t>
  </si>
  <si>
    <t>103/12/17</t>
  </si>
  <si>
    <t>103/12/24</t>
  </si>
  <si>
    <t>王貴儀</t>
    <phoneticPr fontId="2" type="noConversion"/>
  </si>
  <si>
    <t>104/01/26</t>
    <phoneticPr fontId="2" type="noConversion"/>
  </si>
  <si>
    <t>編號</t>
    <phoneticPr fontId="1" type="noConversion"/>
  </si>
  <si>
    <t>卷證出處：A22卷第4頁、A43卷第292頁</t>
    <phoneticPr fontId="1" type="noConversion"/>
  </si>
  <si>
    <t>出賣人</t>
    <phoneticPr fontId="1" type="noConversion"/>
  </si>
  <si>
    <t>投資人</t>
    <phoneticPr fontId="1" type="noConversion"/>
  </si>
  <si>
    <t>成交日期</t>
    <phoneticPr fontId="1" type="noConversion"/>
  </si>
  <si>
    <t>成交股數</t>
    <phoneticPr fontId="1" type="noConversion"/>
  </si>
  <si>
    <t>成交單價</t>
    <phoneticPr fontId="1" type="noConversion"/>
  </si>
  <si>
    <t>成交總價</t>
    <phoneticPr fontId="1" type="noConversion"/>
  </si>
  <si>
    <t>合計</t>
    <phoneticPr fontId="1" type="noConversion"/>
  </si>
  <si>
    <t>王子源</t>
  </si>
  <si>
    <t>103/08/29</t>
  </si>
  <si>
    <t>鍾坤宏</t>
  </si>
  <si>
    <t>王芊富</t>
  </si>
  <si>
    <t>王秀珠</t>
  </si>
  <si>
    <t>林秝羽</t>
  </si>
  <si>
    <t>合計</t>
    <phoneticPr fontId="2" type="noConversion"/>
  </si>
  <si>
    <t>沈花女</t>
  </si>
  <si>
    <t>103/02/25</t>
  </si>
  <si>
    <t>103/03/17</t>
  </si>
  <si>
    <t>103/04/08</t>
  </si>
  <si>
    <t>103/04/09</t>
  </si>
  <si>
    <t>103/04/16</t>
  </si>
  <si>
    <t>103/04/25</t>
  </si>
  <si>
    <t>103/05/19</t>
  </si>
  <si>
    <t>103/05/23</t>
  </si>
  <si>
    <t>103/05/26</t>
  </si>
  <si>
    <t>103/05/28</t>
  </si>
  <si>
    <t>103/06/03</t>
  </si>
  <si>
    <t>103/06/05</t>
  </si>
  <si>
    <t>103/06/09</t>
  </si>
  <si>
    <t>103/06/12</t>
  </si>
  <si>
    <t>103/06/18</t>
  </si>
  <si>
    <t>103/06/19</t>
  </si>
  <si>
    <t>103/06/20</t>
  </si>
  <si>
    <t>103/06/23</t>
  </si>
  <si>
    <t>103/06/24</t>
  </si>
  <si>
    <t>103/06/26</t>
  </si>
  <si>
    <t>103/07/02</t>
  </si>
  <si>
    <t>103/07/08</t>
  </si>
  <si>
    <t>103/07/10</t>
  </si>
  <si>
    <t>103/07/22</t>
  </si>
  <si>
    <t>103/07/25</t>
  </si>
  <si>
    <t>103/07/30</t>
  </si>
  <si>
    <t>103/08/05</t>
  </si>
  <si>
    <t>103/08/11</t>
  </si>
  <si>
    <t>103/08/13</t>
  </si>
  <si>
    <t>103/08/18</t>
  </si>
  <si>
    <t>103/08/20</t>
  </si>
  <si>
    <t>103/08/21</t>
  </si>
  <si>
    <t>103/08/25</t>
  </si>
  <si>
    <t>103/08/27</t>
  </si>
  <si>
    <t>103/09/03</t>
  </si>
  <si>
    <t>103/09/05</t>
  </si>
  <si>
    <t>103/09/10</t>
  </si>
  <si>
    <t>103/10/01</t>
  </si>
  <si>
    <t>103/10/02</t>
  </si>
  <si>
    <t>103/10/03</t>
  </si>
  <si>
    <t>103/10/06</t>
  </si>
  <si>
    <t>103/10/07</t>
  </si>
  <si>
    <t>103/10/27</t>
  </si>
  <si>
    <t>103/10/30</t>
  </si>
  <si>
    <t>103/10/31</t>
  </si>
  <si>
    <t>103/11/05</t>
  </si>
  <si>
    <t>103/11/19</t>
  </si>
  <si>
    <t>103/12/08</t>
  </si>
  <si>
    <t>103/12/18</t>
  </si>
  <si>
    <t>103/12/23</t>
  </si>
  <si>
    <t>103/12/25</t>
  </si>
  <si>
    <t>李文揚</t>
  </si>
  <si>
    <t>103/04/23</t>
  </si>
  <si>
    <t>103/04/28</t>
  </si>
  <si>
    <t>103/05/12</t>
  </si>
  <si>
    <t>103/05/20</t>
  </si>
  <si>
    <t>103/05/27</t>
  </si>
  <si>
    <t>孟鼎鈞</t>
  </si>
  <si>
    <t>103/01/22</t>
  </si>
  <si>
    <t>103/02/24</t>
  </si>
  <si>
    <t>103/03/04</t>
  </si>
  <si>
    <t>103/03/10</t>
  </si>
  <si>
    <t>103/03/31</t>
  </si>
  <si>
    <t>103/04/22</t>
  </si>
  <si>
    <t>103/04/30</t>
  </si>
  <si>
    <t>103/05/08</t>
  </si>
  <si>
    <t>103/05/13</t>
  </si>
  <si>
    <t>103/05/14</t>
  </si>
  <si>
    <t>王立華</t>
  </si>
  <si>
    <t>103/02/26</t>
  </si>
  <si>
    <t>103/05/15</t>
  </si>
  <si>
    <t>103/06/06</t>
  </si>
  <si>
    <t>103/06/10</t>
  </si>
  <si>
    <t>劉勝誼</t>
  </si>
  <si>
    <t>103/09/02</t>
  </si>
  <si>
    <t>103/09/04</t>
  </si>
  <si>
    <t>103/09/16</t>
  </si>
  <si>
    <t>103/11/03</t>
  </si>
  <si>
    <t>103/11/20</t>
  </si>
  <si>
    <t>林明頡</t>
  </si>
  <si>
    <t>103/05/22</t>
  </si>
  <si>
    <t>王乙涵</t>
  </si>
  <si>
    <t>103/04/07</t>
  </si>
  <si>
    <t>103/03/20</t>
  </si>
  <si>
    <t>103/03/26</t>
  </si>
  <si>
    <t>103/03/27</t>
  </si>
  <si>
    <t>周正時</t>
  </si>
  <si>
    <t>103/11/04</t>
  </si>
  <si>
    <t>郭禮鋒</t>
  </si>
  <si>
    <t>楊善宇</t>
  </si>
  <si>
    <t>陳春宏</t>
  </si>
  <si>
    <t>陳勝展</t>
  </si>
  <si>
    <t>103/12/02</t>
  </si>
  <si>
    <t>梁忠軒</t>
  </si>
  <si>
    <t>蔡郁惠</t>
  </si>
  <si>
    <t>陳柏如</t>
  </si>
  <si>
    <t>103/11/26</t>
  </si>
  <si>
    <t>黃亭瑄</t>
  </si>
  <si>
    <t>蕭俐彬</t>
  </si>
  <si>
    <t>張文瓊</t>
  </si>
  <si>
    <t>劉秀麗</t>
  </si>
  <si>
    <t>103/09/15</t>
  </si>
  <si>
    <t>張淑卿</t>
  </si>
  <si>
    <t>103/10/22</t>
  </si>
  <si>
    <t>李珍妮</t>
  </si>
  <si>
    <t>宋橋慶</t>
  </si>
  <si>
    <t>王俊智</t>
  </si>
  <si>
    <t>103/11/28</t>
  </si>
  <si>
    <t>彭志遠</t>
  </si>
  <si>
    <t>103/12/22</t>
  </si>
  <si>
    <t>李梅枝</t>
  </si>
  <si>
    <t>邵良慧</t>
  </si>
  <si>
    <t>103/12/03</t>
  </si>
  <si>
    <t>洪仁智</t>
  </si>
  <si>
    <t>楊錫勛</t>
  </si>
  <si>
    <t>陳綠蒂</t>
  </si>
  <si>
    <t>馬金城</t>
  </si>
  <si>
    <t>葉振輝</t>
  </si>
  <si>
    <t>陳永泰</t>
  </si>
  <si>
    <t>秦銘鋒</t>
  </si>
  <si>
    <t>郭祐嘉</t>
  </si>
  <si>
    <t>103/12/10</t>
  </si>
  <si>
    <t>許原彬</t>
  </si>
  <si>
    <t>吳銘展</t>
  </si>
  <si>
    <t>龔洢波</t>
  </si>
  <si>
    <t>許睿彤</t>
  </si>
  <si>
    <t>陳惠芬</t>
  </si>
  <si>
    <t>俞秋影</t>
  </si>
  <si>
    <t>李宜蓉</t>
  </si>
  <si>
    <t>田原忠</t>
  </si>
  <si>
    <t>103/12/05</t>
  </si>
  <si>
    <t>李慶一</t>
  </si>
  <si>
    <t>李忠龍</t>
  </si>
  <si>
    <t>莊欽煌</t>
  </si>
  <si>
    <t>潘錫樹</t>
  </si>
  <si>
    <t>歐俊龍</t>
  </si>
  <si>
    <t>楊曼玲</t>
  </si>
  <si>
    <t>林芳蘭</t>
  </si>
  <si>
    <t>林美齡</t>
  </si>
  <si>
    <t>林雪梨</t>
  </si>
  <si>
    <t>侯照純</t>
  </si>
  <si>
    <t>陳美蓮</t>
  </si>
  <si>
    <t>劉怡君</t>
  </si>
  <si>
    <t>楊曉芬</t>
  </si>
  <si>
    <t>蔡章麒</t>
  </si>
  <si>
    <t>林盛茂</t>
  </si>
  <si>
    <t>蔡信健</t>
  </si>
  <si>
    <t>陳德榮</t>
  </si>
  <si>
    <t>103/08/15</t>
  </si>
  <si>
    <t>103/08/19</t>
  </si>
  <si>
    <t>潘建盛</t>
  </si>
  <si>
    <t>馬志尚</t>
  </si>
  <si>
    <t>103/12/12</t>
  </si>
  <si>
    <t>彭國欽</t>
  </si>
  <si>
    <t>張良輔</t>
  </si>
  <si>
    <t>李永澤</t>
  </si>
  <si>
    <t>彭俊融</t>
  </si>
  <si>
    <t>103/12/19</t>
  </si>
  <si>
    <t>許鈴妙</t>
  </si>
  <si>
    <t>游秀玉</t>
  </si>
  <si>
    <t>林淑呅</t>
  </si>
  <si>
    <t>汪漪</t>
  </si>
  <si>
    <t>103/12/04</t>
  </si>
  <si>
    <t>陳秀絨</t>
  </si>
  <si>
    <t>孫秋萍</t>
  </si>
  <si>
    <t>康美玉</t>
  </si>
  <si>
    <t>103/11/18</t>
  </si>
  <si>
    <t>章寶貴</t>
  </si>
  <si>
    <t>許倩文</t>
  </si>
  <si>
    <t>103/10/23</t>
  </si>
  <si>
    <t>葉秀欽</t>
  </si>
  <si>
    <t>陳重樺</t>
  </si>
  <si>
    <t>蕭德禧</t>
  </si>
  <si>
    <t>林明鋒</t>
  </si>
  <si>
    <t>潘春輝</t>
  </si>
  <si>
    <t>林素柳</t>
  </si>
  <si>
    <t>蔡莉婷</t>
  </si>
  <si>
    <t>楊清森</t>
  </si>
  <si>
    <t>103/07/29</t>
  </si>
  <si>
    <t>謝博仁</t>
  </si>
  <si>
    <t>張榮昌</t>
  </si>
  <si>
    <t>許慶順</t>
  </si>
  <si>
    <t>林齊瑞</t>
  </si>
  <si>
    <t>呂坤霖</t>
  </si>
  <si>
    <t>陳永和</t>
  </si>
  <si>
    <t>103/12/01</t>
  </si>
  <si>
    <t>黃羿堯</t>
  </si>
  <si>
    <t>103/12/15</t>
  </si>
  <si>
    <t>呂月美</t>
  </si>
  <si>
    <t>黃助妹</t>
  </si>
  <si>
    <t>103/11/27</t>
  </si>
  <si>
    <t>黃逢妹</t>
  </si>
  <si>
    <t>王美智</t>
  </si>
  <si>
    <t>黃慧娥</t>
  </si>
  <si>
    <t>傅瑞娟</t>
  </si>
  <si>
    <t>謝美玲</t>
  </si>
  <si>
    <t>謝美真</t>
  </si>
  <si>
    <t>謝美秋</t>
  </si>
  <si>
    <t>103/09/11</t>
  </si>
  <si>
    <t>蘇碧玉</t>
  </si>
  <si>
    <t>羅吉谷</t>
  </si>
  <si>
    <t>張書鑑</t>
  </si>
  <si>
    <t>藍雲祥</t>
  </si>
  <si>
    <t>余春財</t>
  </si>
  <si>
    <t>楊小宜</t>
  </si>
  <si>
    <t>周嬋莉</t>
  </si>
  <si>
    <t>彭翊芸</t>
  </si>
  <si>
    <t>彭淑萍</t>
  </si>
  <si>
    <t>詹維容</t>
  </si>
  <si>
    <t>李巨富</t>
  </si>
  <si>
    <t>巫冠毅</t>
  </si>
  <si>
    <t>林成蘭</t>
  </si>
  <si>
    <t>丁旭晶</t>
  </si>
  <si>
    <t>趙國斌</t>
  </si>
  <si>
    <t>游定梅</t>
  </si>
  <si>
    <t>羅羽孜</t>
  </si>
  <si>
    <t>103/10/24</t>
  </si>
  <si>
    <t>郭瓊楨</t>
  </si>
  <si>
    <t>103/11/10</t>
  </si>
  <si>
    <t>謝維銘</t>
  </si>
  <si>
    <t>103/11/17</t>
  </si>
  <si>
    <t>陳沅池</t>
  </si>
  <si>
    <t>吳梅枝</t>
  </si>
  <si>
    <t>謝修瑩</t>
  </si>
  <si>
    <t>吳蕙玲</t>
  </si>
  <si>
    <t>胡英俊</t>
  </si>
  <si>
    <t>巫正和</t>
  </si>
  <si>
    <t>103/12/30</t>
  </si>
  <si>
    <t>陳易儀</t>
  </si>
  <si>
    <t>黃崇吉</t>
  </si>
  <si>
    <t>姚慧珠</t>
  </si>
  <si>
    <t>戴淑芬</t>
  </si>
  <si>
    <t>郭垚貞</t>
  </si>
  <si>
    <t>林坡顯</t>
  </si>
  <si>
    <t>林淑蓉</t>
  </si>
  <si>
    <t>沈妙鄉</t>
  </si>
  <si>
    <t>高米內</t>
  </si>
  <si>
    <t>吳家穎</t>
  </si>
  <si>
    <t>王瑞義</t>
  </si>
  <si>
    <t>103/12/26</t>
  </si>
  <si>
    <t>郭存勝</t>
  </si>
  <si>
    <t>103/11/25</t>
  </si>
  <si>
    <t>林勳諒</t>
  </si>
  <si>
    <t>翁楠棋</t>
  </si>
  <si>
    <t>陳信宏</t>
  </si>
  <si>
    <t>莊心然</t>
  </si>
  <si>
    <t>尤銘德</t>
  </si>
  <si>
    <t>黃國緯</t>
  </si>
  <si>
    <t>鄭素萍</t>
  </si>
  <si>
    <t>陳青萍</t>
  </si>
  <si>
    <t>陳如音</t>
  </si>
  <si>
    <t>陳雪美</t>
  </si>
  <si>
    <t>蕭美華</t>
  </si>
  <si>
    <t>劉桂有</t>
  </si>
  <si>
    <t>林文貴</t>
  </si>
  <si>
    <t>林進文</t>
  </si>
  <si>
    <t>白智欽</t>
  </si>
  <si>
    <t>劉聰杰</t>
  </si>
  <si>
    <t>陳子均</t>
  </si>
  <si>
    <t>吳文祥</t>
  </si>
  <si>
    <t>王宗柏</t>
  </si>
  <si>
    <t>林須惠</t>
  </si>
  <si>
    <t>陳惠君</t>
  </si>
  <si>
    <t>何彩綢</t>
  </si>
  <si>
    <t>郭斐絢</t>
  </si>
  <si>
    <t>吳思瑜</t>
  </si>
  <si>
    <t>李宛蓉</t>
  </si>
  <si>
    <t>蔡妤炘</t>
  </si>
  <si>
    <t>黃人信</t>
  </si>
  <si>
    <t>楊春文</t>
  </si>
  <si>
    <t>黃興漢</t>
  </si>
  <si>
    <t>蘇介亮</t>
  </si>
  <si>
    <t>黃莊雙對</t>
  </si>
  <si>
    <t>黃靜英</t>
  </si>
  <si>
    <t>劉月娥</t>
  </si>
  <si>
    <t>林素蓮</t>
  </si>
  <si>
    <t>陳復章</t>
  </si>
  <si>
    <t>林烈鴻</t>
  </si>
  <si>
    <t>陳俞男</t>
  </si>
  <si>
    <t>陳麗雲</t>
  </si>
  <si>
    <t>林延鳳</t>
  </si>
  <si>
    <t>張玉汝</t>
  </si>
  <si>
    <t>黃瑞萍</t>
  </si>
  <si>
    <t>陳玟玲</t>
  </si>
  <si>
    <t>彭蓮菊</t>
  </si>
  <si>
    <t>蕭慧貞</t>
  </si>
  <si>
    <t>王清錡</t>
  </si>
  <si>
    <t>葉茂雄</t>
  </si>
  <si>
    <t>黃國和</t>
  </si>
  <si>
    <t>陳炳旺</t>
  </si>
  <si>
    <t>陳清楚</t>
  </si>
  <si>
    <t>103/10/29</t>
  </si>
  <si>
    <t>何漢禹</t>
  </si>
  <si>
    <t>盧文賢</t>
  </si>
  <si>
    <t>103/12/27</t>
  </si>
  <si>
    <t>林雁琦</t>
  </si>
  <si>
    <t>25 合計</t>
  </si>
  <si>
    <t>蘇正鴻</t>
  </si>
  <si>
    <t>35 合計</t>
  </si>
  <si>
    <t>王定忠</t>
  </si>
  <si>
    <t>36 合計</t>
  </si>
  <si>
    <t>劉石振</t>
  </si>
  <si>
    <t>38 合計</t>
  </si>
  <si>
    <t>103/08/01</t>
  </si>
  <si>
    <t>43 合計</t>
  </si>
  <si>
    <t>葉春貴</t>
  </si>
  <si>
    <t>60 合計</t>
  </si>
  <si>
    <t>應志偉</t>
  </si>
  <si>
    <t>陳瑞燦</t>
  </si>
  <si>
    <t>103/08/08</t>
  </si>
  <si>
    <t>周玉全</t>
  </si>
  <si>
    <t>奚迪華</t>
  </si>
  <si>
    <t>邱明國</t>
  </si>
  <si>
    <t>劉元德</t>
  </si>
  <si>
    <t>翁明昆</t>
  </si>
  <si>
    <t>陳河東</t>
  </si>
  <si>
    <t>103/07/17</t>
  </si>
  <si>
    <t>許健國</t>
  </si>
  <si>
    <t>103/05/29</t>
  </si>
  <si>
    <t>李偉齊</t>
  </si>
  <si>
    <t>103/07/03</t>
  </si>
  <si>
    <t>吳柏羽</t>
  </si>
  <si>
    <t>林宏軒</t>
  </si>
  <si>
    <t>石羽</t>
  </si>
  <si>
    <t>林麗雲</t>
  </si>
  <si>
    <t>103/04/11</t>
  </si>
  <si>
    <t>李寶惜</t>
  </si>
  <si>
    <t>柯淑美</t>
  </si>
  <si>
    <t>胡中蕙</t>
  </si>
  <si>
    <t>羅宗宜</t>
  </si>
  <si>
    <t>季采璇</t>
  </si>
  <si>
    <t>103/12/16</t>
  </si>
  <si>
    <t>黃阿勤</t>
  </si>
  <si>
    <t>邱子瑜</t>
  </si>
  <si>
    <t>林佳蒨</t>
  </si>
  <si>
    <t>張文峰</t>
  </si>
  <si>
    <t>103/08/06</t>
  </si>
  <si>
    <t>林登川</t>
  </si>
  <si>
    <t>103/06/11</t>
  </si>
  <si>
    <t>林金瑤</t>
  </si>
  <si>
    <t>米彥彰</t>
  </si>
  <si>
    <t>簡淑華</t>
  </si>
  <si>
    <t>陳素蓁</t>
  </si>
  <si>
    <t>邱嘉鞍</t>
  </si>
  <si>
    <t>103/10/28</t>
  </si>
  <si>
    <t>103/11/21</t>
  </si>
  <si>
    <t>陳義正</t>
  </si>
  <si>
    <t>103/08/07</t>
  </si>
  <si>
    <t>張翔</t>
  </si>
  <si>
    <t>郭惠珠</t>
  </si>
  <si>
    <t>李湘淇</t>
  </si>
  <si>
    <t>黃明揚</t>
  </si>
  <si>
    <t>陳天輝</t>
  </si>
  <si>
    <t>范士宏</t>
  </si>
  <si>
    <t>李珍儀</t>
  </si>
  <si>
    <t>103/12/09</t>
  </si>
  <si>
    <t>曾淑妃</t>
  </si>
  <si>
    <t>林慶華</t>
  </si>
  <si>
    <t>103/05/21</t>
  </si>
  <si>
    <t>林錦裕</t>
  </si>
  <si>
    <t>何正民</t>
  </si>
  <si>
    <t>劉連春</t>
  </si>
  <si>
    <t>游文政</t>
  </si>
  <si>
    <t>洪怡暉</t>
  </si>
  <si>
    <t>103/10/08</t>
  </si>
  <si>
    <t>103/08/12</t>
  </si>
  <si>
    <t>李俊興</t>
  </si>
  <si>
    <t>王俊霖</t>
  </si>
  <si>
    <t>陳忠傑</t>
  </si>
  <si>
    <t>陳靖叔</t>
  </si>
  <si>
    <t>張惠珍</t>
  </si>
  <si>
    <t>林吳鴛鴦</t>
  </si>
  <si>
    <t>吳佩錦</t>
  </si>
  <si>
    <t>李瓊雲</t>
  </si>
  <si>
    <t>李陳月卿</t>
  </si>
  <si>
    <t>鄭巧巧</t>
  </si>
  <si>
    <t>游永金</t>
  </si>
  <si>
    <t>林榮茂</t>
  </si>
  <si>
    <t>103/11/13</t>
  </si>
  <si>
    <t>龔麗芬</t>
  </si>
  <si>
    <t>103/03/03</t>
  </si>
  <si>
    <t>張羽寬</t>
  </si>
  <si>
    <t>宋正鑫</t>
  </si>
  <si>
    <t>陳文福</t>
  </si>
  <si>
    <t>林世仁</t>
  </si>
  <si>
    <t>蔡青坪</t>
  </si>
  <si>
    <t>黃奕誠</t>
  </si>
  <si>
    <t>103/04/24</t>
  </si>
  <si>
    <t>宋愛萍</t>
  </si>
  <si>
    <t>王素如</t>
  </si>
  <si>
    <t>王端美</t>
  </si>
  <si>
    <t>王麗綾</t>
  </si>
  <si>
    <t>103/06/16</t>
  </si>
  <si>
    <t>陳靜琳</t>
  </si>
  <si>
    <t>103/07/09</t>
  </si>
  <si>
    <t>王宜涵</t>
  </si>
  <si>
    <t>姜學英</t>
  </si>
  <si>
    <t>朱庭芳</t>
  </si>
  <si>
    <t>彭金興</t>
  </si>
  <si>
    <t>103/07/16</t>
  </si>
  <si>
    <t>傅奎禎</t>
  </si>
  <si>
    <t>莊鴻洲</t>
  </si>
  <si>
    <t>陳萍琳</t>
  </si>
  <si>
    <t>蔡美娟</t>
  </si>
  <si>
    <t>羅順嬌</t>
  </si>
  <si>
    <t>黃文樹</t>
  </si>
  <si>
    <t>羅家炎</t>
  </si>
  <si>
    <t>張森明</t>
  </si>
  <si>
    <t>陳文春</t>
  </si>
  <si>
    <t>駱明貴</t>
  </si>
  <si>
    <t>陳仰山</t>
  </si>
  <si>
    <t>陳已淳</t>
  </si>
  <si>
    <t>陳金瑤</t>
  </si>
  <si>
    <t>吳東淵</t>
  </si>
  <si>
    <t>鍾正宗</t>
  </si>
  <si>
    <t>郭炳金</t>
  </si>
  <si>
    <t>林薰洲</t>
  </si>
  <si>
    <t>103/08/14</t>
  </si>
  <si>
    <t>林淑貞</t>
  </si>
  <si>
    <t>呂雯禎</t>
  </si>
  <si>
    <t>林淑壁</t>
  </si>
  <si>
    <t>楊秋惠</t>
  </si>
  <si>
    <t>莊志信</t>
  </si>
  <si>
    <t>王伯峰</t>
  </si>
  <si>
    <t>高玉綢</t>
  </si>
  <si>
    <t>103/06/30</t>
  </si>
  <si>
    <t>黃世綿</t>
  </si>
  <si>
    <t>邱碧芬</t>
  </si>
  <si>
    <t>羅誘貽</t>
  </si>
  <si>
    <t>謝依玲</t>
  </si>
  <si>
    <t>103/09/01</t>
  </si>
  <si>
    <t>103/07/23</t>
  </si>
  <si>
    <t>趙琮愷</t>
  </si>
  <si>
    <t>鄭乃銘</t>
  </si>
  <si>
    <t>楊鴻禮</t>
  </si>
  <si>
    <t>施詠紳</t>
  </si>
  <si>
    <t>李惠雯</t>
  </si>
  <si>
    <t>孫曉娟</t>
  </si>
  <si>
    <t>陳麗卿</t>
  </si>
  <si>
    <t>楊正傑</t>
  </si>
  <si>
    <t>彭佳琳</t>
  </si>
  <si>
    <t>103/06/25</t>
  </si>
  <si>
    <t>林孟宗</t>
  </si>
  <si>
    <t>廖坤立</t>
  </si>
  <si>
    <t>103/05/02</t>
  </si>
  <si>
    <t>許得秋</t>
  </si>
  <si>
    <t>陳證明</t>
  </si>
  <si>
    <t>余枝清</t>
  </si>
  <si>
    <t>103/05/16</t>
  </si>
  <si>
    <t>蔡秀專</t>
  </si>
  <si>
    <t>梁麗紅</t>
  </si>
  <si>
    <t>葉逢春</t>
  </si>
  <si>
    <t>張嘉農</t>
  </si>
  <si>
    <t>郭陸顧</t>
  </si>
  <si>
    <t>陳信益</t>
  </si>
  <si>
    <t>林學正</t>
  </si>
  <si>
    <t>103/07/31</t>
  </si>
  <si>
    <t>康博竣</t>
  </si>
  <si>
    <t>王淑玲</t>
  </si>
  <si>
    <t>郭玉霞</t>
  </si>
  <si>
    <t>吳宥忻</t>
  </si>
  <si>
    <t>林仁正</t>
  </si>
  <si>
    <t>李福居</t>
  </si>
  <si>
    <t>莊登富</t>
  </si>
  <si>
    <t>謝玄昭</t>
  </si>
  <si>
    <t>洪祥仁</t>
  </si>
  <si>
    <t>呂浚雄</t>
  </si>
  <si>
    <t>103/04/14</t>
  </si>
  <si>
    <t>103/04/17</t>
  </si>
  <si>
    <t>郭華彥</t>
  </si>
  <si>
    <t>邱世宗</t>
  </si>
  <si>
    <t>劉素芬</t>
  </si>
  <si>
    <t>王麗淑</t>
  </si>
  <si>
    <t>莊美琪</t>
  </si>
  <si>
    <t>黃桂芬</t>
  </si>
  <si>
    <t>林文香</t>
  </si>
  <si>
    <t>103/03/13</t>
  </si>
  <si>
    <t>吳姿瑩</t>
  </si>
  <si>
    <t>曾清忠</t>
  </si>
  <si>
    <t>林昇皓</t>
  </si>
  <si>
    <t>譚能瑜</t>
  </si>
  <si>
    <t>朱秋金</t>
  </si>
  <si>
    <t>蔡宛芬</t>
  </si>
  <si>
    <t>陳淑如</t>
  </si>
  <si>
    <t>黃明松</t>
  </si>
  <si>
    <t>黃正雄</t>
  </si>
  <si>
    <t>林清裕</t>
  </si>
  <si>
    <t>李俊賢</t>
  </si>
  <si>
    <t>徐美蘭</t>
  </si>
  <si>
    <t>李茉莉</t>
  </si>
  <si>
    <t>張憶惠</t>
  </si>
  <si>
    <t>楊進義</t>
  </si>
  <si>
    <t>柯長教</t>
  </si>
  <si>
    <t>鍾弘毅</t>
  </si>
  <si>
    <t>吳唯</t>
  </si>
  <si>
    <t>康惠循</t>
  </si>
  <si>
    <t>徐維君</t>
  </si>
  <si>
    <t>簡德源</t>
  </si>
  <si>
    <t>南仲明</t>
  </si>
  <si>
    <t>許正義</t>
  </si>
  <si>
    <t>103/07/01</t>
  </si>
  <si>
    <t>吳麗雲</t>
  </si>
  <si>
    <t>王榮慶</t>
  </si>
  <si>
    <t>陳鴻文</t>
  </si>
  <si>
    <t>徐宏權</t>
  </si>
  <si>
    <t>賴?宏</t>
  </si>
  <si>
    <t>洪康倪</t>
  </si>
  <si>
    <t>67 合計</t>
  </si>
  <si>
    <t>馬幽梅</t>
  </si>
  <si>
    <t>楊名嶂</t>
  </si>
  <si>
    <t>葉金光</t>
  </si>
  <si>
    <t>黃麗娟</t>
  </si>
  <si>
    <t>103/03/07</t>
  </si>
  <si>
    <t>68 合計</t>
  </si>
  <si>
    <t>陳美香</t>
  </si>
  <si>
    <t>駱詠潔</t>
  </si>
  <si>
    <t>駱沛婕</t>
  </si>
  <si>
    <t>王瑋璉</t>
  </si>
  <si>
    <t>王湄雙</t>
  </si>
  <si>
    <t>王照祺</t>
  </si>
  <si>
    <t>麥仁和</t>
  </si>
  <si>
    <t>103/03/14</t>
  </si>
  <si>
    <t>黃彥鈞</t>
  </si>
  <si>
    <t>高素雲</t>
  </si>
  <si>
    <t>黃佩瑜</t>
  </si>
  <si>
    <t>潘婷婷</t>
  </si>
  <si>
    <t>103/03/12</t>
  </si>
  <si>
    <t>劉文虎</t>
  </si>
  <si>
    <t>103/07/11</t>
  </si>
  <si>
    <t>顏淑娟</t>
  </si>
  <si>
    <t>劉志峰</t>
  </si>
  <si>
    <t>黃旭良</t>
  </si>
  <si>
    <t>陳彥宏</t>
  </si>
  <si>
    <t>林慧芳</t>
  </si>
  <si>
    <t>鄭光廷</t>
  </si>
  <si>
    <t>楊竹君</t>
  </si>
  <si>
    <t>陳坤龍</t>
  </si>
  <si>
    <t>呂繆文</t>
  </si>
  <si>
    <t>劉俊杰</t>
  </si>
  <si>
    <t>傅新貴</t>
  </si>
  <si>
    <t>鍾月嬌</t>
  </si>
  <si>
    <t>蘇怡甄</t>
  </si>
  <si>
    <t>陳藝文</t>
  </si>
  <si>
    <t>林賜恩</t>
  </si>
  <si>
    <t>林世傑</t>
  </si>
  <si>
    <t>黃惠娟</t>
  </si>
  <si>
    <t>69 合計</t>
  </si>
  <si>
    <t>賴國隆</t>
  </si>
  <si>
    <t>詹榮泉</t>
  </si>
  <si>
    <t>黃順良</t>
  </si>
  <si>
    <t>103/03/05</t>
  </si>
  <si>
    <t>張煥洲</t>
  </si>
  <si>
    <t>蔡佳秀</t>
  </si>
  <si>
    <t>傅應龍</t>
  </si>
  <si>
    <t>黃治元</t>
  </si>
  <si>
    <t>李淑錦</t>
  </si>
  <si>
    <t>林安安</t>
  </si>
  <si>
    <t>103/02/07</t>
  </si>
  <si>
    <t>官裕宗</t>
  </si>
  <si>
    <t>103/02/17</t>
  </si>
  <si>
    <t>曾榮鑾</t>
  </si>
  <si>
    <t>張清波</t>
  </si>
  <si>
    <t>103/02/11</t>
  </si>
  <si>
    <t>劉子鵬</t>
  </si>
  <si>
    <t>曹庭耀</t>
  </si>
  <si>
    <t>張雅惠</t>
  </si>
  <si>
    <t>103/02/20</t>
  </si>
  <si>
    <t>103/02/27</t>
  </si>
  <si>
    <t>高雅蘭</t>
  </si>
  <si>
    <t>賴宥材</t>
  </si>
  <si>
    <t>蘇姿美</t>
  </si>
  <si>
    <t>葉梅蘭</t>
  </si>
  <si>
    <t>梁進勝</t>
  </si>
  <si>
    <t>103/02/18</t>
  </si>
  <si>
    <t>林金虎</t>
  </si>
  <si>
    <t>103/03/11</t>
  </si>
  <si>
    <t>張潘喜英</t>
  </si>
  <si>
    <t>張陳雪玉</t>
  </si>
  <si>
    <t>103/02/14</t>
  </si>
  <si>
    <t>鍾美玉</t>
  </si>
  <si>
    <t>邱永鎮</t>
  </si>
  <si>
    <t>103/02/21</t>
  </si>
  <si>
    <t>65 合計</t>
  </si>
  <si>
    <t>吳世隆</t>
  </si>
  <si>
    <t>66 合計</t>
  </si>
  <si>
    <t>陳萍實</t>
  </si>
  <si>
    <t>103/04/02</t>
  </si>
  <si>
    <t>柯重安</t>
  </si>
  <si>
    <t>103/04/18</t>
  </si>
  <si>
    <t>潘梅桂</t>
  </si>
  <si>
    <t>楊靜芬</t>
  </si>
  <si>
    <t>林依潔</t>
  </si>
  <si>
    <t>佘桂芳</t>
  </si>
  <si>
    <t>賴美珍</t>
  </si>
  <si>
    <t>103/04/15</t>
  </si>
  <si>
    <t>謝瀅諭</t>
  </si>
  <si>
    <t>黃俊仁</t>
  </si>
  <si>
    <t>103/03/24</t>
  </si>
  <si>
    <t>蘇沛晨</t>
  </si>
  <si>
    <t>高光陸</t>
  </si>
  <si>
    <t>翁志清</t>
  </si>
  <si>
    <t>103/04/10</t>
  </si>
  <si>
    <t>羅文峰</t>
  </si>
  <si>
    <t>蔡長霖</t>
  </si>
  <si>
    <t>廖芳藝</t>
  </si>
  <si>
    <t>103/03/25</t>
  </si>
  <si>
    <t>林玉綿</t>
  </si>
  <si>
    <t>方秀娟</t>
  </si>
  <si>
    <t>李梅芬</t>
  </si>
  <si>
    <t>蔡佩蓉</t>
  </si>
  <si>
    <t>曾文清</t>
  </si>
  <si>
    <t>陳鈞裕</t>
  </si>
  <si>
    <t>莊倉江</t>
  </si>
  <si>
    <t>謝秋琴</t>
  </si>
  <si>
    <t>李如玉</t>
  </si>
  <si>
    <t>白靜婷</t>
  </si>
  <si>
    <t>李純香</t>
  </si>
  <si>
    <t>戴亦均</t>
  </si>
  <si>
    <t>曾喜樑</t>
  </si>
  <si>
    <t>103/03/19</t>
  </si>
  <si>
    <t>103/03/21</t>
  </si>
  <si>
    <t>鍾國文</t>
  </si>
  <si>
    <t>魏哲云</t>
  </si>
  <si>
    <t>103/02/12</t>
  </si>
  <si>
    <t>游閔暉</t>
  </si>
  <si>
    <t>廖繼仕</t>
  </si>
  <si>
    <t>廖森雲</t>
  </si>
  <si>
    <t>張陳麗香</t>
  </si>
  <si>
    <t>游玫芳</t>
  </si>
  <si>
    <t>許嘉凌</t>
  </si>
  <si>
    <t>陳良賓</t>
  </si>
  <si>
    <t>103/03/18</t>
  </si>
  <si>
    <t>鄭國中</t>
  </si>
  <si>
    <t>陳良德</t>
  </si>
  <si>
    <t>龔家平</t>
  </si>
  <si>
    <t>許文錦</t>
  </si>
  <si>
    <t>林楷宸</t>
  </si>
  <si>
    <t>陳鄧秀讓</t>
  </si>
  <si>
    <t>王碧枝</t>
  </si>
  <si>
    <t>陳宏洋</t>
  </si>
  <si>
    <t>103/04/01</t>
  </si>
  <si>
    <t>吳劉素琴</t>
  </si>
  <si>
    <t>鄭彩惠</t>
  </si>
  <si>
    <t>郭鳳晴</t>
  </si>
  <si>
    <t>103/05/06</t>
  </si>
  <si>
    <t>顏春花</t>
  </si>
  <si>
    <t>鍾有金</t>
  </si>
  <si>
    <t>范馨云</t>
  </si>
  <si>
    <t>郭如玲</t>
  </si>
  <si>
    <t>林錦秀</t>
  </si>
  <si>
    <t>伍正康</t>
  </si>
  <si>
    <t>李德昱</t>
  </si>
  <si>
    <t>陳群濠</t>
  </si>
  <si>
    <t>許美珠</t>
  </si>
  <si>
    <t>姚文清</t>
  </si>
  <si>
    <t>李孟訓</t>
  </si>
  <si>
    <t>王禎嫻</t>
  </si>
  <si>
    <t>王錦盛</t>
  </si>
  <si>
    <t>劉建良</t>
  </si>
  <si>
    <t>高欣瑜</t>
  </si>
  <si>
    <t>杜方竹</t>
  </si>
  <si>
    <t>賴秀英</t>
  </si>
  <si>
    <t>陳玉麗</t>
  </si>
  <si>
    <t>董國勝</t>
  </si>
  <si>
    <t>王萬華</t>
  </si>
  <si>
    <t>陳坤禮</t>
  </si>
  <si>
    <t>洪榮森</t>
  </si>
  <si>
    <t>黃曉萍</t>
  </si>
  <si>
    <t>103/04/29</t>
  </si>
  <si>
    <t>鄭瑞千</t>
  </si>
  <si>
    <t>卓維煌</t>
  </si>
  <si>
    <t>徐鳳瑾</t>
  </si>
  <si>
    <t>邱必義</t>
  </si>
  <si>
    <t>徐弘縣</t>
  </si>
  <si>
    <t>王宥東</t>
  </si>
  <si>
    <t>徐秀甘</t>
  </si>
  <si>
    <t>彭詳和</t>
  </si>
  <si>
    <t>劉美玲</t>
  </si>
  <si>
    <t>施繼正</t>
  </si>
  <si>
    <t>103/04/21</t>
  </si>
  <si>
    <t>陳玉花</t>
  </si>
  <si>
    <t>陳怡君</t>
  </si>
  <si>
    <t>莊重信</t>
  </si>
  <si>
    <t>郭連興</t>
  </si>
  <si>
    <t>黃守正</t>
  </si>
  <si>
    <t>黃明智</t>
  </si>
  <si>
    <t>黃士峰</t>
  </si>
  <si>
    <t>黃昶芳</t>
  </si>
  <si>
    <t>韓蘇彩柳</t>
  </si>
  <si>
    <t>林谷安</t>
  </si>
  <si>
    <t>劉鳳美</t>
  </si>
  <si>
    <t>吳怡欣</t>
  </si>
  <si>
    <t>103/05/09</t>
  </si>
  <si>
    <t>備註</t>
    <phoneticPr fontId="1" type="noConversion"/>
  </si>
  <si>
    <t>註1：</t>
    <phoneticPr fontId="1" type="noConversion"/>
  </si>
  <si>
    <t>李銘心</t>
  </si>
  <si>
    <t>劉勝誼</t>
    <phoneticPr fontId="2" type="noConversion"/>
  </si>
  <si>
    <t>楊澄宇</t>
  </si>
  <si>
    <t>徐昭英</t>
  </si>
  <si>
    <t>李麗霞</t>
  </si>
  <si>
    <t>呂漢崗</t>
  </si>
  <si>
    <t>呂應昌</t>
  </si>
  <si>
    <t>許家榮</t>
  </si>
  <si>
    <t>張秀蓮</t>
  </si>
  <si>
    <t>李萬金</t>
  </si>
  <si>
    <t>熊延平</t>
  </si>
  <si>
    <t>林東富</t>
  </si>
  <si>
    <t>盧明智</t>
  </si>
  <si>
    <t>薛文楨</t>
  </si>
  <si>
    <t>陳嘉澤</t>
  </si>
  <si>
    <t>黃弘政</t>
  </si>
  <si>
    <t>張明華</t>
  </si>
  <si>
    <t>劉江祝</t>
  </si>
  <si>
    <t>鄭水嬌</t>
  </si>
  <si>
    <t>高建保</t>
  </si>
  <si>
    <t>賴朝陽</t>
  </si>
  <si>
    <t>林振仁</t>
  </si>
  <si>
    <t>邱惠聰</t>
  </si>
  <si>
    <t>柯建銘</t>
  </si>
  <si>
    <t>許美英</t>
  </si>
  <si>
    <t>柯滄銘</t>
  </si>
  <si>
    <t>胡士哲</t>
  </si>
  <si>
    <t>吳淑惠</t>
  </si>
  <si>
    <t>李堂海</t>
  </si>
  <si>
    <t>吳貞寬</t>
  </si>
  <si>
    <t>林佑蒼</t>
  </si>
  <si>
    <t>陳英俊</t>
  </si>
  <si>
    <t>莊滄鑫</t>
  </si>
  <si>
    <t>邱瑞彬</t>
  </si>
  <si>
    <t>張國恩</t>
  </si>
  <si>
    <t>蘇登山</t>
  </si>
  <si>
    <t>洪春貴</t>
  </si>
  <si>
    <t>許得興</t>
  </si>
  <si>
    <t>邱東湖</t>
  </si>
  <si>
    <t>賴彥銘</t>
  </si>
  <si>
    <t>吳旭昶</t>
  </si>
  <si>
    <t>詹敦聖</t>
  </si>
  <si>
    <t>謝海慧</t>
  </si>
  <si>
    <t>徐金琪</t>
  </si>
  <si>
    <t>蔡永晶</t>
  </si>
  <si>
    <t>劉桂有</t>
    <phoneticPr fontId="2" type="noConversion"/>
  </si>
  <si>
    <t>鄭人豪</t>
  </si>
  <si>
    <t>謝永昌</t>
  </si>
  <si>
    <t>編號</t>
    <phoneticPr fontId="2" type="noConversion"/>
  </si>
  <si>
    <t>股東戶號</t>
    <phoneticPr fontId="2" type="noConversion"/>
  </si>
  <si>
    <t>股東姓名</t>
    <phoneticPr fontId="2" type="noConversion"/>
  </si>
  <si>
    <t>繳款日期</t>
    <phoneticPr fontId="2" type="noConversion"/>
  </si>
  <si>
    <t>繳款來源</t>
    <phoneticPr fontId="2" type="noConversion"/>
  </si>
  <si>
    <t>股數</t>
    <phoneticPr fontId="2" type="noConversion"/>
  </si>
  <si>
    <t>每股金額</t>
    <phoneticPr fontId="2" type="noConversion"/>
  </si>
  <si>
    <t>繳款金額</t>
    <phoneticPr fontId="2" type="noConversion"/>
  </si>
  <si>
    <t>送存銀行情形</t>
    <phoneticPr fontId="2" type="noConversion"/>
  </si>
  <si>
    <t>備註</t>
    <phoneticPr fontId="2" type="noConversion"/>
  </si>
  <si>
    <t>銀行及帳戶</t>
    <phoneticPr fontId="2" type="noConversion"/>
  </si>
  <si>
    <t>日期</t>
    <phoneticPr fontId="2" type="noConversion"/>
  </si>
  <si>
    <t>金　　　額</t>
  </si>
  <si>
    <t>1</t>
    <phoneticPr fontId="2" type="noConversion"/>
  </si>
  <si>
    <t>現金</t>
    <phoneticPr fontId="2" type="noConversion"/>
  </si>
  <si>
    <t>2</t>
  </si>
  <si>
    <t>3</t>
  </si>
  <si>
    <t>4</t>
  </si>
  <si>
    <t>5</t>
  </si>
  <si>
    <t>6</t>
  </si>
  <si>
    <t>7</t>
  </si>
  <si>
    <t>8</t>
  </si>
  <si>
    <t>9</t>
  </si>
  <si>
    <t>10</t>
  </si>
  <si>
    <t>11</t>
  </si>
  <si>
    <t>12</t>
  </si>
  <si>
    <t>13</t>
  </si>
  <si>
    <t>14</t>
  </si>
  <si>
    <t>15</t>
  </si>
  <si>
    <t>16</t>
  </si>
  <si>
    <t>17</t>
    <phoneticPr fontId="2" type="noConversion"/>
  </si>
  <si>
    <t>2014/7/28、8/1</t>
    <phoneticPr fontId="2" type="noConversion"/>
  </si>
  <si>
    <t>7/28(1000股)</t>
    <phoneticPr fontId="2" type="noConversion"/>
  </si>
  <si>
    <t>8/1(5000股)</t>
    <phoneticPr fontId="2" type="noConversion"/>
  </si>
  <si>
    <t>8/7(10000股)</t>
    <phoneticPr fontId="2" type="noConversion"/>
  </si>
  <si>
    <t>18</t>
    <phoneticPr fontId="2" type="noConversion"/>
  </si>
  <si>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</si>
  <si>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</si>
  <si>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</si>
  <si>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</si>
  <si>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</si>
  <si>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</si>
  <si>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</si>
  <si>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</si>
  <si>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</si>
  <si>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</si>
  <si>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</si>
  <si>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</si>
  <si>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</si>
  <si>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</si>
  <si>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</si>
  <si>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</si>
  <si>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</si>
  <si>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</si>
  <si>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</si>
  <si>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</si>
  <si>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</si>
  <si>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</si>
  <si>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</si>
  <si>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</si>
  <si>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</si>
  <si>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</si>
  <si>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</si>
  <si>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</si>
  <si>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</si>
  <si>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</si>
  <si>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</si>
  <si>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</si>
  <si>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</si>
  <si>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</si>
  <si>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</si>
  <si>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</si>
  <si>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</si>
  <si>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</si>
  <si>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</si>
  <si>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</si>
  <si>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</si>
  <si>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</si>
  <si>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</si>
  <si>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</si>
  <si>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</si>
  <si>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</si>
  <si>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</si>
  <si>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</si>
  <si>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</si>
  <si>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</si>
  <si>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</si>
  <si>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</si>
  <si>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</si>
  <si>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</si>
  <si>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</si>
  <si>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</si>
  <si>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</si>
  <si>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</si>
  <si>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</si>
  <si>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</si>
  <si>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</si>
  <si>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</si>
  <si>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</si>
  <si>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</si>
  <si>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</si>
  <si>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</si>
  <si>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</si>
  <si>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</si>
  <si>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</si>
  <si>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</si>
  <si>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</si>
  <si>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</si>
  <si>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</si>
  <si>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</si>
  <si>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</si>
  <si>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</si>
  <si>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</si>
  <si>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</si>
  <si>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</si>
  <si>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</si>
  <si>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</si>
  <si>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</si>
  <si>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</si>
  <si>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</si>
  <si>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</si>
  <si>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</si>
  <si>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</si>
  <si>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</si>
  <si>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</si>
  <si>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</si>
  <si>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</si>
  <si>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</si>
  <si>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</si>
  <si>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</si>
  <si>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</si>
  <si>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</si>
  <si>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</si>
  <si>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</si>
  <si>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</si>
  <si>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</si>
  <si>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</si>
  <si>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</si>
  <si>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</si>
  <si>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</si>
  <si>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</si>
  <si>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</si>
  <si>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</si>
  <si>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</si>
  <si>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</si>
  <si>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</si>
  <si>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</si>
  <si>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</si>
  <si>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</si>
  <si>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</si>
  <si>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</si>
  <si>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</si>
  <si>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</si>
  <si>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</si>
  <si>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</si>
  <si>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</si>
  <si>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</si>
  <si>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</si>
  <si>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</si>
  <si>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</si>
  <si>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</si>
  <si>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</si>
  <si>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</si>
  <si>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</si>
  <si>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</si>
  <si>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</si>
  <si>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</si>
  <si>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</si>
  <si>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</si>
  <si>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</si>
  <si>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</si>
  <si>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</si>
  <si>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</si>
  <si>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</si>
  <si>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</si>
  <si>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</si>
  <si>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</si>
  <si>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</si>
  <si>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</si>
  <si>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</si>
  <si>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</si>
  <si>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</si>
  <si>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</si>
  <si>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</si>
  <si>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</si>
  <si>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</si>
  <si>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</si>
  <si>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</si>
  <si>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</si>
  <si>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</si>
  <si>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</si>
  <si>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</si>
  <si>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</si>
  <si>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</si>
  <si>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</si>
  <si>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</si>
  <si>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</si>
  <si>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</si>
  <si>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</si>
  <si>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</si>
  <si>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</si>
  <si>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</si>
  <si>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</si>
  <si>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</si>
  <si>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</si>
  <si>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</si>
  <si>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</si>
  <si>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</si>
  <si>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</si>
  <si>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</si>
  <si>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</si>
  <si>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</si>
  <si>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</si>
  <si>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</si>
  <si>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</si>
  <si>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</si>
  <si>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</si>
  <si>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204</t>
  </si>
  <si>
    <t>205</t>
  </si>
  <si>
    <t>206</t>
  </si>
  <si>
    <t>207</t>
  </si>
  <si>
    <t>208</t>
  </si>
  <si>
    <t>209</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</si>
  <si>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</si>
  <si>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</si>
  <si>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</si>
  <si>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</si>
  <si>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</si>
  <si>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</si>
  <si>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</si>
  <si>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</si>
  <si>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</si>
  <si>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</si>
  <si>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</si>
  <si>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</si>
  <si>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</si>
  <si>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</si>
  <si>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</si>
  <si>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</si>
  <si>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</si>
  <si>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</si>
  <si>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</si>
  <si>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</si>
  <si>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</si>
  <si>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</si>
  <si>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</si>
  <si>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</si>
  <si>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</si>
  <si>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</si>
  <si>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</si>
  <si>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</si>
  <si>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</si>
  <si>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</si>
  <si>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252</t>
  </si>
  <si>
    <t>253</t>
  </si>
  <si>
    <t>254</t>
  </si>
  <si>
    <t>255</t>
  </si>
  <si>
    <t>256</t>
  </si>
  <si>
    <t>257</t>
  </si>
  <si>
    <t>258</t>
  </si>
  <si>
    <t>259</t>
  </si>
  <si>
    <t>260</t>
  </si>
  <si>
    <t>263</t>
  </si>
  <si>
    <t>264</t>
  </si>
  <si>
    <t>265</t>
  </si>
  <si>
    <t>266</t>
  </si>
  <si>
    <t>267</t>
  </si>
  <si>
    <t>268</t>
  </si>
  <si>
    <t>269</t>
  </si>
  <si>
    <t>270</t>
  </si>
  <si>
    <t>271</t>
  </si>
  <si>
    <t>272</t>
  </si>
  <si>
    <t>273</t>
  </si>
  <si>
    <t>現金</t>
    <phoneticPr fontId="2" type="noConversion"/>
  </si>
  <si>
    <t>現金</t>
    <phoneticPr fontId="2" type="noConversion"/>
  </si>
  <si>
    <t>現金</t>
    <phoneticPr fontId="2" type="noConversion"/>
  </si>
  <si>
    <t>現金</t>
    <phoneticPr fontId="2" type="noConversion"/>
  </si>
  <si>
    <t>現金</t>
    <phoneticPr fontId="2" type="noConversion"/>
  </si>
  <si>
    <t>現金</t>
    <phoneticPr fontId="2" type="noConversion"/>
  </si>
  <si>
    <t>現金</t>
    <phoneticPr fontId="2" type="noConversion"/>
  </si>
  <si>
    <t>現金</t>
    <phoneticPr fontId="2" type="noConversion"/>
  </si>
  <si>
    <t>現金</t>
    <phoneticPr fontId="2" type="noConversion"/>
  </si>
  <si>
    <t>現金</t>
    <phoneticPr fontId="2" type="noConversion"/>
  </si>
  <si>
    <t>轉帳</t>
    <phoneticPr fontId="2" type="noConversion"/>
  </si>
  <si>
    <t>175</t>
    <phoneticPr fontId="2" type="noConversion"/>
  </si>
  <si>
    <t>2014/8/11、8/13</t>
    <phoneticPr fontId="2" type="noConversion"/>
  </si>
  <si>
    <t>8/11(30,000元)</t>
    <phoneticPr fontId="2" type="noConversion"/>
  </si>
  <si>
    <t>8/13(20,000元)</t>
    <phoneticPr fontId="2" type="noConversion"/>
  </si>
  <si>
    <t>201</t>
    <phoneticPr fontId="2" type="noConversion"/>
  </si>
  <si>
    <t>202</t>
    <phoneticPr fontId="2" type="noConversion"/>
  </si>
  <si>
    <t>203</t>
    <phoneticPr fontId="2" type="noConversion"/>
  </si>
  <si>
    <t>210</t>
    <phoneticPr fontId="2" type="noConversion"/>
  </si>
  <si>
    <t>211</t>
    <phoneticPr fontId="2" type="noConversion"/>
  </si>
  <si>
    <t>轉帳</t>
    <phoneticPr fontId="2" type="noConversion"/>
  </si>
  <si>
    <t>轉帳</t>
    <phoneticPr fontId="2" type="noConversion"/>
  </si>
  <si>
    <t>250</t>
    <phoneticPr fontId="2" type="noConversion"/>
  </si>
  <si>
    <t>轉帳</t>
    <phoneticPr fontId="2" type="noConversion"/>
  </si>
  <si>
    <t>251</t>
    <phoneticPr fontId="2" type="noConversion"/>
  </si>
  <si>
    <t>261</t>
    <phoneticPr fontId="2" type="noConversion"/>
  </si>
  <si>
    <t>262</t>
    <phoneticPr fontId="2" type="noConversion"/>
  </si>
  <si>
    <t>合計</t>
    <phoneticPr fontId="2" type="noConversion"/>
  </si>
  <si>
    <t>卷證出處：A59卷第176至212頁</t>
    <phoneticPr fontId="1" type="noConversion"/>
  </si>
  <si>
    <t>業務</t>
    <phoneticPr fontId="1" type="noConversion"/>
  </si>
  <si>
    <t>註2：</t>
  </si>
  <si>
    <t>王定忠</t>
    <phoneticPr fontId="1" type="noConversion"/>
  </si>
  <si>
    <t>林智瑝</t>
    <phoneticPr fontId="1" type="noConversion"/>
  </si>
  <si>
    <t>黃秋珍</t>
    <phoneticPr fontId="1" type="noConversion"/>
  </si>
  <si>
    <t>（註3）</t>
  </si>
  <si>
    <t>高秋德</t>
  </si>
  <si>
    <t>劉信武</t>
  </si>
  <si>
    <t>施明宏</t>
  </si>
  <si>
    <t>江佳倫</t>
  </si>
  <si>
    <t>羅阿月</t>
  </si>
  <si>
    <t>徐月媚</t>
  </si>
  <si>
    <t>洪筱梅</t>
  </si>
  <si>
    <t>彭士哲</t>
  </si>
  <si>
    <t>許春財</t>
  </si>
  <si>
    <t>黃宥穎</t>
  </si>
  <si>
    <t>江志賢</t>
  </si>
  <si>
    <t>許秋霞</t>
  </si>
  <si>
    <t>劉振發</t>
  </si>
  <si>
    <t>劉炳貴</t>
  </si>
  <si>
    <t>劉麗蘭</t>
  </si>
  <si>
    <t>李慧玲</t>
  </si>
  <si>
    <t>曾耀慶</t>
  </si>
  <si>
    <t>薛柏林</t>
  </si>
  <si>
    <t>劉桂森</t>
  </si>
  <si>
    <t>江曜松</t>
  </si>
  <si>
    <t>王俊隆</t>
  </si>
  <si>
    <t>李桂鶯</t>
  </si>
  <si>
    <t>尤伍能</t>
  </si>
  <si>
    <t>王立華</t>
    <phoneticPr fontId="2" type="noConversion"/>
  </si>
  <si>
    <t>林炳泉</t>
  </si>
  <si>
    <t>張建成</t>
  </si>
  <si>
    <t>謝秀菊</t>
  </si>
  <si>
    <t>鄭明華</t>
  </si>
  <si>
    <t>陳玉燕</t>
  </si>
  <si>
    <t>郭德茂</t>
  </si>
  <si>
    <t>程美玉</t>
  </si>
  <si>
    <t>股票名稱</t>
    <phoneticPr fontId="1" type="noConversion"/>
  </si>
  <si>
    <t>成交日期</t>
  </si>
  <si>
    <t>獲利總額</t>
    <phoneticPr fontId="1" type="noConversion"/>
  </si>
  <si>
    <t>扣除：千分之三證券交易稅</t>
    <phoneticPr fontId="1" type="noConversion"/>
  </si>
  <si>
    <t>扣除：15％稅證券交易所得稅</t>
    <phoneticPr fontId="1" type="noConversion"/>
  </si>
  <si>
    <t>獲利淨額</t>
    <phoneticPr fontId="1" type="noConversion"/>
  </si>
  <si>
    <t>卷證出處</t>
    <phoneticPr fontId="1" type="noConversion"/>
  </si>
  <si>
    <t>金隆</t>
    <phoneticPr fontId="1" type="noConversion"/>
  </si>
  <si>
    <t>游怡文</t>
    <phoneticPr fontId="1" type="noConversion"/>
  </si>
  <si>
    <t>小計</t>
    <phoneticPr fontId="1" type="noConversion"/>
  </si>
  <si>
    <t>元龍</t>
    <phoneticPr fontId="1" type="noConversion"/>
  </si>
  <si>
    <t>廖述昭</t>
    <phoneticPr fontId="1" type="noConversion"/>
  </si>
  <si>
    <t>扣押物「7-33」P1</t>
    <phoneticPr fontId="1" type="noConversion"/>
  </si>
  <si>
    <t>劉炳貴</t>
    <phoneticPr fontId="1" type="noConversion"/>
  </si>
  <si>
    <t>周岳穎</t>
    <phoneticPr fontId="1" type="noConversion"/>
  </si>
  <si>
    <t>張凱</t>
    <phoneticPr fontId="1" type="noConversion"/>
  </si>
  <si>
    <t>李昭圻</t>
    <phoneticPr fontId="1" type="noConversion"/>
  </si>
  <si>
    <t>詹雅玲</t>
    <phoneticPr fontId="1" type="noConversion"/>
  </si>
  <si>
    <t>林靖茹</t>
    <phoneticPr fontId="1" type="noConversion"/>
  </si>
  <si>
    <t>扣押物「7-33」P2</t>
  </si>
  <si>
    <t>廖阿妹</t>
    <phoneticPr fontId="1" type="noConversion"/>
  </si>
  <si>
    <t>吳至佳</t>
    <phoneticPr fontId="1" type="noConversion"/>
  </si>
  <si>
    <t>林寶姝</t>
    <phoneticPr fontId="1" type="noConversion"/>
  </si>
  <si>
    <t>謝季恩</t>
    <phoneticPr fontId="1" type="noConversion"/>
  </si>
  <si>
    <t>蔡文益</t>
    <phoneticPr fontId="1" type="noConversion"/>
  </si>
  <si>
    <t>扣押物「7-33」P3</t>
  </si>
  <si>
    <t>扣押物「7-33」P4</t>
  </si>
  <si>
    <t>廖書逸</t>
    <phoneticPr fontId="1" type="noConversion"/>
  </si>
  <si>
    <t>高瑞菊</t>
    <phoneticPr fontId="1" type="noConversion"/>
  </si>
  <si>
    <t>陳金瑤</t>
    <phoneticPr fontId="1" type="noConversion"/>
  </si>
  <si>
    <t>劉任修</t>
    <phoneticPr fontId="1" type="noConversion"/>
  </si>
  <si>
    <t>詹雅萍</t>
    <phoneticPr fontId="1" type="noConversion"/>
  </si>
  <si>
    <t>莊蕙裙</t>
    <phoneticPr fontId="1" type="noConversion"/>
  </si>
  <si>
    <t>扣押物「7-33」P5</t>
  </si>
  <si>
    <t>林盈和</t>
    <phoneticPr fontId="1" type="noConversion"/>
  </si>
  <si>
    <t>林淨</t>
    <phoneticPr fontId="1" type="noConversion"/>
  </si>
  <si>
    <t>陳世忠</t>
    <phoneticPr fontId="1" type="noConversion"/>
  </si>
  <si>
    <t>張正二</t>
    <phoneticPr fontId="1" type="noConversion"/>
  </si>
  <si>
    <t>陳志杰</t>
    <phoneticPr fontId="1" type="noConversion"/>
  </si>
  <si>
    <t>藍宗文</t>
    <phoneticPr fontId="1" type="noConversion"/>
  </si>
  <si>
    <t>蔡郁惠</t>
    <phoneticPr fontId="1" type="noConversion"/>
  </si>
  <si>
    <t>黃銀河</t>
    <phoneticPr fontId="1" type="noConversion"/>
  </si>
  <si>
    <t>黃國榕</t>
    <phoneticPr fontId="1" type="noConversion"/>
  </si>
  <si>
    <t>江玉琴</t>
    <phoneticPr fontId="1" type="noConversion"/>
  </si>
  <si>
    <t>方秀娟</t>
    <phoneticPr fontId="1" type="noConversion"/>
  </si>
  <si>
    <t>黃憲民</t>
    <phoneticPr fontId="1" type="noConversion"/>
  </si>
  <si>
    <t>扣押物「7-33」P6</t>
  </si>
  <si>
    <t>扣押物「7-33」P7</t>
  </si>
  <si>
    <t>張宏嘉</t>
    <phoneticPr fontId="1" type="noConversion"/>
  </si>
  <si>
    <t>張慧玉</t>
    <phoneticPr fontId="1" type="noConversion"/>
  </si>
  <si>
    <t>劉子鵬</t>
    <phoneticPr fontId="1" type="noConversion"/>
  </si>
  <si>
    <t>謝小島</t>
    <phoneticPr fontId="1" type="noConversion"/>
  </si>
  <si>
    <t>扣押物「7-33」P8</t>
  </si>
  <si>
    <t>彭秋月</t>
    <phoneticPr fontId="1" type="noConversion"/>
  </si>
  <si>
    <t>陳玉枝</t>
    <phoneticPr fontId="1" type="noConversion"/>
  </si>
  <si>
    <t>卓維煌</t>
    <phoneticPr fontId="1" type="noConversion"/>
  </si>
  <si>
    <t>闕千惠</t>
    <phoneticPr fontId="1" type="noConversion"/>
  </si>
  <si>
    <t>洪華憶</t>
    <phoneticPr fontId="1" type="noConversion"/>
  </si>
  <si>
    <t>余春財</t>
    <phoneticPr fontId="1" type="noConversion"/>
  </si>
  <si>
    <t>孫秋萍</t>
    <phoneticPr fontId="1" type="noConversion"/>
  </si>
  <si>
    <t>扣押物「7-33」P10</t>
    <phoneticPr fontId="1" type="noConversion"/>
  </si>
  <si>
    <t>103/12/26</t>
    <phoneticPr fontId="1" type="noConversion"/>
  </si>
  <si>
    <t>扣押物「7-33」P12</t>
    <phoneticPr fontId="1" type="noConversion"/>
  </si>
  <si>
    <t>林財正</t>
    <phoneticPr fontId="1" type="noConversion"/>
  </si>
  <si>
    <t>陳沅池</t>
    <phoneticPr fontId="1" type="noConversion"/>
  </si>
  <si>
    <t>林柏昌</t>
    <phoneticPr fontId="1" type="noConversion"/>
  </si>
  <si>
    <t>黃亭瑄</t>
    <phoneticPr fontId="1" type="noConversion"/>
  </si>
  <si>
    <t>103/11/18</t>
    <phoneticPr fontId="1" type="noConversion"/>
  </si>
  <si>
    <t>103/11/20</t>
    <phoneticPr fontId="1" type="noConversion"/>
  </si>
  <si>
    <t>陳仁誠</t>
    <phoneticPr fontId="1" type="noConversion"/>
  </si>
  <si>
    <t>林威揚</t>
    <phoneticPr fontId="1" type="noConversion"/>
  </si>
  <si>
    <t>張凱雄</t>
    <phoneticPr fontId="1" type="noConversion"/>
  </si>
  <si>
    <t>103/11/24</t>
    <phoneticPr fontId="1" type="noConversion"/>
  </si>
  <si>
    <t>郭秀霞</t>
    <phoneticPr fontId="1" type="noConversion"/>
  </si>
  <si>
    <t>103/10/17</t>
    <phoneticPr fontId="1" type="noConversion"/>
  </si>
  <si>
    <t>羅元彥</t>
    <phoneticPr fontId="1" type="noConversion"/>
  </si>
  <si>
    <t>扣押物「7-33」P15</t>
    <phoneticPr fontId="1" type="noConversion"/>
  </si>
  <si>
    <t>購入成本（註1）</t>
    <phoneticPr fontId="1" type="noConversion"/>
  </si>
  <si>
    <t>金額總計</t>
    <phoneticPr fontId="1" type="noConversion"/>
  </si>
  <si>
    <t>註2：因成交單價僅為每股10.2元，產生之證券交易所得稅甚小，故於計算被告羅栩亮犯罪所得時予以忽略，併此敘明。</t>
    <phoneticPr fontId="1" type="noConversion"/>
  </si>
  <si>
    <t>註1：卷證出處為A43卷第291頁。</t>
    <phoneticPr fontId="1" type="noConversion"/>
  </si>
  <si>
    <t>104年3至4月</t>
    <phoneticPr fontId="1" type="noConversion"/>
  </si>
  <si>
    <t>104年1至2月</t>
    <phoneticPr fontId="1" type="noConversion"/>
  </si>
  <si>
    <t>103年11至12月</t>
    <phoneticPr fontId="1" type="noConversion"/>
  </si>
  <si>
    <t>103年9至10月</t>
    <phoneticPr fontId="1" type="noConversion"/>
  </si>
  <si>
    <t>103年7至8月</t>
    <phoneticPr fontId="1" type="noConversion"/>
  </si>
  <si>
    <t>103年5至6月</t>
    <phoneticPr fontId="1" type="noConversion"/>
  </si>
  <si>
    <t>103年3至4月</t>
    <phoneticPr fontId="1" type="noConversion"/>
  </si>
  <si>
    <t>103年1至2月</t>
    <phoneticPr fontId="1" type="noConversion"/>
  </si>
  <si>
    <t>102年11至12月</t>
    <phoneticPr fontId="1" type="noConversion"/>
  </si>
  <si>
    <t>102年9至10月</t>
    <phoneticPr fontId="1" type="noConversion"/>
  </si>
  <si>
    <t>102年7至8月</t>
    <phoneticPr fontId="1" type="noConversion"/>
  </si>
  <si>
    <t>102年5至6月</t>
    <phoneticPr fontId="1" type="noConversion"/>
  </si>
  <si>
    <t>102年3至4月</t>
    <phoneticPr fontId="1" type="noConversion"/>
  </si>
  <si>
    <t>102年1至2月</t>
    <phoneticPr fontId="1" type="noConversion"/>
  </si>
  <si>
    <t>101年11至12月</t>
    <phoneticPr fontId="1" type="noConversion"/>
  </si>
  <si>
    <t>101年9至10月</t>
    <phoneticPr fontId="1" type="noConversion"/>
  </si>
  <si>
    <t>101年7至8月</t>
    <phoneticPr fontId="1" type="noConversion"/>
  </si>
  <si>
    <t>101年5至6月</t>
    <phoneticPr fontId="1" type="noConversion"/>
  </si>
  <si>
    <t>101年3至4月</t>
    <phoneticPr fontId="1" type="noConversion"/>
  </si>
  <si>
    <t>101年1至2月</t>
    <phoneticPr fontId="1" type="noConversion"/>
  </si>
  <si>
    <t>100年11至12月</t>
    <phoneticPr fontId="1" type="noConversion"/>
  </si>
  <si>
    <t>100年9至10月</t>
    <phoneticPr fontId="1" type="noConversion"/>
  </si>
  <si>
    <t>銷貨退回</t>
    <phoneticPr fontId="1" type="noConversion"/>
  </si>
  <si>
    <t>銷售額</t>
    <phoneticPr fontId="1" type="noConversion"/>
  </si>
  <si>
    <t>103/08</t>
  </si>
  <si>
    <t>習拿納生醫公司</t>
    <phoneticPr fontId="1" type="noConversion"/>
  </si>
  <si>
    <t>103/07</t>
  </si>
  <si>
    <t>103/06</t>
    <phoneticPr fontId="1" type="noConversion"/>
  </si>
  <si>
    <t>豪倫公司</t>
    <phoneticPr fontId="1" type="noConversion"/>
  </si>
  <si>
    <t>103/06</t>
  </si>
  <si>
    <t>103/05</t>
  </si>
  <si>
    <t>103/04</t>
  </si>
  <si>
    <t>103/03</t>
  </si>
  <si>
    <t>103/02</t>
    <phoneticPr fontId="1" type="noConversion"/>
  </si>
  <si>
    <t>103/01</t>
    <phoneticPr fontId="1" type="noConversion"/>
  </si>
  <si>
    <t>102/12</t>
    <phoneticPr fontId="1" type="noConversion"/>
  </si>
  <si>
    <t>兆乾公司</t>
    <phoneticPr fontId="1" type="noConversion"/>
  </si>
  <si>
    <t>102/11</t>
    <phoneticPr fontId="1" type="noConversion"/>
  </si>
  <si>
    <t>總金額</t>
    <phoneticPr fontId="1" type="noConversion"/>
  </si>
  <si>
    <t>營業稅</t>
    <phoneticPr fontId="1" type="noConversion"/>
  </si>
  <si>
    <t>註1：卷證出處為A43卷第303至313反頁。</t>
    <phoneticPr fontId="1" type="noConversion"/>
  </si>
  <si>
    <t>銷售對象</t>
    <phoneticPr fontId="1" type="noConversion"/>
  </si>
  <si>
    <t>年月</t>
    <phoneticPr fontId="1" type="noConversion"/>
  </si>
  <si>
    <t>比重</t>
    <phoneticPr fontId="1" type="noConversion"/>
  </si>
  <si>
    <t>其中對「兆乾公司」、「豪倫公司」之銷售額為9,357,143元，占該期間銷售額比重為90.34%（註2）</t>
    <phoneticPr fontId="1" type="noConversion"/>
  </si>
  <si>
    <t>其中對「豪倫公司」之銷售額為9,619,048元，占該期間銷售額比重為100%（註3）</t>
    <phoneticPr fontId="1" type="noConversion"/>
  </si>
  <si>
    <t>其中對「豪倫公司」之銷售額為12,380,953元，占該期間銷售額比重為100%（註4）</t>
    <phoneticPr fontId="1" type="noConversion"/>
  </si>
  <si>
    <t>其中對「豪倫公司」、「習拿納生醫公司」之銷售額為17,619,047元，占該期間銷售額比重為100%（註5）</t>
    <phoneticPr fontId="1" type="noConversion"/>
  </si>
  <si>
    <t>其中對「習拿納生醫公司」之銷售額為8,308,304元，占該期間銷售額比重為98.34%（註6）</t>
    <phoneticPr fontId="1" type="noConversion"/>
  </si>
  <si>
    <t>註2：其中銷售對象為「兆乾公司」、「豪倫公司」之銷售明細如下（A30卷第89至92頁）：</t>
    <phoneticPr fontId="1" type="noConversion"/>
  </si>
  <si>
    <t>註3：其中銷售對象為「豪倫公司」之銷售明細如下（A30卷第89至92頁）：</t>
    <phoneticPr fontId="1" type="noConversion"/>
  </si>
  <si>
    <t>註4：其中銷售對象為「豪倫公司」之銷售明細如下（A30卷第89至92頁）：</t>
    <phoneticPr fontId="1" type="noConversion"/>
  </si>
  <si>
    <t>註6：其中銷售對象為「習拿納生醫公司」之銷售明細如下（A30卷第89至92頁）：</t>
    <phoneticPr fontId="1" type="noConversion"/>
  </si>
  <si>
    <t>編號</t>
  </si>
  <si>
    <t>案卷</t>
  </si>
  <si>
    <t>A1</t>
  </si>
  <si>
    <t>嘉義地檢103他2011</t>
  </si>
  <si>
    <t>A2</t>
  </si>
  <si>
    <t>新竹地檢103他2786</t>
  </si>
  <si>
    <t>A3</t>
  </si>
  <si>
    <t>高雄地檢103他8898</t>
  </si>
  <si>
    <t>A4</t>
  </si>
  <si>
    <t>高雄地檢103他9190</t>
  </si>
  <si>
    <t>A5</t>
  </si>
  <si>
    <t>高雄地檢103他9410</t>
  </si>
  <si>
    <t>A6</t>
  </si>
  <si>
    <t>高雄地檢103他9439</t>
  </si>
  <si>
    <t>A7</t>
  </si>
  <si>
    <t>高雄地檢103他10196</t>
  </si>
  <si>
    <t>A8</t>
  </si>
  <si>
    <t>高雄地檢103他10197</t>
  </si>
  <si>
    <t>A9</t>
  </si>
  <si>
    <t>高雄地檢103他10198</t>
  </si>
  <si>
    <t>A10</t>
  </si>
  <si>
    <t>高雄地檢104他529</t>
  </si>
  <si>
    <t>A11</t>
  </si>
  <si>
    <t>高雄地檢104他530</t>
  </si>
  <si>
    <t>A12</t>
  </si>
  <si>
    <t>高雄地檢104他531</t>
  </si>
  <si>
    <t>A13</t>
  </si>
  <si>
    <t>南投地檢103他1027</t>
  </si>
  <si>
    <t>A14</t>
  </si>
  <si>
    <t>台南地檢103他4907</t>
  </si>
  <si>
    <t>A15</t>
  </si>
  <si>
    <t>台南地檢103他4908</t>
  </si>
  <si>
    <t>A16</t>
  </si>
  <si>
    <t>新北地檢103他6126</t>
  </si>
  <si>
    <t>A17</t>
  </si>
  <si>
    <t>新北地檢103他6141</t>
  </si>
  <si>
    <t>A18</t>
  </si>
  <si>
    <t>新北地檢103他6219</t>
  </si>
  <si>
    <t>A19</t>
  </si>
  <si>
    <t>103他6433影卷</t>
  </si>
  <si>
    <t>A20</t>
  </si>
  <si>
    <t>103他10766卷一</t>
  </si>
  <si>
    <t>A21</t>
  </si>
  <si>
    <t>103他10766卷二</t>
  </si>
  <si>
    <t>A22</t>
  </si>
  <si>
    <t>103他10766卷三</t>
  </si>
  <si>
    <t>A23</t>
  </si>
  <si>
    <t>103他11212</t>
  </si>
  <si>
    <t>A24</t>
  </si>
  <si>
    <t>103他11231</t>
  </si>
  <si>
    <t>A25</t>
  </si>
  <si>
    <t>103他11484</t>
  </si>
  <si>
    <t>A26</t>
  </si>
  <si>
    <t>103他11487</t>
  </si>
  <si>
    <t>A27</t>
  </si>
  <si>
    <t>103他11803</t>
  </si>
  <si>
    <t>A28</t>
  </si>
  <si>
    <t>103他11804</t>
  </si>
  <si>
    <t>A29</t>
  </si>
  <si>
    <t>103他12071</t>
  </si>
  <si>
    <t>A30</t>
  </si>
  <si>
    <t>103他12087卷</t>
  </si>
  <si>
    <t>A31</t>
  </si>
  <si>
    <t>103他12087卷</t>
  </si>
  <si>
    <t>A32</t>
  </si>
  <si>
    <t>104他79</t>
  </si>
  <si>
    <t>A33</t>
  </si>
  <si>
    <t>104他80</t>
  </si>
  <si>
    <t>A34</t>
  </si>
  <si>
    <t>104他81</t>
  </si>
  <si>
    <t>A35</t>
  </si>
  <si>
    <t>104他1311</t>
  </si>
  <si>
    <t>A36</t>
  </si>
  <si>
    <t>104他1312</t>
  </si>
  <si>
    <t>A37</t>
  </si>
  <si>
    <t>104他1313</t>
  </si>
  <si>
    <t>A38</t>
  </si>
  <si>
    <t>104發查938</t>
  </si>
  <si>
    <t>A39</t>
  </si>
  <si>
    <t>104押詢55</t>
  </si>
  <si>
    <t>A40</t>
  </si>
  <si>
    <t>104押詢68</t>
  </si>
  <si>
    <t>A41</t>
  </si>
  <si>
    <t>104核退671</t>
  </si>
  <si>
    <t>A42</t>
  </si>
  <si>
    <t>104偵14231卷一</t>
  </si>
  <si>
    <t>A43</t>
  </si>
  <si>
    <t>104偵14231卷二</t>
  </si>
  <si>
    <t>A44</t>
  </si>
  <si>
    <t>104偵14500</t>
  </si>
  <si>
    <t>A45</t>
  </si>
  <si>
    <t>104偵17991卷一</t>
  </si>
  <si>
    <t>A46</t>
  </si>
  <si>
    <t>104偵17991卷二</t>
  </si>
  <si>
    <t>A47</t>
  </si>
  <si>
    <t>104偵17991卷三</t>
  </si>
  <si>
    <t>A48</t>
  </si>
  <si>
    <t>104偵18312</t>
  </si>
  <si>
    <t>A49</t>
  </si>
  <si>
    <t>104偵18313</t>
  </si>
  <si>
    <t>A50</t>
  </si>
  <si>
    <t>104偵18314</t>
  </si>
  <si>
    <t>A51</t>
  </si>
  <si>
    <t>104偵18315</t>
  </si>
  <si>
    <t>A52</t>
  </si>
  <si>
    <t>104偵18316</t>
  </si>
  <si>
    <t>A53</t>
  </si>
  <si>
    <t>104偵18317</t>
  </si>
  <si>
    <t>A54</t>
  </si>
  <si>
    <t>104偵18318</t>
  </si>
  <si>
    <t>A55</t>
  </si>
  <si>
    <t>104偵18319</t>
  </si>
  <si>
    <t>A56</t>
  </si>
  <si>
    <t>104偵18320</t>
  </si>
  <si>
    <t>A57</t>
  </si>
  <si>
    <t>104偵18321</t>
  </si>
  <si>
    <t>A58</t>
  </si>
  <si>
    <t>104偵18322</t>
  </si>
  <si>
    <t>A59</t>
  </si>
  <si>
    <t>104偵19469</t>
  </si>
  <si>
    <t>A60</t>
  </si>
  <si>
    <t>104偵20811</t>
  </si>
  <si>
    <t>A61</t>
  </si>
  <si>
    <t>104偵20812</t>
  </si>
  <si>
    <t>A62</t>
  </si>
  <si>
    <t>104偵20813</t>
  </si>
  <si>
    <t>B1</t>
  </si>
  <si>
    <t>高雄地檢104偵字18394</t>
  </si>
  <si>
    <t>B2</t>
  </si>
  <si>
    <t>高雄地檢103偵字18883</t>
  </si>
  <si>
    <t>B3</t>
  </si>
  <si>
    <t>法務部調查局高雄市調查處：朱緯業陳薇、陳誼秦等證券交易法案件</t>
  </si>
  <si>
    <t>B4</t>
  </si>
  <si>
    <t>法務部調查局高雄市調查處：案名：德睿公司賴國隆等涉嫌違反證券交易法案（移送證據資料）</t>
  </si>
  <si>
    <t>B5</t>
  </si>
  <si>
    <t>103偵17666</t>
  </si>
  <si>
    <t>B6</t>
  </si>
  <si>
    <t>104偵2230</t>
  </si>
  <si>
    <t>B7</t>
  </si>
  <si>
    <t>104偵15937</t>
  </si>
  <si>
    <t>B8</t>
  </si>
  <si>
    <t>104偵續198</t>
  </si>
  <si>
    <t>B9</t>
  </si>
  <si>
    <t>法務部調查局臺北市調查處賀里昂公司楊立民等違反證交法案</t>
  </si>
  <si>
    <t>B10</t>
  </si>
  <si>
    <t>法務部調查局彰化縣調查站江正聖、萬呈偉涉嫌違反證券交易法案</t>
  </si>
  <si>
    <t>C1</t>
  </si>
  <si>
    <t xml:space="preserve">104年偵字22288號 </t>
  </si>
  <si>
    <t>D1</t>
  </si>
  <si>
    <t>兆良科技股份有限公司登記卷影卷</t>
  </si>
  <si>
    <t>D2</t>
  </si>
  <si>
    <t>德睿創業投資有限公司登記卷影卷</t>
  </si>
  <si>
    <t>E1</t>
  </si>
  <si>
    <t>104發查2907</t>
  </si>
  <si>
    <t>E2</t>
  </si>
  <si>
    <t>104發查2923</t>
  </si>
  <si>
    <t>E3</t>
  </si>
  <si>
    <t>104發查3307</t>
  </si>
  <si>
    <t>E4</t>
  </si>
  <si>
    <t>104他6878</t>
  </si>
  <si>
    <t>E5</t>
  </si>
  <si>
    <t>104他6894</t>
  </si>
  <si>
    <t>E6</t>
  </si>
  <si>
    <t>104他6917影卷</t>
  </si>
  <si>
    <t>E7</t>
  </si>
  <si>
    <t>104他7200</t>
  </si>
  <si>
    <t>E8</t>
  </si>
  <si>
    <t>104他7410</t>
  </si>
  <si>
    <t>E9</t>
  </si>
  <si>
    <t>104他7832卷一</t>
  </si>
  <si>
    <t>E10</t>
  </si>
  <si>
    <t>104他7832卷二</t>
  </si>
  <si>
    <t>E11</t>
  </si>
  <si>
    <t>104他7832卷三</t>
  </si>
  <si>
    <t>E12</t>
  </si>
  <si>
    <t>104他7832卷四</t>
  </si>
  <si>
    <t>E13</t>
  </si>
  <si>
    <t>104他7832卷五</t>
  </si>
  <si>
    <t>E14</t>
  </si>
  <si>
    <t>104他7832卷六</t>
  </si>
  <si>
    <t>E15</t>
  </si>
  <si>
    <t>104他7832卷七</t>
  </si>
  <si>
    <t>E16</t>
  </si>
  <si>
    <t>104他7832卷八</t>
  </si>
  <si>
    <t>E17</t>
  </si>
  <si>
    <t>104他7832卷九</t>
  </si>
  <si>
    <t>E18</t>
  </si>
  <si>
    <t>104他7832卷十</t>
  </si>
  <si>
    <t>E19</t>
  </si>
  <si>
    <t>104他7832卷十一</t>
  </si>
  <si>
    <t>E20</t>
  </si>
  <si>
    <t>104他7832卷十二</t>
  </si>
  <si>
    <t>E21</t>
  </si>
  <si>
    <t>104他7832卷十三</t>
  </si>
  <si>
    <t>E22</t>
  </si>
  <si>
    <t>104他7832卷十四</t>
  </si>
  <si>
    <t>E23</t>
  </si>
  <si>
    <t>104他7832卷十五</t>
  </si>
  <si>
    <t>E24</t>
  </si>
  <si>
    <t>104他7850</t>
  </si>
  <si>
    <t>E25</t>
  </si>
  <si>
    <t>104他8415</t>
  </si>
  <si>
    <t>E26</t>
  </si>
  <si>
    <t>104他10485</t>
  </si>
  <si>
    <t>E27</t>
  </si>
  <si>
    <t>104他10642</t>
  </si>
  <si>
    <t>E28</t>
  </si>
  <si>
    <t>104他10888</t>
  </si>
  <si>
    <t>E29</t>
  </si>
  <si>
    <t>104他11234影卷</t>
  </si>
  <si>
    <t>E30</t>
  </si>
  <si>
    <t>104他11342</t>
  </si>
  <si>
    <t>E31</t>
  </si>
  <si>
    <t>105他50</t>
  </si>
  <si>
    <t>E32</t>
  </si>
  <si>
    <t>宜蘭地檢104他792影卷</t>
  </si>
  <si>
    <t>E33</t>
  </si>
  <si>
    <t>新北地檢104他4539</t>
  </si>
  <si>
    <t>E34</t>
  </si>
  <si>
    <t>新北地檢104他4684影卷</t>
  </si>
  <si>
    <t>E35</t>
  </si>
  <si>
    <t>104偵22288</t>
  </si>
  <si>
    <t>E36</t>
  </si>
  <si>
    <t>調查局中部地區機動工作站移送書證據一至證據八</t>
  </si>
  <si>
    <t>E37</t>
  </si>
  <si>
    <t>調查局中部地區機動工作站移送書證據九至證據二十</t>
  </si>
  <si>
    <t>E38</t>
  </si>
  <si>
    <t>調查局中部地區機動工作站移送書證據二十一至證據三十四</t>
  </si>
  <si>
    <t>E39</t>
  </si>
  <si>
    <t>105偵1154</t>
  </si>
  <si>
    <t>E40</t>
  </si>
  <si>
    <t>105偵1155</t>
  </si>
  <si>
    <t>E41</t>
  </si>
  <si>
    <t>105偵1156影卷</t>
  </si>
  <si>
    <t>E42</t>
  </si>
  <si>
    <t>105偵1157</t>
  </si>
  <si>
    <t>E43</t>
  </si>
  <si>
    <t>105偵1158</t>
  </si>
  <si>
    <t>E44</t>
  </si>
  <si>
    <t>105偵1159</t>
  </si>
  <si>
    <t>E45</t>
  </si>
  <si>
    <t>105偵1160</t>
  </si>
  <si>
    <t>E46</t>
  </si>
  <si>
    <t>105偵1161</t>
  </si>
  <si>
    <t>E47</t>
  </si>
  <si>
    <t>105偵1162</t>
  </si>
  <si>
    <t>E48</t>
  </si>
  <si>
    <t>105偵1231</t>
  </si>
  <si>
    <t>E49</t>
  </si>
  <si>
    <t>105偵3688</t>
  </si>
  <si>
    <t>E50</t>
  </si>
  <si>
    <t>105偵4105</t>
  </si>
  <si>
    <t>E51</t>
  </si>
  <si>
    <t>105偵4441</t>
  </si>
  <si>
    <t>E52</t>
  </si>
  <si>
    <t>105偵4442</t>
  </si>
  <si>
    <t>E53</t>
  </si>
  <si>
    <t>105偵4443</t>
  </si>
  <si>
    <t>E54</t>
  </si>
  <si>
    <t>105偵4661</t>
  </si>
  <si>
    <t>王裕仁</t>
  </si>
  <si>
    <t>王冬立</t>
  </si>
  <si>
    <t>方燦堂</t>
  </si>
  <si>
    <t>毛學玲</t>
  </si>
  <si>
    <t>吳勝傑</t>
  </si>
  <si>
    <t>吳景輝</t>
  </si>
  <si>
    <t>吳俊宏</t>
  </si>
  <si>
    <t>吳翠琴</t>
  </si>
  <si>
    <t>李純綾</t>
  </si>
  <si>
    <t>李渝倬</t>
  </si>
  <si>
    <t>洪仁成</t>
  </si>
  <si>
    <t>紀若凡</t>
  </si>
  <si>
    <t>施瑞霖</t>
  </si>
  <si>
    <t>范登閔</t>
  </si>
  <si>
    <t>徐正民</t>
  </si>
  <si>
    <t>徐錫瑤</t>
  </si>
  <si>
    <t>張木生</t>
  </si>
  <si>
    <t>陳仲卿</t>
  </si>
  <si>
    <t>陳姷妁</t>
  </si>
  <si>
    <t>陳豐榮</t>
  </si>
  <si>
    <t>陳惠春</t>
  </si>
  <si>
    <t>陳啟瀚</t>
  </si>
  <si>
    <t>曾穩銘</t>
  </si>
  <si>
    <t>黃秋珍</t>
  </si>
  <si>
    <t>黃詩婷</t>
  </si>
  <si>
    <t>黃秀芬</t>
  </si>
  <si>
    <t>湯美珍</t>
  </si>
  <si>
    <t>詹欣頤</t>
  </si>
  <si>
    <t>廖良習</t>
  </si>
  <si>
    <t>蔡文益</t>
  </si>
  <si>
    <t>蕭筱屏</t>
  </si>
  <si>
    <t>鍾毓珊</t>
  </si>
  <si>
    <t>鍾安如</t>
  </si>
  <si>
    <t>鍾心芸</t>
  </si>
  <si>
    <t>韓寶玲</t>
  </si>
  <si>
    <t>簡月真</t>
  </si>
  <si>
    <t>謝宗雄</t>
  </si>
  <si>
    <t>刁品緣</t>
    <phoneticPr fontId="1" type="noConversion"/>
  </si>
  <si>
    <t>告訴人姓名</t>
    <phoneticPr fontId="1" type="noConversion"/>
  </si>
  <si>
    <t>呂繆文</t>
    <phoneticPr fontId="1" type="noConversion"/>
  </si>
  <si>
    <t>許正義</t>
    <phoneticPr fontId="1" type="noConversion"/>
  </si>
  <si>
    <t>廖德銓</t>
    <phoneticPr fontId="1" type="noConversion"/>
  </si>
  <si>
    <t>張良輔</t>
    <phoneticPr fontId="1" type="noConversion"/>
  </si>
  <si>
    <t>李瓊雲</t>
    <phoneticPr fontId="1" type="noConversion"/>
  </si>
  <si>
    <t>王茂雄</t>
    <phoneticPr fontId="1" type="noConversion"/>
  </si>
  <si>
    <t>王素如</t>
    <phoneticPr fontId="1" type="noConversion"/>
  </si>
  <si>
    <t>李佩芳</t>
    <phoneticPr fontId="1" type="noConversion"/>
  </si>
  <si>
    <t>陳嘉澤</t>
    <phoneticPr fontId="1" type="noConversion"/>
  </si>
  <si>
    <t>柯佑在</t>
    <phoneticPr fontId="1" type="noConversion"/>
  </si>
  <si>
    <t>許鈴妙</t>
    <phoneticPr fontId="1" type="noConversion"/>
  </si>
  <si>
    <t>陳德溎</t>
    <phoneticPr fontId="1" type="noConversion"/>
  </si>
  <si>
    <t>李桂鶯</t>
    <phoneticPr fontId="1" type="noConversion"/>
  </si>
  <si>
    <t>李方淑媛</t>
    <phoneticPr fontId="1" type="noConversion"/>
  </si>
  <si>
    <t>游閔暉</t>
    <phoneticPr fontId="1" type="noConversion"/>
  </si>
  <si>
    <t>顏春花</t>
    <phoneticPr fontId="1" type="noConversion"/>
  </si>
  <si>
    <t>王香懿</t>
    <phoneticPr fontId="1" type="noConversion"/>
  </si>
  <si>
    <t>薛文楨</t>
    <phoneticPr fontId="1" type="noConversion"/>
  </si>
  <si>
    <t>薛文楨</t>
    <phoneticPr fontId="1" type="noConversion"/>
  </si>
  <si>
    <t>附表九：告訴人刁品緣等358人名冊</t>
  </si>
  <si>
    <t>德睿創投</t>
    <phoneticPr fontId="2" type="noConversion"/>
  </si>
  <si>
    <t>《兆豐資訊》</t>
    <phoneticPr fontId="2" type="noConversion"/>
  </si>
  <si>
    <t>《尚譽資訊》</t>
    <phoneticPr fontId="2" type="noConversion"/>
  </si>
  <si>
    <t>萬豐財經</t>
    <phoneticPr fontId="2" type="noConversion"/>
  </si>
  <si>
    <t>《萬富資訊》</t>
    <phoneticPr fontId="2" type="noConversion"/>
  </si>
  <si>
    <t>《鴻寶創投》</t>
    <phoneticPr fontId="2" type="noConversion"/>
  </si>
  <si>
    <t>聯寶財經</t>
    <phoneticPr fontId="2" type="noConversion"/>
  </si>
  <si>
    <t>《瑞豐投顧》</t>
    <phoneticPr fontId="2" type="noConversion"/>
  </si>
  <si>
    <t>《立達資訊》</t>
    <phoneticPr fontId="2" type="noConversion"/>
  </si>
  <si>
    <t xml:space="preserve"> </t>
    <phoneticPr fontId="2" type="noConversion"/>
  </si>
  <si>
    <t>《慶豐財經》</t>
    <phoneticPr fontId="2" type="noConversion"/>
  </si>
  <si>
    <t>長旺資訊</t>
    <phoneticPr fontId="2" type="noConversion"/>
  </si>
  <si>
    <t>京旺財經</t>
    <phoneticPr fontId="2" type="noConversion"/>
  </si>
  <si>
    <t>其他投顧</t>
  </si>
  <si>
    <t>被告黃馨儀提供證據(本院卷四)</t>
    <phoneticPr fontId="2" type="noConversion"/>
  </si>
  <si>
    <t>與附表五重疊</t>
    <phoneticPr fontId="2" type="noConversion"/>
  </si>
  <si>
    <t>被告黃馨儀不爭執</t>
    <phoneticPr fontId="2" type="noConversion"/>
  </si>
  <si>
    <t>編號</t>
    <phoneticPr fontId="2" type="noConversion"/>
  </si>
  <si>
    <t>告訴人姓名</t>
    <phoneticPr fontId="2" type="noConversion"/>
  </si>
  <si>
    <t>盤商</t>
    <phoneticPr fontId="2" type="noConversion"/>
  </si>
  <si>
    <t>業務</t>
    <phoneticPr fontId="2" type="noConversion"/>
  </si>
  <si>
    <t>出處</t>
    <phoneticPr fontId="1" type="noConversion"/>
  </si>
  <si>
    <t>出處</t>
    <phoneticPr fontId="2" type="noConversion"/>
  </si>
  <si>
    <t>帳戶</t>
    <phoneticPr fontId="2" type="noConversion"/>
  </si>
  <si>
    <t>帳號</t>
    <phoneticPr fontId="2" type="noConversion"/>
  </si>
  <si>
    <t>帳戶出處</t>
    <phoneticPr fontId="2" type="noConversion"/>
  </si>
  <si>
    <t>出賣人</t>
    <phoneticPr fontId="2" type="noConversion"/>
  </si>
  <si>
    <t>V</t>
  </si>
  <si>
    <t>刁品緣（附回函）</t>
    <phoneticPr fontId="2" type="noConversion"/>
  </si>
  <si>
    <t>刁品緣</t>
    <phoneticPr fontId="2" type="noConversion"/>
  </si>
  <si>
    <t>E19P1</t>
    <phoneticPr fontId="2" type="noConversion"/>
  </si>
  <si>
    <t>中信城中</t>
    <phoneticPr fontId="2" type="noConversion"/>
  </si>
  <si>
    <t>107540515259</t>
    <phoneticPr fontId="2" type="noConversion"/>
  </si>
  <si>
    <t>尤伍能（附回函）</t>
    <phoneticPr fontId="2" type="noConversion"/>
  </si>
  <si>
    <t>E19P4</t>
    <phoneticPr fontId="2" type="noConversion"/>
  </si>
  <si>
    <t>玉山城中、第一龍潭</t>
    <phoneticPr fontId="2" type="noConversion"/>
  </si>
  <si>
    <t>0532979066757、29210028883</t>
    <phoneticPr fontId="2" type="noConversion"/>
  </si>
  <si>
    <t>尤銘德(附回函)</t>
    <phoneticPr fontId="2" type="noConversion"/>
  </si>
  <si>
    <t>德睿</t>
    <phoneticPr fontId="2" type="noConversion"/>
  </si>
  <si>
    <t>劉明英</t>
    <phoneticPr fontId="2" type="noConversion"/>
  </si>
  <si>
    <t>103.05、08、09、10</t>
    <phoneticPr fontId="2" type="noConversion"/>
  </si>
  <si>
    <t>E13P67、89</t>
    <phoneticPr fontId="2" type="noConversion"/>
  </si>
  <si>
    <t>富邦襄陽、國泰、第一龍潭、中信信義</t>
    <phoneticPr fontId="2" type="noConversion"/>
  </si>
  <si>
    <t>731102007276、005530004858、29210028883、252540042729</t>
    <phoneticPr fontId="2" type="noConversion"/>
  </si>
  <si>
    <t>P96-97</t>
    <phoneticPr fontId="2" type="noConversion"/>
  </si>
  <si>
    <t>王錦盛（附回函）</t>
    <phoneticPr fontId="2" type="noConversion"/>
  </si>
  <si>
    <t>黃馨儀</t>
    <phoneticPr fontId="2" type="noConversion"/>
  </si>
  <si>
    <t>103.05.25</t>
    <phoneticPr fontId="2" type="noConversion"/>
  </si>
  <si>
    <t>E13P67</t>
    <phoneticPr fontId="2" type="noConversion"/>
  </si>
  <si>
    <t>中信城中</t>
    <phoneticPr fontId="2" type="noConversion"/>
  </si>
  <si>
    <t>107540515259</t>
    <phoneticPr fontId="2" type="noConversion"/>
  </si>
  <si>
    <t>P72</t>
    <phoneticPr fontId="2" type="noConversion"/>
  </si>
  <si>
    <r>
      <t>王宥東（</t>
    </r>
    <r>
      <rPr>
        <sz val="8"/>
        <color indexed="8"/>
        <rFont val="新細明體"/>
        <family val="1"/>
        <charset val="136"/>
      </rPr>
      <t>匯款中信城中）</t>
    </r>
    <phoneticPr fontId="2" type="noConversion"/>
  </si>
  <si>
    <t>王裕仁（附回函）</t>
    <phoneticPr fontId="2" type="noConversion"/>
  </si>
  <si>
    <t>E19P17</t>
    <phoneticPr fontId="2" type="noConversion"/>
  </si>
  <si>
    <t>第一龍潭</t>
    <phoneticPr fontId="2" type="noConversion"/>
  </si>
  <si>
    <t>29210028883</t>
    <phoneticPr fontId="2" type="noConversion"/>
  </si>
  <si>
    <t>王萬華（附回函）</t>
    <phoneticPr fontId="2" type="noConversion"/>
  </si>
  <si>
    <t xml:space="preserve"> 王冬立（附回函）</t>
    <phoneticPr fontId="2" type="noConversion"/>
  </si>
  <si>
    <t>王冬立</t>
    <phoneticPr fontId="2" type="noConversion"/>
  </si>
  <si>
    <t>德睿</t>
    <phoneticPr fontId="2" type="noConversion"/>
  </si>
  <si>
    <t>詹欣頤</t>
    <phoneticPr fontId="2" type="noConversion"/>
  </si>
  <si>
    <t>103.04、08</t>
    <phoneticPr fontId="2" type="noConversion"/>
  </si>
  <si>
    <t>E13P109</t>
    <phoneticPr fontId="2" type="noConversion"/>
  </si>
  <si>
    <t>第一龍潭</t>
    <phoneticPr fontId="2" type="noConversion"/>
  </si>
  <si>
    <t>29210028883</t>
    <phoneticPr fontId="2" type="noConversion"/>
  </si>
  <si>
    <t>P116</t>
    <phoneticPr fontId="2" type="noConversion"/>
  </si>
  <si>
    <t>王美智（附回函）</t>
    <phoneticPr fontId="2" type="noConversion"/>
  </si>
  <si>
    <t>長旺（前德睿）</t>
    <phoneticPr fontId="2" type="noConversion"/>
  </si>
  <si>
    <t>楊舒涵、陳婉柔</t>
    <phoneticPr fontId="2" type="noConversion"/>
  </si>
  <si>
    <t>103.08.26、08.28、09.04</t>
    <phoneticPr fontId="2" type="noConversion"/>
  </si>
  <si>
    <t>E17P65</t>
    <phoneticPr fontId="2" type="noConversion"/>
  </si>
  <si>
    <t>中信信義</t>
    <phoneticPr fontId="2" type="noConversion"/>
  </si>
  <si>
    <t>252540042729</t>
    <phoneticPr fontId="2" type="noConversion"/>
  </si>
  <si>
    <t>E17P81-82</t>
    <phoneticPr fontId="2" type="noConversion"/>
  </si>
  <si>
    <r>
      <t>王禎嫻</t>
    </r>
    <r>
      <rPr>
        <sz val="8"/>
        <color indexed="8"/>
        <rFont val="新細明體"/>
        <family val="1"/>
        <charset val="136"/>
      </rPr>
      <t>（匯款中信城中）</t>
    </r>
    <phoneticPr fontId="2" type="noConversion"/>
  </si>
  <si>
    <t>張峰達</t>
    <phoneticPr fontId="2" type="noConversion"/>
  </si>
  <si>
    <t>103.04.23</t>
    <phoneticPr fontId="2" type="noConversion"/>
  </si>
  <si>
    <t>張佳容戶頭</t>
    <phoneticPr fontId="2" type="noConversion"/>
  </si>
  <si>
    <t>王秀珠（附回函）</t>
    <phoneticPr fontId="2" type="noConversion"/>
  </si>
  <si>
    <t>蔡昕諺</t>
    <phoneticPr fontId="2" type="noConversion"/>
  </si>
  <si>
    <t>102.09.04</t>
    <phoneticPr fontId="2" type="noConversion"/>
  </si>
  <si>
    <t>王俊霖</t>
    <phoneticPr fontId="1" type="noConversion"/>
  </si>
  <si>
    <t>王俊霖</t>
    <phoneticPr fontId="2" type="noConversion"/>
  </si>
  <si>
    <t>王淑玲（附回函）</t>
    <phoneticPr fontId="2" type="noConversion"/>
  </si>
  <si>
    <t>聯寶</t>
    <phoneticPr fontId="2" type="noConversion"/>
  </si>
  <si>
    <t>高薇馨</t>
    <phoneticPr fontId="2" type="noConversion"/>
  </si>
  <si>
    <t>E19P46</t>
    <phoneticPr fontId="2" type="noConversion"/>
  </si>
  <si>
    <t>富邦龍山</t>
    <phoneticPr fontId="2" type="noConversion"/>
  </si>
  <si>
    <t>330168694091</t>
    <phoneticPr fontId="2" type="noConversion"/>
  </si>
  <si>
    <t>P52</t>
    <phoneticPr fontId="2" type="noConversion"/>
  </si>
  <si>
    <t>王麗綾（附回函）</t>
    <phoneticPr fontId="2" type="noConversion"/>
  </si>
  <si>
    <t>萬豐</t>
    <phoneticPr fontId="2" type="noConversion"/>
  </si>
  <si>
    <t>103.06.20</t>
    <phoneticPr fontId="2" type="noConversion"/>
  </si>
  <si>
    <t>E19P57</t>
    <phoneticPr fontId="2" type="noConversion"/>
  </si>
  <si>
    <t>王定忠（附回函）</t>
    <phoneticPr fontId="2" type="noConversion"/>
  </si>
  <si>
    <t>103.06、08</t>
    <phoneticPr fontId="2" type="noConversion"/>
  </si>
  <si>
    <t>E18P106</t>
    <phoneticPr fontId="2" type="noConversion"/>
  </si>
  <si>
    <t>富邦龍山、第一龍潭、台銀內湖</t>
    <phoneticPr fontId="2" type="noConversion"/>
  </si>
  <si>
    <t>330168694091、29210028883、153004368165</t>
    <phoneticPr fontId="2" type="noConversion"/>
  </si>
  <si>
    <t>P106、108、E19P60-64</t>
    <phoneticPr fontId="2" type="noConversion"/>
  </si>
  <si>
    <t>王端美（附回函）</t>
    <phoneticPr fontId="2" type="noConversion"/>
  </si>
  <si>
    <t>E19P83</t>
    <phoneticPr fontId="2" type="noConversion"/>
  </si>
  <si>
    <t>富邦龍山、第一龍潭</t>
    <phoneticPr fontId="2" type="noConversion"/>
  </si>
  <si>
    <t>330168694091、29210028883</t>
    <phoneticPr fontId="2" type="noConversion"/>
  </si>
  <si>
    <t>P85</t>
    <phoneticPr fontId="2" type="noConversion"/>
  </si>
  <si>
    <t>王碧枝（附回函）</t>
    <phoneticPr fontId="2" type="noConversion"/>
  </si>
  <si>
    <t>方燦堂（附回函）</t>
    <phoneticPr fontId="2" type="noConversion"/>
  </si>
  <si>
    <t>E19P89</t>
    <phoneticPr fontId="2" type="noConversion"/>
  </si>
  <si>
    <t>P89</t>
    <phoneticPr fontId="2" type="noConversion"/>
  </si>
  <si>
    <t>方秀娟（附回函）</t>
    <phoneticPr fontId="2" type="noConversion"/>
  </si>
  <si>
    <t>毛學玲（附回函）</t>
    <phoneticPr fontId="2" type="noConversion"/>
  </si>
  <si>
    <t>吳家穎</t>
    <phoneticPr fontId="2" type="noConversion"/>
  </si>
  <si>
    <t>103.04.21</t>
    <phoneticPr fontId="2" type="noConversion"/>
  </si>
  <si>
    <t>E13P125</t>
    <phoneticPr fontId="2" type="noConversion"/>
  </si>
  <si>
    <t>白靜婷（附回函）</t>
    <phoneticPr fontId="2" type="noConversion"/>
  </si>
  <si>
    <t>伍正康（附回函）</t>
    <phoneticPr fontId="2" type="noConversion"/>
  </si>
  <si>
    <t>陳薇伃</t>
    <phoneticPr fontId="2" type="noConversion"/>
  </si>
  <si>
    <t>103.05、08、09</t>
    <phoneticPr fontId="2" type="noConversion"/>
  </si>
  <si>
    <t>中信城中、國泰明誠、第一龍潭</t>
    <phoneticPr fontId="2" type="noConversion"/>
  </si>
  <si>
    <t>107540515259、277506082015、29210028883</t>
    <phoneticPr fontId="2" type="noConversion"/>
  </si>
  <si>
    <t>P135-136</t>
    <phoneticPr fontId="2" type="noConversion"/>
  </si>
  <si>
    <t>巫正和（附回函）</t>
    <phoneticPr fontId="2" type="noConversion"/>
  </si>
  <si>
    <t>萬鈞</t>
    <phoneticPr fontId="2" type="noConversion"/>
  </si>
  <si>
    <t>季采璇</t>
    <phoneticPr fontId="2" type="noConversion"/>
  </si>
  <si>
    <t>卷四P117</t>
    <phoneticPr fontId="2" type="noConversion"/>
  </si>
  <si>
    <t>余春財（附回函）</t>
    <phoneticPr fontId="2" type="noConversion"/>
  </si>
  <si>
    <t>兆豐</t>
    <phoneticPr fontId="2" type="noConversion"/>
  </si>
  <si>
    <t>黃詩婷</t>
    <phoneticPr fontId="2" type="noConversion"/>
  </si>
  <si>
    <t>103.07、10</t>
    <phoneticPr fontId="2" type="noConversion"/>
  </si>
  <si>
    <t>呂月美（附回函）</t>
    <phoneticPr fontId="2" type="noConversion"/>
  </si>
  <si>
    <t>楊舒涵</t>
    <phoneticPr fontId="2" type="noConversion"/>
  </si>
  <si>
    <t>103.08.28</t>
    <phoneticPr fontId="2" type="noConversion"/>
  </si>
  <si>
    <t>E17P91</t>
    <phoneticPr fontId="2" type="noConversion"/>
  </si>
  <si>
    <t>P91</t>
    <phoneticPr fontId="2" type="noConversion"/>
  </si>
  <si>
    <t>呂繆文</t>
    <phoneticPr fontId="1" type="noConversion"/>
  </si>
  <si>
    <t>呂繆文</t>
    <phoneticPr fontId="2" type="noConversion"/>
  </si>
  <si>
    <t>吳梅枝</t>
    <phoneticPr fontId="2" type="noConversion"/>
  </si>
  <si>
    <r>
      <t>吳堃霖</t>
    </r>
    <r>
      <rPr>
        <sz val="8"/>
        <color indexed="8"/>
        <rFont val="新細明體"/>
        <family val="1"/>
        <charset val="136"/>
      </rPr>
      <t>（匯款中信城中）</t>
    </r>
    <phoneticPr fontId="2" type="noConversion"/>
  </si>
  <si>
    <t>吳堃霖</t>
  </si>
  <si>
    <t>吳家穎（員工）</t>
    <phoneticPr fontId="2" type="noConversion"/>
  </si>
  <si>
    <t>吳世隆（附回函）</t>
    <phoneticPr fontId="2" type="noConversion"/>
  </si>
  <si>
    <t>吳劉素琴（附回函）</t>
    <phoneticPr fontId="2" type="noConversion"/>
  </si>
  <si>
    <t>吳劉素</t>
  </si>
  <si>
    <t>吳銘展（附回函）</t>
    <phoneticPr fontId="2" type="noConversion"/>
  </si>
  <si>
    <t>吳怡欣（附回函）</t>
    <phoneticPr fontId="2" type="noConversion"/>
  </si>
  <si>
    <t>小羽</t>
    <phoneticPr fontId="2" type="noConversion"/>
  </si>
  <si>
    <t>中信城中</t>
    <phoneticPr fontId="2" type="noConversion"/>
  </si>
  <si>
    <t>107540515259</t>
    <phoneticPr fontId="2" type="noConversion"/>
  </si>
  <si>
    <t>P175</t>
    <phoneticPr fontId="2" type="noConversion"/>
  </si>
  <si>
    <r>
      <t>吳勝傑</t>
    </r>
    <r>
      <rPr>
        <sz val="8"/>
        <color indexed="8"/>
        <rFont val="新細明體"/>
        <family val="1"/>
        <charset val="136"/>
      </rPr>
      <t>（匯款中信城中）</t>
    </r>
    <phoneticPr fontId="2" type="noConversion"/>
  </si>
  <si>
    <t>吳景輝（附回函）</t>
    <phoneticPr fontId="2" type="noConversion"/>
  </si>
  <si>
    <t>吳俊宏（附回函）</t>
    <phoneticPr fontId="2" type="noConversion"/>
  </si>
  <si>
    <t>張駿杰</t>
    <phoneticPr fontId="2" type="noConversion"/>
  </si>
  <si>
    <t>104.01、06</t>
    <phoneticPr fontId="2" type="noConversion"/>
  </si>
  <si>
    <t>E19P168、卷四P135</t>
    <phoneticPr fontId="2" type="noConversion"/>
  </si>
  <si>
    <t>第一銀行</t>
    <phoneticPr fontId="2" type="noConversion"/>
  </si>
  <si>
    <t>P171</t>
    <phoneticPr fontId="2" type="noConversion"/>
  </si>
  <si>
    <r>
      <t>吳柏羽</t>
    </r>
    <r>
      <rPr>
        <sz val="8"/>
        <color indexed="8"/>
        <rFont val="新細明體"/>
        <family val="1"/>
        <charset val="136"/>
      </rPr>
      <t>（匯款中信城中）</t>
    </r>
    <phoneticPr fontId="2" type="noConversion"/>
  </si>
  <si>
    <t>吳翠琴（附回函）</t>
    <phoneticPr fontId="2" type="noConversion"/>
  </si>
  <si>
    <r>
      <t>李梅芬</t>
    </r>
    <r>
      <rPr>
        <sz val="8"/>
        <color indexed="8"/>
        <rFont val="新細明體"/>
        <family val="1"/>
        <charset val="136"/>
      </rPr>
      <t>（匯款中信城中）</t>
    </r>
    <phoneticPr fontId="2" type="noConversion"/>
  </si>
  <si>
    <t>李如玉（附回函）</t>
    <phoneticPr fontId="2" type="noConversion"/>
  </si>
  <si>
    <t>黃馨儀、蔡盺諺</t>
    <phoneticPr fontId="2" type="noConversion"/>
  </si>
  <si>
    <t>103.06.13、08.20</t>
    <phoneticPr fontId="2" type="noConversion"/>
  </si>
  <si>
    <t>E13P190、201</t>
    <phoneticPr fontId="2" type="noConversion"/>
  </si>
  <si>
    <t>P202</t>
    <phoneticPr fontId="2" type="noConversion"/>
  </si>
  <si>
    <t>李方淑媛（附回函)</t>
    <phoneticPr fontId="2" type="noConversion"/>
  </si>
  <si>
    <t>李方淑</t>
  </si>
  <si>
    <t>林柏嫻</t>
    <phoneticPr fontId="2" type="noConversion"/>
  </si>
  <si>
    <t>103.03.24</t>
    <phoneticPr fontId="2" type="noConversion"/>
  </si>
  <si>
    <t>E19P202</t>
    <phoneticPr fontId="2" type="noConversion"/>
  </si>
  <si>
    <t>李孟訓（附回函）</t>
    <phoneticPr fontId="2" type="noConversion"/>
  </si>
  <si>
    <t>103.03.14、08.11</t>
    <phoneticPr fontId="2" type="noConversion"/>
  </si>
  <si>
    <t>E13P190、204</t>
    <phoneticPr fontId="2" type="noConversion"/>
  </si>
  <si>
    <t>P203</t>
    <phoneticPr fontId="2" type="noConversion"/>
  </si>
  <si>
    <r>
      <t>李純香</t>
    </r>
    <r>
      <rPr>
        <sz val="8"/>
        <color indexed="8"/>
        <rFont val="新細明體"/>
        <family val="1"/>
        <charset val="136"/>
      </rPr>
      <t>（匯款中信城中）</t>
    </r>
    <phoneticPr fontId="2" type="noConversion"/>
  </si>
  <si>
    <t>李珍妮（附回函)</t>
    <phoneticPr fontId="2" type="noConversion"/>
  </si>
  <si>
    <t>E17P10</t>
    <phoneticPr fontId="2" type="noConversion"/>
  </si>
  <si>
    <t>E17P46-47</t>
    <phoneticPr fontId="2" type="noConversion"/>
  </si>
  <si>
    <t>李純綾（附回函）</t>
    <phoneticPr fontId="2" type="noConversion"/>
  </si>
  <si>
    <t>103.04、05、08</t>
    <phoneticPr fontId="2" type="noConversion"/>
  </si>
  <si>
    <t>E19P205</t>
    <phoneticPr fontId="2" type="noConversion"/>
  </si>
  <si>
    <t>中信城中、第一銀行</t>
    <phoneticPr fontId="2" type="noConversion"/>
  </si>
  <si>
    <t>107540515259、29210028883</t>
    <phoneticPr fontId="2" type="noConversion"/>
  </si>
  <si>
    <t>P210-211</t>
    <phoneticPr fontId="2" type="noConversion"/>
  </si>
  <si>
    <t>李梅枝</t>
    <phoneticPr fontId="2" type="noConversion"/>
  </si>
  <si>
    <t>李慧玲（附回函）</t>
    <phoneticPr fontId="2" type="noConversion"/>
  </si>
  <si>
    <t>玉山城中</t>
    <phoneticPr fontId="2" type="noConversion"/>
  </si>
  <si>
    <t>0532979066757</t>
    <phoneticPr fontId="2" type="noConversion"/>
  </si>
  <si>
    <t>E20P5</t>
    <phoneticPr fontId="2" type="noConversion"/>
  </si>
  <si>
    <t>王泓仁</t>
    <phoneticPr fontId="2" type="noConversion"/>
  </si>
  <si>
    <t>李珍儀（附回函）</t>
    <phoneticPr fontId="2" type="noConversion"/>
  </si>
  <si>
    <t>陳淑賢</t>
    <phoneticPr fontId="2" type="noConversion"/>
  </si>
  <si>
    <t>卷四P153</t>
    <phoneticPr fontId="2" type="noConversion"/>
  </si>
  <si>
    <t>富邦龍山</t>
    <phoneticPr fontId="2" type="noConversion"/>
  </si>
  <si>
    <t>李桂鶯（附回函）</t>
    <phoneticPr fontId="2" type="noConversion"/>
  </si>
  <si>
    <t>李永澤（附回函）</t>
    <phoneticPr fontId="2" type="noConversion"/>
  </si>
  <si>
    <t>中信</t>
    <phoneticPr fontId="2" type="noConversion"/>
  </si>
  <si>
    <t>吳淑賢</t>
    <phoneticPr fontId="2" type="noConversion"/>
  </si>
  <si>
    <t>103.06、08、10</t>
    <phoneticPr fontId="2" type="noConversion"/>
  </si>
  <si>
    <t>卷四P157</t>
    <phoneticPr fontId="2" type="noConversion"/>
  </si>
  <si>
    <t>330168694091</t>
    <phoneticPr fontId="2" type="noConversion"/>
  </si>
  <si>
    <t>李宜蓉（附回函）</t>
    <phoneticPr fontId="2" type="noConversion"/>
  </si>
  <si>
    <t>聯寶、萬豐</t>
    <phoneticPr fontId="2" type="noConversion"/>
  </si>
  <si>
    <t>林寰莙</t>
    <phoneticPr fontId="2" type="noConversion"/>
  </si>
  <si>
    <t>103.10.16</t>
    <phoneticPr fontId="2" type="noConversion"/>
  </si>
  <si>
    <t>E18P5、卷四P159</t>
    <phoneticPr fontId="2" type="noConversion"/>
  </si>
  <si>
    <t>P8</t>
    <phoneticPr fontId="2" type="noConversion"/>
  </si>
  <si>
    <t>李渝倬（附回函）</t>
    <phoneticPr fontId="2" type="noConversion"/>
  </si>
  <si>
    <t>第一銀行</t>
    <phoneticPr fontId="2" type="noConversion"/>
  </si>
  <si>
    <t>E20P39</t>
    <phoneticPr fontId="2" type="noConversion"/>
  </si>
  <si>
    <t>李德昱（附回函)</t>
    <phoneticPr fontId="2" type="noConversion"/>
  </si>
  <si>
    <t>德睿</t>
    <phoneticPr fontId="2" type="noConversion"/>
  </si>
  <si>
    <t>何采蓉</t>
    <phoneticPr fontId="2" type="noConversion"/>
  </si>
  <si>
    <t>103.04、08</t>
    <phoneticPr fontId="2" type="noConversion"/>
  </si>
  <si>
    <t>E20P43</t>
    <phoneticPr fontId="2" type="noConversion"/>
  </si>
  <si>
    <r>
      <t>杜方竹</t>
    </r>
    <r>
      <rPr>
        <sz val="8"/>
        <color indexed="8"/>
        <rFont val="新細明體"/>
        <family val="1"/>
        <charset val="136"/>
      </rPr>
      <t>（匯款中信城中）</t>
    </r>
    <phoneticPr fontId="2" type="noConversion"/>
  </si>
  <si>
    <t>蘇彥嘉</t>
    <phoneticPr fontId="2" type="noConversion"/>
  </si>
  <si>
    <t>E20P58</t>
    <phoneticPr fontId="2" type="noConversion"/>
  </si>
  <si>
    <r>
      <t>佘桂芳</t>
    </r>
    <r>
      <rPr>
        <sz val="8"/>
        <color indexed="8"/>
        <rFont val="新細明體"/>
        <family val="1"/>
        <charset val="136"/>
      </rPr>
      <t>（匯款中信城中）</t>
    </r>
    <phoneticPr fontId="2" type="noConversion"/>
  </si>
  <si>
    <t>蔡盺諺</t>
    <phoneticPr fontId="2" type="noConversion"/>
  </si>
  <si>
    <t>103.04.02、08.11</t>
    <phoneticPr fontId="2" type="noConversion"/>
  </si>
  <si>
    <t>E13P190</t>
    <phoneticPr fontId="2" type="noConversion"/>
  </si>
  <si>
    <t>何彩綢（附回函）</t>
    <phoneticPr fontId="2" type="noConversion"/>
  </si>
  <si>
    <t>何漢禹</t>
    <phoneticPr fontId="2" type="noConversion"/>
  </si>
  <si>
    <t>吳家穎</t>
    <phoneticPr fontId="2" type="noConversion"/>
  </si>
  <si>
    <t>E20P77</t>
    <phoneticPr fontId="2" type="noConversion"/>
  </si>
  <si>
    <t>宋愛萍（附回函）</t>
    <phoneticPr fontId="2" type="noConversion"/>
  </si>
  <si>
    <t>103.06.18、08.05</t>
    <phoneticPr fontId="2" type="noConversion"/>
  </si>
  <si>
    <t>E14P54</t>
    <phoneticPr fontId="2" type="noConversion"/>
  </si>
  <si>
    <t>P60</t>
    <phoneticPr fontId="2" type="noConversion"/>
  </si>
  <si>
    <t>宋正鑫（附回函）</t>
    <phoneticPr fontId="2" type="noConversion"/>
  </si>
  <si>
    <t>聯寶</t>
    <phoneticPr fontId="2" type="noConversion"/>
  </si>
  <si>
    <t>黃秋華</t>
    <phoneticPr fontId="2" type="noConversion"/>
  </si>
  <si>
    <t>103.12.04</t>
    <phoneticPr fontId="2" type="noConversion"/>
  </si>
  <si>
    <t>E14P54、卷四P169</t>
    <phoneticPr fontId="2" type="noConversion"/>
  </si>
  <si>
    <t>P86</t>
    <phoneticPr fontId="2" type="noConversion"/>
  </si>
  <si>
    <t>聚亨</t>
    <phoneticPr fontId="2" type="noConversion"/>
  </si>
  <si>
    <t>許睿彤</t>
    <phoneticPr fontId="2" type="noConversion"/>
  </si>
  <si>
    <t>103.12.22</t>
    <phoneticPr fontId="2" type="noConversion"/>
  </si>
  <si>
    <t>國泰世華</t>
    <phoneticPr fontId="2" type="noConversion"/>
  </si>
  <si>
    <t>005500200563</t>
    <phoneticPr fontId="2" type="noConversion"/>
  </si>
  <si>
    <t>P67</t>
    <phoneticPr fontId="2" type="noConversion"/>
  </si>
  <si>
    <t>邱綉珍</t>
    <phoneticPr fontId="2" type="noConversion"/>
  </si>
  <si>
    <t>邱綉珍</t>
  </si>
  <si>
    <t>邱永鎮（附回函）</t>
    <phoneticPr fontId="2" type="noConversion"/>
  </si>
  <si>
    <r>
      <t>邱必義</t>
    </r>
    <r>
      <rPr>
        <sz val="8"/>
        <color indexed="8"/>
        <rFont val="新細明體"/>
        <family val="1"/>
        <charset val="136"/>
      </rPr>
      <t>（匯款中信城中）</t>
    </r>
    <phoneticPr fontId="2" type="noConversion"/>
  </si>
  <si>
    <t>邱碧芬（附回函）</t>
    <phoneticPr fontId="2" type="noConversion"/>
  </si>
  <si>
    <t>103.03、04、07</t>
    <phoneticPr fontId="2" type="noConversion"/>
  </si>
  <si>
    <t>E20P81、卷四P171</t>
    <phoneticPr fontId="2" type="noConversion"/>
  </si>
  <si>
    <t>邵良慧（附回函）</t>
    <phoneticPr fontId="2" type="noConversion"/>
  </si>
  <si>
    <t>兆豐</t>
    <phoneticPr fontId="2" type="noConversion"/>
  </si>
  <si>
    <t>詹雅玲</t>
    <phoneticPr fontId="2" type="noConversion"/>
  </si>
  <si>
    <t>E20P82</t>
    <phoneticPr fontId="2" type="noConversion"/>
  </si>
  <si>
    <r>
      <t>卓維煌</t>
    </r>
    <r>
      <rPr>
        <sz val="8"/>
        <color indexed="8"/>
        <rFont val="新細明體"/>
        <family val="1"/>
        <charset val="136"/>
      </rPr>
      <t>（匯款中信城中）</t>
    </r>
    <phoneticPr fontId="2" type="noConversion"/>
  </si>
  <si>
    <t>林素柳</t>
    <phoneticPr fontId="2" type="noConversion"/>
  </si>
  <si>
    <t>劉明英</t>
    <phoneticPr fontId="2" type="noConversion"/>
  </si>
  <si>
    <t>E20P104</t>
    <phoneticPr fontId="2" type="noConversion"/>
  </si>
  <si>
    <t>上海高雄</t>
    <phoneticPr fontId="2" type="noConversion"/>
  </si>
  <si>
    <t>04203000479507</t>
    <phoneticPr fontId="2" type="noConversion"/>
  </si>
  <si>
    <t>P105</t>
    <phoneticPr fontId="2" type="noConversion"/>
  </si>
  <si>
    <t>林智瑝( 附回函)</t>
    <phoneticPr fontId="2" type="noConversion"/>
  </si>
  <si>
    <t>林智瑝</t>
  </si>
  <si>
    <t>103.2.25、07</t>
    <phoneticPr fontId="2" type="noConversion"/>
  </si>
  <si>
    <t/>
  </si>
  <si>
    <r>
      <t>林依潔</t>
    </r>
    <r>
      <rPr>
        <sz val="8"/>
        <color indexed="8"/>
        <rFont val="新細明體"/>
        <family val="1"/>
        <charset val="136"/>
      </rPr>
      <t>（匯款中信城中）</t>
    </r>
    <phoneticPr fontId="2" type="noConversion"/>
  </si>
  <si>
    <t>林須惠（附回函）</t>
    <phoneticPr fontId="2" type="noConversion"/>
  </si>
  <si>
    <t>林淑蓉（附回函)</t>
    <phoneticPr fontId="2" type="noConversion"/>
  </si>
  <si>
    <t>103.10月</t>
    <phoneticPr fontId="2" type="noConversion"/>
  </si>
  <si>
    <t>E14P1</t>
    <phoneticPr fontId="2" type="noConversion"/>
  </si>
  <si>
    <t>林仁正（E20_p157）</t>
    <phoneticPr fontId="2" type="noConversion"/>
  </si>
  <si>
    <t>長旺</t>
    <phoneticPr fontId="2" type="noConversion"/>
  </si>
  <si>
    <t>陳誼秦</t>
    <phoneticPr fontId="2" type="noConversion"/>
  </si>
  <si>
    <t>E20P110</t>
    <phoneticPr fontId="2" type="noConversion"/>
  </si>
  <si>
    <t>中信信義</t>
    <phoneticPr fontId="2" type="noConversion"/>
  </si>
  <si>
    <t>252540042729</t>
    <phoneticPr fontId="2" type="noConversion"/>
  </si>
  <si>
    <t>沈花女</t>
    <phoneticPr fontId="2" type="noConversion"/>
  </si>
  <si>
    <r>
      <t>林延鳳</t>
    </r>
    <r>
      <rPr>
        <sz val="8"/>
        <color indexed="8"/>
        <rFont val="新細明體"/>
        <family val="1"/>
        <charset val="136"/>
      </rPr>
      <t>（匯款中信城中）</t>
    </r>
    <phoneticPr fontId="2" type="noConversion"/>
  </si>
  <si>
    <t>詹欣頤</t>
    <phoneticPr fontId="2" type="noConversion"/>
  </si>
  <si>
    <t>103.05、07、10</t>
    <phoneticPr fontId="2" type="noConversion"/>
  </si>
  <si>
    <t>E20P123</t>
    <phoneticPr fontId="2" type="noConversion"/>
  </si>
  <si>
    <t>林進文</t>
    <phoneticPr fontId="2" type="noConversion"/>
  </si>
  <si>
    <t>103.08、104、06</t>
    <phoneticPr fontId="2" type="noConversion"/>
  </si>
  <si>
    <t>E20P129</t>
    <phoneticPr fontId="2" type="noConversion"/>
  </si>
  <si>
    <t>林谷安（附回函）</t>
    <phoneticPr fontId="2" type="noConversion"/>
  </si>
  <si>
    <t>林安安(附回函)</t>
    <phoneticPr fontId="2" type="noConversion"/>
  </si>
  <si>
    <t>張玉汝</t>
    <phoneticPr fontId="2" type="noConversion"/>
  </si>
  <si>
    <t>103.02.25</t>
    <phoneticPr fontId="2" type="noConversion"/>
  </si>
  <si>
    <t>E20P137</t>
    <phoneticPr fontId="2" type="noConversion"/>
  </si>
  <si>
    <t>林榮茂</t>
    <phoneticPr fontId="2" type="noConversion"/>
  </si>
  <si>
    <t>林孟宗（附回函）</t>
    <phoneticPr fontId="2" type="noConversion"/>
  </si>
  <si>
    <t>103.12.29</t>
    <phoneticPr fontId="2" type="noConversion"/>
  </si>
  <si>
    <t>富邦龍山分行</t>
    <phoneticPr fontId="2" type="noConversion"/>
  </si>
  <si>
    <t>P14</t>
    <phoneticPr fontId="2" type="noConversion"/>
  </si>
  <si>
    <t>林玉綿（附回函）</t>
    <phoneticPr fontId="2" type="noConversion"/>
  </si>
  <si>
    <t>林文香（附回函）</t>
    <phoneticPr fontId="2" type="noConversion"/>
  </si>
  <si>
    <t>103.03、12</t>
    <phoneticPr fontId="2" type="noConversion"/>
  </si>
  <si>
    <t>卷四P191</t>
    <phoneticPr fontId="2" type="noConversion"/>
  </si>
  <si>
    <t>林楷宸（附回函）</t>
    <phoneticPr fontId="2" type="noConversion"/>
  </si>
  <si>
    <t>林錦秀（附回函）</t>
    <phoneticPr fontId="2" type="noConversion"/>
  </si>
  <si>
    <t>陳小姐</t>
    <phoneticPr fontId="2" type="noConversion"/>
  </si>
  <si>
    <t>103.04.11</t>
    <phoneticPr fontId="2" type="noConversion"/>
  </si>
  <si>
    <t>E14P99</t>
    <phoneticPr fontId="2" type="noConversion"/>
  </si>
  <si>
    <t>林麗雲（附回函）</t>
    <phoneticPr fontId="2" type="noConversion"/>
  </si>
  <si>
    <t>京旺</t>
    <phoneticPr fontId="2" type="noConversion"/>
  </si>
  <si>
    <t>何金芳</t>
    <phoneticPr fontId="2" type="noConversion"/>
  </si>
  <si>
    <t>E14P99、135、卷四P199</t>
    <phoneticPr fontId="2" type="noConversion"/>
  </si>
  <si>
    <t>林坡顯（附回函）</t>
    <phoneticPr fontId="2" type="noConversion"/>
  </si>
  <si>
    <t>萬豐</t>
    <phoneticPr fontId="2" type="noConversion"/>
  </si>
  <si>
    <t>高薇馨</t>
    <phoneticPr fontId="2" type="noConversion"/>
  </si>
  <si>
    <t>103.08.05</t>
    <phoneticPr fontId="2" type="noConversion"/>
  </si>
  <si>
    <t>E14P1、卷四P201</t>
    <phoneticPr fontId="2" type="noConversion"/>
  </si>
  <si>
    <t>林賜恩</t>
    <phoneticPr fontId="2" type="noConversion"/>
  </si>
  <si>
    <t>林金虎（附回函）</t>
    <phoneticPr fontId="2" type="noConversion"/>
  </si>
  <si>
    <t>官裕宗（附回函）</t>
    <phoneticPr fontId="2" type="noConversion"/>
  </si>
  <si>
    <t>鍾昌益</t>
    <phoneticPr fontId="2" type="noConversion"/>
  </si>
  <si>
    <t>103.03、08</t>
    <phoneticPr fontId="2" type="noConversion"/>
  </si>
  <si>
    <t>E14P99、141</t>
    <phoneticPr fontId="2" type="noConversion"/>
  </si>
  <si>
    <t>中國信託、第一銀行</t>
    <phoneticPr fontId="2" type="noConversion"/>
  </si>
  <si>
    <t>107540515259、29210028883</t>
    <phoneticPr fontId="2" type="noConversion"/>
  </si>
  <si>
    <t>P142、143</t>
    <phoneticPr fontId="2" type="noConversion"/>
  </si>
  <si>
    <r>
      <t>洪仁成</t>
    </r>
    <r>
      <rPr>
        <sz val="8"/>
        <color indexed="8"/>
        <rFont val="新細明體"/>
        <family val="1"/>
        <charset val="136"/>
      </rPr>
      <t>（匯款中信城中）</t>
    </r>
    <phoneticPr fontId="2" type="noConversion"/>
  </si>
  <si>
    <r>
      <t>洪榮森</t>
    </r>
    <r>
      <rPr>
        <sz val="8"/>
        <color indexed="8"/>
        <rFont val="新細明體"/>
        <family val="1"/>
        <charset val="136"/>
      </rPr>
      <t>（匯款中信城中）</t>
    </r>
    <phoneticPr fontId="2" type="noConversion"/>
  </si>
  <si>
    <t>洪康倪</t>
    <phoneticPr fontId="1" type="noConversion"/>
  </si>
  <si>
    <t>洪康倪</t>
    <phoneticPr fontId="2" type="noConversion"/>
  </si>
  <si>
    <t>陳麗文</t>
    <phoneticPr fontId="2" type="noConversion"/>
  </si>
  <si>
    <t>103.09.08</t>
    <phoneticPr fontId="2" type="noConversion"/>
  </si>
  <si>
    <t>E14P152</t>
    <phoneticPr fontId="2" type="noConversion"/>
  </si>
  <si>
    <t>第一銀行龍潭</t>
    <phoneticPr fontId="2" type="noConversion"/>
  </si>
  <si>
    <t>P172</t>
    <phoneticPr fontId="2" type="noConversion"/>
  </si>
  <si>
    <t>洪筱梅（附回函）</t>
    <phoneticPr fontId="2" type="noConversion"/>
  </si>
  <si>
    <t>陳寰莙</t>
    <phoneticPr fontId="2" type="noConversion"/>
  </si>
  <si>
    <t>103.04.003</t>
    <phoneticPr fontId="2" type="noConversion"/>
  </si>
  <si>
    <t>玉山城中王泓仁帳戶</t>
    <phoneticPr fontId="2" type="noConversion"/>
  </si>
  <si>
    <t>0532979066757</t>
    <phoneticPr fontId="2" type="noConversion"/>
  </si>
  <si>
    <t>P222</t>
    <phoneticPr fontId="2" type="noConversion"/>
  </si>
  <si>
    <t>侯照純(員工 )</t>
    <phoneticPr fontId="2" type="noConversion"/>
  </si>
  <si>
    <r>
      <t>姚文清</t>
    </r>
    <r>
      <rPr>
        <sz val="8"/>
        <color indexed="8"/>
        <rFont val="新細明體"/>
        <family val="1"/>
        <charset val="136"/>
      </rPr>
      <t>（匯款中信城中）</t>
    </r>
    <phoneticPr fontId="2" type="noConversion"/>
  </si>
  <si>
    <t>姚慧珠（附回函）</t>
    <phoneticPr fontId="2" type="noConversion"/>
  </si>
  <si>
    <t>紀若凡</t>
    <phoneticPr fontId="2" type="noConversion"/>
  </si>
  <si>
    <t>柯重安（府回函）</t>
    <phoneticPr fontId="2" type="noConversion"/>
  </si>
  <si>
    <t>P232</t>
    <phoneticPr fontId="2" type="noConversion"/>
  </si>
  <si>
    <t>胡英俊（附回函）</t>
    <phoneticPr fontId="2" type="noConversion"/>
  </si>
  <si>
    <t>立達</t>
    <phoneticPr fontId="2" type="noConversion"/>
  </si>
  <si>
    <t>許家欣</t>
    <phoneticPr fontId="2" type="noConversion"/>
  </si>
  <si>
    <t>卷四P213</t>
    <phoneticPr fontId="2" type="noConversion"/>
  </si>
  <si>
    <t>聯邦忠孝</t>
    <phoneticPr fontId="2" type="noConversion"/>
  </si>
  <si>
    <t>026501113922</t>
    <phoneticPr fontId="2" type="noConversion"/>
  </si>
  <si>
    <r>
      <t>施繼正</t>
    </r>
    <r>
      <rPr>
        <sz val="8"/>
        <color indexed="8"/>
        <rFont val="新細明體"/>
        <family val="1"/>
        <charset val="136"/>
      </rPr>
      <t>（匯款中信城中）</t>
    </r>
    <phoneticPr fontId="2" type="noConversion"/>
  </si>
  <si>
    <t>林柏嫻</t>
    <phoneticPr fontId="2" type="noConversion"/>
  </si>
  <si>
    <t>E20P150</t>
    <phoneticPr fontId="2" type="noConversion"/>
  </si>
  <si>
    <t>P153</t>
    <phoneticPr fontId="2" type="noConversion"/>
  </si>
  <si>
    <r>
      <t>施瑞霖</t>
    </r>
    <r>
      <rPr>
        <sz val="8"/>
        <color indexed="8"/>
        <rFont val="新細明體"/>
        <family val="1"/>
        <charset val="136"/>
      </rPr>
      <t>（匯款中信城中）</t>
    </r>
    <phoneticPr fontId="2" type="noConversion"/>
  </si>
  <si>
    <t>黃亭瑄</t>
    <phoneticPr fontId="2" type="noConversion"/>
  </si>
  <si>
    <t>103.04.17</t>
    <phoneticPr fontId="2" type="noConversion"/>
  </si>
  <si>
    <t>E14P147</t>
    <phoneticPr fontId="2" type="noConversion"/>
  </si>
  <si>
    <t>范登閔（附回函）</t>
    <phoneticPr fontId="2" type="noConversion"/>
  </si>
  <si>
    <r>
      <t>范馨云</t>
    </r>
    <r>
      <rPr>
        <sz val="8"/>
        <color indexed="8"/>
        <rFont val="新細明體"/>
        <family val="1"/>
        <charset val="136"/>
      </rPr>
      <t>（匯款中信城中）</t>
    </r>
    <phoneticPr fontId="2" type="noConversion"/>
  </si>
  <si>
    <t>陳薇伃</t>
    <phoneticPr fontId="2" type="noConversion"/>
  </si>
  <si>
    <t>103.03.24</t>
    <phoneticPr fontId="2" type="noConversion"/>
  </si>
  <si>
    <t>P110、116</t>
    <phoneticPr fontId="2" type="noConversion"/>
  </si>
  <si>
    <t>南仲明（附回函）</t>
    <phoneticPr fontId="2" type="noConversion"/>
  </si>
  <si>
    <t>E20P156</t>
    <phoneticPr fontId="2" type="noConversion"/>
  </si>
  <si>
    <t>P156</t>
    <phoneticPr fontId="2" type="noConversion"/>
  </si>
  <si>
    <t>俞秋影</t>
    <phoneticPr fontId="2" type="noConversion"/>
  </si>
  <si>
    <t>翁志清（附回函)</t>
    <phoneticPr fontId="2" type="noConversion"/>
  </si>
  <si>
    <t>富邦、中信</t>
    <phoneticPr fontId="2" type="noConversion"/>
  </si>
  <si>
    <t>713302007276、252540042729</t>
    <phoneticPr fontId="2" type="noConversion"/>
  </si>
  <si>
    <t>P63</t>
    <phoneticPr fontId="2" type="noConversion"/>
  </si>
  <si>
    <t>103.06.09、08.11</t>
    <phoneticPr fontId="2" type="noConversion"/>
  </si>
  <si>
    <t>E18P21</t>
    <phoneticPr fontId="2" type="noConversion"/>
  </si>
  <si>
    <t>徐鳳瑾（附回函）</t>
    <phoneticPr fontId="2" type="noConversion"/>
  </si>
  <si>
    <t>侯玲玲</t>
    <phoneticPr fontId="2" type="noConversion"/>
  </si>
  <si>
    <t>103.05.13</t>
    <phoneticPr fontId="2" type="noConversion"/>
  </si>
  <si>
    <t>E18P94</t>
    <phoneticPr fontId="2" type="noConversion"/>
  </si>
  <si>
    <t>徐正民（附回函)</t>
    <phoneticPr fontId="2" type="noConversion"/>
  </si>
  <si>
    <t>103.04.21</t>
    <phoneticPr fontId="2" type="noConversion"/>
  </si>
  <si>
    <t>E20P169</t>
    <phoneticPr fontId="2" type="noConversion"/>
  </si>
  <si>
    <t>中信城中、第一龍潭</t>
    <phoneticPr fontId="2" type="noConversion"/>
  </si>
  <si>
    <t>P170、171</t>
    <phoneticPr fontId="2" type="noConversion"/>
  </si>
  <si>
    <t>徐秀甘（回函）</t>
    <phoneticPr fontId="2" type="noConversion"/>
  </si>
  <si>
    <t>103.04.09</t>
    <phoneticPr fontId="2" type="noConversion"/>
  </si>
  <si>
    <t>中國信託城中、第一商銀龍潭</t>
    <phoneticPr fontId="2" type="noConversion"/>
  </si>
  <si>
    <t>徐錫瑤（附回函）</t>
    <phoneticPr fontId="2" type="noConversion"/>
  </si>
  <si>
    <t>張維哲</t>
    <phoneticPr fontId="2" type="noConversion"/>
  </si>
  <si>
    <t>103.03.03、06.23</t>
    <phoneticPr fontId="2" type="noConversion"/>
  </si>
  <si>
    <t>E15P7</t>
    <phoneticPr fontId="2" type="noConversion"/>
  </si>
  <si>
    <t>國泰世華松山分行、中國信託</t>
    <phoneticPr fontId="2" type="noConversion"/>
  </si>
  <si>
    <t>037577038687、107540515259</t>
    <phoneticPr fontId="2" type="noConversion"/>
  </si>
  <si>
    <t>P43、45</t>
    <phoneticPr fontId="2" type="noConversion"/>
  </si>
  <si>
    <t>徐弘縣（附回函）</t>
    <phoneticPr fontId="2" type="noConversion"/>
  </si>
  <si>
    <t>高素雲（附回函)</t>
    <phoneticPr fontId="2" type="noConversion"/>
  </si>
  <si>
    <r>
      <t>高欣瑜</t>
    </r>
    <r>
      <rPr>
        <sz val="8"/>
        <color indexed="8"/>
        <rFont val="新細明體"/>
        <family val="1"/>
        <charset val="136"/>
      </rPr>
      <t>(匯款中信城中)</t>
    </r>
    <phoneticPr fontId="2" type="noConversion"/>
  </si>
  <si>
    <t>高玉綢（附回函）</t>
    <phoneticPr fontId="2" type="noConversion"/>
  </si>
  <si>
    <t>103.02.27、04.10、06.30</t>
    <phoneticPr fontId="2" type="noConversion"/>
  </si>
  <si>
    <t>E16P7</t>
    <phoneticPr fontId="2" type="noConversion"/>
  </si>
  <si>
    <t>高光陸（附回函）</t>
    <phoneticPr fontId="2" type="noConversion"/>
  </si>
  <si>
    <t>103.03.17、05.27、08.12</t>
    <phoneticPr fontId="2" type="noConversion"/>
  </si>
  <si>
    <t>瑞興銀行城內分行、第一銀行光復分行</t>
    <phoneticPr fontId="2" type="noConversion"/>
  </si>
  <si>
    <t>P19</t>
    <phoneticPr fontId="2" type="noConversion"/>
  </si>
  <si>
    <t>孫秋萍（E21_p16)</t>
    <phoneticPr fontId="2" type="noConversion"/>
  </si>
  <si>
    <t>劉任修</t>
    <phoneticPr fontId="2" type="noConversion"/>
  </si>
  <si>
    <t>103.08、10</t>
    <phoneticPr fontId="2" type="noConversion"/>
  </si>
  <si>
    <t>E21P11</t>
    <phoneticPr fontId="2" type="noConversion"/>
  </si>
  <si>
    <t>康惠循(附回函）</t>
    <phoneticPr fontId="2" type="noConversion"/>
  </si>
  <si>
    <t>萬富</t>
    <phoneticPr fontId="2" type="noConversion"/>
  </si>
  <si>
    <t>103.12、104、06</t>
    <phoneticPr fontId="2" type="noConversion"/>
  </si>
  <si>
    <t>卷四P233</t>
    <phoneticPr fontId="2" type="noConversion"/>
  </si>
  <si>
    <t>富邦龍山、元大光復</t>
    <phoneticPr fontId="2" type="noConversion"/>
  </si>
  <si>
    <t>莊美琪（附回函）</t>
    <phoneticPr fontId="2" type="noConversion"/>
  </si>
  <si>
    <t>莊重信（附回函）</t>
    <phoneticPr fontId="2" type="noConversion"/>
  </si>
  <si>
    <t>103.03.17</t>
    <phoneticPr fontId="2" type="noConversion"/>
  </si>
  <si>
    <t>P40</t>
    <phoneticPr fontId="2" type="noConversion"/>
  </si>
  <si>
    <t>莊鴻洲（附回函）</t>
    <phoneticPr fontId="2" type="noConversion"/>
  </si>
  <si>
    <t>卷四P237</t>
    <phoneticPr fontId="2" type="noConversion"/>
  </si>
  <si>
    <t>莊心然（附回函）</t>
    <phoneticPr fontId="2" type="noConversion"/>
  </si>
  <si>
    <t>103.07.04、07.28</t>
    <phoneticPr fontId="2" type="noConversion"/>
  </si>
  <si>
    <t>E15P47</t>
    <phoneticPr fontId="2" type="noConversion"/>
  </si>
  <si>
    <t>富邦龍山分行、第一銀行</t>
    <phoneticPr fontId="2" type="noConversion"/>
  </si>
  <si>
    <t>29210028883、330168694091</t>
    <phoneticPr fontId="2" type="noConversion"/>
  </si>
  <si>
    <t>P55、56</t>
    <phoneticPr fontId="2" type="noConversion"/>
  </si>
  <si>
    <t>莊倉江（附回函）</t>
    <phoneticPr fontId="2" type="noConversion"/>
  </si>
  <si>
    <r>
      <t>曹庭耀</t>
    </r>
    <r>
      <rPr>
        <sz val="8"/>
        <color indexed="8"/>
        <rFont val="新細明體"/>
        <family val="1"/>
        <charset val="136"/>
      </rPr>
      <t>（匯款中信城中）</t>
    </r>
    <phoneticPr fontId="2" type="noConversion"/>
  </si>
  <si>
    <t>許文錦（附回函）</t>
    <phoneticPr fontId="2" type="noConversion"/>
  </si>
  <si>
    <t>陳薇妤</t>
    <phoneticPr fontId="2" type="noConversion"/>
  </si>
  <si>
    <t>103.05.27、08.07</t>
    <phoneticPr fontId="2" type="noConversion"/>
  </si>
  <si>
    <t>P24</t>
    <phoneticPr fontId="2" type="noConversion"/>
  </si>
  <si>
    <t>許睿彤(員工)</t>
    <phoneticPr fontId="2" type="noConversion"/>
  </si>
  <si>
    <t>許美珠（附回函)</t>
    <phoneticPr fontId="2" type="noConversion"/>
  </si>
  <si>
    <r>
      <t>許嘉凌</t>
    </r>
    <r>
      <rPr>
        <sz val="8"/>
        <color indexed="8"/>
        <rFont val="新細明體"/>
        <family val="1"/>
        <charset val="136"/>
      </rPr>
      <t>（匯款中信城中）</t>
    </r>
    <phoneticPr fontId="2" type="noConversion"/>
  </si>
  <si>
    <t>許秋霞（附回函）</t>
    <phoneticPr fontId="2" type="noConversion"/>
  </si>
  <si>
    <t>103.05.30、08.11</t>
    <phoneticPr fontId="2" type="noConversion"/>
  </si>
  <si>
    <t>玉山銀行城中、第一銀行龍潭</t>
    <phoneticPr fontId="2" type="noConversion"/>
  </si>
  <si>
    <t>0532979066757、29210028883</t>
    <phoneticPr fontId="2" type="noConversion"/>
  </si>
  <si>
    <t>P37、38</t>
    <phoneticPr fontId="2" type="noConversion"/>
  </si>
  <si>
    <t>許倩文</t>
    <phoneticPr fontId="2" type="noConversion"/>
  </si>
  <si>
    <t>卷四P249</t>
    <phoneticPr fontId="2" type="noConversion"/>
  </si>
  <si>
    <t>郭金峯(附回函)</t>
    <phoneticPr fontId="2" type="noConversion"/>
  </si>
  <si>
    <t>郭金峯</t>
  </si>
  <si>
    <t>尚譽</t>
    <phoneticPr fontId="2" type="noConversion"/>
  </si>
  <si>
    <t>E21P67</t>
    <phoneticPr fontId="2" type="noConversion"/>
  </si>
  <si>
    <t>郭如玲（附回函）</t>
    <phoneticPr fontId="2" type="noConversion"/>
  </si>
  <si>
    <t>P30、33</t>
    <phoneticPr fontId="2" type="noConversion"/>
  </si>
  <si>
    <t>郭連興（附回函)</t>
    <phoneticPr fontId="2" type="noConversion"/>
  </si>
  <si>
    <t>郭斐絢(E21_p120)</t>
    <phoneticPr fontId="2" type="noConversion"/>
  </si>
  <si>
    <t>E21P75</t>
    <phoneticPr fontId="2" type="noConversion"/>
  </si>
  <si>
    <t>郭鳳晴(附回函)</t>
    <phoneticPr fontId="2" type="noConversion"/>
  </si>
  <si>
    <t>103.05、07</t>
    <phoneticPr fontId="2" type="noConversion"/>
  </si>
  <si>
    <t>E21P85</t>
    <phoneticPr fontId="2" type="noConversion"/>
  </si>
  <si>
    <t>郭存勝</t>
    <phoneticPr fontId="2" type="noConversion"/>
  </si>
  <si>
    <t>陳美雪</t>
    <phoneticPr fontId="2" type="noConversion"/>
  </si>
  <si>
    <t>103.11.25</t>
    <phoneticPr fontId="2" type="noConversion"/>
  </si>
  <si>
    <t>E15P67</t>
    <phoneticPr fontId="2" type="noConversion"/>
  </si>
  <si>
    <t>中信復興、第一龍潭</t>
    <phoneticPr fontId="2" type="noConversion"/>
  </si>
  <si>
    <t>635612001503、29210028883</t>
    <phoneticPr fontId="2" type="noConversion"/>
  </si>
  <si>
    <t>P86、90</t>
    <phoneticPr fontId="2" type="noConversion"/>
  </si>
  <si>
    <t>郭炳金（附回函)</t>
    <phoneticPr fontId="2" type="noConversion"/>
  </si>
  <si>
    <t>103.06、08</t>
    <phoneticPr fontId="2" type="noConversion"/>
  </si>
  <si>
    <t>E21P97</t>
    <phoneticPr fontId="2" type="noConversion"/>
  </si>
  <si>
    <t>P98</t>
    <phoneticPr fontId="2" type="noConversion"/>
  </si>
  <si>
    <t>連捷（附回函）</t>
    <phoneticPr fontId="2" type="noConversion"/>
  </si>
  <si>
    <t>連捷（</t>
  </si>
  <si>
    <t>季采璇</t>
    <phoneticPr fontId="2" type="noConversion"/>
  </si>
  <si>
    <t>103.11.10</t>
    <phoneticPr fontId="2" type="noConversion"/>
  </si>
  <si>
    <t>梁進勝(附回函)</t>
    <phoneticPr fontId="2" type="noConversion"/>
  </si>
  <si>
    <t>吳美惠</t>
    <phoneticPr fontId="2" type="noConversion"/>
  </si>
  <si>
    <t>103.03、08、104.06</t>
    <phoneticPr fontId="2" type="noConversion"/>
  </si>
  <si>
    <t>E21P100</t>
    <phoneticPr fontId="2" type="noConversion"/>
  </si>
  <si>
    <t>P101</t>
    <phoneticPr fontId="2" type="noConversion"/>
  </si>
  <si>
    <r>
      <t>彭詳和</t>
    </r>
    <r>
      <rPr>
        <sz val="8"/>
        <color indexed="8"/>
        <rFont val="新細明體"/>
        <family val="1"/>
        <charset val="136"/>
      </rPr>
      <t>（匯款中信城中）</t>
    </r>
    <phoneticPr fontId="2" type="noConversion"/>
  </si>
  <si>
    <t>彭翊芸（附回函）</t>
    <phoneticPr fontId="2" type="noConversion"/>
  </si>
  <si>
    <t>萬均</t>
    <phoneticPr fontId="2" type="noConversion"/>
  </si>
  <si>
    <t>劉育銘</t>
    <phoneticPr fontId="2" type="noConversion"/>
  </si>
  <si>
    <t>103.12.19</t>
    <phoneticPr fontId="2" type="noConversion"/>
  </si>
  <si>
    <t>E15P47、卷四P265</t>
    <phoneticPr fontId="2" type="noConversion"/>
  </si>
  <si>
    <t>第一龍潭、富邦龍山</t>
    <phoneticPr fontId="2" type="noConversion"/>
  </si>
  <si>
    <t>P65-66</t>
    <phoneticPr fontId="2" type="noConversion"/>
  </si>
  <si>
    <t>彭淑萍（附回函）</t>
    <phoneticPr fontId="2" type="noConversion"/>
  </si>
  <si>
    <t>彭俊融（附回函）</t>
    <phoneticPr fontId="2" type="noConversion"/>
  </si>
  <si>
    <t>張雅惠（附回函）</t>
    <phoneticPr fontId="2" type="noConversion"/>
  </si>
  <si>
    <t>王巧玲</t>
    <phoneticPr fontId="2" type="noConversion"/>
  </si>
  <si>
    <t>103.03.06</t>
    <phoneticPr fontId="2" type="noConversion"/>
  </si>
  <si>
    <t>富邦</t>
    <phoneticPr fontId="2" type="noConversion"/>
  </si>
  <si>
    <t>731102007276</t>
    <phoneticPr fontId="2" type="noConversion"/>
  </si>
  <si>
    <t>P62</t>
    <phoneticPr fontId="2" type="noConversion"/>
  </si>
  <si>
    <t>張陳雪玉（附回函）</t>
    <phoneticPr fontId="2" type="noConversion"/>
  </si>
  <si>
    <t>張陳雪</t>
  </si>
  <si>
    <t>張清波（附回函）</t>
    <phoneticPr fontId="2" type="noConversion"/>
  </si>
  <si>
    <t>103.02、08</t>
    <phoneticPr fontId="2" type="noConversion"/>
  </si>
  <si>
    <t>張陳麗香(附回函）</t>
    <phoneticPr fontId="2" type="noConversion"/>
  </si>
  <si>
    <t>張陳麗</t>
  </si>
  <si>
    <t>張潘喜英(附回函）</t>
    <phoneticPr fontId="2" type="noConversion"/>
  </si>
  <si>
    <t>張潘喜</t>
  </si>
  <si>
    <t>張木生（附回函）</t>
    <phoneticPr fontId="2" type="noConversion"/>
  </si>
  <si>
    <t>趙國斌</t>
    <phoneticPr fontId="2" type="noConversion"/>
  </si>
  <si>
    <r>
      <t>張煥洲</t>
    </r>
    <r>
      <rPr>
        <sz val="8"/>
        <color indexed="8"/>
        <rFont val="新細明體"/>
        <family val="1"/>
        <charset val="136"/>
      </rPr>
      <t>（匯款中信城中）</t>
    </r>
    <phoneticPr fontId="2" type="noConversion"/>
  </si>
  <si>
    <t>E21P121</t>
    <phoneticPr fontId="2" type="noConversion"/>
  </si>
  <si>
    <t>張榮昌（附回函）</t>
    <phoneticPr fontId="2" type="noConversion"/>
  </si>
  <si>
    <t>卷四P283</t>
    <phoneticPr fontId="2" type="noConversion"/>
  </si>
  <si>
    <t>張建成</t>
    <phoneticPr fontId="2" type="noConversion"/>
  </si>
  <si>
    <t>玉山銀行、第一銀行</t>
    <phoneticPr fontId="2" type="noConversion"/>
  </si>
  <si>
    <t>0602968088765、29210028883</t>
    <phoneticPr fontId="2" type="noConversion"/>
  </si>
  <si>
    <t>P149、150</t>
    <phoneticPr fontId="2" type="noConversion"/>
  </si>
  <si>
    <t>張淑卿（附回函）</t>
    <phoneticPr fontId="2" type="noConversion"/>
  </si>
  <si>
    <t>萬豐、聯寶</t>
    <phoneticPr fontId="2" type="noConversion"/>
  </si>
  <si>
    <t>卷四P285</t>
    <phoneticPr fontId="2" type="noConversion"/>
  </si>
  <si>
    <r>
      <t>陳仲卿</t>
    </r>
    <r>
      <rPr>
        <sz val="8"/>
        <color indexed="8"/>
        <rFont val="新細明體"/>
        <family val="1"/>
        <charset val="136"/>
      </rPr>
      <t>（匯款中信城中）</t>
    </r>
    <phoneticPr fontId="2" type="noConversion"/>
  </si>
  <si>
    <t>陳姷妁（Ｅ21_p222)</t>
    <phoneticPr fontId="2" type="noConversion"/>
  </si>
  <si>
    <t>陳宏洋（附回函）</t>
    <phoneticPr fontId="2" type="noConversion"/>
  </si>
  <si>
    <r>
      <t>陳豐榮</t>
    </r>
    <r>
      <rPr>
        <sz val="8"/>
        <color indexed="8"/>
        <rFont val="新細明體"/>
        <family val="1"/>
        <charset val="136"/>
      </rPr>
      <t>（匯款中信城中）</t>
    </r>
    <phoneticPr fontId="2" type="noConversion"/>
  </si>
  <si>
    <r>
      <t>陳玉麗</t>
    </r>
    <r>
      <rPr>
        <sz val="8"/>
        <color indexed="8"/>
        <rFont val="新細明體"/>
        <family val="1"/>
        <charset val="136"/>
      </rPr>
      <t>（匯款中信城中）</t>
    </r>
    <phoneticPr fontId="2" type="noConversion"/>
  </si>
  <si>
    <t>陳美香</t>
    <phoneticPr fontId="2" type="noConversion"/>
  </si>
  <si>
    <t>許瑛玿</t>
    <phoneticPr fontId="2" type="noConversion"/>
  </si>
  <si>
    <t>103.07.10</t>
    <phoneticPr fontId="2" type="noConversion"/>
  </si>
  <si>
    <t>第一銀行、中信西台南</t>
    <phoneticPr fontId="2" type="noConversion"/>
  </si>
  <si>
    <t>29210028883、222540143205</t>
    <phoneticPr fontId="2" type="noConversion"/>
  </si>
  <si>
    <t>P99</t>
    <phoneticPr fontId="2" type="noConversion"/>
  </si>
  <si>
    <t>陳復章（附回函)</t>
    <phoneticPr fontId="2" type="noConversion"/>
  </si>
  <si>
    <t>陳已淳(E21_p237)</t>
    <phoneticPr fontId="2" type="noConversion"/>
  </si>
  <si>
    <t>陳玉燕（附回函）</t>
    <phoneticPr fontId="2" type="noConversion"/>
  </si>
  <si>
    <r>
      <t>陳怡君（</t>
    </r>
    <r>
      <rPr>
        <sz val="8"/>
        <color indexed="8"/>
        <rFont val="新細明體"/>
        <family val="1"/>
        <charset val="136"/>
      </rPr>
      <t>匯款中信城中）</t>
    </r>
    <phoneticPr fontId="2" type="noConversion"/>
  </si>
  <si>
    <t>陳青萍</t>
    <phoneticPr fontId="2" type="noConversion"/>
  </si>
  <si>
    <t>陳良德（附回函）</t>
    <phoneticPr fontId="2" type="noConversion"/>
  </si>
  <si>
    <t>103.04.28</t>
    <phoneticPr fontId="2" type="noConversion"/>
  </si>
  <si>
    <t>E16P142</t>
    <phoneticPr fontId="2" type="noConversion"/>
  </si>
  <si>
    <t>陳易儀（附回函)</t>
    <phoneticPr fontId="2" type="noConversion"/>
  </si>
  <si>
    <t>陳惠君</t>
    <phoneticPr fontId="2" type="noConversion"/>
  </si>
  <si>
    <t>E21P161</t>
    <phoneticPr fontId="2" type="noConversion"/>
  </si>
  <si>
    <t>現金</t>
    <phoneticPr fontId="2" type="noConversion"/>
  </si>
  <si>
    <t>陳信宏（附回函）</t>
    <phoneticPr fontId="2" type="noConversion"/>
  </si>
  <si>
    <t>陳慶瑜</t>
    <phoneticPr fontId="2" type="noConversion"/>
  </si>
  <si>
    <t>103.03.10、06.22</t>
    <phoneticPr fontId="2" type="noConversion"/>
  </si>
  <si>
    <t>中信城中、第一銀行</t>
    <phoneticPr fontId="2" type="noConversion"/>
  </si>
  <si>
    <t>P150-151</t>
    <phoneticPr fontId="2" type="noConversion"/>
  </si>
  <si>
    <t>陳群濠（Ｅ21_p258)</t>
    <phoneticPr fontId="2" type="noConversion"/>
  </si>
  <si>
    <t>E21P167</t>
    <phoneticPr fontId="2" type="noConversion"/>
  </si>
  <si>
    <t>陳坤禮（附回函）</t>
    <phoneticPr fontId="2" type="noConversion"/>
  </si>
  <si>
    <t>吳桂英</t>
    <phoneticPr fontId="2" type="noConversion"/>
  </si>
  <si>
    <t>103.04.08、07</t>
    <phoneticPr fontId="2" type="noConversion"/>
  </si>
  <si>
    <t>P61</t>
    <phoneticPr fontId="2" type="noConversion"/>
  </si>
  <si>
    <t>陳玟玲(附回函)</t>
    <phoneticPr fontId="2" type="noConversion"/>
  </si>
  <si>
    <t>103.07.31、08.25、10.07</t>
    <phoneticPr fontId="2" type="noConversion"/>
  </si>
  <si>
    <t>E16P7、卷四P303</t>
    <phoneticPr fontId="2" type="noConversion"/>
  </si>
  <si>
    <t>P96-100</t>
    <phoneticPr fontId="2" type="noConversion"/>
  </si>
  <si>
    <t>陳彥宏</t>
    <phoneticPr fontId="2" type="noConversion"/>
  </si>
  <si>
    <t>陳雪美</t>
    <phoneticPr fontId="2" type="noConversion"/>
  </si>
  <si>
    <t>10.05.14、06.25</t>
    <phoneticPr fontId="2" type="noConversion"/>
  </si>
  <si>
    <t>P27</t>
    <phoneticPr fontId="2" type="noConversion"/>
  </si>
  <si>
    <t>陳啟瀚（附回函）</t>
    <phoneticPr fontId="2" type="noConversion"/>
  </si>
  <si>
    <t>陳萍實(E16_p144)</t>
    <phoneticPr fontId="2" type="noConversion"/>
  </si>
  <si>
    <t>陳婉柔</t>
    <phoneticPr fontId="2" type="noConversion"/>
  </si>
  <si>
    <t>103.04.02</t>
    <phoneticPr fontId="2" type="noConversion"/>
  </si>
  <si>
    <t>第一銀行、富邦</t>
    <phoneticPr fontId="2" type="noConversion"/>
  </si>
  <si>
    <t>29210028883、731102007276</t>
    <phoneticPr fontId="2" type="noConversion"/>
  </si>
  <si>
    <t>P111、112</t>
    <phoneticPr fontId="2" type="noConversion"/>
  </si>
  <si>
    <t>陳鄧秀</t>
  </si>
  <si>
    <t>陳萍琳（附回函）</t>
    <phoneticPr fontId="2" type="noConversion"/>
  </si>
  <si>
    <t>日盛雙和</t>
    <phoneticPr fontId="2" type="noConversion"/>
  </si>
  <si>
    <t>10728141860000</t>
    <phoneticPr fontId="2" type="noConversion"/>
  </si>
  <si>
    <t>P41</t>
    <phoneticPr fontId="2" type="noConversion"/>
  </si>
  <si>
    <t>陳麗卿（張煥洲太太）</t>
    <phoneticPr fontId="2" type="noConversion"/>
  </si>
  <si>
    <t>陳沅池（附回函）</t>
    <phoneticPr fontId="2" type="noConversion"/>
  </si>
  <si>
    <t>103.06.27、07.29、10.02</t>
    <phoneticPr fontId="2" type="noConversion"/>
  </si>
  <si>
    <t>陳綉凰（附回函)</t>
    <phoneticPr fontId="2" type="noConversion"/>
  </si>
  <si>
    <t>陳綉凰</t>
  </si>
  <si>
    <t>陳仰山（附回函）</t>
    <phoneticPr fontId="2" type="noConversion"/>
  </si>
  <si>
    <t>E16P214</t>
    <phoneticPr fontId="2" type="noConversion"/>
  </si>
  <si>
    <t>陳金瑤（附回函)</t>
    <phoneticPr fontId="2" type="noConversion"/>
  </si>
  <si>
    <t>張先生</t>
    <phoneticPr fontId="2" type="noConversion"/>
  </si>
  <si>
    <t>103.06.12</t>
    <phoneticPr fontId="2" type="noConversion"/>
  </si>
  <si>
    <r>
      <t>陳坤龍</t>
    </r>
    <r>
      <rPr>
        <sz val="8"/>
        <color indexed="8"/>
        <rFont val="新細明體"/>
        <family val="1"/>
        <charset val="136"/>
      </rPr>
      <t>（匯款中信城中）</t>
    </r>
    <phoneticPr fontId="2" type="noConversion"/>
  </si>
  <si>
    <r>
      <t>陳玉花（</t>
    </r>
    <r>
      <rPr>
        <sz val="8"/>
        <color indexed="8"/>
        <rFont val="新細明體"/>
        <family val="1"/>
        <charset val="136"/>
      </rPr>
      <t>匯款中信城中）</t>
    </r>
    <phoneticPr fontId="2" type="noConversion"/>
  </si>
  <si>
    <t>陳麗雲（附回函）</t>
    <phoneticPr fontId="2" type="noConversion"/>
  </si>
  <si>
    <t>萬鈞</t>
    <phoneticPr fontId="2" type="noConversion"/>
  </si>
  <si>
    <t>許庭瑜、陳寰莙</t>
    <phoneticPr fontId="2" type="noConversion"/>
  </si>
  <si>
    <t>103.11.19</t>
    <phoneticPr fontId="2" type="noConversion"/>
  </si>
  <si>
    <t>P159</t>
    <phoneticPr fontId="2" type="noConversion"/>
  </si>
  <si>
    <t>陳鈞裕（附回函）</t>
    <phoneticPr fontId="2" type="noConversion"/>
  </si>
  <si>
    <t>E16P177</t>
    <phoneticPr fontId="2" type="noConversion"/>
  </si>
  <si>
    <t>P197</t>
    <phoneticPr fontId="2" type="noConversion"/>
  </si>
  <si>
    <t>陳素蓁(附回函)</t>
    <phoneticPr fontId="2" type="noConversion"/>
  </si>
  <si>
    <t>卷四P321</t>
    <phoneticPr fontId="2" type="noConversion"/>
  </si>
  <si>
    <r>
      <t>麥仁和</t>
    </r>
    <r>
      <rPr>
        <sz val="8"/>
        <color indexed="8"/>
        <rFont val="新細明體"/>
        <family val="1"/>
        <charset val="136"/>
      </rPr>
      <t>（匯款中信城中）</t>
    </r>
    <phoneticPr fontId="2" type="noConversion"/>
  </si>
  <si>
    <t>章寶貴（附回函）</t>
    <phoneticPr fontId="2" type="noConversion"/>
  </si>
  <si>
    <t>卷四P323</t>
    <phoneticPr fontId="2" type="noConversion"/>
  </si>
  <si>
    <t>傅應龍（附回函）</t>
    <phoneticPr fontId="2" type="noConversion"/>
  </si>
  <si>
    <r>
      <t>曾喜樑</t>
    </r>
    <r>
      <rPr>
        <sz val="8"/>
        <color indexed="8"/>
        <rFont val="新細明體"/>
        <family val="1"/>
        <charset val="136"/>
      </rPr>
      <t>（匯款中信城中）</t>
    </r>
    <phoneticPr fontId="2" type="noConversion"/>
  </si>
  <si>
    <t>103.03.19</t>
    <phoneticPr fontId="2" type="noConversion"/>
  </si>
  <si>
    <t>E22P12</t>
    <phoneticPr fontId="2" type="noConversion"/>
  </si>
  <si>
    <t>P15</t>
    <phoneticPr fontId="2" type="noConversion"/>
  </si>
  <si>
    <t>曾穩銘（附回函）</t>
    <phoneticPr fontId="2" type="noConversion"/>
  </si>
  <si>
    <t>黃建雄</t>
    <phoneticPr fontId="2" type="noConversion"/>
  </si>
  <si>
    <t>103.04.15、08</t>
    <phoneticPr fontId="2" type="noConversion"/>
  </si>
  <si>
    <t>P199</t>
    <phoneticPr fontId="2" type="noConversion"/>
  </si>
  <si>
    <t>曾文清（附回函）</t>
    <phoneticPr fontId="2" type="noConversion"/>
  </si>
  <si>
    <t>P184</t>
    <phoneticPr fontId="2" type="noConversion"/>
  </si>
  <si>
    <r>
      <t>曾榮鑾</t>
    </r>
    <r>
      <rPr>
        <sz val="8"/>
        <color indexed="8"/>
        <rFont val="新細明體"/>
        <family val="1"/>
        <charset val="136"/>
      </rPr>
      <t>（匯款中信城中）</t>
    </r>
    <phoneticPr fontId="2" type="noConversion"/>
  </si>
  <si>
    <t>曾淑妃（附回函）</t>
    <phoneticPr fontId="2" type="noConversion"/>
  </si>
  <si>
    <t>103.06.18</t>
    <phoneticPr fontId="2" type="noConversion"/>
  </si>
  <si>
    <t>華南銀行</t>
    <phoneticPr fontId="2" type="noConversion"/>
  </si>
  <si>
    <t>00118506051330</t>
    <phoneticPr fontId="2" type="noConversion"/>
  </si>
  <si>
    <t>P185</t>
    <phoneticPr fontId="2" type="noConversion"/>
  </si>
  <si>
    <t>葉振輝</t>
    <phoneticPr fontId="2" type="noConversion"/>
  </si>
  <si>
    <t>葉金光(附回函)</t>
    <phoneticPr fontId="2" type="noConversion"/>
  </si>
  <si>
    <t>103.04、06、08</t>
    <phoneticPr fontId="2" type="noConversion"/>
  </si>
  <si>
    <t>E22P34</t>
    <phoneticPr fontId="2" type="noConversion"/>
  </si>
  <si>
    <t>中信城中、鳳山新甲郵局、第一龍潭</t>
    <phoneticPr fontId="2" type="noConversion"/>
  </si>
  <si>
    <t>107540515259、01011600226474、29210028883</t>
    <phoneticPr fontId="2" type="noConversion"/>
  </si>
  <si>
    <t>P36-37</t>
    <phoneticPr fontId="2" type="noConversion"/>
  </si>
  <si>
    <t>葉逢春（附回函）</t>
    <phoneticPr fontId="2" type="noConversion"/>
  </si>
  <si>
    <t>蕭子評</t>
    <phoneticPr fontId="2" type="noConversion"/>
  </si>
  <si>
    <t>卷四P325</t>
    <phoneticPr fontId="2" type="noConversion"/>
  </si>
  <si>
    <t>富邦龍山、中信</t>
    <phoneticPr fontId="2" type="noConversion"/>
  </si>
  <si>
    <t>游閔暉（附回函)</t>
    <phoneticPr fontId="2" type="noConversion"/>
  </si>
  <si>
    <t>E22P45</t>
    <phoneticPr fontId="2" type="noConversion"/>
  </si>
  <si>
    <t>游玫芳（附回函）</t>
    <phoneticPr fontId="2" type="noConversion"/>
  </si>
  <si>
    <t>潘諭岑</t>
    <phoneticPr fontId="2" type="noConversion"/>
  </si>
  <si>
    <t>103.03、04.10、04.22</t>
    <phoneticPr fontId="2" type="noConversion"/>
  </si>
  <si>
    <t>P241</t>
    <phoneticPr fontId="2" type="noConversion"/>
  </si>
  <si>
    <t>游永金（附回函）</t>
    <phoneticPr fontId="2" type="noConversion"/>
  </si>
  <si>
    <t>李蘭英</t>
    <phoneticPr fontId="2" type="noConversion"/>
  </si>
  <si>
    <t>103.12、104.01</t>
    <phoneticPr fontId="2" type="noConversion"/>
  </si>
  <si>
    <t>卷四P335</t>
    <phoneticPr fontId="2" type="noConversion"/>
  </si>
  <si>
    <t>游秀玉（附回函）</t>
    <phoneticPr fontId="2" type="noConversion"/>
  </si>
  <si>
    <t>玉山城中、第一銀行、富邦</t>
    <phoneticPr fontId="2" type="noConversion"/>
  </si>
  <si>
    <t>0532979066757、29210028883、330168694091</t>
    <phoneticPr fontId="2" type="noConversion"/>
  </si>
  <si>
    <t>P226-227</t>
    <phoneticPr fontId="2" type="noConversion"/>
  </si>
  <si>
    <t>楊秋惠(E22_p63)</t>
    <phoneticPr fontId="2" type="noConversion"/>
  </si>
  <si>
    <t>E22P48</t>
    <phoneticPr fontId="2" type="noConversion"/>
  </si>
  <si>
    <t>楊曼玲(附回函)</t>
    <phoneticPr fontId="2" type="noConversion"/>
  </si>
  <si>
    <t>E22P58</t>
    <phoneticPr fontId="2" type="noConversion"/>
  </si>
  <si>
    <t>楊靜芬（附回函）</t>
    <phoneticPr fontId="2" type="noConversion"/>
  </si>
  <si>
    <t>103.03.07</t>
    <phoneticPr fontId="2" type="noConversion"/>
  </si>
  <si>
    <t>E16P201</t>
    <phoneticPr fontId="2" type="noConversion"/>
  </si>
  <si>
    <t>楊小宜（附回函）</t>
    <phoneticPr fontId="2" type="noConversion"/>
  </si>
  <si>
    <t>楊錫勛( 附回函)</t>
    <phoneticPr fontId="2" type="noConversion"/>
  </si>
  <si>
    <t>楊正傑（附回函）</t>
    <phoneticPr fontId="2" type="noConversion"/>
  </si>
  <si>
    <t>慶豐</t>
    <phoneticPr fontId="2" type="noConversion"/>
  </si>
  <si>
    <t>季彩璇</t>
    <phoneticPr fontId="2" type="noConversion"/>
  </si>
  <si>
    <t>103.06、07</t>
    <phoneticPr fontId="2" type="noConversion"/>
  </si>
  <si>
    <t>卷四P351</t>
    <phoneticPr fontId="2" type="noConversion"/>
  </si>
  <si>
    <t>富邦襄陽</t>
    <phoneticPr fontId="2" type="noConversion"/>
  </si>
  <si>
    <t>楊清森(E22_p91)</t>
    <phoneticPr fontId="2" type="noConversion"/>
  </si>
  <si>
    <t>E22P70</t>
    <phoneticPr fontId="2" type="noConversion"/>
  </si>
  <si>
    <t>楊善宇</t>
    <phoneticPr fontId="2" type="noConversion"/>
  </si>
  <si>
    <t>黃靜英( 附回函)</t>
    <phoneticPr fontId="2" type="noConversion"/>
  </si>
  <si>
    <t>黃明智（附回函）</t>
    <phoneticPr fontId="2" type="noConversion"/>
  </si>
  <si>
    <t>黃秋珍（附回函）</t>
    <phoneticPr fontId="2" type="noConversion"/>
  </si>
  <si>
    <t>103.09.30</t>
    <phoneticPr fontId="2" type="noConversion"/>
  </si>
  <si>
    <t>103.07.22、10.07</t>
    <phoneticPr fontId="2" type="noConversion"/>
  </si>
  <si>
    <t>黃詩婷（員工）</t>
    <phoneticPr fontId="2" type="noConversion"/>
  </si>
  <si>
    <t>黃曉萍( 附回函)</t>
    <phoneticPr fontId="2" type="noConversion"/>
  </si>
  <si>
    <t>黃治元（附回函）</t>
    <phoneticPr fontId="2" type="noConversion"/>
  </si>
  <si>
    <t>P250</t>
    <phoneticPr fontId="2" type="noConversion"/>
  </si>
  <si>
    <t>黃慧娥（附回函）</t>
    <phoneticPr fontId="2" type="noConversion"/>
  </si>
  <si>
    <t>楊舒涵</t>
    <phoneticPr fontId="2" type="noConversion"/>
  </si>
  <si>
    <t>103.08.26、08.28、08.29、09.06、09.05、09.04</t>
    <phoneticPr fontId="2" type="noConversion"/>
  </si>
  <si>
    <t>E17P65</t>
    <phoneticPr fontId="2" type="noConversion"/>
  </si>
  <si>
    <t>P89</t>
    <phoneticPr fontId="2" type="noConversion"/>
  </si>
  <si>
    <t>黃阿勤( 附回函)</t>
    <phoneticPr fontId="2" type="noConversion"/>
  </si>
  <si>
    <t>黃秀芬（附回函）</t>
    <phoneticPr fontId="2" type="noConversion"/>
  </si>
  <si>
    <t>黃羿堯（附回函)</t>
    <phoneticPr fontId="2" type="noConversion"/>
  </si>
  <si>
    <t>卷四P369</t>
    <phoneticPr fontId="2" type="noConversion"/>
  </si>
  <si>
    <t>黃順良（附回函）</t>
    <phoneticPr fontId="2" type="noConversion"/>
  </si>
  <si>
    <t>103.03.03</t>
    <phoneticPr fontId="2" type="noConversion"/>
  </si>
  <si>
    <t>E17P154</t>
    <phoneticPr fontId="2" type="noConversion"/>
  </si>
  <si>
    <t>中信城中、國泰明城、第一龍潭</t>
    <phoneticPr fontId="2" type="noConversion"/>
  </si>
  <si>
    <t>107540515259、277506082015、29210028883</t>
    <phoneticPr fontId="2" type="noConversion"/>
  </si>
  <si>
    <t>E17P161-164</t>
    <phoneticPr fontId="2" type="noConversion"/>
  </si>
  <si>
    <t>黃俊仁( 附回函)</t>
    <phoneticPr fontId="2" type="noConversion"/>
  </si>
  <si>
    <t>103.03.26</t>
    <phoneticPr fontId="2" type="noConversion"/>
  </si>
  <si>
    <t>E22P81</t>
    <phoneticPr fontId="2" type="noConversion"/>
  </si>
  <si>
    <t>P82</t>
    <phoneticPr fontId="2" type="noConversion"/>
  </si>
  <si>
    <t>黃惠娟</t>
    <phoneticPr fontId="2" type="noConversion"/>
  </si>
  <si>
    <t>黃逢妹（附回函）</t>
    <phoneticPr fontId="2" type="noConversion"/>
  </si>
  <si>
    <t>E17P10</t>
    <phoneticPr fontId="2" type="noConversion"/>
  </si>
  <si>
    <t>黃助妹（附回函）</t>
    <phoneticPr fontId="2" type="noConversion"/>
  </si>
  <si>
    <t>黃昶芳( 附回函)</t>
    <phoneticPr fontId="2" type="noConversion"/>
  </si>
  <si>
    <t>陳麴昀</t>
    <phoneticPr fontId="2" type="noConversion"/>
  </si>
  <si>
    <t>103.05、08</t>
    <phoneticPr fontId="2" type="noConversion"/>
  </si>
  <si>
    <t>E22P91</t>
    <phoneticPr fontId="2" type="noConversion"/>
  </si>
  <si>
    <t>P88-89</t>
    <phoneticPr fontId="2" type="noConversion"/>
  </si>
  <si>
    <t>黃桂芬（附回函）</t>
    <phoneticPr fontId="2" type="noConversion"/>
  </si>
  <si>
    <t>103.07、08</t>
    <phoneticPr fontId="2" type="noConversion"/>
  </si>
  <si>
    <t>E22P116</t>
    <phoneticPr fontId="2" type="noConversion"/>
  </si>
  <si>
    <t>富邦龍山、第一銀行</t>
    <phoneticPr fontId="2" type="noConversion"/>
  </si>
  <si>
    <t>330168694091、29210028883</t>
    <phoneticPr fontId="2" type="noConversion"/>
  </si>
  <si>
    <t>P118、120</t>
    <phoneticPr fontId="2" type="noConversion"/>
  </si>
  <si>
    <t>黃士峰（附回函）</t>
    <phoneticPr fontId="2" type="noConversion"/>
  </si>
  <si>
    <t>黃亭瑄（員工）</t>
    <phoneticPr fontId="2" type="noConversion"/>
  </si>
  <si>
    <t>湯美珍（附回函)</t>
    <phoneticPr fontId="2" type="noConversion"/>
  </si>
  <si>
    <t>黃馨誼</t>
    <phoneticPr fontId="2" type="noConversion"/>
  </si>
  <si>
    <t>E22P127</t>
    <phoneticPr fontId="2" type="noConversion"/>
  </si>
  <si>
    <t>P129</t>
    <phoneticPr fontId="2" type="noConversion"/>
  </si>
  <si>
    <t>程美玉（附回函）</t>
    <phoneticPr fontId="2" type="noConversion"/>
  </si>
  <si>
    <t>詹欣頤（員工）</t>
    <phoneticPr fontId="2" type="noConversion"/>
  </si>
  <si>
    <t>詹榮泉（附回函）</t>
    <phoneticPr fontId="2" type="noConversion"/>
  </si>
  <si>
    <t>董國勝( 附回函)</t>
    <phoneticPr fontId="2" type="noConversion"/>
  </si>
  <si>
    <t>E22P133</t>
    <phoneticPr fontId="2" type="noConversion"/>
  </si>
  <si>
    <t>P138、144</t>
    <phoneticPr fontId="2" type="noConversion"/>
  </si>
  <si>
    <t>廖森雲（附回函）</t>
    <phoneticPr fontId="2" type="noConversion"/>
  </si>
  <si>
    <t>E22P159</t>
    <phoneticPr fontId="2" type="noConversion"/>
  </si>
  <si>
    <t>廖芳藝（附回函）</t>
    <phoneticPr fontId="2" type="noConversion"/>
  </si>
  <si>
    <t>黃小姐</t>
    <phoneticPr fontId="2" type="noConversion"/>
  </si>
  <si>
    <t>103.08.06</t>
    <phoneticPr fontId="2" type="noConversion"/>
  </si>
  <si>
    <t>廖繼仕（附回函）</t>
    <phoneticPr fontId="2" type="noConversion"/>
  </si>
  <si>
    <t>E17P197</t>
    <phoneticPr fontId="2" type="noConversion"/>
  </si>
  <si>
    <t>鴻寶</t>
    <phoneticPr fontId="2" type="noConversion"/>
  </si>
  <si>
    <t>P205</t>
    <phoneticPr fontId="2" type="noConversion"/>
  </si>
  <si>
    <t>趙國斌（附回函）</t>
    <phoneticPr fontId="2" type="noConversion"/>
  </si>
  <si>
    <t>吳小姐</t>
    <phoneticPr fontId="2" type="noConversion"/>
  </si>
  <si>
    <t>E22P165</t>
    <phoneticPr fontId="2" type="noConversion"/>
  </si>
  <si>
    <t>蔡宛芬（Ｅ17_p207）</t>
    <phoneticPr fontId="2" type="noConversion"/>
  </si>
  <si>
    <t>林懷仁</t>
    <phoneticPr fontId="2" type="noConversion"/>
  </si>
  <si>
    <t>103.09、104.06.18</t>
    <phoneticPr fontId="2" type="noConversion"/>
  </si>
  <si>
    <t>蔡佳秀（附回函）</t>
    <phoneticPr fontId="2" type="noConversion"/>
  </si>
  <si>
    <t>蔡信健( 附回函)</t>
    <phoneticPr fontId="2" type="noConversion"/>
  </si>
  <si>
    <t>103.10.03</t>
    <phoneticPr fontId="2" type="noConversion"/>
  </si>
  <si>
    <t>蔡長霖（附回函)</t>
    <phoneticPr fontId="2" type="noConversion"/>
  </si>
  <si>
    <t>蔡佩蓉( 附回函)</t>
    <phoneticPr fontId="2" type="noConversion"/>
  </si>
  <si>
    <t>蔡文益（附回函）</t>
    <phoneticPr fontId="2" type="noConversion"/>
  </si>
  <si>
    <r>
      <t>蔡妤炘</t>
    </r>
    <r>
      <rPr>
        <sz val="8"/>
        <color indexed="8"/>
        <rFont val="新細明體"/>
        <family val="1"/>
        <charset val="136"/>
      </rPr>
      <t>（匯款中信城中）</t>
    </r>
    <phoneticPr fontId="2" type="noConversion"/>
  </si>
  <si>
    <t>蔡青坪(附回函)</t>
    <phoneticPr fontId="2" type="noConversion"/>
  </si>
  <si>
    <t>卷四P411</t>
    <phoneticPr fontId="2" type="noConversion"/>
  </si>
  <si>
    <t>劉文虎(E23-p3)</t>
    <phoneticPr fontId="2" type="noConversion"/>
  </si>
  <si>
    <t>劉子鵬( 附回函)</t>
    <phoneticPr fontId="2" type="noConversion"/>
  </si>
  <si>
    <t>劉鳳美( 附回函)</t>
    <phoneticPr fontId="2" type="noConversion"/>
  </si>
  <si>
    <t>E23P5</t>
    <phoneticPr fontId="2" type="noConversion"/>
  </si>
  <si>
    <t>P5</t>
    <phoneticPr fontId="2" type="noConversion"/>
  </si>
  <si>
    <t>劉建良（附回函）</t>
    <phoneticPr fontId="2" type="noConversion"/>
  </si>
  <si>
    <t>103.04.03</t>
    <phoneticPr fontId="2" type="noConversion"/>
  </si>
  <si>
    <t>P92-93</t>
    <phoneticPr fontId="2" type="noConversion"/>
  </si>
  <si>
    <t>劉聰杰( 附回函)</t>
    <phoneticPr fontId="2" type="noConversion"/>
  </si>
  <si>
    <t>、08.12</t>
    <phoneticPr fontId="2" type="noConversion"/>
  </si>
  <si>
    <t>劉素芬</t>
    <phoneticPr fontId="2" type="noConversion"/>
  </si>
  <si>
    <t>劉秀麗( 李珍妮友)</t>
    <phoneticPr fontId="2" type="noConversion"/>
  </si>
  <si>
    <t>103.08.27、09.03</t>
    <phoneticPr fontId="2" type="noConversion"/>
  </si>
  <si>
    <t>劉炳貴（附回函）</t>
    <phoneticPr fontId="2" type="noConversion"/>
  </si>
  <si>
    <t>林宜均</t>
    <phoneticPr fontId="2" type="noConversion"/>
  </si>
  <si>
    <t>103.08.29</t>
    <phoneticPr fontId="2" type="noConversion"/>
  </si>
  <si>
    <t>現金交易</t>
    <phoneticPr fontId="2" type="noConversion"/>
  </si>
  <si>
    <t>劉美玲 ( 附回函)</t>
    <phoneticPr fontId="2" type="noConversion"/>
  </si>
  <si>
    <t>E23P73</t>
    <phoneticPr fontId="2" type="noConversion"/>
  </si>
  <si>
    <t>P73-74</t>
    <phoneticPr fontId="2" type="noConversion"/>
  </si>
  <si>
    <r>
      <t>潘梅桂</t>
    </r>
    <r>
      <rPr>
        <sz val="8"/>
        <color indexed="8"/>
        <rFont val="新細明體"/>
        <family val="1"/>
        <charset val="136"/>
      </rPr>
      <t>（匯款中信城中）</t>
    </r>
    <phoneticPr fontId="2" type="noConversion"/>
  </si>
  <si>
    <t>潘建盛（附回函)</t>
    <phoneticPr fontId="2" type="noConversion"/>
  </si>
  <si>
    <t>長旺（前德睿）</t>
    <phoneticPr fontId="2" type="noConversion"/>
  </si>
  <si>
    <t>103.08.31、09.04、10.01</t>
    <phoneticPr fontId="2" type="noConversion"/>
  </si>
  <si>
    <t>E17P73</t>
    <phoneticPr fontId="2" type="noConversion"/>
  </si>
  <si>
    <t>鄭國中（附回函）</t>
    <phoneticPr fontId="2" type="noConversion"/>
  </si>
  <si>
    <t>黃馨儀、蔡盺諺</t>
    <phoneticPr fontId="2" type="noConversion"/>
  </si>
  <si>
    <t>103.06.13、08.20</t>
    <phoneticPr fontId="2" type="noConversion"/>
  </si>
  <si>
    <t>鄭素萍(附回函)</t>
    <phoneticPr fontId="2" type="noConversion"/>
  </si>
  <si>
    <r>
      <t>鄭瑞千</t>
    </r>
    <r>
      <rPr>
        <sz val="8"/>
        <color indexed="8"/>
        <rFont val="新細明體"/>
        <family val="1"/>
        <charset val="136"/>
      </rPr>
      <t>（匯款中信城中）</t>
    </r>
    <phoneticPr fontId="2" type="noConversion"/>
  </si>
  <si>
    <t>鄭明華（附回函）</t>
    <phoneticPr fontId="2" type="noConversion"/>
  </si>
  <si>
    <t>鄭彩惠( 附回函)</t>
    <phoneticPr fontId="2" type="noConversion"/>
  </si>
  <si>
    <t>E23P91</t>
    <phoneticPr fontId="2" type="noConversion"/>
  </si>
  <si>
    <t>賴美珍（附回函）</t>
    <phoneticPr fontId="2" type="noConversion"/>
  </si>
  <si>
    <t>賴秀英（附回函）</t>
    <phoneticPr fontId="2" type="noConversion"/>
  </si>
  <si>
    <t>P224</t>
    <phoneticPr fontId="2" type="noConversion"/>
  </si>
  <si>
    <t>賴宥材</t>
    <phoneticPr fontId="2" type="noConversion"/>
  </si>
  <si>
    <t>駱詠潔（附回函）</t>
    <phoneticPr fontId="2" type="noConversion"/>
  </si>
  <si>
    <t>鄭仁昌</t>
    <phoneticPr fontId="2" type="noConversion"/>
  </si>
  <si>
    <t>P210</t>
    <phoneticPr fontId="2" type="noConversion"/>
  </si>
  <si>
    <t>駱沛婕（附回函）</t>
    <phoneticPr fontId="2" type="noConversion"/>
  </si>
  <si>
    <t>E17P238</t>
    <phoneticPr fontId="2" type="noConversion"/>
  </si>
  <si>
    <t>P238</t>
    <phoneticPr fontId="2" type="noConversion"/>
  </si>
  <si>
    <t>蕭筱屏（附回函）</t>
    <phoneticPr fontId="2" type="noConversion"/>
  </si>
  <si>
    <t>富邦龍邦</t>
    <phoneticPr fontId="2" type="noConversion"/>
  </si>
  <si>
    <t>P211</t>
    <phoneticPr fontId="2" type="noConversion"/>
  </si>
  <si>
    <t>鍾有金（附回函）</t>
    <phoneticPr fontId="2" type="noConversion"/>
  </si>
  <si>
    <t>E23P115</t>
    <phoneticPr fontId="2" type="noConversion"/>
  </si>
  <si>
    <t>鍾美玉</t>
    <phoneticPr fontId="2" type="noConversion"/>
  </si>
  <si>
    <t>E23P119</t>
    <phoneticPr fontId="2" type="noConversion"/>
  </si>
  <si>
    <t>鍾國文( 附回函)</t>
    <phoneticPr fontId="2" type="noConversion"/>
  </si>
  <si>
    <t>E17P231</t>
    <phoneticPr fontId="2" type="noConversion"/>
  </si>
  <si>
    <t>鍾毓珊（附回函）</t>
    <phoneticPr fontId="2" type="noConversion"/>
  </si>
  <si>
    <t>P246</t>
    <phoneticPr fontId="2" type="noConversion"/>
  </si>
  <si>
    <t>鍾安如（附回函）</t>
    <phoneticPr fontId="2" type="noConversion"/>
  </si>
  <si>
    <t>鍾心芸（附回函）</t>
    <phoneticPr fontId="2" type="noConversion"/>
  </si>
  <si>
    <t>國泰高雄、第一龍潭</t>
    <phoneticPr fontId="2" type="noConversion"/>
  </si>
  <si>
    <t>005500200563、29210028883</t>
    <phoneticPr fontId="2" type="noConversion"/>
  </si>
  <si>
    <t>P206-208</t>
    <phoneticPr fontId="2" type="noConversion"/>
  </si>
  <si>
    <r>
      <t>韓蘇彩柳</t>
    </r>
    <r>
      <rPr>
        <sz val="7"/>
        <color indexed="8"/>
        <rFont val="新細明體"/>
        <family val="1"/>
        <charset val="136"/>
      </rPr>
      <t>（匯款中信城中）</t>
    </r>
    <phoneticPr fontId="2" type="noConversion"/>
  </si>
  <si>
    <t>韓蘇彩</t>
  </si>
  <si>
    <t>韓寶玲（附回函）</t>
    <phoneticPr fontId="2" type="noConversion"/>
  </si>
  <si>
    <t>P239-240</t>
    <phoneticPr fontId="2" type="noConversion"/>
  </si>
  <si>
    <t>簡淑華（Ｅ36_p50)</t>
    <phoneticPr fontId="2" type="noConversion"/>
  </si>
  <si>
    <t>簡月真（附回函)</t>
    <phoneticPr fontId="2" type="noConversion"/>
  </si>
  <si>
    <r>
      <t>謝宗雄</t>
    </r>
    <r>
      <rPr>
        <sz val="8"/>
        <color indexed="8"/>
        <rFont val="新細明體"/>
        <family val="1"/>
        <charset val="136"/>
      </rPr>
      <t>（匯款中信城中）</t>
    </r>
    <phoneticPr fontId="2" type="noConversion"/>
  </si>
  <si>
    <t>謝美玲（附回函）</t>
    <phoneticPr fontId="2" type="noConversion"/>
  </si>
  <si>
    <t>謝秋琴（附回函）</t>
    <phoneticPr fontId="2" type="noConversion"/>
  </si>
  <si>
    <t>謝秀菊（附回函)</t>
    <phoneticPr fontId="2" type="noConversion"/>
  </si>
  <si>
    <t>103.06.17</t>
    <phoneticPr fontId="2" type="noConversion"/>
  </si>
  <si>
    <t>謝博仁（附回函）</t>
    <phoneticPr fontId="2" type="noConversion"/>
  </si>
  <si>
    <t>E17P11</t>
    <phoneticPr fontId="2" type="noConversion"/>
  </si>
  <si>
    <r>
      <t>戴亦均</t>
    </r>
    <r>
      <rPr>
        <sz val="8"/>
        <color indexed="8"/>
        <rFont val="新細明體"/>
        <family val="1"/>
        <charset val="136"/>
      </rPr>
      <t>（匯款中信城中）</t>
    </r>
    <phoneticPr fontId="2" type="noConversion"/>
  </si>
  <si>
    <t>E23P138</t>
    <phoneticPr fontId="2" type="noConversion"/>
  </si>
  <si>
    <t>顏淑娟(E23_p204)</t>
    <phoneticPr fontId="2" type="noConversion"/>
  </si>
  <si>
    <r>
      <t>顏春花</t>
    </r>
    <r>
      <rPr>
        <sz val="8"/>
        <color indexed="8"/>
        <rFont val="新細明體"/>
        <family val="1"/>
        <charset val="136"/>
      </rPr>
      <t>（匯款中信城中）</t>
    </r>
    <phoneticPr fontId="2" type="noConversion"/>
  </si>
  <si>
    <t>E23P142</t>
    <phoneticPr fontId="2" type="noConversion"/>
  </si>
  <si>
    <t>中信城中、一銀龍潭</t>
    <phoneticPr fontId="2" type="noConversion"/>
  </si>
  <si>
    <t>P144-145</t>
    <phoneticPr fontId="2" type="noConversion"/>
  </si>
  <si>
    <t>魏哲云（附回函）</t>
    <phoneticPr fontId="2" type="noConversion"/>
  </si>
  <si>
    <t>羅誘貽(E23_p233)</t>
    <phoneticPr fontId="2" type="noConversion"/>
  </si>
  <si>
    <t>羅家炎（附回函）</t>
    <phoneticPr fontId="2" type="noConversion"/>
  </si>
  <si>
    <t>羅文峰（附回函）</t>
    <phoneticPr fontId="2" type="noConversion"/>
  </si>
  <si>
    <t>羅吉谷( 附回函)</t>
    <phoneticPr fontId="2" type="noConversion"/>
  </si>
  <si>
    <t>羅順嬌(附回函)</t>
    <phoneticPr fontId="2" type="noConversion"/>
  </si>
  <si>
    <t>103.07、11</t>
    <phoneticPr fontId="2" type="noConversion"/>
  </si>
  <si>
    <t>卷四P477</t>
    <phoneticPr fontId="2" type="noConversion"/>
  </si>
  <si>
    <t>玉山城中、富邦龍山</t>
    <phoneticPr fontId="2" type="noConversion"/>
  </si>
  <si>
    <t>薛柏林（附回函）</t>
    <phoneticPr fontId="2" type="noConversion"/>
  </si>
  <si>
    <r>
      <t>蘇姿美</t>
    </r>
    <r>
      <rPr>
        <sz val="8"/>
        <color indexed="8"/>
        <rFont val="新細明體"/>
        <family val="1"/>
        <charset val="136"/>
      </rPr>
      <t>（匯款中信城中）</t>
    </r>
    <phoneticPr fontId="2" type="noConversion"/>
  </si>
  <si>
    <t>蘇介亮（附回函)</t>
    <phoneticPr fontId="2" type="noConversion"/>
  </si>
  <si>
    <t>陳姷妁</t>
    <phoneticPr fontId="2" type="noConversion"/>
  </si>
  <si>
    <t>E23P168、卷四P481</t>
    <phoneticPr fontId="2" type="noConversion"/>
  </si>
  <si>
    <t>龔家平( 附回函)</t>
    <phoneticPr fontId="2" type="noConversion"/>
  </si>
  <si>
    <t>P68</t>
    <phoneticPr fontId="2" type="noConversion"/>
  </si>
  <si>
    <t>龔麗芬(E18_p20)</t>
    <phoneticPr fontId="2" type="noConversion"/>
  </si>
  <si>
    <t>陳姷君</t>
    <phoneticPr fontId="2" type="noConversion"/>
  </si>
  <si>
    <t>103.06.09、08</t>
    <phoneticPr fontId="2" type="noConversion"/>
  </si>
  <si>
    <t>E18P103</t>
    <phoneticPr fontId="2" type="noConversion"/>
  </si>
  <si>
    <t>龔洢波(附回函)</t>
    <phoneticPr fontId="2" type="noConversion"/>
  </si>
  <si>
    <t>103.10、12</t>
    <phoneticPr fontId="2" type="noConversion"/>
  </si>
  <si>
    <t>E18P21、卷四P485</t>
    <phoneticPr fontId="2" type="noConversion"/>
  </si>
  <si>
    <t>李宛蓉</t>
    <phoneticPr fontId="2" type="noConversion"/>
  </si>
  <si>
    <t>陳德榮（附回函）</t>
    <phoneticPr fontId="2" type="noConversion"/>
  </si>
  <si>
    <t>卷四P487</t>
    <phoneticPr fontId="2" type="noConversion"/>
  </si>
  <si>
    <t>陳柏如</t>
    <phoneticPr fontId="2" type="noConversion"/>
  </si>
  <si>
    <t>姜學英（附回函）</t>
    <phoneticPr fontId="2" type="noConversion"/>
  </si>
  <si>
    <t>103.12、104.06</t>
    <phoneticPr fontId="2" type="noConversion"/>
  </si>
  <si>
    <t>卷四P489</t>
    <phoneticPr fontId="2" type="noConversion"/>
  </si>
  <si>
    <t>劉石振（附回函）</t>
    <phoneticPr fontId="2" type="noConversion"/>
  </si>
  <si>
    <t>陳丹妮</t>
    <phoneticPr fontId="2" type="noConversion"/>
  </si>
  <si>
    <t>E18P86、卷四P491</t>
    <phoneticPr fontId="2" type="noConversion"/>
  </si>
  <si>
    <t>P88</t>
    <phoneticPr fontId="2" type="noConversion"/>
  </si>
  <si>
    <t>高雅蘭（附回函）</t>
    <phoneticPr fontId="2" type="noConversion"/>
  </si>
  <si>
    <t>李慶一</t>
    <phoneticPr fontId="2" type="noConversion"/>
  </si>
  <si>
    <t>謝美秋</t>
    <phoneticPr fontId="2" type="noConversion"/>
  </si>
  <si>
    <r>
      <t>蘇沛晨</t>
    </r>
    <r>
      <rPr>
        <sz val="8"/>
        <color indexed="8"/>
        <rFont val="新細明體"/>
        <family val="1"/>
        <charset val="136"/>
      </rPr>
      <t>（匯款中信城中）</t>
    </r>
    <phoneticPr fontId="2" type="noConversion"/>
  </si>
  <si>
    <t>許正義（Ｅ36_p129)</t>
    <phoneticPr fontId="2" type="noConversion"/>
  </si>
  <si>
    <t>廖德銓（Ｅ26_p13)</t>
    <phoneticPr fontId="2" type="noConversion"/>
  </si>
  <si>
    <t>廖德銓</t>
  </si>
  <si>
    <t>湯美珠</t>
    <phoneticPr fontId="2" type="noConversion"/>
  </si>
  <si>
    <t>E26P9</t>
    <phoneticPr fontId="2" type="noConversion"/>
  </si>
  <si>
    <t>張良輔（Ｅ31_p3)</t>
    <phoneticPr fontId="2" type="noConversion"/>
  </si>
  <si>
    <t>E31P2</t>
    <phoneticPr fontId="2" type="noConversion"/>
  </si>
  <si>
    <t>薛文楨（Ｅ30_p3)</t>
    <phoneticPr fontId="2" type="noConversion"/>
  </si>
  <si>
    <t>瑞豐</t>
    <phoneticPr fontId="2" type="noConversion"/>
  </si>
  <si>
    <t>孫又雯</t>
    <phoneticPr fontId="2" type="noConversion"/>
  </si>
  <si>
    <t>E30P2</t>
    <phoneticPr fontId="2" type="noConversion"/>
  </si>
  <si>
    <t>李瓊雲（Ｅ28_p3)</t>
    <phoneticPr fontId="2" type="noConversion"/>
  </si>
  <si>
    <t>富邦龍山、第一龍潭</t>
    <phoneticPr fontId="2" type="noConversion"/>
  </si>
  <si>
    <t>E24P11-12</t>
    <phoneticPr fontId="2" type="noConversion"/>
  </si>
  <si>
    <t>王茂雄(E24_p2)</t>
    <phoneticPr fontId="2" type="noConversion"/>
  </si>
  <si>
    <t>王茂雄</t>
  </si>
  <si>
    <t>E13P44、E24P45</t>
    <phoneticPr fontId="2" type="noConversion"/>
  </si>
  <si>
    <t>國泰世華、日盛雙和</t>
    <phoneticPr fontId="2" type="noConversion"/>
  </si>
  <si>
    <t>118506051330、10728141860000</t>
    <phoneticPr fontId="2" type="noConversion"/>
  </si>
  <si>
    <t>E24P23</t>
    <phoneticPr fontId="2" type="noConversion"/>
  </si>
  <si>
    <t>王素如 (E13_p68)</t>
    <phoneticPr fontId="2" type="noConversion"/>
  </si>
  <si>
    <t>E13P47</t>
    <phoneticPr fontId="2" type="noConversion"/>
  </si>
  <si>
    <t>李佩芳（E13_p65 )</t>
    <phoneticPr fontId="2" type="noConversion"/>
  </si>
  <si>
    <t>李佩芳</t>
  </si>
  <si>
    <t>陳蘭瑄</t>
    <phoneticPr fontId="2" type="noConversion"/>
  </si>
  <si>
    <t>103.11.26</t>
    <phoneticPr fontId="2" type="noConversion"/>
  </si>
  <si>
    <t>E13P45</t>
    <phoneticPr fontId="2" type="noConversion"/>
  </si>
  <si>
    <t>陳嘉澤（Ｅ13_p65 )</t>
    <phoneticPr fontId="2" type="noConversion"/>
  </si>
  <si>
    <t>柯佑在（E13_p22)</t>
    <phoneticPr fontId="2" type="noConversion"/>
  </si>
  <si>
    <t>柯佑在</t>
  </si>
  <si>
    <t>103.12.26</t>
    <phoneticPr fontId="2" type="noConversion"/>
  </si>
  <si>
    <t>E13P7</t>
    <phoneticPr fontId="2" type="noConversion"/>
  </si>
  <si>
    <t>許鈴妙（E13_p9）</t>
    <phoneticPr fontId="2" type="noConversion"/>
  </si>
  <si>
    <t>鄭蓉鍹</t>
    <phoneticPr fontId="2" type="noConversion"/>
  </si>
  <si>
    <t>103.08.21</t>
    <phoneticPr fontId="2" type="noConversion"/>
  </si>
  <si>
    <t>游怡文（E13_p22)</t>
    <phoneticPr fontId="2" type="noConversion"/>
  </si>
  <si>
    <t>游怡文</t>
  </si>
  <si>
    <t>陳立德</t>
    <phoneticPr fontId="2" type="noConversion"/>
  </si>
  <si>
    <t>陳德溎（Ｅ18_p77)</t>
    <phoneticPr fontId="2" type="noConversion"/>
  </si>
  <si>
    <t>陳德溎</t>
  </si>
  <si>
    <t>103.07.16、08.19</t>
    <phoneticPr fontId="2" type="noConversion"/>
  </si>
  <si>
    <t>E18P63</t>
    <phoneticPr fontId="2" type="noConversion"/>
  </si>
  <si>
    <t>投資人</t>
    <phoneticPr fontId="2" type="noConversion"/>
  </si>
  <si>
    <t>成交日期</t>
    <phoneticPr fontId="2" type="noConversion"/>
  </si>
  <si>
    <t>成交股數</t>
    <phoneticPr fontId="2" type="noConversion"/>
  </si>
  <si>
    <t>成交單價</t>
    <phoneticPr fontId="2" type="noConversion"/>
  </si>
  <si>
    <t>成交總價</t>
    <phoneticPr fontId="2" type="noConversion"/>
  </si>
  <si>
    <r>
      <t>本院審核</t>
    </r>
    <r>
      <rPr>
        <vertAlign val="superscript"/>
        <sz val="12"/>
        <color indexed="8"/>
        <rFont val="新細明體"/>
        <family val="1"/>
        <charset val="136"/>
      </rPr>
      <t>註1</t>
    </r>
    <phoneticPr fontId="2" type="noConversion"/>
  </si>
  <si>
    <r>
      <t>卷證依據</t>
    </r>
    <r>
      <rPr>
        <vertAlign val="superscript"/>
        <sz val="12"/>
        <color indexed="8"/>
        <rFont val="新細明體"/>
        <family val="1"/>
        <charset val="136"/>
      </rPr>
      <t>註1</t>
    </r>
    <phoneticPr fontId="2" type="noConversion"/>
  </si>
  <si>
    <t>朱緯業犯罪所得</t>
    <phoneticPr fontId="2" type="noConversion"/>
  </si>
  <si>
    <t>附表九編號</t>
    <phoneticPr fontId="2" type="noConversion"/>
  </si>
  <si>
    <t>同原審認定</t>
    <phoneticPr fontId="2" type="noConversion"/>
  </si>
  <si>
    <t>註3</t>
  </si>
  <si>
    <t>-</t>
  </si>
  <si>
    <t>註4</t>
  </si>
  <si>
    <t>（註2）</t>
    <phoneticPr fontId="2" type="noConversion"/>
  </si>
  <si>
    <t>註2、註4</t>
  </si>
  <si>
    <t>註2、註3</t>
  </si>
  <si>
    <t>魏哲云</t>
    <phoneticPr fontId="1" type="noConversion"/>
  </si>
  <si>
    <t>黃順良</t>
    <phoneticPr fontId="1" type="noConversion"/>
  </si>
  <si>
    <t>徐錫瑤</t>
    <phoneticPr fontId="2" type="noConversion"/>
  </si>
  <si>
    <t>郭金峯</t>
    <phoneticPr fontId="2" type="noConversion"/>
  </si>
  <si>
    <t>施詠紳</t>
    <phoneticPr fontId="1" type="noConversion"/>
  </si>
  <si>
    <t>總計</t>
    <phoneticPr fontId="2" type="noConversion"/>
  </si>
  <si>
    <t>註3合計</t>
    <phoneticPr fontId="2" type="noConversion"/>
  </si>
  <si>
    <t>註1：</t>
    <phoneticPr fontId="2" type="noConversion"/>
  </si>
  <si>
    <t>註2：</t>
    <phoneticPr fontId="2" type="noConversion"/>
  </si>
  <si>
    <t>註3：</t>
    <phoneticPr fontId="2" type="noConversion"/>
  </si>
  <si>
    <t>王啟陽</t>
    <phoneticPr fontId="2" type="noConversion"/>
  </si>
  <si>
    <t>103年度偵字第18883號編號1-6第3頁</t>
  </si>
  <si>
    <t>郭怡和</t>
    <phoneticPr fontId="2" type="noConversion"/>
  </si>
  <si>
    <t>被告未提相關佐證，難以辨認</t>
    <phoneticPr fontId="2" type="noConversion"/>
  </si>
  <si>
    <t>103年度偵字第18883號編號1-7第3頁</t>
  </si>
  <si>
    <t>黃秀芬</t>
    <phoneticPr fontId="2" type="noConversion"/>
  </si>
  <si>
    <t>其後於同年月25日再以同一價格過戶至蔡文益名下</t>
    <phoneticPr fontId="2" type="noConversion"/>
  </si>
  <si>
    <t>詹榮泉</t>
    <phoneticPr fontId="2" type="noConversion"/>
  </si>
  <si>
    <t>韓寶玲</t>
    <phoneticPr fontId="2" type="noConversion"/>
  </si>
  <si>
    <t>103年度偵字第18883號編號1-6第2頁</t>
  </si>
  <si>
    <t>103年度偵字第18883號編號1-7第2頁</t>
  </si>
  <si>
    <t>依扣押物所示成交明細，可知投資人顏春風亦在德睿公司成交名單中，堪認屬德睿公司所販賣者</t>
    <phoneticPr fontId="2" type="noConversion"/>
  </si>
  <si>
    <t>103年度偵字第18883號編號1-6第5頁</t>
  </si>
  <si>
    <t>103年度偵字第18883號編號2-13第1頁</t>
  </si>
  <si>
    <t>詹雅萍（B3卷第22頁）</t>
    <phoneticPr fontId="2" type="noConversion"/>
  </si>
  <si>
    <t>簡月真</t>
    <phoneticPr fontId="2" type="noConversion"/>
  </si>
  <si>
    <t>105年度附民字第183號-和解</t>
    <phoneticPr fontId="2" type="noConversion"/>
  </si>
  <si>
    <t>其後於同年4月24日至5月5日再以同一成交價格過戶至黃仲蘭、謝宗雄、陳惠春、陳淑如名下</t>
    <phoneticPr fontId="2" type="noConversion"/>
  </si>
  <si>
    <t>105年度附民字第198號-和解</t>
    <phoneticPr fontId="2" type="noConversion"/>
  </si>
  <si>
    <t>註2、註3</t>
    <phoneticPr fontId="2" type="noConversion"/>
  </si>
  <si>
    <t>傅應龍</t>
    <phoneticPr fontId="2" type="noConversion"/>
  </si>
  <si>
    <t>103年度偵字第18883號編號1-6第1頁</t>
  </si>
  <si>
    <t>李方淑媛</t>
    <phoneticPr fontId="2" type="noConversion"/>
  </si>
  <si>
    <t>105年度附民字第194號</t>
    <phoneticPr fontId="1" type="noConversion"/>
  </si>
  <si>
    <t>105年度附民字第194號</t>
    <phoneticPr fontId="2" type="noConversion"/>
  </si>
  <si>
    <t>105年度附民字第270號第5頁</t>
    <phoneticPr fontId="2" type="noConversion"/>
  </si>
  <si>
    <t>其後同年8月5日再以同一成交價格過戶至陳春宏名下（註2）</t>
    <phoneticPr fontId="2" type="noConversion"/>
  </si>
  <si>
    <t>依扣押物所示成交明細，可知投資人范慶仁亦在德睿公司成交名單中，堪認屬德睿公司所販賣者</t>
    <phoneticPr fontId="2" type="noConversion"/>
  </si>
  <si>
    <t>105年度附民字第191號</t>
    <phoneticPr fontId="1" type="noConversion"/>
  </si>
  <si>
    <t>李桂鶯</t>
    <phoneticPr fontId="2" type="noConversion"/>
  </si>
  <si>
    <t>朱緯業主導之販售兆良股票金額合計</t>
    <phoneticPr fontId="2" type="noConversion"/>
  </si>
  <si>
    <t>註2合計</t>
    <phoneticPr fontId="2" type="noConversion"/>
  </si>
  <si>
    <t>、</t>
    <phoneticPr fontId="2" type="noConversion"/>
  </si>
  <si>
    <t>轉帳，詳土地銀行交易明細表，106年度附民字第118號第4頁</t>
    <phoneticPr fontId="2" type="noConversion"/>
  </si>
  <si>
    <t>本案附民一覽表</t>
    <phoneticPr fontId="1" type="noConversion"/>
  </si>
  <si>
    <t>案號</t>
    <phoneticPr fontId="1" type="noConversion"/>
  </si>
  <si>
    <t>原告</t>
    <phoneticPr fontId="1" type="noConversion"/>
  </si>
  <si>
    <t>起訴金額</t>
    <phoneticPr fontId="1" type="noConversion"/>
  </si>
  <si>
    <t>本院審核</t>
    <phoneticPr fontId="1" type="noConversion"/>
  </si>
  <si>
    <t>105年度附民字第218號</t>
    <phoneticPr fontId="1" type="noConversion"/>
  </si>
  <si>
    <t>王秀珠</t>
    <phoneticPr fontId="1" type="noConversion"/>
  </si>
  <si>
    <t>同附表五編號634</t>
    <phoneticPr fontId="1" type="noConversion"/>
  </si>
  <si>
    <t>105年度附民字第151號</t>
    <phoneticPr fontId="1" type="noConversion"/>
  </si>
  <si>
    <t>李瓊雲</t>
    <phoneticPr fontId="1" type="noConversion"/>
  </si>
  <si>
    <t>同附表一編號197、附表五編號277，交易金額分別為50,000、134,000元</t>
    <phoneticPr fontId="1" type="noConversion"/>
  </si>
  <si>
    <t>105年度附民字第150號</t>
    <phoneticPr fontId="1" type="noConversion"/>
  </si>
  <si>
    <t>同附表五編號640</t>
    <phoneticPr fontId="1" type="noConversion"/>
  </si>
  <si>
    <t>105年度附民字第179號</t>
    <phoneticPr fontId="1" type="noConversion"/>
  </si>
  <si>
    <t>105年度附民字第237號</t>
    <phoneticPr fontId="1" type="noConversion"/>
  </si>
  <si>
    <t>游玫芳</t>
    <phoneticPr fontId="1" type="noConversion"/>
  </si>
  <si>
    <t>同附表六編號115、129，交易金額分別各為335,000元，然兩造已於106年1月3日和解</t>
    <phoneticPr fontId="1" type="noConversion"/>
  </si>
  <si>
    <t>105年度附民字第210號</t>
    <phoneticPr fontId="1" type="noConversion"/>
  </si>
  <si>
    <t>王素如</t>
    <phoneticPr fontId="1" type="noConversion"/>
  </si>
  <si>
    <t>同附表一編號47、附表五編號251，交易金額分別為125,000、335,000元</t>
    <phoneticPr fontId="1" type="noConversion"/>
  </si>
  <si>
    <t>105年度附民字第196號</t>
    <phoneticPr fontId="1" type="noConversion"/>
  </si>
  <si>
    <t>105年度附民字第195號</t>
    <phoneticPr fontId="1" type="noConversion"/>
  </si>
  <si>
    <t>105年度附民字第193號</t>
    <phoneticPr fontId="1" type="noConversion"/>
  </si>
  <si>
    <t>105年度附民字第190號</t>
    <phoneticPr fontId="1" type="noConversion"/>
  </si>
  <si>
    <t>周玉全</t>
    <phoneticPr fontId="1" type="noConversion"/>
  </si>
  <si>
    <t>105年度附民字第189號</t>
    <phoneticPr fontId="1" type="noConversion"/>
  </si>
  <si>
    <t>彭淑萍</t>
    <phoneticPr fontId="1" type="noConversion"/>
  </si>
  <si>
    <t>105年度附民字第302號</t>
    <phoneticPr fontId="1" type="noConversion"/>
  </si>
  <si>
    <t>陳仰山</t>
    <phoneticPr fontId="1" type="noConversion"/>
  </si>
  <si>
    <t>105年度附民字第275號</t>
    <phoneticPr fontId="1" type="noConversion"/>
  </si>
  <si>
    <t>莊重信</t>
    <phoneticPr fontId="1" type="noConversion"/>
  </si>
  <si>
    <t>同附表一編號176、附表六編號190，交易金額分別為150,000、414,000元</t>
    <phoneticPr fontId="1" type="noConversion"/>
  </si>
  <si>
    <t>105年度附民字第273號</t>
    <phoneticPr fontId="1" type="noConversion"/>
  </si>
  <si>
    <t>105年度附民字第221號</t>
    <phoneticPr fontId="1" type="noConversion"/>
  </si>
  <si>
    <t>105年度附民字第220號</t>
    <phoneticPr fontId="1" type="noConversion"/>
  </si>
  <si>
    <t>105年度附民字第219號</t>
    <phoneticPr fontId="1" type="noConversion"/>
  </si>
  <si>
    <t>105年度附民字第209號</t>
    <phoneticPr fontId="1" type="noConversion"/>
  </si>
  <si>
    <t>105年度附民字第204號</t>
    <phoneticPr fontId="1" type="noConversion"/>
  </si>
  <si>
    <t>105年度附民字第203號</t>
    <phoneticPr fontId="1" type="noConversion"/>
  </si>
  <si>
    <t>宋正鑫</t>
    <phoneticPr fontId="1" type="noConversion"/>
  </si>
  <si>
    <t>同附表八編號16、105，交易金額分別為75,000、201,000元</t>
    <phoneticPr fontId="1" type="noConversion"/>
  </si>
  <si>
    <t>106年度附民字第3號</t>
    <phoneticPr fontId="1" type="noConversion"/>
  </si>
  <si>
    <t>同附表六編號115、129，交易金額各為335,000元，然兩造已於105年09月21日和解</t>
    <phoneticPr fontId="1" type="noConversion"/>
  </si>
  <si>
    <t>王茂雄、王啟聰</t>
    <phoneticPr fontId="1" type="noConversion"/>
  </si>
  <si>
    <t>105年度附民字第285號</t>
    <phoneticPr fontId="1" type="noConversion"/>
  </si>
  <si>
    <t>105年度附民字第349號</t>
    <phoneticPr fontId="1" type="noConversion"/>
  </si>
  <si>
    <t>黃士峰</t>
    <phoneticPr fontId="1" type="noConversion"/>
  </si>
  <si>
    <t>駱詠潔</t>
    <phoneticPr fontId="1" type="noConversion"/>
  </si>
  <si>
    <t>劉建良</t>
    <phoneticPr fontId="1" type="noConversion"/>
  </si>
  <si>
    <t>同附表一編號220、附表六編號206，交易金額分別為125,000、345,000元</t>
    <phoneticPr fontId="1" type="noConversion"/>
  </si>
  <si>
    <t>105年度附民字第206號</t>
    <phoneticPr fontId="1" type="noConversion"/>
  </si>
  <si>
    <t>105年度附民字第226號</t>
    <phoneticPr fontId="1" type="noConversion"/>
  </si>
  <si>
    <t>同附表一編號104、附表五編號278，交易金額分別為300,000、804,000元</t>
    <phoneticPr fontId="1" type="noConversion"/>
  </si>
  <si>
    <t>同附表五編號196、576，交易金額分別為25,000、67,000元</t>
    <phoneticPr fontId="1" type="noConversion"/>
  </si>
  <si>
    <t>呂月美</t>
    <phoneticPr fontId="1" type="noConversion"/>
  </si>
  <si>
    <t>李珍妮</t>
    <phoneticPr fontId="1" type="noConversion"/>
  </si>
  <si>
    <t>黃羿堯</t>
    <phoneticPr fontId="1" type="noConversion"/>
  </si>
  <si>
    <t>同附表五編號42、396，交易金額分別為75,000、201,000元</t>
    <phoneticPr fontId="1" type="noConversion"/>
  </si>
  <si>
    <t>同附表一編號251、附表五編號232，交易金額分別為50,000、134,000元。本案已撤回</t>
    <phoneticPr fontId="1" type="noConversion"/>
  </si>
  <si>
    <t>106年度附民字第24號</t>
    <phoneticPr fontId="1" type="noConversion"/>
  </si>
  <si>
    <t>106年度附民字第118號</t>
    <phoneticPr fontId="1" type="noConversion"/>
  </si>
  <si>
    <t>李月星</t>
    <phoneticPr fontId="1" type="noConversion"/>
  </si>
  <si>
    <t>詳土地銀行交易明細表，106年度附民字第118號第4頁</t>
    <phoneticPr fontId="1" type="noConversion"/>
  </si>
  <si>
    <t>陳鈞裕</t>
    <phoneticPr fontId="1" type="noConversion"/>
  </si>
  <si>
    <t>同附表一編號89、附表六編號141，交易金額分別為125,000、335,000元</t>
    <phoneticPr fontId="1" type="noConversion"/>
  </si>
  <si>
    <t>105年度附民字第208號</t>
    <phoneticPr fontId="1" type="noConversion"/>
  </si>
  <si>
    <t>彭翊芸</t>
    <phoneticPr fontId="1" type="noConversion"/>
  </si>
  <si>
    <t>105年度附民字第207號</t>
    <phoneticPr fontId="1" type="noConversion"/>
  </si>
  <si>
    <t>郭炳金</t>
    <phoneticPr fontId="1" type="noConversion"/>
  </si>
  <si>
    <t>105年度附民字第205號</t>
    <phoneticPr fontId="1" type="noConversion"/>
  </si>
  <si>
    <t>謝秀菊</t>
    <phoneticPr fontId="1" type="noConversion"/>
  </si>
  <si>
    <t>程美玉</t>
    <phoneticPr fontId="1" type="noConversion"/>
  </si>
  <si>
    <t>105年度附民字第202號</t>
    <phoneticPr fontId="1" type="noConversion"/>
  </si>
  <si>
    <t>105年度附民字第200號</t>
    <phoneticPr fontId="1" type="noConversion"/>
  </si>
  <si>
    <t>陳秀絨</t>
    <phoneticPr fontId="1" type="noConversion"/>
  </si>
  <si>
    <t>105年度附民字第199號</t>
    <phoneticPr fontId="1" type="noConversion"/>
  </si>
  <si>
    <t>彭俊融</t>
    <phoneticPr fontId="1" type="noConversion"/>
  </si>
  <si>
    <t>106年度附民字第13號</t>
    <phoneticPr fontId="1" type="noConversion"/>
  </si>
  <si>
    <t>高素雲</t>
    <phoneticPr fontId="1" type="noConversion"/>
  </si>
  <si>
    <t>同附表一編號169、附表五編號610，交易金額分別為150,000、69,000元</t>
    <phoneticPr fontId="1" type="noConversion"/>
  </si>
  <si>
    <t>105年度附民字第169號</t>
    <phoneticPr fontId="1" type="noConversion"/>
  </si>
  <si>
    <t>薛文楨</t>
    <phoneticPr fontId="1" type="noConversion"/>
  </si>
  <si>
    <t>105年度附民字第171號</t>
    <phoneticPr fontId="1" type="noConversion"/>
  </si>
  <si>
    <t>同附表一編號16、附表六編號90，交易金額為25,000、67,000元，其餘交易金額增列在附表五編號210-1</t>
    <phoneticPr fontId="1" type="noConversion"/>
  </si>
  <si>
    <t>105年度附民字第192號</t>
    <phoneticPr fontId="1" type="noConversion"/>
  </si>
  <si>
    <t>范馨云</t>
    <phoneticPr fontId="1" type="noConversion"/>
  </si>
  <si>
    <t>同附表六編號95，交易金額為67,000元</t>
    <phoneticPr fontId="1" type="noConversion"/>
  </si>
  <si>
    <t>潘建盛</t>
    <phoneticPr fontId="1" type="noConversion"/>
  </si>
  <si>
    <t>同附表五編號45、121、389、412、461，交易金額分別為575,000、50,000、1340,000、201,000、134,000元</t>
    <phoneticPr fontId="1" type="noConversion"/>
  </si>
  <si>
    <t>105年度附民字第183號</t>
    <phoneticPr fontId="1" type="noConversion"/>
  </si>
  <si>
    <t>105年度附民字第198號</t>
    <phoneticPr fontId="1" type="noConversion"/>
  </si>
  <si>
    <t>李純香</t>
    <phoneticPr fontId="1" type="noConversion"/>
  </si>
  <si>
    <t>105年度附民字第326號</t>
    <phoneticPr fontId="1" type="noConversion"/>
  </si>
  <si>
    <t>陳坤禮</t>
    <phoneticPr fontId="1" type="noConversion"/>
  </si>
  <si>
    <t>同附表一編號36、附表六編號211，交易金額分別為75,000、207,000元</t>
    <phoneticPr fontId="1" type="noConversion"/>
  </si>
  <si>
    <t>游秀玉</t>
    <phoneticPr fontId="1" type="noConversion"/>
  </si>
  <si>
    <t>同附表六編號194</t>
    <phoneticPr fontId="1" type="noConversion"/>
  </si>
  <si>
    <t>廖芳藝</t>
    <phoneticPr fontId="1" type="noConversion"/>
  </si>
  <si>
    <t>同附表六編號99</t>
    <phoneticPr fontId="1" type="noConversion"/>
  </si>
  <si>
    <t>同附表一編號172、附表五編號608、附表六編號207，交易金額分別為125,000、276,000、69,000元</t>
    <phoneticPr fontId="1" type="noConversion"/>
  </si>
  <si>
    <t>105年度附民字第265號</t>
    <phoneticPr fontId="1" type="noConversion"/>
  </si>
  <si>
    <t>康惠循</t>
    <phoneticPr fontId="1" type="noConversion"/>
  </si>
  <si>
    <t>陳玉燕</t>
    <phoneticPr fontId="1" type="noConversion"/>
  </si>
  <si>
    <t>同附表一編號135、附表十二編號49，交易金額分別為125,000、345,000元</t>
    <phoneticPr fontId="1" type="noConversion"/>
  </si>
  <si>
    <t>105年度附民字第227號</t>
    <phoneticPr fontId="1" type="noConversion"/>
  </si>
  <si>
    <t>105年度附民字第270號</t>
    <phoneticPr fontId="1" type="noConversion"/>
  </si>
  <si>
    <t>徐正民</t>
    <phoneticPr fontId="1" type="noConversion"/>
  </si>
  <si>
    <t>105年度附民字第201號</t>
    <phoneticPr fontId="1" type="noConversion"/>
  </si>
  <si>
    <t>王麗綾</t>
    <phoneticPr fontId="1" type="noConversion"/>
  </si>
  <si>
    <t>同附表五編號280</t>
    <phoneticPr fontId="1" type="noConversion"/>
  </si>
  <si>
    <t>105年度附民字第224號</t>
    <phoneticPr fontId="1" type="noConversion"/>
  </si>
  <si>
    <t>章寶貴</t>
    <phoneticPr fontId="1" type="noConversion"/>
  </si>
  <si>
    <t>105年度附民字第160號</t>
    <phoneticPr fontId="1" type="noConversion"/>
  </si>
  <si>
    <t>王美智</t>
    <phoneticPr fontId="1" type="noConversion"/>
  </si>
  <si>
    <t>同附表五編號50、390、416，交易金額分別為200,000、402,000、201,000元</t>
    <phoneticPr fontId="1" type="noConversion"/>
  </si>
  <si>
    <t>黃慧娥</t>
    <phoneticPr fontId="1" type="noConversion"/>
  </si>
  <si>
    <t>劉秀麗</t>
    <phoneticPr fontId="1" type="noConversion"/>
  </si>
  <si>
    <t>謝美玲</t>
    <phoneticPr fontId="1" type="noConversion"/>
  </si>
  <si>
    <t>105年度附民字第159號</t>
    <phoneticPr fontId="1" type="noConversion"/>
  </si>
  <si>
    <t>林麗雲</t>
    <phoneticPr fontId="1" type="noConversion"/>
  </si>
  <si>
    <t>105年度附民字第197號</t>
    <phoneticPr fontId="1" type="noConversion"/>
  </si>
  <si>
    <t>106年度附民字第44號</t>
    <phoneticPr fontId="1" type="noConversion"/>
  </si>
  <si>
    <t>柯佑在</t>
    <phoneticPr fontId="1" type="noConversion"/>
  </si>
  <si>
    <t>105年度附民字第301號</t>
    <phoneticPr fontId="1" type="noConversion"/>
  </si>
  <si>
    <t>106年度附民字第72號</t>
    <phoneticPr fontId="1" type="noConversion"/>
  </si>
  <si>
    <t>湯美珍</t>
    <phoneticPr fontId="1" type="noConversion"/>
  </si>
  <si>
    <t>106年度附民字第115號</t>
    <phoneticPr fontId="1" type="noConversion"/>
  </si>
  <si>
    <t>附民原告僅列起訴狀一紙，並無其他交易憑證證實所述損害金額。爰以附表十二編號50作為本院審核結果。</t>
    <phoneticPr fontId="1" type="noConversion"/>
  </si>
  <si>
    <t>106年度附民字第116號</t>
    <phoneticPr fontId="1" type="noConversion"/>
  </si>
  <si>
    <t>許倩文</t>
    <phoneticPr fontId="1" type="noConversion"/>
  </si>
  <si>
    <t>106年度附民字第81號</t>
    <phoneticPr fontId="1" type="noConversion"/>
  </si>
  <si>
    <t>邱碧芬</t>
    <phoneticPr fontId="1" type="noConversion"/>
  </si>
  <si>
    <t>詳103年度證券交易稅一般代徵稅額繳款書，第9-10、12-13頁</t>
    <phoneticPr fontId="1" type="noConversion"/>
  </si>
  <si>
    <t>詳元大銀行103年3月20日匯款申請書、中區農會103年4月3日匯款委託書、第一商業銀行103年7月30日存款存根聯，第2、7、12頁</t>
    <phoneticPr fontId="1" type="noConversion"/>
  </si>
  <si>
    <t>詳第一商業銀行103年7月30日存款存根聯，106年附民字第81號第12頁</t>
    <phoneticPr fontId="1" type="noConversion"/>
  </si>
  <si>
    <t>106年度附民字第82號</t>
    <phoneticPr fontId="1" type="noConversion"/>
  </si>
  <si>
    <t>陳宏洋</t>
    <phoneticPr fontId="1" type="noConversion"/>
  </si>
  <si>
    <t>未提供相關交易憑證</t>
    <phoneticPr fontId="1" type="noConversion"/>
  </si>
  <si>
    <t>查106年附民字第82號並無相關交易憑證，爰以本院審核結果為準</t>
    <phoneticPr fontId="1" type="noConversion"/>
  </si>
  <si>
    <t>106年度附民字第83號</t>
    <phoneticPr fontId="1" type="noConversion"/>
  </si>
  <si>
    <t>邱必義</t>
    <phoneticPr fontId="1" type="noConversion"/>
  </si>
  <si>
    <t>詳第一商業銀行8103年8月7日存款存根聯，第2頁</t>
    <phoneticPr fontId="1" type="noConversion"/>
  </si>
  <si>
    <t>詳第一商業銀行8103年8月7日存款存根聯，106年度附民字第83號第2頁</t>
    <phoneticPr fontId="1" type="noConversion"/>
  </si>
  <si>
    <t>106年度附民字第84號</t>
    <phoneticPr fontId="1" type="noConversion"/>
  </si>
  <si>
    <t>龔洢波</t>
    <phoneticPr fontId="1" type="noConversion"/>
  </si>
  <si>
    <t>106年度附民字第85號</t>
    <phoneticPr fontId="1" type="noConversion"/>
  </si>
  <si>
    <t>林淑蓉</t>
    <phoneticPr fontId="1" type="noConversion"/>
  </si>
  <si>
    <t>106年度附民字第86號</t>
    <phoneticPr fontId="1" type="noConversion"/>
  </si>
  <si>
    <t>王禎嫻</t>
    <phoneticPr fontId="1" type="noConversion"/>
  </si>
  <si>
    <t>同附表六編號181</t>
    <phoneticPr fontId="1" type="noConversion"/>
  </si>
  <si>
    <t>詳103年度證券交易稅一般代徵稅額繳款書，第3頁</t>
    <phoneticPr fontId="1" type="noConversion"/>
  </si>
  <si>
    <t>106年度附民字第87號</t>
    <phoneticPr fontId="1" type="noConversion"/>
  </si>
  <si>
    <t>黃人信</t>
    <phoneticPr fontId="1" type="noConversion"/>
  </si>
  <si>
    <t>106年度附民字第88號</t>
    <phoneticPr fontId="1" type="noConversion"/>
  </si>
  <si>
    <t>王冬立</t>
    <phoneticPr fontId="1" type="noConversion"/>
  </si>
  <si>
    <t>詳103年現金增資繳款書、103年度證券交易稅一般代徵稅額繳款書，第3頁</t>
    <phoneticPr fontId="1" type="noConversion"/>
  </si>
  <si>
    <t>詳103年現金增資繳款書，106年度附民字第88號第3頁</t>
    <phoneticPr fontId="1" type="noConversion"/>
  </si>
  <si>
    <t>103年度偵字第18883號編號2-13第1頁</t>
    <phoneticPr fontId="1" type="noConversion"/>
  </si>
  <si>
    <t>106年度附民字第91號</t>
    <phoneticPr fontId="1" type="noConversion"/>
  </si>
  <si>
    <t>林榮茂</t>
    <phoneticPr fontId="1" type="noConversion"/>
  </si>
  <si>
    <t>106年度附民字第92號</t>
    <phoneticPr fontId="1" type="noConversion"/>
  </si>
  <si>
    <t>查106年附民字第91號並無相關交易憑證，爰以本院審核結果為準</t>
    <phoneticPr fontId="1" type="noConversion"/>
  </si>
  <si>
    <t>106年度附民字第93號</t>
    <phoneticPr fontId="1" type="noConversion"/>
  </si>
  <si>
    <t>高玉綢</t>
    <phoneticPr fontId="1" type="noConversion"/>
  </si>
  <si>
    <t>查106年附民字第93號並無相關交易憑證，爰以本院審核結果為準</t>
    <phoneticPr fontId="1" type="noConversion"/>
  </si>
  <si>
    <t>106年度附民字第96號</t>
    <phoneticPr fontId="1" type="noConversion"/>
  </si>
  <si>
    <t>施瑞霖</t>
    <phoneticPr fontId="1" type="noConversion"/>
  </si>
  <si>
    <t>附民原告僅附起訴狀一紙，並無其他交易憑證證實所述損害金額。爰以附表六編號100作為本院審核結果</t>
    <phoneticPr fontId="1" type="noConversion"/>
  </si>
  <si>
    <t>106年度附民字第97號</t>
    <phoneticPr fontId="1" type="noConversion"/>
  </si>
  <si>
    <t>伍正康</t>
    <phoneticPr fontId="1" type="noConversion"/>
  </si>
  <si>
    <t>106年度附民字第98號</t>
    <phoneticPr fontId="1" type="noConversion"/>
  </si>
  <si>
    <t>林孟宗</t>
    <phoneticPr fontId="1" type="noConversion"/>
  </si>
  <si>
    <t>查106年附民字第97號並無相關交易憑證，爰以本院審核結果為準</t>
    <phoneticPr fontId="1" type="noConversion"/>
  </si>
  <si>
    <t>106年度附民字第100號</t>
    <phoneticPr fontId="1" type="noConversion"/>
  </si>
  <si>
    <t>莊倉江</t>
    <phoneticPr fontId="1" type="noConversion"/>
  </si>
  <si>
    <t>106年度附民字第101號</t>
    <phoneticPr fontId="1" type="noConversion"/>
  </si>
  <si>
    <t>許倩文</t>
    <phoneticPr fontId="1" type="noConversion"/>
  </si>
  <si>
    <t>106年度附民字第102號</t>
    <phoneticPr fontId="1" type="noConversion"/>
  </si>
  <si>
    <t>王碧枝</t>
    <phoneticPr fontId="1" type="noConversion"/>
  </si>
  <si>
    <t>106年度附民字第105號</t>
    <phoneticPr fontId="1" type="noConversion"/>
  </si>
  <si>
    <t>劉石振</t>
    <phoneticPr fontId="1" type="noConversion"/>
  </si>
  <si>
    <t>106年度附民字第106號</t>
    <phoneticPr fontId="1" type="noConversion"/>
  </si>
  <si>
    <t>韓寶玲</t>
    <phoneticPr fontId="1" type="noConversion"/>
  </si>
  <si>
    <t>詳郵局103年2月14日跨行匯款申請書、第一商業銀行103年8月5日存款存根聯，第7頁</t>
    <phoneticPr fontId="1" type="noConversion"/>
  </si>
  <si>
    <t>詳第一商業銀行103年8月5日存款存根聯，106年度附民字第106號第7頁</t>
    <phoneticPr fontId="1" type="noConversion"/>
  </si>
  <si>
    <t>106年度附民字第108號</t>
    <phoneticPr fontId="1" type="noConversion"/>
  </si>
  <si>
    <t>吳柏羽</t>
    <phoneticPr fontId="1" type="noConversion"/>
  </si>
  <si>
    <t>查106年附民字第108號並無相關交易憑證，爰以本院審核結果為準</t>
    <phoneticPr fontId="1" type="noConversion"/>
  </si>
  <si>
    <t>至於106年附民字第108號並無相關交易憑證，爰以本院審核結果為準</t>
    <phoneticPr fontId="1" type="noConversion"/>
  </si>
  <si>
    <t>106年度附民字第109號</t>
    <phoneticPr fontId="1" type="noConversion"/>
  </si>
  <si>
    <t>李純香</t>
    <phoneticPr fontId="1" type="noConversion"/>
  </si>
  <si>
    <t>106年度附民字第110號</t>
    <phoneticPr fontId="1" type="noConversion"/>
  </si>
  <si>
    <t>謝瀅諭</t>
    <phoneticPr fontId="1" type="noConversion"/>
  </si>
  <si>
    <t>106年度附民字第111號</t>
    <phoneticPr fontId="1" type="noConversion"/>
  </si>
  <si>
    <t>黃曉萍</t>
    <phoneticPr fontId="1" type="noConversion"/>
  </si>
  <si>
    <t>106年度附民字第112號</t>
    <phoneticPr fontId="1" type="noConversion"/>
  </si>
  <si>
    <t>許正義</t>
    <phoneticPr fontId="1" type="noConversion"/>
  </si>
  <si>
    <t>詳103年度證券交易稅一般代徵稅額繳款書，第4頁</t>
    <phoneticPr fontId="1" type="noConversion"/>
  </si>
  <si>
    <t>第一商業銀行103年8月11日存款存根聯，105年度附民字第151號第15頁</t>
    <phoneticPr fontId="1" type="noConversion"/>
  </si>
  <si>
    <t>永豐銀行103年6月17日匯款申請單、第一商業銀行103年8月11日存款存根聯，第13、15頁</t>
    <phoneticPr fontId="1" type="noConversion"/>
  </si>
  <si>
    <t>同附表一編號241、附表五編號271，交易金額為125,000、335,000元</t>
    <phoneticPr fontId="1" type="noConversion"/>
  </si>
  <si>
    <t>第一銀行103年8月12日匯款通知單、103年度證券交易稅一般代徵稅額繳款書，E14卷第172-173頁</t>
    <phoneticPr fontId="1" type="noConversion"/>
  </si>
  <si>
    <t>1.其中30,000用轉帳匯入。
2.第一銀行103年8月12日匯款通知單，E14卷第172頁</t>
    <phoneticPr fontId="2" type="noConversion"/>
  </si>
  <si>
    <t>依卷附103年證券交易稅一般代徵稅額繳款書所示，僅有188000元，爰以附表五編號95、649，交易金額為50,000、138,000元作為本院審核結果</t>
    <phoneticPr fontId="1" type="noConversion"/>
  </si>
  <si>
    <t>103年證券交易稅一般代徵稅額繳款書，第4頁</t>
    <phoneticPr fontId="1" type="noConversion"/>
  </si>
  <si>
    <t>同附表一編號120、附表五編號288，交易金額分別為50,000、134,000元。</t>
    <phoneticPr fontId="1" type="noConversion"/>
  </si>
  <si>
    <t>103年度證券交易稅一般代徵稅額繳款書、第一商業銀行103年8月7日存款存根聯，第4-5頁</t>
    <phoneticPr fontId="1" type="noConversion"/>
  </si>
  <si>
    <t>第一商業銀行103年8月7日存款存根聯，105年度附民字第207號第4-5頁</t>
    <phoneticPr fontId="1" type="noConversion"/>
  </si>
  <si>
    <t>同附表五編號153、507，交易金額分別為50,000、268,000元，</t>
    <phoneticPr fontId="1" type="noConversion"/>
  </si>
  <si>
    <t>103年度證券交易稅一般代徵稅額繳款書，第4頁</t>
    <phoneticPr fontId="1" type="noConversion"/>
  </si>
  <si>
    <t>同附表五編號153、507，交易金額分別為50,000、268,000元</t>
    <phoneticPr fontId="1" type="noConversion"/>
  </si>
  <si>
    <t>103年度證券交易稅一般代徵稅額繳款書，105年度附民字第179號第4頁</t>
    <phoneticPr fontId="1" type="noConversion"/>
  </si>
  <si>
    <t>國泰世華商業銀行103年10月3日存款憑證，第74-75頁</t>
    <phoneticPr fontId="1" type="noConversion"/>
  </si>
  <si>
    <t>同附表一編號251、附表五編號232，交易金額分別為50,000、134,000元，本案已撤回</t>
    <phoneticPr fontId="1" type="noConversion"/>
  </si>
  <si>
    <t>103年度證券交易稅一般代徵稅額繳款書、第一商業銀行103年8月12日銀行對帳單，E14卷第136頁、E38卷第170頁反面</t>
    <phoneticPr fontId="1" type="noConversion"/>
  </si>
  <si>
    <t>103年度證券交易稅一般代徵稅額繳款書、兆良公司103年8月12日第一商業銀行對帳單，E14卷第136頁、E38卷第170頁反面</t>
    <phoneticPr fontId="1" type="noConversion"/>
  </si>
  <si>
    <t>兆良公司103年8月12日第一商業銀行對帳單，E38卷第170頁反面</t>
    <phoneticPr fontId="1" type="noConversion"/>
  </si>
  <si>
    <t>第一商業銀行103年8月26日、8月28日、9月4日匯款申請書回條，E17卷第82頁</t>
    <phoneticPr fontId="1" type="noConversion"/>
  </si>
  <si>
    <t>E17卷第91頁</t>
    <phoneticPr fontId="1" type="noConversion"/>
  </si>
  <si>
    <t>經加總被告主張之金流與原審判決核對後相符，爰以附表五編號51、124、391、417、463，交易金額分別為400,000、125,000、938,000、134,000、335,000元作為本院審核結果</t>
    <phoneticPr fontId="1" type="noConversion"/>
  </si>
  <si>
    <t>中國信託信義分行2525400424729對帳單，E17第65、89頁、本院卷六第113-117頁</t>
    <phoneticPr fontId="1" type="noConversion"/>
  </si>
  <si>
    <t>1.其主張係以30000元現金支付，其餘由他人代匯，無其他交易憑證可驗證。
2.爰以附表五編號48、414，交易金額分別為75,000、201,000元作為本院審核結果</t>
    <phoneticPr fontId="1" type="noConversion"/>
  </si>
  <si>
    <t>103年度證券交易稅一般代徵稅額繳款書，E17卷第21、24、27、28頁</t>
    <phoneticPr fontId="1" type="noConversion"/>
  </si>
  <si>
    <t>103年度證券交易稅一般代徵稅額繳款書，E17卷第36、40頁</t>
    <phoneticPr fontId="1" type="noConversion"/>
  </si>
  <si>
    <t>附民原告並無其他交易憑證證實所述損害金額。爰以附表五編號52、392、418，交易金額分別為375,000、670,000、335,000元作為本院審核結果</t>
    <phoneticPr fontId="1" type="noConversion"/>
  </si>
  <si>
    <t>103年度證券交易稅一般代徵稅額繳款書，第4-5頁</t>
    <phoneticPr fontId="1" type="noConversion"/>
  </si>
  <si>
    <t>第一商業銀行103年7月28日、104年6月17日存款存根聯，第2-3頁</t>
    <phoneticPr fontId="1" type="noConversion"/>
  </si>
  <si>
    <t>第一商業銀行103年7月28日存款存根聯，105年附民字第171號第2頁</t>
    <phoneticPr fontId="1" type="noConversion"/>
  </si>
  <si>
    <t>103年度證券交易稅一般代徵稅額繳款書，第2、8頁</t>
    <phoneticPr fontId="1" type="noConversion"/>
  </si>
  <si>
    <t>同附表五編號573</t>
    <phoneticPr fontId="1" type="noConversion"/>
  </si>
  <si>
    <t>富邦銀行104年1月26日匯款委託書、103年度證券交易稅一般代徵稅額繳款書，E14卷第67-68頁</t>
    <phoneticPr fontId="1" type="noConversion"/>
  </si>
  <si>
    <t>同附表一編號258、附表五編號122、附表十二編號16，交易金額分別為50,000、75,000、134,000元</t>
    <phoneticPr fontId="1" type="noConversion"/>
  </si>
  <si>
    <t>E16卷第227頁</t>
    <phoneticPr fontId="1" type="noConversion"/>
  </si>
  <si>
    <t>第一商業銀行103年6月11日、8月12日匯款申請書回條、台北富邦銀行103年10月24日存摺類存款存入存根，E16卷第226-227頁</t>
    <phoneticPr fontId="1" type="noConversion"/>
  </si>
  <si>
    <t>E16卷第226頁</t>
    <phoneticPr fontId="2" type="noConversion"/>
  </si>
  <si>
    <t>103年度證券交易稅一般代徵稅額繳款書，E14卷第107頁</t>
    <phoneticPr fontId="1" type="noConversion"/>
  </si>
  <si>
    <t>附民原告僅附起訴狀一紙，並無其他交易憑證證實所述損害金額。爰以附表五編號520作為本院審核結果</t>
    <phoneticPr fontId="1" type="noConversion"/>
  </si>
  <si>
    <t>103年度證券交易稅一般代徵稅額繳款書，E13卷第121頁</t>
    <phoneticPr fontId="1" type="noConversion"/>
  </si>
  <si>
    <t>第一商業銀行104年6月22日全行代理收款存根聯、103年度證券交易稅一般代徵稅額繳款書，E15卷第65-1、65-2頁</t>
    <phoneticPr fontId="1" type="noConversion"/>
  </si>
  <si>
    <t>第一商業銀行104年6月22日全行代理收款存根聯、103年度證券交易稅一般代徵稅額繳款書，E15卷第65-3、66頁</t>
    <phoneticPr fontId="1" type="noConversion"/>
  </si>
  <si>
    <t>第一商業銀行104年6月22日全行代理收款存根聯、103年度證券交易稅一般代徵稅額繳款書，E15卷第64-1、65頁</t>
    <phoneticPr fontId="1" type="noConversion"/>
  </si>
  <si>
    <t>E22卷第3-8頁所示六張股票，僅能證明所購買之數量，尚無證實所述損害金額。爰以同附表五編號74、91、631、643，交易金額分別為50,000、25,000、138,000、69,000元作為本院審核結果</t>
    <phoneticPr fontId="1" type="noConversion"/>
  </si>
  <si>
    <t>E22卷第3-8頁</t>
    <phoneticPr fontId="1" type="noConversion"/>
  </si>
  <si>
    <t>103年度證券交易稅一般代徵稅額繳款書、第一商業銀行103年7月30日存款存根聯，第5-6頁</t>
    <phoneticPr fontId="1" type="noConversion"/>
  </si>
  <si>
    <t>第一商業銀行103年7月30日存款存根聯，105年度附民字第270號第6頁</t>
    <phoneticPr fontId="1" type="noConversion"/>
  </si>
  <si>
    <t>103年6月3日、103年12月30日證券交易稅一般代徵稅額繳款書第7-8頁</t>
    <phoneticPr fontId="1" type="noConversion"/>
  </si>
  <si>
    <t>103年度證券交易稅一般代徵稅額繳款書，105年度附民字第183號第2、8頁</t>
    <phoneticPr fontId="1" type="noConversion"/>
  </si>
  <si>
    <t>103年度證券交易稅一般代徵稅額繳款書，第3頁</t>
    <phoneticPr fontId="1" type="noConversion"/>
  </si>
  <si>
    <t>臺灣銀行103年8月8日匯款申請書回條聯，105年度附民字第226號第110頁</t>
    <phoneticPr fontId="1" type="noConversion"/>
  </si>
  <si>
    <t>103年2月17日、3月5日證券交易稅一般代徵稅額繳款書、臺灣銀行103年8月8日、104年6月22日匯款申請書回條聯，第103、106、108、110、119頁</t>
    <phoneticPr fontId="1" type="noConversion"/>
  </si>
  <si>
    <t>103年2月28日、12月22日證券交易稅一般代徵稅額繳款書，第3頁</t>
    <phoneticPr fontId="1" type="noConversion"/>
  </si>
  <si>
    <t>103年度證券交易稅一般代徵稅額繳款書、第一商業銀行103年8月5日存款存根聯，E16卷第197頁</t>
    <phoneticPr fontId="1" type="noConversion"/>
  </si>
  <si>
    <t>第一商業銀行103年8月5日存款存根聯，E16卷第197頁</t>
    <phoneticPr fontId="1" type="noConversion"/>
  </si>
  <si>
    <t>E16卷第177、197頁</t>
    <phoneticPr fontId="1" type="noConversion"/>
  </si>
  <si>
    <t>第一銀行103年7月30日匯款通知單、103年度證券交易稅一般代徵稅額繳款書，第6-8頁</t>
    <phoneticPr fontId="1" type="noConversion"/>
  </si>
  <si>
    <t>第一銀行103年7月30日匯款通知單，105年度附民字第210號第6頁</t>
    <phoneticPr fontId="1" type="noConversion"/>
  </si>
  <si>
    <t>103年度證券交易稅一般代徵稅額繳款書、第一商業銀行103年8月8日存款存根聯，第3頁</t>
    <phoneticPr fontId="1" type="noConversion"/>
  </si>
  <si>
    <t>臺灣銀行103年8月8日匯款申請書回條聯，105年度附民字第206號第3頁</t>
    <phoneticPr fontId="1" type="noConversion"/>
  </si>
  <si>
    <t>103年度證券交易稅一般代徵稅額繳款書、第一商業銀行103年8月12日存款存根聯，第5、7頁</t>
    <phoneticPr fontId="1" type="noConversion"/>
  </si>
  <si>
    <t>同附表一編號206、附表十二編號47，交易金額為100,000、276,000元</t>
    <phoneticPr fontId="1" type="noConversion"/>
  </si>
  <si>
    <t>第一商業銀行103年8月12日存款存根聯，第7頁</t>
    <phoneticPr fontId="1" type="noConversion"/>
  </si>
  <si>
    <t>103年證券交易稅一般代徵稅額繳款書，E14卷第86頁</t>
    <phoneticPr fontId="1" type="noConversion"/>
  </si>
  <si>
    <t>同附表五編號538</t>
    <phoneticPr fontId="1" type="noConversion"/>
  </si>
  <si>
    <t>103年現金增資繳款書，105年度附民字第201號第24頁</t>
    <phoneticPr fontId="1" type="noConversion"/>
  </si>
  <si>
    <t>103年6月5日、6月10日、6月24日、104年1月16日證券交易稅一般代徵稅額繳款書、103年現金增資繳款書，第21頁反面至25頁反面、E18卷第106-109頁</t>
    <phoneticPr fontId="1" type="noConversion"/>
  </si>
  <si>
    <t>103年度證券交易稅一般代徵稅額繳款書、第一商業銀行103年8月6日存款存根聯，第27頁反面、第28頁反面</t>
    <phoneticPr fontId="1" type="noConversion"/>
  </si>
  <si>
    <t>王端美</t>
    <phoneticPr fontId="1" type="noConversion"/>
  </si>
  <si>
    <t>第一商業銀行103年8月6日存款存根聯，105年度附民字第201號第28頁反面</t>
    <phoneticPr fontId="1" type="noConversion"/>
  </si>
  <si>
    <t>103年度證券交易稅一般代徵稅額繳款書，第30頁</t>
    <phoneticPr fontId="1" type="noConversion"/>
  </si>
  <si>
    <t>103年度證券交易稅一般代徵稅額繳款書、第一商業銀行103年8月11日存款存根聯，E15卷第39-41頁</t>
    <phoneticPr fontId="1" type="noConversion"/>
  </si>
  <si>
    <t>第一商業銀行103年8月11日存款存根聯，E15卷第40-41頁</t>
    <phoneticPr fontId="1" type="noConversion"/>
  </si>
  <si>
    <t>同附表一編號110、附表五編號263、272、308，交易金額分別為1,050,000、804,000、670,000、1,340,000元，其餘金額增列在附表五編號210-2、590-1。</t>
    <phoneticPr fontId="1" type="noConversion"/>
  </si>
  <si>
    <t>同附表五編號369，交易金額為134,000元，至於以陳信益名義於103年7月21日出售3,000股至附民原告部分，金額201,000元，非屬本案被告所掌握之人頭所販售者，擬不予採認。</t>
    <phoneticPr fontId="1" type="noConversion"/>
  </si>
  <si>
    <t>103年度證券交易稅一般代徵稅額繳款書，第8-9頁</t>
    <phoneticPr fontId="1" type="noConversion"/>
  </si>
  <si>
    <t>同附表五編號541</t>
    <phoneticPr fontId="1" type="noConversion"/>
  </si>
  <si>
    <t>103年度證券交易稅一般代徵稅額繳款書，E16卷第223頁</t>
    <phoneticPr fontId="1" type="noConversion"/>
  </si>
  <si>
    <t>105年度附民字第326號第5-6頁</t>
    <phoneticPr fontId="1" type="noConversion"/>
  </si>
  <si>
    <t>附民原告僅提供共計885000元之匯款憑證，然別無其他證據證明係屬本案兆良股票交易、交易張數與單價亦屬未知，爰以原審附表五編號12、34、403，交易金額分別為125,000、125,000、67,000元作為本案審核結果</t>
    <phoneticPr fontId="1" type="noConversion"/>
  </si>
  <si>
    <t>103年2月17日、3月5日證券交易稅一般代徵稅額繳款書、臺灣銀行103年8月8日、104年6月22日匯款申請書回條聯，第5-10頁</t>
    <phoneticPr fontId="1" type="noConversion"/>
  </si>
  <si>
    <t>103年度證券交易稅一般代徵稅額繳款書，第5、12頁</t>
    <phoneticPr fontId="1" type="noConversion"/>
  </si>
  <si>
    <t>103年度證券交易稅一般代徵稅額繳款書，第5、11頁</t>
    <phoneticPr fontId="1" type="noConversion"/>
  </si>
  <si>
    <t>103年7月8日、4月7日證券交易稅一般代徵稅額繳款書、103年現金增資繳款書，第15-17頁</t>
    <phoneticPr fontId="1" type="noConversion"/>
  </si>
  <si>
    <t>103年現金增資繳款書，105年度附民字第349號第16頁</t>
    <phoneticPr fontId="1" type="noConversion"/>
  </si>
  <si>
    <t>105年度附民字第349號第17頁</t>
    <phoneticPr fontId="1" type="noConversion"/>
  </si>
  <si>
    <t>103年度證券交易稅一般代徵稅額繳款書、第一商業銀行103年8月12日存款存根聯，第18頁</t>
    <phoneticPr fontId="1" type="noConversion"/>
  </si>
  <si>
    <t>第一商業銀行103年8月12日存款存根聯，105年度附民字第349號第18頁</t>
    <phoneticPr fontId="1" type="noConversion"/>
  </si>
  <si>
    <t>103年8月28日、9月15日、10月22日證券交易稅一般代徵稅額繳款書，E17卷第73-78頁</t>
    <phoneticPr fontId="1" type="noConversion"/>
  </si>
  <si>
    <t>第一商業銀行103年8月11日存款存根聯、103年度證券交易稅一般代徵稅額繳款書、103年8月12日郵政跨行匯款申請書，第9-10頁</t>
    <phoneticPr fontId="1" type="noConversion"/>
  </si>
  <si>
    <t>8/11(4000股)、第一商業銀行103年8月11日存款存根聯，106年度附民字第13號第9頁</t>
    <phoneticPr fontId="2" type="noConversion"/>
  </si>
  <si>
    <t>8/12(2000股)、103年8月12日郵政跨行匯款申請書，106年度附民字第13號第10頁</t>
    <phoneticPr fontId="2" type="noConversion"/>
  </si>
  <si>
    <t>連捷</t>
    <phoneticPr fontId="1" type="noConversion"/>
  </si>
  <si>
    <t>國泰世華商業銀行103年3月26匯出匯款憑證，第4頁</t>
    <phoneticPr fontId="1" type="noConversion"/>
  </si>
  <si>
    <t>106年3月24日審判程序筆錄、103年12月26日證券交易稅一般代徵稅額繳款書二紙，第4頁</t>
    <phoneticPr fontId="1" type="noConversion"/>
  </si>
  <si>
    <t>103年度證券交易稅一般代徵稅額繳款書、第一商業銀行103年7月29日存款存根聯，E22卷第128-129頁</t>
    <phoneticPr fontId="1" type="noConversion"/>
  </si>
  <si>
    <t>第一商業銀行103年7月29日存款存根聯，E22卷第129頁</t>
    <phoneticPr fontId="1" type="noConversion"/>
  </si>
  <si>
    <t>告訴人陳報資料，本院卷四第369頁</t>
    <phoneticPr fontId="1" type="noConversion"/>
  </si>
  <si>
    <t>103年3月5日匯款單據、103年度證券交易稅一般代徵稅額繳款書，本院卷十三第457-459頁</t>
    <phoneticPr fontId="1" type="noConversion"/>
  </si>
  <si>
    <t>第一商業銀行103年8月7日存款存根聯，本院卷十三第451頁</t>
    <phoneticPr fontId="1" type="noConversion"/>
  </si>
  <si>
    <t>103年度證券交易稅一般代徵稅額繳款書、第一商業銀行103年8月7日存款存根聯，本院卷十三第439、441、451頁</t>
    <phoneticPr fontId="1" type="noConversion"/>
  </si>
  <si>
    <t>103年度證券交易稅一般代徵稅額繳款書、第一商業銀行103年8月11日存款存根聯，E36卷第240、243頁</t>
    <phoneticPr fontId="1" type="noConversion"/>
  </si>
  <si>
    <t>第一商業銀行103年8月11日存款存根聯，E36卷第243頁</t>
    <phoneticPr fontId="1" type="noConversion"/>
  </si>
  <si>
    <t>詳103年度證券交易稅一般代徵稅額繳款書，106年度附民字第116號第9-10、12-13頁</t>
    <phoneticPr fontId="1" type="noConversion"/>
  </si>
  <si>
    <t>同附表五編號191、570，交易金額分別為50,000、268,000元作為本院審核結果，其餘增列在附表一編號274，金額150,000元</t>
    <phoneticPr fontId="1" type="noConversion"/>
  </si>
  <si>
    <t>同附表五編號190、569，交易金額分別為50,000、268,000元，其餘增列在附表一編號276，金額為150,000元</t>
    <phoneticPr fontId="1" type="noConversion"/>
  </si>
  <si>
    <t>同附表五編號189、567，交易金額為50,000、268,000元，其餘增列在附表一編號275，金額150,000元</t>
    <phoneticPr fontId="1" type="noConversion"/>
  </si>
  <si>
    <t>同附表一編號132、附表六編號10、23、46，交易金額分別為100,000、38,000、130,000、65,000元，另增列交易附表一編號277，金額為275,000元。其餘以邱麗華名義於104年2月9日出售3,000股至附民原告部分，金額150,000元（第115頁），非屬本案被告所掌握之人頭所販售者，擬不予採認。</t>
    <phoneticPr fontId="1" type="noConversion"/>
  </si>
  <si>
    <t xml:space="preserve">除原審附表五編號588，交易金額為670,000元為重疊外，另增列附表五編號590-2，金額335,000元。其餘交易因證券出賣人為林明洲、非屬本案被告所掌握之人頭，擬不予採認
</t>
    <phoneticPr fontId="1" type="noConversion"/>
  </si>
  <si>
    <t>同附表一編號42、附表六編號214，金額分別為25,000、69,000元</t>
    <phoneticPr fontId="1" type="noConversion"/>
  </si>
  <si>
    <t>1.其主張係以30,000元現金支付，其餘由他人代匯，無其他交易憑證可驗證。
2.爰以附表五編號49、415，交易金額分別為75,000、201,000元作為本院審核結果</t>
    <phoneticPr fontId="1" type="noConversion"/>
  </si>
  <si>
    <t>1.卷附103年9月15日證券交易稅一般代徵稅額繳款書，買受人為李珍妮，金額為50,000元，其出賣人為林成蘭，並非本案被告所支配。其餘核對無誤。
2.爰以附表五編號43、116、455，交易金額為50,000、75,000、201,000元作為本院審核結果。</t>
    <phoneticPr fontId="1" type="noConversion"/>
  </si>
  <si>
    <t>原告損害金額實為92,000，詳附表八編號43、134。然原告陳述已與被告劉勝宜達成46,000元之和解</t>
    <phoneticPr fontId="1" type="noConversion"/>
  </si>
  <si>
    <t>同附表一編號32、附表六編號70，金額分別為25,000、67,000元</t>
    <phoneticPr fontId="1" type="noConversion"/>
  </si>
  <si>
    <t>增資認股25,000元，同附表一編號261。至於其餘交易69,000元並無相關交易憑證，爰以附表六編號166，金額67,000元作為本院審核結果。</t>
    <phoneticPr fontId="1" type="noConversion"/>
  </si>
  <si>
    <t>同附表五編號135、476，金額分別為25,000、67,000元</t>
    <phoneticPr fontId="1" type="noConversion"/>
  </si>
  <si>
    <t>同附表一編號49、附表五編號225、228，金額分別為150,000、201,000、201,000元</t>
    <phoneticPr fontId="1" type="noConversion"/>
  </si>
  <si>
    <t>附民原告僅列起訴狀一紙，並無其他交易憑證證實所述損害金額。爰以附表一編號165、附表六編號71、106，金額分別為50,000、67,000、67,000元作為本院審核結果</t>
    <phoneticPr fontId="1" type="noConversion"/>
  </si>
  <si>
    <t>附民原告提出渣打銀行103年11月30日匯款申請書，惟並無銀行核章證明。爰以附表一編號128、附表六編號199，金額分別為25,000、69,000作為本院審核結果</t>
    <phoneticPr fontId="1" type="noConversion"/>
  </si>
  <si>
    <t>附民原告僅列起訴狀一紙，並無其他交易憑證證實所述損害金額。爰以附表五編號201、581，金額分別為50,000、67,000元作為本院審核結果</t>
    <phoneticPr fontId="1" type="noConversion"/>
  </si>
  <si>
    <t>附民原告僅列起訴狀一紙，並無其他交易憑證證實所述損害金額。爰以附表五編號94、646，金額分別為25,000、69,000元作為本院審核結果</t>
    <phoneticPr fontId="1" type="noConversion"/>
  </si>
  <si>
    <t>附民原告僅以言詞提起訴訟，並無其他交易憑證證實所述損害金額。爰以附表五編號139、386、440，金額分別為100,000、201,000、67,000元作為本院審核結果</t>
    <phoneticPr fontId="1" type="noConversion"/>
  </si>
  <si>
    <t>同附表一編號151、附表五編號196，金額分別為75,000、207,000元。</t>
    <phoneticPr fontId="1" type="noConversion"/>
  </si>
  <si>
    <t>附民原告僅附起訴狀一紙，並無其他交易憑證證實所述損害金額。爰以附表一編號234，金額為250,000元作為本院審核結果。至於附表五編號299，因無其他交易憑證可供認定，擬剔除之。</t>
    <phoneticPr fontId="1" type="noConversion"/>
  </si>
  <si>
    <t>同附表一編號241、附表五編號271，金額分別為125,000、335,000元。</t>
    <phoneticPr fontId="1" type="noConversion"/>
  </si>
  <si>
    <t>附民原告僅附起訴狀一紙，並無其他交易憑證證實所述損害金額。爰以附表一編號213、附表五編號314、附表六編號34、113，金額分別為200,000、134,000、130,000、268,000元作為本院審核結果</t>
    <phoneticPr fontId="1" type="noConversion"/>
  </si>
  <si>
    <t>附民原告僅附起訴狀一紙，並無其他交易憑證證實所述損害金額。爰以附表一編號182、附表六編號139、147，金額分別為125,000、201,000、134,000元作為本院審核結果</t>
    <phoneticPr fontId="1" type="noConversion"/>
  </si>
  <si>
    <t>附民原告僅附起訴狀一紙，並無其他交易憑證證實所述損害金額。爰以附表五編號583、585，金額分別為134,000、201,000元作為本院審核結果</t>
    <phoneticPr fontId="1" type="noConversion"/>
  </si>
  <si>
    <t>附表一編號127、附表六編號114，金額分別為75,000、201,000元</t>
    <phoneticPr fontId="1" type="noConversion"/>
  </si>
  <si>
    <t>附表六編號59，金額為402,000元</t>
    <phoneticPr fontId="1" type="noConversion"/>
  </si>
  <si>
    <t>同附表一編號92、附表六編號54，金額分別為50,000、134,000元</t>
    <phoneticPr fontId="1" type="noConversion"/>
  </si>
  <si>
    <t>附民原告僅附起訴狀一紙，並無其他交易憑證證實所述損害金額。爰以附表一編號11、附表五編號292、附表六編號140，金額分別為125,000、134,000、201,000元作為本院審核結果</t>
    <phoneticPr fontId="1" type="noConversion"/>
  </si>
  <si>
    <t>爰以附表六編號82，金額為201,000作為本院審核結果</t>
    <phoneticPr fontId="1" type="noConversion"/>
  </si>
  <si>
    <t>附表一編號155、附表六編號188，金額分別為50,000、138,000元</t>
    <phoneticPr fontId="1" type="noConversion"/>
  </si>
  <si>
    <t>附民原告提出104年現金增資認股繳款書，惟並無收款單位核章證明。爰以附表一編號100、附表五編號315，金額分別為50,000、134,000作為本院審核結果</t>
    <phoneticPr fontId="1" type="noConversion"/>
  </si>
  <si>
    <t>附表一編號72、附表六編號131，金額分別為175,000、469,000元</t>
    <phoneticPr fontId="1" type="noConversion"/>
  </si>
  <si>
    <t>103年證券交易稅一般代徵稅額繳款書、第一商業銀行103年8月1日存款存根聯，E14卷第52-53頁</t>
    <phoneticPr fontId="1" type="noConversion"/>
  </si>
  <si>
    <t>第一商業銀行103年8月1日存款存根聯，E14卷第53頁</t>
    <phoneticPr fontId="1" type="noConversion"/>
  </si>
  <si>
    <t>第一商業銀行103年7月29日存款存根聯、103年度證券交易稅一般代徵稅額繳款書，E18卷第61-62頁</t>
    <phoneticPr fontId="1" type="noConversion"/>
  </si>
  <si>
    <t>第一商業銀行103年7月29日存款存根聯，E18卷第61頁</t>
    <phoneticPr fontId="1" type="noConversion"/>
  </si>
  <si>
    <t>附表一編號15、附表五編號213、230，金額分別為100,000、38,000、201,000元</t>
    <phoneticPr fontId="1" type="noConversion"/>
  </si>
  <si>
    <t>103年7月28日匯款單據，E18卷第88頁</t>
    <phoneticPr fontId="1" type="noConversion"/>
  </si>
  <si>
    <t>103年7月28日匯款單據、103年4月3日證券交易稅一般代徵稅額繳款書二紙，E18卷第88-90頁</t>
    <phoneticPr fontId="1" type="noConversion"/>
  </si>
  <si>
    <t xml:space="preserve"> 洪康倪</t>
    <phoneticPr fontId="1" type="noConversion"/>
  </si>
  <si>
    <t>詳103年8月11日中國信託銀行匯款申請書，106年度附民字第132號第11頁</t>
    <phoneticPr fontId="1" type="noConversion"/>
  </si>
  <si>
    <t>編號</t>
    <phoneticPr fontId="1" type="noConversion"/>
  </si>
  <si>
    <t>註2：</t>
    <phoneticPr fontId="1" type="noConversion"/>
  </si>
  <si>
    <t>卷證出處為A22卷第4至14頁。</t>
    <phoneticPr fontId="1" type="noConversion"/>
  </si>
  <si>
    <t>註1：</t>
    <phoneticPr fontId="1" type="noConversion"/>
  </si>
  <si>
    <t>總計（註2）</t>
    <phoneticPr fontId="2" type="noConversion"/>
  </si>
  <si>
    <t>王乙涵</t>
    <phoneticPr fontId="1" type="noConversion"/>
  </si>
  <si>
    <t>林明頡</t>
    <phoneticPr fontId="1" type="noConversion"/>
  </si>
  <si>
    <t>劉勝誼</t>
    <phoneticPr fontId="1" type="noConversion"/>
  </si>
  <si>
    <t>王立華</t>
    <phoneticPr fontId="1" type="noConversion"/>
  </si>
  <si>
    <t>孟鼎鈞</t>
    <phoneticPr fontId="1" type="noConversion"/>
  </si>
  <si>
    <t>李文揚</t>
    <phoneticPr fontId="1" type="noConversion"/>
  </si>
  <si>
    <t>沈花女</t>
    <phoneticPr fontId="1" type="noConversion"/>
  </si>
  <si>
    <t>備註</t>
    <phoneticPr fontId="1" type="noConversion"/>
  </si>
  <si>
    <t>成交總價</t>
    <phoneticPr fontId="1" type="noConversion"/>
  </si>
  <si>
    <t>成交單價</t>
    <phoneticPr fontId="1" type="noConversion"/>
  </si>
  <si>
    <t>成交股數</t>
    <phoneticPr fontId="1" type="noConversion"/>
  </si>
  <si>
    <t>成交日期</t>
    <phoneticPr fontId="1" type="noConversion"/>
  </si>
  <si>
    <t>投資人</t>
    <phoneticPr fontId="1" type="noConversion"/>
  </si>
  <si>
    <t>出賣人</t>
    <phoneticPr fontId="1" type="noConversion"/>
  </si>
  <si>
    <t>其後於同年月25日再以同一價格過戶至蔡文益名下</t>
    <phoneticPr fontId="1" type="noConversion"/>
  </si>
  <si>
    <t>其後於同年4月16日、21日再以同一價格過戶至吳景輝、湯美珍（E22卷第128頁）、戴金騰名下</t>
    <phoneticPr fontId="2" type="noConversion"/>
  </si>
  <si>
    <t>查106年附民字第82號並無相關交易憑證，爰以本院審核結果為準</t>
    <phoneticPr fontId="1" type="noConversion"/>
  </si>
  <si>
    <t>其後於同年4月17日再以同一價格過戶至施瑞霖名下（106年度附民字第96號）</t>
    <phoneticPr fontId="1" type="noConversion"/>
  </si>
  <si>
    <t>同日再以同一成交價格過戶至毛學玲名下</t>
    <phoneticPr fontId="1" type="noConversion"/>
  </si>
  <si>
    <t>其後於同年4月28日、5月8日再以同一成交價格過戶至張寶慧、陳秀春名下</t>
    <phoneticPr fontId="2" type="noConversion"/>
  </si>
  <si>
    <t>其後同年月15日、19日、23日以同一成交價格過戶至吳堃霖、簡仁平名下</t>
    <phoneticPr fontId="2" type="noConversion"/>
  </si>
  <si>
    <t>謝秋琴証稱其將股票贈與女兒鍾毓珊、鍾心芸、鍾安如（E17卷第231反頁）</t>
    <phoneticPr fontId="2" type="noConversion"/>
  </si>
  <si>
    <t>其後同年4月24日、25日以同一價格過戶至王冬立（106年度附民字第88號第3號）、洪榮森名下</t>
    <phoneticPr fontId="2" type="noConversion"/>
  </si>
  <si>
    <t>其後同年月15日再以同一成交價格過戶至吳勝傑、曾穩銘名下</t>
    <phoneticPr fontId="2" type="noConversion"/>
  </si>
  <si>
    <t>其後同年5月8日再以同一成交價格過戶至陳豐榮、黃賓、洪仁成、方燦堂、范登閔2名下</t>
    <phoneticPr fontId="2" type="noConversion"/>
  </si>
  <si>
    <t>其後同年6月16日再以同一成交價格過戶3張至陳仲卿名下、註2</t>
    <phoneticPr fontId="2" type="noConversion"/>
  </si>
  <si>
    <t>編號</t>
    <phoneticPr fontId="2" type="noConversion"/>
  </si>
  <si>
    <t>出賣人</t>
    <phoneticPr fontId="2" type="noConversion"/>
  </si>
  <si>
    <t>投資人</t>
    <phoneticPr fontId="2" type="noConversion"/>
  </si>
  <si>
    <t>業務</t>
    <phoneticPr fontId="2" type="noConversion"/>
  </si>
  <si>
    <t>成交日期</t>
    <phoneticPr fontId="2" type="noConversion"/>
  </si>
  <si>
    <t>成交股數</t>
    <phoneticPr fontId="2" type="noConversion"/>
  </si>
  <si>
    <t>成交單價</t>
    <phoneticPr fontId="2" type="noConversion"/>
  </si>
  <si>
    <t>成交總價</t>
    <phoneticPr fontId="2" type="noConversion"/>
  </si>
  <si>
    <t>被告備註</t>
    <phoneticPr fontId="2" type="noConversion"/>
  </si>
  <si>
    <t>原審備註</t>
    <phoneticPr fontId="2" type="noConversion"/>
  </si>
  <si>
    <r>
      <t>卷證依據</t>
    </r>
    <r>
      <rPr>
        <vertAlign val="superscript"/>
        <sz val="12"/>
        <color indexed="8"/>
        <rFont val="新細明體"/>
        <family val="1"/>
        <charset val="136"/>
      </rPr>
      <t>註1</t>
    </r>
    <phoneticPr fontId="2" type="noConversion"/>
  </si>
  <si>
    <t>逐筆確認</t>
    <phoneticPr fontId="2" type="noConversion"/>
  </si>
  <si>
    <t>朱緯業犯罪所得</t>
    <phoneticPr fontId="2" type="noConversion"/>
  </si>
  <si>
    <t>備註</t>
    <phoneticPr fontId="2" type="noConversion"/>
  </si>
  <si>
    <t>附表九編號</t>
    <phoneticPr fontId="2" type="noConversion"/>
  </si>
  <si>
    <t>與附表九重疊</t>
    <phoneticPr fontId="2" type="noConversion"/>
  </si>
  <si>
    <t>爭點</t>
    <phoneticPr fontId="2" type="noConversion"/>
  </si>
  <si>
    <t>原證7-33、7-34</t>
    <phoneticPr fontId="2" type="noConversion"/>
  </si>
  <si>
    <t>同原審認定</t>
    <phoneticPr fontId="2" type="noConversion"/>
  </si>
  <si>
    <t>同原審認定</t>
    <phoneticPr fontId="2" type="noConversion"/>
  </si>
  <si>
    <t>OK</t>
    <phoneticPr fontId="2" type="noConversion"/>
  </si>
  <si>
    <t>（註3）</t>
    <phoneticPr fontId="2" type="noConversion"/>
  </si>
  <si>
    <t>OK</t>
    <phoneticPr fontId="2" type="noConversion"/>
  </si>
  <si>
    <t>同原審認定</t>
    <phoneticPr fontId="2" type="noConversion"/>
  </si>
  <si>
    <t>（註3）
其後於同年6月5日、23日、25日再過戶至投資人蔡魁馗、廖良習、李永澤名下</t>
    <phoneticPr fontId="2" type="noConversion"/>
  </si>
  <si>
    <t>湯美珠</t>
    <phoneticPr fontId="2" type="noConversion"/>
  </si>
  <si>
    <t>詹雅萍（B3卷第21反頁）</t>
    <phoneticPr fontId="2" type="noConversion"/>
  </si>
  <si>
    <t>（註2）</t>
    <phoneticPr fontId="2" type="noConversion"/>
  </si>
  <si>
    <t>E18第21頁</t>
    <phoneticPr fontId="2" type="noConversion"/>
  </si>
  <si>
    <t>OK</t>
    <phoneticPr fontId="2" type="noConversion"/>
  </si>
  <si>
    <t>（註3）</t>
    <phoneticPr fontId="2" type="noConversion"/>
  </si>
  <si>
    <t>E18第103頁</t>
    <phoneticPr fontId="2" type="noConversion"/>
  </si>
  <si>
    <t>長旺公司陳誼秦（B1卷第57頁）</t>
    <phoneticPr fontId="2" type="noConversion"/>
  </si>
  <si>
    <t>（註3）</t>
    <phoneticPr fontId="2" type="noConversion"/>
  </si>
  <si>
    <t>E14第152、173頁</t>
    <phoneticPr fontId="2" type="noConversion"/>
  </si>
  <si>
    <t>王定忠</t>
    <phoneticPr fontId="2" type="noConversion"/>
  </si>
  <si>
    <t>（註3）</t>
    <phoneticPr fontId="2" type="noConversion"/>
  </si>
  <si>
    <t>（註2）</t>
    <phoneticPr fontId="2" type="noConversion"/>
  </si>
  <si>
    <t>E16第142頁</t>
    <phoneticPr fontId="2" type="noConversion"/>
  </si>
  <si>
    <t>黃亭瑄</t>
    <phoneticPr fontId="2" type="noConversion"/>
  </si>
  <si>
    <t>張木生</t>
    <phoneticPr fontId="2" type="noConversion"/>
  </si>
  <si>
    <t>黃亭瑄</t>
    <phoneticPr fontId="2" type="noConversion"/>
  </si>
  <si>
    <t>劉任修</t>
    <phoneticPr fontId="2" type="noConversion"/>
  </si>
  <si>
    <t>劉任修</t>
    <phoneticPr fontId="2" type="noConversion"/>
  </si>
  <si>
    <t>-</t>
    <phoneticPr fontId="2" type="noConversion"/>
  </si>
  <si>
    <r>
      <rPr>
        <sz val="12"/>
        <color theme="1"/>
        <rFont val="新細明體"/>
        <family val="1"/>
        <charset val="136"/>
        <scheme val="minor"/>
      </rPr>
      <t xml:space="preserve">A20 </t>
    </r>
    <r>
      <rPr>
        <sz val="12"/>
        <color indexed="8"/>
        <rFont val="新細明體"/>
        <family val="1"/>
        <charset val="136"/>
        <scheme val="minor"/>
      </rPr>
      <t>卷第101反面、第172頁反面</t>
    </r>
    <phoneticPr fontId="2" type="noConversion"/>
  </si>
  <si>
    <t>兆豐資訊（E13卷第125反頁）</t>
    <phoneticPr fontId="2" type="noConversion"/>
  </si>
  <si>
    <t>許睿彤</t>
    <phoneticPr fontId="2" type="noConversion"/>
  </si>
  <si>
    <t>（註3）
其後於同年7月31日、8月5日再過戶至投資人林淑呅、陳卉榆、郭斐絢、陳淑敏、陳玟玲、彭國欽、巫冠毅、呂宜修名下</t>
    <phoneticPr fontId="2" type="noConversion"/>
  </si>
  <si>
    <t>羅吉谷</t>
    <phoneticPr fontId="2" type="noConversion"/>
  </si>
  <si>
    <t>劉任修</t>
    <phoneticPr fontId="2" type="noConversion"/>
  </si>
  <si>
    <t>（註2）</t>
    <phoneticPr fontId="2" type="noConversion"/>
  </si>
  <si>
    <t>劉睿紘</t>
    <phoneticPr fontId="2" type="noConversion"/>
  </si>
  <si>
    <t>（註3）
其後於同年月27日、30日再過戶至蕭筱屏、盧文賢名下</t>
    <phoneticPr fontId="2" type="noConversion"/>
  </si>
  <si>
    <t>-</t>
    <phoneticPr fontId="2" type="noConversion"/>
  </si>
  <si>
    <t>孫秋萍</t>
    <phoneticPr fontId="2" type="noConversion"/>
  </si>
  <si>
    <t>長旺資訊（E31卷第2頁）</t>
    <phoneticPr fontId="2" type="noConversion"/>
  </si>
  <si>
    <t>E31第2頁</t>
    <phoneticPr fontId="2" type="noConversion"/>
  </si>
  <si>
    <t>（註2）
其後同年11月25日再以同一價格過戶至郭存勝名下</t>
    <phoneticPr fontId="2" type="noConversion"/>
  </si>
  <si>
    <t>註2（其後同年11月25日再以同一價格過戶至郭存勝名下）、註4</t>
    <phoneticPr fontId="2" type="noConversion"/>
  </si>
  <si>
    <t>王啟聰</t>
    <phoneticPr fontId="2" type="noConversion"/>
  </si>
  <si>
    <t>（註2）
告訴人為父親王茂雄</t>
    <phoneticPr fontId="2" type="noConversion"/>
  </si>
  <si>
    <t>註2（告訴人為父親王茂雄）、註4</t>
    <phoneticPr fontId="2" type="noConversion"/>
  </si>
  <si>
    <t>沈花女</t>
    <phoneticPr fontId="2" type="noConversion"/>
  </si>
  <si>
    <t>（註3）
其後於同年月19日、25日再以同一價格過戶至趙國斌、陳麗雲、王俊智名下</t>
    <phoneticPr fontId="2" type="noConversion"/>
  </si>
  <si>
    <t>原證7-33、7-34</t>
    <phoneticPr fontId="2" type="noConversion"/>
  </si>
  <si>
    <t>張書鑑</t>
    <phoneticPr fontId="2" type="noConversion"/>
  </si>
  <si>
    <t>（註3）
其後於同年10月14日再以同一價格過戶至莊鴻洲名下</t>
    <phoneticPr fontId="2" type="noConversion"/>
  </si>
  <si>
    <t>A20卷第101頁反面、第172頁反面</t>
    <phoneticPr fontId="2" type="noConversion"/>
  </si>
  <si>
    <r>
      <t>德睿(蔡</t>
    </r>
    <r>
      <rPr>
        <sz val="12"/>
        <color indexed="8"/>
        <rFont val="新細明體"/>
        <family val="1"/>
        <charset val="136"/>
      </rPr>
      <t>昕諺</t>
    </r>
    <r>
      <rPr>
        <sz val="12"/>
        <color theme="1"/>
        <rFont val="新細明體"/>
        <family val="2"/>
        <charset val="136"/>
        <scheme val="minor"/>
      </rPr>
      <t>)</t>
    </r>
    <phoneticPr fontId="2" type="noConversion"/>
  </si>
  <si>
    <t>註2、註4</t>
    <phoneticPr fontId="2" type="noConversion"/>
  </si>
  <si>
    <t>王啟聰</t>
    <phoneticPr fontId="2" type="noConversion"/>
  </si>
  <si>
    <t>（註2）
告訴人為父親王茂雄</t>
    <phoneticPr fontId="2" type="noConversion"/>
  </si>
  <si>
    <t>註2（告訴人為父親王茂雄）、註4</t>
    <phoneticPr fontId="2" type="noConversion"/>
  </si>
  <si>
    <t>NO</t>
    <phoneticPr fontId="2" type="noConversion"/>
  </si>
  <si>
    <t>（註3）
其後於同年10月2日再過戶至投資人陳惠君、林進文名下</t>
    <phoneticPr fontId="2" type="noConversion"/>
  </si>
  <si>
    <t>長旺資訊（E31卷第2頁）</t>
    <phoneticPr fontId="2" type="noConversion"/>
  </si>
  <si>
    <t>E31第2頁、A20第173頁</t>
    <phoneticPr fontId="2" type="noConversion"/>
  </si>
  <si>
    <t>林淑呅</t>
    <phoneticPr fontId="2" type="noConversion"/>
  </si>
  <si>
    <t>A20卷第101頁反面、第173頁</t>
    <phoneticPr fontId="2" type="noConversion"/>
  </si>
  <si>
    <t>（註3）
其後於同年10月22日再過戶至投資人「林淑呅」名下</t>
    <phoneticPr fontId="2" type="noConversion"/>
  </si>
  <si>
    <t>楊善宇</t>
    <phoneticPr fontId="2" type="noConversion"/>
  </si>
  <si>
    <t>註4</t>
    <phoneticPr fontId="1" type="noConversion"/>
  </si>
  <si>
    <t>兆豐資訊（E13卷第125反頁）</t>
    <phoneticPr fontId="2" type="noConversion"/>
  </si>
  <si>
    <t>原證7-33、7-34</t>
    <phoneticPr fontId="2" type="noConversion"/>
  </si>
  <si>
    <t>（註2）
其後於同年10月23日再過戶至投資人詹欣頤、黃詩婷名下</t>
    <phoneticPr fontId="2" type="noConversion"/>
  </si>
  <si>
    <t>註2（其後於同年10四23日再過戶至投資人詹欣頤、黃詩婷名下）、註4</t>
    <phoneticPr fontId="2" type="noConversion"/>
  </si>
  <si>
    <t>湯美珠</t>
    <phoneticPr fontId="2" type="noConversion"/>
  </si>
  <si>
    <t>其後於同年月13日再以同一價格過戶至投資人「廖德銓」名下</t>
    <phoneticPr fontId="2" type="noConversion"/>
  </si>
  <si>
    <t>林淑蓉</t>
    <phoneticPr fontId="2" type="noConversion"/>
  </si>
  <si>
    <t>（註3）
其後同年10月15日再以每股67元過戶至陳秀春名下</t>
    <phoneticPr fontId="2" type="noConversion"/>
  </si>
  <si>
    <t>E17第197、206-208頁</t>
    <phoneticPr fontId="2" type="noConversion"/>
  </si>
  <si>
    <t>黃秋珍</t>
    <phoneticPr fontId="2" type="noConversion"/>
  </si>
  <si>
    <t>黃秋珍</t>
    <phoneticPr fontId="2" type="noConversion"/>
  </si>
  <si>
    <t>長旺資訊陳誼秦（B1卷第18頁）</t>
    <phoneticPr fontId="2" type="noConversion"/>
  </si>
  <si>
    <t>-</t>
    <phoneticPr fontId="2" type="noConversion"/>
  </si>
  <si>
    <t>E13第67、89頁</t>
    <phoneticPr fontId="2" type="noConversion"/>
  </si>
  <si>
    <t>E21第75頁</t>
    <phoneticPr fontId="2" type="noConversion"/>
  </si>
  <si>
    <t>B3第10頁</t>
    <phoneticPr fontId="2" type="noConversion"/>
  </si>
  <si>
    <t>E19第46、52頁、卷五第357頁</t>
    <phoneticPr fontId="2" type="noConversion"/>
  </si>
  <si>
    <t>連捷</t>
    <phoneticPr fontId="2" type="noConversion"/>
  </si>
  <si>
    <t>（註3）
其後又以同一價格過戶至游怡文名下</t>
    <phoneticPr fontId="2" type="noConversion"/>
  </si>
  <si>
    <t>（註3）
其後同年12月19日再以每股67元過戶至陳綉凰名下</t>
    <phoneticPr fontId="2" type="noConversion"/>
  </si>
  <si>
    <t>詹雅玲</t>
    <phoneticPr fontId="2" type="noConversion"/>
  </si>
  <si>
    <t>詹雅玲</t>
    <phoneticPr fontId="2" type="noConversion"/>
  </si>
  <si>
    <t>B3第11頁</t>
    <phoneticPr fontId="2" type="noConversion"/>
  </si>
  <si>
    <r>
      <t>（註3）
其後於同年月26日至30日間以同一價格過戶至林盛茂、何芳</t>
    </r>
    <r>
      <rPr>
        <sz val="12"/>
        <color theme="1"/>
        <rFont val="新細明體"/>
        <family val="2"/>
        <charset val="136"/>
        <scheme val="minor"/>
      </rPr>
      <t>妤、陳如音、康惠循、蕭筱屏名下</t>
    </r>
    <phoneticPr fontId="2" type="noConversion"/>
  </si>
  <si>
    <r>
      <t>（註3）
其後於同年月26日至30日間以同一價格過戶至林盛茂、何芳</t>
    </r>
    <r>
      <rPr>
        <sz val="12"/>
        <color indexed="8"/>
        <rFont val="新細明體"/>
        <family val="1"/>
        <charset val="136"/>
      </rPr>
      <t>妤、陳如音、康惠循、蕭筱屏名下</t>
    </r>
    <phoneticPr fontId="2" type="noConversion"/>
  </si>
  <si>
    <t>E14第54、67頁、E14卷67-68頁</t>
    <phoneticPr fontId="2" type="noConversion"/>
  </si>
  <si>
    <t>龔洢波</t>
    <phoneticPr fontId="2" type="noConversion"/>
  </si>
  <si>
    <t>黃國緯</t>
    <phoneticPr fontId="2" type="noConversion"/>
  </si>
  <si>
    <t>104/01/07</t>
    <phoneticPr fontId="2" type="noConversion"/>
  </si>
  <si>
    <t>吳俊宏</t>
    <phoneticPr fontId="2" type="noConversion"/>
  </si>
  <si>
    <t>（註3）
卷證出處為E19卷第170至176頁</t>
    <phoneticPr fontId="2" type="noConversion"/>
  </si>
  <si>
    <t>陳長漢</t>
    <phoneticPr fontId="2" type="noConversion"/>
  </si>
  <si>
    <t>104/01/07</t>
    <phoneticPr fontId="2" type="noConversion"/>
  </si>
  <si>
    <t>沈花女</t>
    <phoneticPr fontId="2" type="noConversion"/>
  </si>
  <si>
    <t>吳俊宏</t>
    <phoneticPr fontId="2" type="noConversion"/>
  </si>
  <si>
    <t>林盛茂</t>
    <phoneticPr fontId="2" type="noConversion"/>
  </si>
  <si>
    <t>104/01/08</t>
    <phoneticPr fontId="2" type="noConversion"/>
  </si>
  <si>
    <t>104/01/16</t>
    <phoneticPr fontId="2" type="noConversion"/>
  </si>
  <si>
    <t>沈花女</t>
    <phoneticPr fontId="2" type="noConversion"/>
  </si>
  <si>
    <t>王定忠</t>
    <phoneticPr fontId="2" type="noConversion"/>
  </si>
  <si>
    <t>104/01/21</t>
    <phoneticPr fontId="2" type="noConversion"/>
  </si>
  <si>
    <t>林明頡</t>
    <phoneticPr fontId="2" type="noConversion"/>
  </si>
  <si>
    <t>康惠循</t>
    <phoneticPr fontId="2" type="noConversion"/>
  </si>
  <si>
    <t>104/06/03</t>
    <phoneticPr fontId="2" type="noConversion"/>
  </si>
  <si>
    <t>依104年6月3日證交稅一般代徵稅額繳款書，其證券出賣人為林明頡，亦屬朱緯業以其名義所出售之交易</t>
    <phoneticPr fontId="2" type="noConversion"/>
  </si>
  <si>
    <t>魏哲云</t>
    <phoneticPr fontId="2" type="noConversion"/>
  </si>
  <si>
    <t>104/06/17</t>
    <phoneticPr fontId="2" type="noConversion"/>
  </si>
  <si>
    <t>總計</t>
    <phoneticPr fontId="2" type="noConversion"/>
  </si>
  <si>
    <t>朱緯業主導販售股票金額合計</t>
    <phoneticPr fontId="2" type="noConversion"/>
  </si>
  <si>
    <t>註3合計</t>
    <phoneticPr fontId="2" type="noConversion"/>
  </si>
  <si>
    <t>註4合計</t>
    <phoneticPr fontId="2" type="noConversion"/>
  </si>
  <si>
    <t>註1：</t>
    <phoneticPr fontId="2" type="noConversion"/>
  </si>
  <si>
    <t>註2：</t>
    <phoneticPr fontId="2" type="noConversion"/>
  </si>
  <si>
    <t>註3：</t>
    <phoneticPr fontId="2" type="noConversion"/>
  </si>
  <si>
    <t>朱緯業主導販售兆良股票部分。</t>
    <phoneticPr fontId="2" type="noConversion"/>
  </si>
  <si>
    <t>註4：</t>
    <phoneticPr fontId="2" type="noConversion"/>
  </si>
  <si>
    <t>附表一：「兆良科技股份有限公司股東繳納現金股款明細表」</t>
    <phoneticPr fontId="2" type="noConversion"/>
  </si>
  <si>
    <t>附表二：「羅栩亮出售兆良公司股票予王子源等6人明細表」（註1）</t>
    <phoneticPr fontId="1" type="noConversion"/>
  </si>
  <si>
    <t>附表三：「羅栩亮、林美雲出售兆良公司股票予黃泳學，黃泳學登記受讓人為王貴儀之明細表」</t>
    <phoneticPr fontId="1" type="noConversion"/>
  </si>
  <si>
    <t>附表四：「王貴儀出售兆良公司股票（依對象別）明細表」</t>
    <phoneticPr fontId="1" type="noConversion"/>
  </si>
  <si>
    <t>附表五：「朱緯業以沈花女、林明頡名義購入兆良公司股票後，出售予投資人明細表」</t>
    <phoneticPr fontId="2" type="noConversion"/>
  </si>
  <si>
    <t>陳炳旺</t>
    <phoneticPr fontId="2" type="noConversion"/>
  </si>
  <si>
    <t>註5：其中銷售對象為「豪倫公司」、「習拿納生醫公司」之銷售明細如下（A30卷第89至92頁）：</t>
    <phoneticPr fontId="1" type="noConversion"/>
  </si>
  <si>
    <t>金隆小計</t>
    <phoneticPr fontId="1" type="noConversion"/>
  </si>
  <si>
    <t>元龍小計</t>
    <phoneticPr fontId="1" type="noConversion"/>
  </si>
  <si>
    <t>103/11/03</t>
    <phoneticPr fontId="1" type="noConversion"/>
  </si>
  <si>
    <t>103/11/05</t>
    <phoneticPr fontId="1" type="noConversion"/>
  </si>
  <si>
    <t>103/11/08</t>
    <phoneticPr fontId="1" type="noConversion"/>
  </si>
  <si>
    <t>103/110/8</t>
    <phoneticPr fontId="1" type="noConversion"/>
  </si>
  <si>
    <t>103/12/01</t>
    <phoneticPr fontId="1" type="noConversion"/>
  </si>
  <si>
    <t>103/12/03</t>
    <phoneticPr fontId="1" type="noConversion"/>
  </si>
  <si>
    <t>103/12/04</t>
    <phoneticPr fontId="1" type="noConversion"/>
  </si>
  <si>
    <t>103/12/05</t>
    <phoneticPr fontId="1" type="noConversion"/>
  </si>
  <si>
    <t>103/12/08</t>
    <phoneticPr fontId="1" type="noConversion"/>
  </si>
  <si>
    <t>104/01/05</t>
    <phoneticPr fontId="1" type="noConversion"/>
  </si>
  <si>
    <t>104/01/06</t>
    <phoneticPr fontId="1" type="noConversion"/>
  </si>
  <si>
    <t>104/02/26</t>
    <phoneticPr fontId="1" type="noConversion"/>
  </si>
  <si>
    <t>104/03/11</t>
    <phoneticPr fontId="1" type="noConversion"/>
  </si>
  <si>
    <t>104/03/16</t>
    <phoneticPr fontId="1" type="noConversion"/>
  </si>
  <si>
    <t>104/03/19</t>
    <phoneticPr fontId="1" type="noConversion"/>
  </si>
  <si>
    <t>104/03/23</t>
    <phoneticPr fontId="1" type="noConversion"/>
  </si>
  <si>
    <t>104/03/04</t>
    <phoneticPr fontId="1" type="noConversion"/>
  </si>
  <si>
    <t>104/04/01</t>
    <phoneticPr fontId="1" type="noConversion"/>
  </si>
  <si>
    <t>104/04/02</t>
    <phoneticPr fontId="1" type="noConversion"/>
  </si>
  <si>
    <t>104/04/13</t>
    <phoneticPr fontId="1" type="noConversion"/>
  </si>
  <si>
    <t>104/04/15</t>
    <phoneticPr fontId="1" type="noConversion"/>
  </si>
  <si>
    <t>104/04/16</t>
    <phoneticPr fontId="1" type="noConversion"/>
  </si>
  <si>
    <t>104/04/23</t>
    <phoneticPr fontId="1" type="noConversion"/>
  </si>
  <si>
    <t>104/04/27</t>
    <phoneticPr fontId="1" type="noConversion"/>
  </si>
  <si>
    <t>104/04/07</t>
    <phoneticPr fontId="1" type="noConversion"/>
  </si>
  <si>
    <t>104/05/15</t>
    <phoneticPr fontId="1" type="noConversion"/>
  </si>
  <si>
    <t>104/05/18</t>
    <phoneticPr fontId="1" type="noConversion"/>
  </si>
  <si>
    <t>104/05/25</t>
    <phoneticPr fontId="1" type="noConversion"/>
  </si>
  <si>
    <t>104/05/27</t>
    <phoneticPr fontId="1" type="noConversion"/>
  </si>
  <si>
    <t>104/06/01</t>
    <phoneticPr fontId="1" type="noConversion"/>
  </si>
  <si>
    <t>104/06/16</t>
    <phoneticPr fontId="1" type="noConversion"/>
  </si>
  <si>
    <t>104/06/08</t>
    <phoneticPr fontId="1" type="noConversion"/>
  </si>
  <si>
    <t>104/07/01</t>
    <phoneticPr fontId="1" type="noConversion"/>
  </si>
  <si>
    <t>104/07/20</t>
    <phoneticPr fontId="1" type="noConversion"/>
  </si>
  <si>
    <t>104/07/28</t>
    <phoneticPr fontId="1" type="noConversion"/>
  </si>
  <si>
    <t>104/08/10</t>
    <phoneticPr fontId="1" type="noConversion"/>
  </si>
  <si>
    <t>104/08/17</t>
    <phoneticPr fontId="1" type="noConversion"/>
  </si>
  <si>
    <t>104/08/18</t>
    <phoneticPr fontId="1" type="noConversion"/>
  </si>
  <si>
    <t>104/08/24</t>
    <phoneticPr fontId="1" type="noConversion"/>
  </si>
  <si>
    <t>104/08/07</t>
    <phoneticPr fontId="1" type="noConversion"/>
  </si>
  <si>
    <t>同附表六編號101認定</t>
    <phoneticPr fontId="2" type="noConversion"/>
  </si>
  <si>
    <t>註3：</t>
    <phoneticPr fontId="1" type="noConversion"/>
  </si>
  <si>
    <t>註3</t>
    <phoneticPr fontId="1" type="noConversion"/>
  </si>
  <si>
    <t>被告朱緯業承認</t>
  </si>
  <si>
    <t>被告朱緯業承認該投資人為其之客戶</t>
  </si>
  <si>
    <t xml:space="preserve">此筆交易業經被告朱緯業承認為其所販售 </t>
  </si>
  <si>
    <t xml:space="preserve">此筆交易業經被告朱緯業承認為其所販售 </t>
    <phoneticPr fontId="1" type="noConversion"/>
  </si>
  <si>
    <t>此筆交易業經被告朱緯業承認為其所販售</t>
  </si>
  <si>
    <t>被告朱緯業承認該投資人為其之客戶</t>
    <phoneticPr fontId="1" type="noConversion"/>
  </si>
  <si>
    <t>被告朱緯業承認該投資人為其客戶</t>
    <phoneticPr fontId="1" type="noConversion"/>
  </si>
  <si>
    <t>詳104年1月16日證券交易稅一般代徵稅額繳款書，其證券出賣人為沈花女，亦屬朱緯業以其名義所出售之交易</t>
    <phoneticPr fontId="2" type="noConversion"/>
  </si>
  <si>
    <t>該部分係在德睿公司於103年5月29日遭法務部調查局高雄市調查處破獲未經許可販售未上市公司股票（已另案由臺灣高雄地方法院檢察署以103年度偵字第18883號為緩起訴處分）後，繼續販售兆良公司股票之交易明細。</t>
    <phoneticPr fontId="2" type="noConversion"/>
  </si>
  <si>
    <t>附表十五：「偵查卷宗代碼對照表」</t>
    <phoneticPr fontId="1" type="noConversion"/>
  </si>
  <si>
    <t>F1</t>
    <phoneticPr fontId="1" type="noConversion"/>
  </si>
  <si>
    <t>法務部調查局臺北市調查處昱陞公司、躍昇公司違反證券交易法案</t>
    <phoneticPr fontId="1" type="noConversion"/>
  </si>
  <si>
    <t>法務部調查局臺北市調查處昱陞公司、躍昇公司負責人劉達億等人違反證券交易法案調查筆錄</t>
    <phoneticPr fontId="1" type="noConversion"/>
  </si>
  <si>
    <t>F2</t>
    <phoneticPr fontId="1" type="noConversion"/>
  </si>
  <si>
    <t>F3</t>
    <phoneticPr fontId="1" type="noConversion"/>
  </si>
  <si>
    <t>法務部調查局臺北市調查處昱陞公司、躍昇公司負責人劉達億等人違反證券交易法案證據</t>
    <phoneticPr fontId="1" type="noConversion"/>
  </si>
  <si>
    <t>F4</t>
    <phoneticPr fontId="1" type="noConversion"/>
  </si>
  <si>
    <t>F5</t>
    <phoneticPr fontId="1" type="noConversion"/>
  </si>
  <si>
    <t>F6</t>
    <phoneticPr fontId="1" type="noConversion"/>
  </si>
  <si>
    <t>士林地檢103偵1028</t>
    <phoneticPr fontId="1" type="noConversion"/>
  </si>
  <si>
    <t>F7</t>
    <phoneticPr fontId="1" type="noConversion"/>
  </si>
  <si>
    <t>士林地檢104偵2870卷一</t>
    <phoneticPr fontId="1" type="noConversion"/>
  </si>
  <si>
    <t>F8</t>
    <phoneticPr fontId="1" type="noConversion"/>
  </si>
  <si>
    <t>士林地檢104偵2870卷二</t>
    <phoneticPr fontId="1" type="noConversion"/>
  </si>
  <si>
    <t>G1</t>
    <phoneticPr fontId="1" type="noConversion"/>
  </si>
  <si>
    <t>法務部調查局臺北市調查處菘豪公司黃泳學違反證券交易法案</t>
    <phoneticPr fontId="1" type="noConversion"/>
  </si>
  <si>
    <t>G2</t>
    <phoneticPr fontId="1" type="noConversion"/>
  </si>
  <si>
    <t>新北地檢104偵21397</t>
    <phoneticPr fontId="1" type="noConversion"/>
  </si>
  <si>
    <t>G3</t>
    <phoneticPr fontId="1" type="noConversion"/>
  </si>
  <si>
    <t>新北地檢105偵16831</t>
    <phoneticPr fontId="1" type="noConversion"/>
  </si>
  <si>
    <t>附表十：「以王立華、施明宏名義購入兆良公司股票後，出售予投資人明細表」</t>
    <phoneticPr fontId="2" type="noConversion"/>
  </si>
  <si>
    <t>附表九：「兆良公司100年9月至104年4月銷售額一覽表」（註1）</t>
    <phoneticPr fontId="1" type="noConversion"/>
  </si>
  <si>
    <t>附表十一：「106年度偵字第5083號附表」</t>
    <phoneticPr fontId="1" type="noConversion"/>
  </si>
  <si>
    <t>項目</t>
    <phoneticPr fontId="1" type="noConversion"/>
  </si>
  <si>
    <t>營業人名稱</t>
    <phoneticPr fontId="1" type="noConversion"/>
  </si>
  <si>
    <t>與兆乾公司交易期間</t>
    <phoneticPr fontId="1" type="noConversion"/>
  </si>
  <si>
    <t>取得兆乾公司開立統一發票張數</t>
    <phoneticPr fontId="1" type="noConversion"/>
  </si>
  <si>
    <t>與兆乾公司往來之銷售額</t>
    <phoneticPr fontId="1" type="noConversion"/>
  </si>
  <si>
    <t>與兆乾公司往來之稅額</t>
    <phoneticPr fontId="1" type="noConversion"/>
  </si>
  <si>
    <t>提出申報扣抵之發票張數</t>
    <phoneticPr fontId="1" type="noConversion"/>
  </si>
  <si>
    <t>扣抵發票之銷售額</t>
    <phoneticPr fontId="1" type="noConversion"/>
  </si>
  <si>
    <t>扣抵之稅額</t>
    <phoneticPr fontId="1" type="noConversion"/>
  </si>
  <si>
    <t>合計</t>
    <phoneticPr fontId="1" type="noConversion"/>
  </si>
  <si>
    <t>光倫公司</t>
    <phoneticPr fontId="1" type="noConversion"/>
  </si>
  <si>
    <t>玉倫公司</t>
    <phoneticPr fontId="1" type="noConversion"/>
  </si>
  <si>
    <t>緯騏公司</t>
    <phoneticPr fontId="1" type="noConversion"/>
  </si>
  <si>
    <t>102年12月至103年4月</t>
    <phoneticPr fontId="1" type="noConversion"/>
  </si>
  <si>
    <t>103年5月至6月</t>
    <phoneticPr fontId="1" type="noConversion"/>
  </si>
  <si>
    <t>103年6月至同年12月</t>
    <phoneticPr fontId="1" type="noConversion"/>
  </si>
  <si>
    <t>編號</t>
    <phoneticPr fontId="1" type="noConversion"/>
  </si>
  <si>
    <t>發票號碼</t>
    <phoneticPr fontId="1" type="noConversion"/>
  </si>
  <si>
    <t>稅額（兆乾公司已扣抵稅額）</t>
    <phoneticPr fontId="1" type="noConversion"/>
  </si>
  <si>
    <t>發票
開立年月</t>
    <phoneticPr fontId="1" type="noConversion"/>
  </si>
  <si>
    <t>103年6月</t>
  </si>
  <si>
    <t>103年6月</t>
    <phoneticPr fontId="1" type="noConversion"/>
  </si>
  <si>
    <t>103年7月</t>
  </si>
  <si>
    <t>103年8月</t>
  </si>
  <si>
    <t>AQ27734502</t>
    <phoneticPr fontId="1" type="noConversion"/>
  </si>
  <si>
    <t>AQ27734503</t>
  </si>
  <si>
    <t>AQ27734506</t>
    <phoneticPr fontId="1" type="noConversion"/>
  </si>
  <si>
    <t>AQ27734507</t>
    <phoneticPr fontId="1" type="noConversion"/>
  </si>
  <si>
    <t>AQ27734508</t>
    <phoneticPr fontId="1" type="noConversion"/>
  </si>
  <si>
    <t>AQ27734509</t>
    <phoneticPr fontId="1" type="noConversion"/>
  </si>
  <si>
    <t>AQ27734510</t>
    <phoneticPr fontId="1" type="noConversion"/>
  </si>
  <si>
    <t>AQ27734511</t>
    <phoneticPr fontId="1" type="noConversion"/>
  </si>
  <si>
    <t>BK27549950</t>
    <phoneticPr fontId="1" type="noConversion"/>
  </si>
  <si>
    <t>BK27549951</t>
  </si>
  <si>
    <t>BK27549953</t>
  </si>
  <si>
    <t>BK27549954</t>
  </si>
  <si>
    <t>BK27549956</t>
  </si>
  <si>
    <t>BK27549957</t>
  </si>
  <si>
    <t>BK27549958</t>
  </si>
  <si>
    <t>BK27549959</t>
  </si>
  <si>
    <t>BK27549960</t>
  </si>
  <si>
    <t>BK27549961</t>
  </si>
  <si>
    <t>BK27549962</t>
  </si>
  <si>
    <t>黃馨瑩犯罪所得</t>
  </si>
  <si>
    <t>被告黃馨瑩承認</t>
  </si>
  <si>
    <t xml:space="preserve">本件聯絡窗口為聯寶財經員工黃秋華，亦無相關資金帳戶可供查證，應與被告黃馨瑩無涉；復此筆交易業經被告朱緯業承認為其所販售 </t>
  </si>
  <si>
    <t>本件聯絡窗口為京旺財經員工楊丹妮，匯款帳戶係富邦龍山分行、一銀龍潭分行帳戶，均非德睿公司之人頭帳戶，應與被告黃馨瑩無涉；復此筆交易業經被告朱緯業承認該投資人係其客戶</t>
  </si>
  <si>
    <t>本件聯絡窗口為京旺財經員工楊丹妮，匯款帳戶係富邦龍山分行、一銀龍潭分行帳戶，均非德睿公司之人頭帳戶，應與被告黃馨瑩無涉；復此筆交易業經被告朱緯業承認該投資人為其客戶</t>
  </si>
  <si>
    <t>本件聯絡窗口為京旺財經員工何金芳，亦無相關資金帳戶可供查證，應與被告黃馨瑩無涉；復此筆交易業經被告朱緯業承認該投資人為其客戶</t>
  </si>
  <si>
    <t>同原審認定，被告黃馨瑩亦不爭執</t>
  </si>
  <si>
    <t xml:space="preserve">本件聯絡窗口為萬豐財經員工高薇馨，應與被告黃馨瑩無涉；復此筆交易業經被告朱緯業承認為其所販售 </t>
  </si>
  <si>
    <t>本件聯絡窗口為德睿公司員工，應屬被告黃馨瑩主導之股票交易</t>
  </si>
  <si>
    <t>本件聯絡窗口為德睿公司員工陳姷君，應屬被告黃馨瑩主導之股票交易</t>
  </si>
  <si>
    <t>本件聯絡窗口為萬豐財經員工高薇馨，應與被告黃馨瑩無涉；復此筆交易業經被告朱緯業承認為其所販售</t>
  </si>
  <si>
    <t>本件聯絡窗口為德睿公司員工陳麗文，應屬被告黃馨瑩主導之股票交易</t>
  </si>
  <si>
    <t>本件聯絡窗口為萬豐財經員工高薇馨，匯款帳戶係富邦龍山分行、一銀龍潭分行、台銀內湖分行帳戶，應與被告黃馨瑩無涉；復此筆交易業經被告朱緯業承認為其所販售</t>
  </si>
  <si>
    <t>本件聯絡窗口為慶豐財經員工季采璇，亦無相關資金帳戶可供查證，應與被告黃馨瑩無涉；復此筆交易業經被告朱緯業承認為其所販售</t>
  </si>
  <si>
    <t xml:space="preserve">本件聯絡窗口為萬豐財經員工高薇馨，匯款帳戶係富邦龍山分行、一銀龍潭分行帳戶，均非德睿公司之人頭帳戶，應與被告黃馨瑩無涉；復此筆交易業經被告朱緯業承認為其所販售 </t>
  </si>
  <si>
    <t>本件聯絡窗口為德睿公司張先生，應屬被告黃馨瑩主導之股票交易</t>
  </si>
  <si>
    <t>本件聯絡窗口為萬豐財經員工高薇馨，亦無相關資金帳戶可供查證，應與被告黃馨瑩無涉；復此筆交易業經被告朱緯業承認為其所販售</t>
  </si>
  <si>
    <t>本件聯絡窗口為德睿公司員工蔡盺諺，與原證7-33、7-34成交明細吻合，應屬被告黃馨瑩主導之股票交易</t>
  </si>
  <si>
    <t>與原證7-33、7-34成交明細吻合，應屬被告黃馨瑩主導之股票交易</t>
  </si>
  <si>
    <t xml:space="preserve">本件聯絡窗口為萬鈞國際員工陳寰莙，亦無相關資金帳戶可供查證，應與被告黃馨瑩無涉；復此筆交易業經被告朱緯業承認為其所販售 </t>
  </si>
  <si>
    <t xml:space="preserve">本件聯絡窗口為萬豐財經員工陳寰莙，匯款帳戶係富邦龍山分行、一銀龍潭分行帳戶，均非德睿公司之人頭帳戶，應與被告黃馨瑩無涉；復此筆交易業經被告朱緯業承認為其所販售 </t>
  </si>
  <si>
    <t xml:space="preserve">本件聯絡窗口為萬豐財經員工高薇馨，匯款帳戶係富邦龍山分行、一銀龍潭分行、台銀內湖分行帳戶，均非德睿公司之人頭帳戶，應與被告黃馨瑩無涉；復此筆交易業經被告朱緯業承認為其所販售 </t>
  </si>
  <si>
    <t>該投資人為德睿公司之業務員，應歸屬於被告黃馨瑩主導之交易</t>
  </si>
  <si>
    <t>沈花女103年07月22日過戶1張股票至呂坤霖，金額67,000元，呂坤霖於同年7月17日存入1萬元至德睿公司所使用之張玉汝上海商銀高雄分行帳戶，應屬被告黃馨瑩所主導之交易</t>
  </si>
  <si>
    <t>本件聯絡窗口為德睿公司員工陳婉柔，應屬被告黃馨瑩主導之股票交易</t>
  </si>
  <si>
    <t xml:space="preserve">本件聯絡窗口為立達國際許嘉欣，亦無相關資金帳戶可供查證，應與被告黃馨瑩無涉；復此筆交易業經被告朱緯業承認為其所販售 </t>
  </si>
  <si>
    <t xml:space="preserve">本件為現金交易，聯絡窗口疑為萬豐財經員工季采旋，應歸屬於被告朱緯業之犯罪所得，與被告黃馨瑩無涉 </t>
  </si>
  <si>
    <t>本件聯絡窗口為萬豐財經員工陳寰莙，匯款帳戶係富邦龍山分行、一銀龍潭分行帳戶，均非德睿公司之人頭帳戶，應歸屬於被告朱緯業之犯罪所得，與被告黃馨瑩無涉</t>
  </si>
  <si>
    <t>本件聯絡窗口為萬豐財經員工高薇馨，應歸屬於被告朱緯業之犯罪所得，與被告黃馨瑩無涉</t>
  </si>
  <si>
    <t xml:space="preserve">本件聯絡窗口為萬豐財經員工高薇馨，亦無相關資金帳戶可供查證，應與被告黃馨瑩無涉；復此筆交易業經被告朱緯業承認為其所販售 </t>
  </si>
  <si>
    <t>本件聯絡窗口為德睿公司員工許睿彤，應屬被告黃馨瑩主導之股票交易</t>
  </si>
  <si>
    <t>本件為現金交易，聯絡窗口為德睿公司許睿彤，應屬被告黃馨瑩主導之股票交易</t>
  </si>
  <si>
    <t>本件聯絡窗口為長旺，應屬被告黃馨瑩主導之股票交易</t>
  </si>
  <si>
    <t>本件聯絡窗口為德睿公司吳家穎，與原證7-33、7-34成交明細亦吻合，應屬被告黃馨瑩主導之股票交易</t>
  </si>
  <si>
    <t>本件聯絡窗口為萬豐財經員工陳寰莙，匯款帳戶係富邦龍山分行帳戶，均非德睿公司之人頭帳戶，應歸屬於被告朱緯業之犯罪所得，與被告黃馨瑩無涉</t>
  </si>
  <si>
    <t xml:space="preserve">本件聯絡窗口為萬豐財經員工陳寰莙，匯款帳戶係富邦龍山分行帳戶，並非德睿帳戶所有，應與被告黃馨瑩無涉；復此筆交易業經被告朱緯業承認為其所販售 </t>
  </si>
  <si>
    <t>本件聯絡窗口為德睿公司員工劉明英，應屬被告黃馨瑩主導之股票交易</t>
  </si>
  <si>
    <t xml:space="preserve">本件聯絡窗口為萬豐財經員工吳淑賢，亦無相關資金帳戶可供查證，應與被告黃馨瑩無涉；復此筆交易業經被告朱緯業承認為其所販售 </t>
  </si>
  <si>
    <t>張玉汝上海商銀高雄分行帳戶為德睿公司業務員楊舒涵所使用，亦屬德睿公司之人頭帳戶，應認屬被告黃馨瑩所主導之交易</t>
  </si>
  <si>
    <t>本件聯絡窗口為長旺投資，於103年9月26日匯入股款5萬元，至德睿公司之所使用之張玉汝上海商銀高雄分行帳戶，應認屬被告黃馨瑩所主導之交易</t>
  </si>
  <si>
    <t>林淑呅於103年9月3日匯入5萬元，至德睿公司所使用之張玉汝上海商銀高雄分行帳戶，應認屬被告黃馨瑩主導之交易</t>
  </si>
  <si>
    <t>謝修瑩103年8月20日匯入張玉汝上海商銀高雄分行帳戶5萬元，而張玉汝帳戶為德睿控制之人頭帳戶，應認屬被告黃馨瑩主導之交易</t>
  </si>
  <si>
    <t>本件聯絡窗口為長旺投資，應認屬被告黃馨瑩所主導之交易</t>
  </si>
  <si>
    <t>本件聯絡窗口為聯寶財經員工黃秋華，匯款帳戶係富邦龍山分行帳戶，均非德睿公司之人頭帳戶，應歸屬於被告朱緯業之犯罪所得，與被告黃馨瑩無涉</t>
  </si>
  <si>
    <t xml:space="preserve">據國泰世華商業銀行103年10月3日存款憑證所示，其匯款流向亦屬被告黃馨瑩所不爭執之客戶名單，應認屬被告黃馨瑩之主導交易 </t>
  </si>
  <si>
    <t>非屬原證7-33、7-34成交明細，應與被告黃馨瑩無涉</t>
  </si>
  <si>
    <t xml:space="preserve">本件聯絡窗口為立達國際員工許嘉欣，亦無相關資金帳戶可供查證，應與被告黃馨瑩無涉；復此筆交易業經被告朱緯業承認為其所販售 </t>
  </si>
  <si>
    <t>與原證7-33、7-34成交明細吻合，聯絡窗口為德睿公司員工詹欣頤，應屬被告黃馨瑩主導之股票交易</t>
  </si>
  <si>
    <t>與原證7-33、7-34成交明細吻合，聯絡窗口為德睿員工吳家穎，應屬被告黃馨瑩主導之股票交易</t>
  </si>
  <si>
    <t xml:space="preserve">本件聯絡窗口為萬豐財經員工陳寰莙，匯款帳戶係富邦龍山分行帳戶，並非德睿公司之人頭帳戶，應與被告黃馨瑩無涉；復此筆交易業經被告朱緯業承認為其所販售 </t>
  </si>
  <si>
    <t xml:space="preserve">本件聯絡窗口為萬豐財經員工，並非德睿公司，亦無相關資金帳戶可供查證，應與被告黃馨瑩無涉；復此筆交易業經被告朱緯業承認為其所販售 </t>
  </si>
  <si>
    <t>本件聯絡窗口為聚亨國際員工林柏嫻，匯款帳戶亦係國泰高雄分行、一銀龍潭分行帳戶，均非德睿公司之人頭帳戶，應與被告黃馨瑩、朱緯業無涉</t>
  </si>
  <si>
    <t xml:space="preserve">本件聯絡窗口為中信證券吳淑賢，應與被告黃馨瑩無涉；復此筆交易業經被告朱緯業承認為其所販售 </t>
  </si>
  <si>
    <t xml:space="preserve">本件聯絡窗口為中信證券員工吳淑賢，亦無相關資金帳戶可供查證，應與被告黃馨瑩無涉；復此筆交易業經被告朱緯業承認為其所販售 </t>
  </si>
  <si>
    <t xml:space="preserve">本件聯絡窗口為萬豐財經員工吳淑賢，應與被告黃馨瑩無涉；復此筆交易業經被告朱緯業承認為其所販售 </t>
  </si>
  <si>
    <t xml:space="preserve">本件聯絡窗口為萬豐財經員工陳寰莙，應與被告黃馨瑩無涉；復此筆交易業經被告朱緯業承認為其所販售 </t>
  </si>
  <si>
    <t xml:space="preserve">本件聯絡窗口為萬豐財經員工陳寰莙，匯款帳戶係富邦龍山分行帳戶，非德睿公司之人頭帳戶，應與被告黃馨瑩無涉；復此筆交易業經被告朱緯業承認為其所販售 </t>
  </si>
  <si>
    <t>本件聯絡窗口為長旺公司，亦屬被告黃馨瑩主導之股票交易</t>
  </si>
  <si>
    <t>本件聯絡窗口為德睿公司員工陳姷妁，應屬被告黃馨瑩主導之股票交易</t>
  </si>
  <si>
    <t xml:space="preserve">本件聯絡窗口為聯寶財經員工高薇馨，匯款帳戶係富邦龍山分行帳戶，均非德睿公司之人頭帳戶，應與被告黃馨瑩無涉；復此筆交易業經被告朱緯業承認為其所販售 </t>
  </si>
  <si>
    <t xml:space="preserve">本件聯絡窗口為萬富國際員工蕭子評，亦無相關資金帳戶可供查證，應與被告黃馨瑩無涉；復此筆交易業經被告朱緯業承認為其所販售 </t>
  </si>
  <si>
    <t xml:space="preserve">本件聯絡窗口為萬鈞公司員工許庭瑜、陳寰莙，匯款帳戶係富邦龍山分行帳戶，非德睿公司之人頭帳戶，應與被告黃馨瑩無涉；復此筆交易業經被告朱緯業承認為其所販售 </t>
  </si>
  <si>
    <t xml:space="preserve">本件聯絡窗口為萬富公司員工蕭子評，並無相關資金帳戶可供查證，應與被告黃馨瑩無涉；復此筆交易業經被告朱緯業承認為其所販售 </t>
  </si>
  <si>
    <t xml:space="preserve">本件聯絡窗口為萬鈞國際員工許庭瑜、陳寰莙，匯款帳戶係富邦龍山分行帳戶，非德睿公司之人頭帳戶，應與被告黃馨瑩無涉；復此筆交易業經被告朱緯業承認為其所販售 </t>
  </si>
  <si>
    <t>本件聯絡窗口為德睿公司員工陳美雪，應屬被告黃馨瑩主導之股票交易</t>
  </si>
  <si>
    <t xml:space="preserve">本件聯絡窗口為萬富財經員工蕭子評，應與被告黃馨瑩無涉；復此筆交易業經被告朱緯業承認為其所販售 </t>
  </si>
  <si>
    <t>本件聯絡窗口為陳淑賢，亦無相關資金帳戶可供查證，應與被告黃馨瑩無涉；復此筆交易業經被告朱緯業承認該投資人為其之客戶</t>
  </si>
  <si>
    <t xml:space="preserve">本件聯絡窗口為聯寶財經員工黃秋華，匯款帳戶係富邦龍山分行帳戶，非德睿公司之人頭帳戶，應與被告黃馨瑩無涉；復此筆交易業經被告朱緯業承認為其所販售 </t>
  </si>
  <si>
    <t xml:space="preserve">本件聯絡窗口為萬富國際蕭子評，亦無相關資金帳戶可供查證，應與被告黃馨瑩無涉；復此筆交易業經被告朱緯業承認為其所販售 </t>
  </si>
  <si>
    <t xml:space="preserve">本件聯絡窗口為萬鈞國際員工李蘭英，亦無相關資金帳戶可供查證，應與被告黃馨瑩無涉；復此筆交易業經被告朱緯業承認為其所販售 </t>
  </si>
  <si>
    <t xml:space="preserve">本件聯絡窗口為萬鈞財經員工劉育銘，匯款帳戶係富邦龍山分行、一銀龍潭分行帳戶，均非德睿公司之人頭帳戶，應與被告黃馨瑩無涉；復此筆交易業經被告朱緯業承認為其所販售 </t>
  </si>
  <si>
    <t xml:space="preserve">本件聯絡窗口為萬鈞國際員工劉育銘，匯款帳戶係富邦龍山分行、一銀龍潭分行帳戶，均非德睿公司之人頭帳戶，應與被告黃馨瑩無涉；復此筆交易業經被告朱緯業承認為其所販售 </t>
  </si>
  <si>
    <t xml:space="preserve">本件聯絡窗口為聯寶財經陳寰莙，亦無相關資金帳戶可供查證，應與被告黃馨瑩無涉；復此筆交易業經被告朱緯業承認為其所販售 </t>
  </si>
  <si>
    <t xml:space="preserve">本件聯絡窗口為萬鈞國際員工季采璇，亦無相關資金帳戶可供查證，應與被告黃馨瑩無涉；復此筆交易業經被告朱緯業承認為其所販售 </t>
  </si>
  <si>
    <t>本件聯絡窗口為聚亨財經員工許睿彤，許睿彤前雖為德睿公司員工，然查其匯款帳戶係至國泰世華銀行，並非德睿公司之人頭帳戶，應與被告黃馨瑩、朱緯業無涉</t>
  </si>
  <si>
    <t>本件聯絡窗口為萬豐財經員工陳寰莙，應與被告黃馨瑩無涉；復此筆交易業經被告朱緯業承認為其所販售</t>
  </si>
  <si>
    <t xml:space="preserve">本件聯絡窗口為萬豐財經員工陳寰莙，亦無相關資金帳戶可供查證，應與被告黃馨瑩無涉；復此筆交易業經被告朱緯業承認為其所販售 </t>
  </si>
  <si>
    <t xml:space="preserve">本件聯絡窗口為聯寶財經員工吳淑賢，匯款帳戶係富邦龍山分行帳戶，並非德睿公司之人頭帳戶，應與被告黃馨瑩無涉；復此筆交易業經被告朱緯業承認為其所販售 </t>
  </si>
  <si>
    <t xml:space="preserve">本件聯絡窗口為萬富國際，並非德睿公司員工，亦無相關資金帳戶可供查證，應與被告黃馨瑩無涉；復此筆交易業經被告朱緯業承認為其所販售 </t>
  </si>
  <si>
    <t xml:space="preserve">本件聯絡窗口為聯寶財經員工張駿杰，匯款帳戶係第一銀行，非德睿公司之人頭帳戶，應與被告黃馨瑩無涉；復此筆交易業經被告朱緯業承認為其所販售 </t>
  </si>
  <si>
    <t>黃馨瑩主導販售兆良股票金額合計</t>
  </si>
  <si>
    <t>黃馨瑩主導販售兆良股票部分（已扣除103年5月29日前德睿公司遭搜索查獲前出售部分）。</t>
  </si>
  <si>
    <t>附表六：「黃馨瑩以賴國隆名義購入兆良公司股票後，出售予投資人明細表」</t>
  </si>
  <si>
    <t>被告黃馨瑩爭執</t>
  </si>
  <si>
    <t>卷內無相關資料，應認非屬黃馨瑩旗下德睿公司販售</t>
  </si>
  <si>
    <t>本案聯絡窗口為德睿公司張玉汝，亦屬被告黃馨瑩主導之股票交易</t>
  </si>
  <si>
    <t>本案聯絡窗口為德睿公司（長旺公司），亦屬被告黃馨瑩主導之股票交易</t>
  </si>
  <si>
    <t>除依附民原告徐正民提供之新竹第一信用合作社匯款單，匯款金額69,000元，匯款流向為德睿公司，認定該筆金額應屬被告黃馨瑩所主導之交易。其餘均剔除之</t>
  </si>
  <si>
    <t>本案聯絡窗口為德睿公司劉明英，應屬被告黃馨瑩主導之股票交易</t>
  </si>
  <si>
    <t>本案聯絡窗口為德睿公司員工陳婉柔，應屬被告黃馨瑩主導之股票交易</t>
  </si>
  <si>
    <t>黃馨瑩主導販售兆良股票部分（已扣除103年5月29日前德睿公司遭搜索查獲前出售部分），復考量前述交易皆屬103年6月3日成交之交易，與搜索前之非法經營證券業務之行為，其主觀犯意、侵害法益均屬同一，亦具時空密接性，實屬不可分之接續行為，爰不另認定為本件被告黃馨瑩之犯罪所得。</t>
  </si>
  <si>
    <t>附表七：「黃馨瑩出售元龍、金隆公司股票明細表」</t>
  </si>
  <si>
    <t>依據被告黃馨瑩104年9月17日於調查局詢問及偵訊時供述（A46卷第120頁、150頁反面），以每股24元作為股票購入成本。</t>
  </si>
  <si>
    <t>該交易透過萬豐公司聯絡，被告朱緯業承認其為該公司實際負責人，應與被告黃馨瑩無涉</t>
  </si>
  <si>
    <t>該交易透過萬豐公司聯絡，被告朱緯業承認為其實際負責人，應與被告黃馨瑩無涉</t>
  </si>
  <si>
    <t>該交易透過聯寶公司聯絡，被告朱緯業承認為其實際負責人，應與被告黃馨瑩無涉</t>
  </si>
  <si>
    <t>被告黃馨瑩不爭執</t>
  </si>
  <si>
    <t>黃馨瑩主導之販售兆良股票金額合計</t>
  </si>
  <si>
    <t>105附民160</t>
    <phoneticPr fontId="1" type="noConversion"/>
  </si>
  <si>
    <t>105金176</t>
    <phoneticPr fontId="1" type="noConversion"/>
  </si>
  <si>
    <t>張清波</t>
    <phoneticPr fontId="1" type="noConversion"/>
  </si>
  <si>
    <t>附表十二：「106年度偵字第5626號附表」</t>
    <phoneticPr fontId="1" type="noConversion"/>
  </si>
  <si>
    <t>尚譽公司陳薇（B1卷第19頁）</t>
  </si>
  <si>
    <t>附表十四：「告訴人刁品緣等358位投資人明細表」</t>
    <phoneticPr fontId="1" type="noConversion"/>
  </si>
  <si>
    <t>李玟儀</t>
    <phoneticPr fontId="1" type="noConversion"/>
  </si>
  <si>
    <t>張麗賢</t>
    <phoneticPr fontId="1" type="noConversion"/>
  </si>
  <si>
    <t>余忠實</t>
    <phoneticPr fontId="1" type="noConversion"/>
  </si>
  <si>
    <t>莊永隆</t>
    <phoneticPr fontId="1" type="noConversion"/>
  </si>
  <si>
    <t>郭耘睿</t>
    <phoneticPr fontId="1" type="noConversion"/>
  </si>
  <si>
    <t>連捷</t>
    <phoneticPr fontId="2" type="noConversion"/>
  </si>
  <si>
    <t>陳長漢</t>
    <phoneticPr fontId="2" type="noConversion"/>
  </si>
  <si>
    <t>張惠蓉</t>
    <phoneticPr fontId="1" type="noConversion"/>
  </si>
  <si>
    <t>曾榮鑾</t>
    <phoneticPr fontId="1" type="noConversion"/>
  </si>
  <si>
    <t>呂理維</t>
    <phoneticPr fontId="1" type="noConversion"/>
  </si>
  <si>
    <t>賴宥材</t>
    <phoneticPr fontId="1" type="noConversion"/>
  </si>
  <si>
    <t>劉子鵬</t>
    <phoneticPr fontId="1" type="noConversion"/>
  </si>
  <si>
    <t>林淑貞</t>
    <phoneticPr fontId="1" type="noConversion"/>
  </si>
  <si>
    <t>劉志峰</t>
    <phoneticPr fontId="1" type="noConversion"/>
  </si>
  <si>
    <t>張陳雪玉</t>
    <phoneticPr fontId="1" type="noConversion"/>
  </si>
  <si>
    <t>柯重安</t>
    <phoneticPr fontId="1" type="noConversion"/>
  </si>
  <si>
    <t>黃順良</t>
    <phoneticPr fontId="1" type="noConversion"/>
  </si>
  <si>
    <t>高雅蘭</t>
    <phoneticPr fontId="1" type="noConversion"/>
  </si>
  <si>
    <t>陳孟雪</t>
    <phoneticPr fontId="1" type="noConversion"/>
  </si>
  <si>
    <t>陳信佑</t>
    <phoneticPr fontId="1" type="noConversion"/>
  </si>
  <si>
    <t>邱永鎮</t>
    <phoneticPr fontId="1" type="noConversion"/>
  </si>
  <si>
    <t>蘇沛晨</t>
    <phoneticPr fontId="1" type="noConversion"/>
  </si>
  <si>
    <t>王碧枝</t>
    <phoneticPr fontId="1" type="noConversion"/>
  </si>
  <si>
    <t>張煥洲</t>
    <phoneticPr fontId="1" type="noConversion"/>
  </si>
  <si>
    <t>傅應龍</t>
    <phoneticPr fontId="1" type="noConversion"/>
  </si>
  <si>
    <t>李淑錦</t>
    <phoneticPr fontId="1" type="noConversion"/>
  </si>
  <si>
    <t>曹庭耀</t>
    <phoneticPr fontId="1" type="noConversion"/>
  </si>
  <si>
    <t>103/02/24</t>
    <phoneticPr fontId="1" type="noConversion"/>
  </si>
  <si>
    <t>陳啟瀚</t>
    <phoneticPr fontId="2" type="noConversion"/>
  </si>
  <si>
    <t>張煥洲</t>
    <phoneticPr fontId="1" type="noConversion"/>
  </si>
  <si>
    <t>林智瑝</t>
    <phoneticPr fontId="2" type="noConversion"/>
  </si>
  <si>
    <t>張潘喜英</t>
    <phoneticPr fontId="1" type="noConversion"/>
  </si>
  <si>
    <t>賴美珍</t>
    <phoneticPr fontId="1" type="noConversion"/>
  </si>
  <si>
    <t>顏春風</t>
    <phoneticPr fontId="1" type="noConversion"/>
  </si>
  <si>
    <t>羅家炎</t>
    <phoneticPr fontId="1" type="noConversion"/>
  </si>
  <si>
    <t>鍾美玉</t>
    <phoneticPr fontId="1" type="noConversion"/>
  </si>
  <si>
    <t>高玉綢</t>
    <phoneticPr fontId="1" type="noConversion"/>
  </si>
  <si>
    <t>林蕙萱</t>
    <phoneticPr fontId="1" type="noConversion"/>
  </si>
  <si>
    <t>紀榮昆</t>
    <phoneticPr fontId="1" type="noConversion"/>
  </si>
  <si>
    <t>葉梅蘭</t>
    <phoneticPr fontId="1" type="noConversion"/>
  </si>
  <si>
    <t>梁進勝</t>
    <phoneticPr fontId="1" type="noConversion"/>
  </si>
  <si>
    <t>蘇介亮</t>
    <phoneticPr fontId="1" type="noConversion"/>
  </si>
  <si>
    <t>鍾國文</t>
    <phoneticPr fontId="1" type="noConversion"/>
  </si>
  <si>
    <t>吳家甄</t>
    <phoneticPr fontId="2" type="noConversion"/>
  </si>
  <si>
    <t>陳沁琇</t>
    <phoneticPr fontId="1" type="noConversion"/>
  </si>
  <si>
    <t>蔡佳秀</t>
    <phoneticPr fontId="1" type="noConversion"/>
  </si>
  <si>
    <t>詹榮泉</t>
    <phoneticPr fontId="1" type="noConversion"/>
  </si>
  <si>
    <t>黃治元</t>
    <phoneticPr fontId="1" type="noConversion"/>
  </si>
  <si>
    <t>吳家甄</t>
    <phoneticPr fontId="1" type="noConversion"/>
  </si>
  <si>
    <t>蘇姿美</t>
    <phoneticPr fontId="1" type="noConversion"/>
  </si>
  <si>
    <t>楊靜芬</t>
    <phoneticPr fontId="1" type="noConversion"/>
  </si>
  <si>
    <t>陳沁琇</t>
    <phoneticPr fontId="1" type="noConversion"/>
  </si>
  <si>
    <t>龔家平</t>
    <phoneticPr fontId="1" type="noConversion"/>
  </si>
  <si>
    <t>湯家祐</t>
    <phoneticPr fontId="1" type="noConversion"/>
  </si>
  <si>
    <t>陳群濠</t>
    <phoneticPr fontId="1" type="noConversion"/>
  </si>
  <si>
    <t>林安安</t>
    <phoneticPr fontId="2" type="noConversion"/>
  </si>
  <si>
    <t>張雅惠</t>
    <phoneticPr fontId="1" type="noConversion"/>
  </si>
  <si>
    <t>王昕遠</t>
    <phoneticPr fontId="1" type="noConversion"/>
  </si>
  <si>
    <t>陳宏洋</t>
    <phoneticPr fontId="1" type="noConversion"/>
  </si>
  <si>
    <t>官裕宗</t>
    <phoneticPr fontId="1" type="noConversion"/>
  </si>
  <si>
    <t>陳信宏</t>
    <phoneticPr fontId="1" type="noConversion"/>
  </si>
  <si>
    <t>江錦祥</t>
    <phoneticPr fontId="1" type="noConversion"/>
  </si>
  <si>
    <t>曾喜樑</t>
    <phoneticPr fontId="1" type="noConversion"/>
  </si>
  <si>
    <t>林惠玫</t>
    <phoneticPr fontId="1" type="noConversion"/>
  </si>
  <si>
    <t>李孟訓</t>
    <phoneticPr fontId="1" type="noConversion"/>
  </si>
  <si>
    <t>卓維煌</t>
    <phoneticPr fontId="1" type="noConversion"/>
  </si>
  <si>
    <t>李安興</t>
    <phoneticPr fontId="1" type="noConversion"/>
  </si>
  <si>
    <t>林金虎</t>
    <phoneticPr fontId="1" type="noConversion"/>
  </si>
  <si>
    <t>吳世隆</t>
    <phoneticPr fontId="1" type="noConversion"/>
  </si>
  <si>
    <t>曾文清</t>
    <phoneticPr fontId="1" type="noConversion"/>
  </si>
  <si>
    <t>白靜婷</t>
    <phoneticPr fontId="1" type="noConversion"/>
  </si>
  <si>
    <t>趙仁豐</t>
    <phoneticPr fontId="1" type="noConversion"/>
  </si>
  <si>
    <t>陳天輝</t>
    <phoneticPr fontId="1" type="noConversion"/>
  </si>
  <si>
    <t>黃仲蘭</t>
    <phoneticPr fontId="1" type="noConversion"/>
  </si>
  <si>
    <t>廖繼仕</t>
    <phoneticPr fontId="1" type="noConversion"/>
  </si>
  <si>
    <t>鍾瑞堂</t>
    <phoneticPr fontId="1" type="noConversion"/>
  </si>
  <si>
    <t>謝瀅諭</t>
    <phoneticPr fontId="1" type="noConversion"/>
  </si>
  <si>
    <t>高光陸</t>
    <phoneticPr fontId="1" type="noConversion"/>
  </si>
  <si>
    <t>邱彥仁</t>
    <phoneticPr fontId="1" type="noConversion"/>
  </si>
  <si>
    <t>鄭彩惠</t>
    <phoneticPr fontId="1" type="noConversion"/>
  </si>
  <si>
    <t>郭如玲</t>
    <phoneticPr fontId="1" type="noConversion"/>
  </si>
  <si>
    <t>黃曉萍</t>
    <phoneticPr fontId="1" type="noConversion"/>
  </si>
  <si>
    <t>廖龍鐓</t>
    <phoneticPr fontId="1" type="noConversion"/>
  </si>
  <si>
    <t>莊重信</t>
    <phoneticPr fontId="1" type="noConversion"/>
  </si>
  <si>
    <t>陳良賓</t>
    <phoneticPr fontId="1" type="noConversion"/>
  </si>
  <si>
    <t>黃守正</t>
    <phoneticPr fontId="1" type="noConversion"/>
  </si>
  <si>
    <t>劉子鵬</t>
    <phoneticPr fontId="1" type="noConversion"/>
  </si>
  <si>
    <t>魏哲云</t>
    <phoneticPr fontId="1" type="noConversion"/>
  </si>
  <si>
    <t>羅月汝</t>
    <phoneticPr fontId="1" type="noConversion"/>
  </si>
  <si>
    <t>林楷宸</t>
    <phoneticPr fontId="1" type="noConversion"/>
  </si>
  <si>
    <t>陳復章</t>
    <phoneticPr fontId="1" type="noConversion"/>
  </si>
  <si>
    <t>鍾有金</t>
    <phoneticPr fontId="1" type="noConversion"/>
  </si>
  <si>
    <t>范馨云</t>
    <phoneticPr fontId="1" type="noConversion"/>
  </si>
  <si>
    <t>林麗雪</t>
    <phoneticPr fontId="1" type="noConversion"/>
  </si>
  <si>
    <t>黃俊仁</t>
    <phoneticPr fontId="1" type="noConversion"/>
  </si>
  <si>
    <t>賴脩評</t>
    <phoneticPr fontId="1" type="noConversion"/>
  </si>
  <si>
    <t>林玉綿</t>
    <phoneticPr fontId="1" type="noConversion"/>
  </si>
  <si>
    <t>廖芳藝</t>
    <phoneticPr fontId="1" type="noConversion"/>
  </si>
  <si>
    <t>黃士峰</t>
    <phoneticPr fontId="1" type="noConversion"/>
  </si>
  <si>
    <t>李依仁</t>
    <phoneticPr fontId="1" type="noConversion"/>
  </si>
  <si>
    <t>賴秀英</t>
    <phoneticPr fontId="1" type="noConversion"/>
  </si>
  <si>
    <t>謝德根</t>
    <phoneticPr fontId="1" type="noConversion"/>
  </si>
  <si>
    <t>廖森雲</t>
    <phoneticPr fontId="1" type="noConversion"/>
  </si>
  <si>
    <t>顏春花</t>
    <phoneticPr fontId="1" type="noConversion"/>
  </si>
  <si>
    <t>董國勝</t>
    <phoneticPr fontId="1" type="noConversion"/>
  </si>
  <si>
    <t>王萬華</t>
    <phoneticPr fontId="1" type="noConversion"/>
  </si>
  <si>
    <t>邱必義</t>
    <phoneticPr fontId="1" type="noConversion"/>
  </si>
  <si>
    <t>黃玉欽</t>
    <phoneticPr fontId="1" type="noConversion"/>
  </si>
  <si>
    <t>陳金瑤</t>
    <phoneticPr fontId="1" type="noConversion"/>
  </si>
  <si>
    <t>鄭素萍</t>
    <phoneticPr fontId="1" type="noConversion"/>
  </si>
  <si>
    <t>高欣瑜</t>
    <phoneticPr fontId="1" type="noConversion"/>
  </si>
  <si>
    <t>陳易儀</t>
    <phoneticPr fontId="1" type="noConversion"/>
  </si>
  <si>
    <t>陳萍實</t>
    <phoneticPr fontId="1" type="noConversion"/>
  </si>
  <si>
    <t>陳檉熹</t>
    <phoneticPr fontId="1" type="noConversion"/>
  </si>
  <si>
    <t>佘桂芳</t>
    <phoneticPr fontId="1" type="noConversion"/>
  </si>
  <si>
    <t>羅文峰</t>
    <phoneticPr fontId="1" type="noConversion"/>
  </si>
  <si>
    <t>戴亦均</t>
    <phoneticPr fontId="1" type="noConversion"/>
  </si>
  <si>
    <t>郭佳霖</t>
    <phoneticPr fontId="1" type="noConversion"/>
  </si>
  <si>
    <t>徐弘縣</t>
    <phoneticPr fontId="1" type="noConversion"/>
  </si>
  <si>
    <t>彭詳和</t>
    <phoneticPr fontId="1" type="noConversion"/>
  </si>
  <si>
    <t>高玉綢</t>
    <phoneticPr fontId="1" type="noConversion"/>
  </si>
  <si>
    <t>劉建良</t>
    <phoneticPr fontId="1" type="noConversion"/>
  </si>
  <si>
    <t>駱詠潔</t>
    <phoneticPr fontId="1" type="noConversion"/>
  </si>
  <si>
    <t>駱沛婕</t>
    <phoneticPr fontId="1" type="noConversion"/>
  </si>
  <si>
    <t>鄭廣興</t>
    <phoneticPr fontId="1" type="noConversion"/>
  </si>
  <si>
    <t>徐秀甘</t>
    <phoneticPr fontId="1" type="noConversion"/>
  </si>
  <si>
    <t>莊倉江</t>
    <phoneticPr fontId="1" type="noConversion"/>
  </si>
  <si>
    <t>游玫芳</t>
    <phoneticPr fontId="1" type="noConversion"/>
  </si>
  <si>
    <t>陳坤禮</t>
    <phoneticPr fontId="1" type="noConversion"/>
  </si>
  <si>
    <t>郭連興</t>
    <phoneticPr fontId="1" type="noConversion"/>
  </si>
  <si>
    <t>吳劉素琴</t>
    <phoneticPr fontId="1" type="noConversion"/>
  </si>
  <si>
    <t>郭金峯</t>
    <phoneticPr fontId="2" type="noConversion"/>
  </si>
  <si>
    <t>翁志清</t>
    <phoneticPr fontId="2" type="noConversion"/>
  </si>
  <si>
    <t>李思儀</t>
    <phoneticPr fontId="1" type="noConversion"/>
  </si>
  <si>
    <t>李德昱</t>
    <phoneticPr fontId="1" type="noConversion"/>
  </si>
  <si>
    <t>姚又齊</t>
    <phoneticPr fontId="1" type="noConversion"/>
  </si>
  <si>
    <t>蔡長霖</t>
    <phoneticPr fontId="1" type="noConversion"/>
  </si>
  <si>
    <t>蔡佩蓉</t>
    <phoneticPr fontId="1" type="noConversion"/>
  </si>
  <si>
    <t>鄭珍慧</t>
    <phoneticPr fontId="1" type="noConversion"/>
  </si>
  <si>
    <t>許正典</t>
    <phoneticPr fontId="1" type="noConversion"/>
  </si>
  <si>
    <t>簡淑華</t>
    <phoneticPr fontId="1" type="noConversion"/>
  </si>
  <si>
    <t>柯重安</t>
    <phoneticPr fontId="1" type="noConversion"/>
  </si>
  <si>
    <t>蔡妤炘</t>
    <phoneticPr fontId="1" type="noConversion"/>
  </si>
  <si>
    <t>陳坤龍</t>
    <phoneticPr fontId="1" type="noConversion"/>
  </si>
  <si>
    <t>何彩綢</t>
    <phoneticPr fontId="1" type="noConversion"/>
  </si>
  <si>
    <t>施繼正</t>
    <phoneticPr fontId="1" type="noConversion"/>
  </si>
  <si>
    <t>陳怡君</t>
    <phoneticPr fontId="1" type="noConversion"/>
  </si>
  <si>
    <t>陳慕緯</t>
    <phoneticPr fontId="1" type="noConversion"/>
  </si>
  <si>
    <t>李純香</t>
    <phoneticPr fontId="1" type="noConversion"/>
  </si>
  <si>
    <t>吳沛蒼</t>
    <phoneticPr fontId="1" type="noConversion"/>
  </si>
  <si>
    <t>王禎嫻</t>
    <phoneticPr fontId="1" type="noConversion"/>
  </si>
  <si>
    <t>許美珠</t>
    <phoneticPr fontId="1" type="noConversion"/>
  </si>
  <si>
    <t>陳良德</t>
    <phoneticPr fontId="1" type="noConversion"/>
  </si>
  <si>
    <t>刁品緣</t>
    <phoneticPr fontId="1" type="noConversion"/>
  </si>
  <si>
    <t>楊志碩</t>
    <phoneticPr fontId="1" type="noConversion"/>
  </si>
  <si>
    <t>龍其祥</t>
    <phoneticPr fontId="1" type="noConversion"/>
  </si>
  <si>
    <t>林谷安</t>
    <phoneticPr fontId="1" type="noConversion"/>
  </si>
  <si>
    <t>鄭國中</t>
    <phoneticPr fontId="1" type="noConversion"/>
  </si>
  <si>
    <t>洪榮森</t>
    <phoneticPr fontId="1" type="noConversion"/>
  </si>
  <si>
    <t>郭鳳晴</t>
    <phoneticPr fontId="1" type="noConversion"/>
  </si>
  <si>
    <t>陳玉麗</t>
    <phoneticPr fontId="1" type="noConversion"/>
  </si>
  <si>
    <t>王坤木</t>
    <phoneticPr fontId="1" type="noConversion"/>
  </si>
  <si>
    <t>麥仁和</t>
    <phoneticPr fontId="1" type="noConversion"/>
  </si>
  <si>
    <t>楊曼玲</t>
    <phoneticPr fontId="1" type="noConversion"/>
  </si>
  <si>
    <t>楊天賜</t>
    <phoneticPr fontId="1" type="noConversion"/>
  </si>
  <si>
    <t>黃明智</t>
    <phoneticPr fontId="1" type="noConversion"/>
  </si>
  <si>
    <t>韓蘇彩柳</t>
    <phoneticPr fontId="1" type="noConversion"/>
  </si>
  <si>
    <t>李梅芬</t>
    <phoneticPr fontId="1" type="noConversion"/>
  </si>
  <si>
    <t>徐運安</t>
    <phoneticPr fontId="1" type="noConversion"/>
  </si>
  <si>
    <t>林延鳳</t>
    <phoneticPr fontId="1" type="noConversion"/>
  </si>
  <si>
    <t>黃賓</t>
    <phoneticPr fontId="1" type="noConversion"/>
  </si>
  <si>
    <t>吳怡欣</t>
    <phoneticPr fontId="1" type="noConversion"/>
  </si>
  <si>
    <t>施華龍</t>
    <phoneticPr fontId="1" type="noConversion"/>
  </si>
  <si>
    <t>伍正康</t>
    <phoneticPr fontId="1" type="noConversion"/>
  </si>
  <si>
    <t>賴根宏</t>
    <phoneticPr fontId="1" type="noConversion"/>
  </si>
  <si>
    <t>吳柏羽</t>
    <phoneticPr fontId="1" type="noConversion"/>
  </si>
  <si>
    <t>陳鈞裕</t>
    <phoneticPr fontId="1" type="noConversion"/>
  </si>
  <si>
    <t>陳鄧秀讓</t>
    <phoneticPr fontId="1" type="noConversion"/>
  </si>
  <si>
    <t>姚文清</t>
    <phoneticPr fontId="1" type="noConversion"/>
  </si>
  <si>
    <t>徐鳳瑾</t>
    <phoneticPr fontId="1" type="noConversion"/>
  </si>
  <si>
    <t>劉美玲</t>
    <phoneticPr fontId="1" type="noConversion"/>
  </si>
  <si>
    <t>李明堂</t>
    <phoneticPr fontId="1" type="noConversion"/>
  </si>
  <si>
    <t>李如玉</t>
    <phoneticPr fontId="1" type="noConversion"/>
  </si>
  <si>
    <t>杜方竹</t>
    <phoneticPr fontId="1" type="noConversion"/>
  </si>
  <si>
    <t>陳彥宏</t>
    <phoneticPr fontId="1" type="noConversion"/>
  </si>
  <si>
    <t>張書鑑</t>
    <phoneticPr fontId="1" type="noConversion"/>
  </si>
  <si>
    <t>范慶仁</t>
    <phoneticPr fontId="1" type="noConversion"/>
  </si>
  <si>
    <t>黃昶芳</t>
    <phoneticPr fontId="1" type="noConversion"/>
  </si>
  <si>
    <t>方秀娟</t>
    <phoneticPr fontId="1" type="noConversion"/>
  </si>
  <si>
    <t>劉志峰</t>
    <phoneticPr fontId="1" type="noConversion"/>
  </si>
  <si>
    <t>盧坤泰</t>
    <phoneticPr fontId="1" type="noConversion"/>
  </si>
  <si>
    <t>王宥東</t>
    <phoneticPr fontId="1" type="noConversion"/>
  </si>
  <si>
    <t>劉鳳美</t>
    <phoneticPr fontId="1" type="noConversion"/>
  </si>
  <si>
    <t>陳子杰</t>
    <phoneticPr fontId="1" type="noConversion"/>
  </si>
  <si>
    <t>洪雪欣</t>
    <phoneticPr fontId="1" type="noConversion"/>
  </si>
  <si>
    <t>林惠宜</t>
    <phoneticPr fontId="1" type="noConversion"/>
  </si>
  <si>
    <t>吳銘展</t>
    <phoneticPr fontId="1" type="noConversion"/>
  </si>
  <si>
    <t>蔡佩伶</t>
    <phoneticPr fontId="2" type="noConversion"/>
  </si>
  <si>
    <t>李月星</t>
    <phoneticPr fontId="1" type="noConversion"/>
  </si>
  <si>
    <t>謝秋琴</t>
    <phoneticPr fontId="1" type="noConversion"/>
  </si>
  <si>
    <t>許文錦</t>
    <phoneticPr fontId="1" type="noConversion"/>
  </si>
  <si>
    <t>尤銘德</t>
    <phoneticPr fontId="1" type="noConversion"/>
  </si>
  <si>
    <t>林齊瑞</t>
    <phoneticPr fontId="1" type="noConversion"/>
  </si>
  <si>
    <t>蔡翌純</t>
    <phoneticPr fontId="1" type="noConversion"/>
  </si>
  <si>
    <t>葉梅蘭</t>
    <phoneticPr fontId="1" type="noConversion"/>
  </si>
  <si>
    <t>劉聰杰</t>
    <phoneticPr fontId="1" type="noConversion"/>
  </si>
  <si>
    <t>郭和田</t>
    <phoneticPr fontId="1" type="noConversion"/>
  </si>
  <si>
    <t>游閔暉</t>
    <phoneticPr fontId="1" type="noConversion"/>
  </si>
  <si>
    <t>洪尾吉</t>
    <phoneticPr fontId="1" type="noConversion"/>
  </si>
  <si>
    <t>李純綾</t>
    <phoneticPr fontId="2" type="noConversion"/>
  </si>
  <si>
    <t>張陳麗香</t>
    <phoneticPr fontId="1" type="noConversion"/>
  </si>
  <si>
    <t>王錦盛</t>
    <phoneticPr fontId="1" type="noConversion"/>
  </si>
  <si>
    <t>李太陽</t>
    <phoneticPr fontId="1" type="noConversion"/>
  </si>
  <si>
    <t>陳秋菊</t>
    <phoneticPr fontId="1" type="noConversion"/>
  </si>
  <si>
    <t>卓維煌</t>
    <phoneticPr fontId="1" type="noConversion"/>
  </si>
  <si>
    <t>戴金騰</t>
    <phoneticPr fontId="1" type="noConversion"/>
  </si>
  <si>
    <t>吳沛蒼</t>
    <phoneticPr fontId="1" type="noConversion"/>
  </si>
  <si>
    <t>鄭瑞千</t>
    <phoneticPr fontId="1" type="noConversion"/>
  </si>
  <si>
    <t>陳玉花</t>
    <phoneticPr fontId="1" type="noConversion"/>
  </si>
  <si>
    <t>茹道泰</t>
    <phoneticPr fontId="1" type="noConversion"/>
  </si>
  <si>
    <t>陳綠蒂</t>
    <phoneticPr fontId="1" type="noConversion"/>
  </si>
  <si>
    <t>邱綉珍</t>
    <phoneticPr fontId="2" type="noConversion"/>
  </si>
  <si>
    <t>李佶玟</t>
    <phoneticPr fontId="1" type="noConversion"/>
  </si>
  <si>
    <t>王乙涵</t>
    <phoneticPr fontId="1" type="noConversion"/>
  </si>
  <si>
    <t>林錦秀</t>
    <phoneticPr fontId="1" type="noConversion"/>
  </si>
  <si>
    <t>潘梅桂</t>
    <phoneticPr fontId="1" type="noConversion"/>
  </si>
  <si>
    <t>林依潔</t>
    <phoneticPr fontId="1" type="noConversion"/>
  </si>
  <si>
    <t>許嘉凌</t>
    <phoneticPr fontId="1" type="noConversion"/>
  </si>
  <si>
    <t>103年度偵字第18883號編號1-6第3頁</t>
    <phoneticPr fontId="1" type="noConversion"/>
  </si>
  <si>
    <t>張清波</t>
    <phoneticPr fontId="1" type="noConversion"/>
  </si>
  <si>
    <t>張書鑑</t>
    <phoneticPr fontId="1" type="noConversion"/>
  </si>
  <si>
    <t>洪純翠</t>
    <phoneticPr fontId="1" type="noConversion"/>
  </si>
  <si>
    <t>何儒婷</t>
    <phoneticPr fontId="1" type="noConversion"/>
  </si>
  <si>
    <t>趙正凱</t>
    <phoneticPr fontId="1" type="noConversion"/>
  </si>
  <si>
    <t>李孝君</t>
    <phoneticPr fontId="1" type="noConversion"/>
  </si>
  <si>
    <t>傅仁杰</t>
    <phoneticPr fontId="1" type="noConversion"/>
  </si>
  <si>
    <t>顏萬清</t>
    <phoneticPr fontId="1" type="noConversion"/>
  </si>
  <si>
    <t>陳建攸</t>
    <phoneticPr fontId="1" type="noConversion"/>
  </si>
  <si>
    <t>魏麗華</t>
    <phoneticPr fontId="1" type="noConversion"/>
  </si>
  <si>
    <t>鄭人豪</t>
    <phoneticPr fontId="1" type="noConversion"/>
  </si>
  <si>
    <t>103/10/01</t>
    <phoneticPr fontId="1" type="noConversion"/>
  </si>
  <si>
    <t>鄧錦華</t>
    <phoneticPr fontId="1" type="noConversion"/>
  </si>
  <si>
    <t>劉靜枝</t>
    <phoneticPr fontId="1" type="noConversion"/>
  </si>
  <si>
    <t>蕭舜耀</t>
    <phoneticPr fontId="1" type="noConversion"/>
  </si>
  <si>
    <t>吳淑惠</t>
    <phoneticPr fontId="1" type="noConversion"/>
  </si>
  <si>
    <t>林詩敏</t>
    <phoneticPr fontId="1" type="noConversion"/>
  </si>
  <si>
    <t>許得興</t>
    <phoneticPr fontId="1" type="noConversion"/>
  </si>
  <si>
    <t>徐金琪</t>
    <phoneticPr fontId="1" type="noConversion"/>
  </si>
  <si>
    <t>陳政杰</t>
    <phoneticPr fontId="1" type="noConversion"/>
  </si>
  <si>
    <t>邱志能</t>
    <phoneticPr fontId="1" type="noConversion"/>
  </si>
  <si>
    <t>黃智慧</t>
    <phoneticPr fontId="1" type="noConversion"/>
  </si>
  <si>
    <t>李堂海</t>
    <phoneticPr fontId="1" type="noConversion"/>
  </si>
  <si>
    <t>熊延平</t>
    <phoneticPr fontId="1" type="noConversion"/>
  </si>
  <si>
    <t>林東富</t>
    <phoneticPr fontId="1" type="noConversion"/>
  </si>
  <si>
    <t>林茂崧</t>
    <phoneticPr fontId="1" type="noConversion"/>
  </si>
  <si>
    <t>張國恩</t>
    <phoneticPr fontId="1" type="noConversion"/>
  </si>
  <si>
    <t>賴彥銘</t>
    <phoneticPr fontId="1" type="noConversion"/>
  </si>
  <si>
    <t>蔡永晶</t>
    <phoneticPr fontId="1" type="noConversion"/>
  </si>
  <si>
    <t>侯永雄</t>
    <phoneticPr fontId="1" type="noConversion"/>
  </si>
  <si>
    <t>林美卿</t>
    <phoneticPr fontId="1" type="noConversion"/>
  </si>
  <si>
    <t>黃世綿</t>
    <phoneticPr fontId="1" type="noConversion"/>
  </si>
  <si>
    <t>周廷翰</t>
    <phoneticPr fontId="1" type="noConversion"/>
  </si>
  <si>
    <t>洪春貴</t>
    <phoneticPr fontId="1" type="noConversion"/>
  </si>
  <si>
    <t>張秀蓮</t>
    <phoneticPr fontId="1" type="noConversion"/>
  </si>
  <si>
    <t>簡永湳</t>
    <phoneticPr fontId="1" type="noConversion"/>
  </si>
  <si>
    <t>謝海慧</t>
    <phoneticPr fontId="1" type="noConversion"/>
  </si>
  <si>
    <t>張二姐</t>
    <phoneticPr fontId="1" type="noConversion"/>
  </si>
  <si>
    <t>楊保宗</t>
    <phoneticPr fontId="1" type="noConversion"/>
  </si>
  <si>
    <t>周祥雲</t>
    <phoneticPr fontId="1" type="noConversion"/>
  </si>
  <si>
    <t>吳旭昶</t>
    <phoneticPr fontId="1" type="noConversion"/>
  </si>
  <si>
    <t>盧明智</t>
    <phoneticPr fontId="1" type="noConversion"/>
  </si>
  <si>
    <t>李銘心</t>
    <phoneticPr fontId="1" type="noConversion"/>
  </si>
  <si>
    <t>鄭水嬌</t>
    <phoneticPr fontId="1" type="noConversion"/>
  </si>
  <si>
    <t>蘇登山</t>
    <phoneticPr fontId="1" type="noConversion"/>
  </si>
  <si>
    <t>曾清忠</t>
    <phoneticPr fontId="1" type="noConversion"/>
  </si>
  <si>
    <t>李宥橙</t>
    <phoneticPr fontId="1" type="noConversion"/>
  </si>
  <si>
    <t>許美英</t>
    <phoneticPr fontId="1" type="noConversion"/>
  </si>
  <si>
    <t>鄭國男</t>
    <phoneticPr fontId="1" type="noConversion"/>
  </si>
  <si>
    <t>謝永昌</t>
    <phoneticPr fontId="1" type="noConversion"/>
  </si>
  <si>
    <t>莊永嘉</t>
    <phoneticPr fontId="1" type="noConversion"/>
  </si>
  <si>
    <t>邱惠聰</t>
    <phoneticPr fontId="1" type="noConversion"/>
  </si>
  <si>
    <t>呂漢崗</t>
    <phoneticPr fontId="1" type="noConversion"/>
  </si>
  <si>
    <t>徐昭英</t>
    <phoneticPr fontId="1" type="noConversion"/>
  </si>
  <si>
    <t>黃弘政</t>
    <phoneticPr fontId="1" type="noConversion"/>
  </si>
  <si>
    <t>陳嘉澤</t>
    <phoneticPr fontId="1" type="noConversion"/>
  </si>
  <si>
    <t>陳應貞</t>
    <phoneticPr fontId="1" type="noConversion"/>
  </si>
  <si>
    <t>邱東湖</t>
    <phoneticPr fontId="1" type="noConversion"/>
  </si>
  <si>
    <t>顏聰偉</t>
    <phoneticPr fontId="1" type="noConversion"/>
  </si>
  <si>
    <t>許家榮</t>
    <phoneticPr fontId="1" type="noConversion"/>
  </si>
  <si>
    <t>賴朝陽</t>
    <phoneticPr fontId="1" type="noConversion"/>
  </si>
  <si>
    <t>李萬金</t>
    <phoneticPr fontId="1" type="noConversion"/>
  </si>
  <si>
    <t>吳貞寬</t>
    <phoneticPr fontId="1" type="noConversion"/>
  </si>
  <si>
    <t>邱瑞彬</t>
    <phoneticPr fontId="1" type="noConversion"/>
  </si>
  <si>
    <t>林振仁</t>
    <phoneticPr fontId="1" type="noConversion"/>
  </si>
  <si>
    <t>莊滄鑫</t>
    <phoneticPr fontId="1" type="noConversion"/>
  </si>
  <si>
    <t>楊澄宇</t>
    <phoneticPr fontId="1" type="noConversion"/>
  </si>
  <si>
    <t>王瑞義</t>
    <phoneticPr fontId="1" type="noConversion"/>
  </si>
  <si>
    <t>楊敏潔</t>
    <phoneticPr fontId="1" type="noConversion"/>
  </si>
  <si>
    <t>謝昭賢</t>
    <phoneticPr fontId="1" type="noConversion"/>
  </si>
  <si>
    <t>張明華</t>
    <phoneticPr fontId="1" type="noConversion"/>
  </si>
  <si>
    <t>高建保</t>
    <phoneticPr fontId="1" type="noConversion"/>
  </si>
  <si>
    <t>柯建銘</t>
    <phoneticPr fontId="1" type="noConversion"/>
  </si>
  <si>
    <t>陳映臻</t>
    <phoneticPr fontId="1" type="noConversion"/>
  </si>
  <si>
    <t>李婭</t>
    <phoneticPr fontId="1" type="noConversion"/>
  </si>
  <si>
    <t>光資資料卷P16反</t>
    <phoneticPr fontId="1" type="noConversion"/>
  </si>
  <si>
    <t>李麗霞</t>
    <phoneticPr fontId="1" type="noConversion"/>
  </si>
  <si>
    <t>陳勝平</t>
    <phoneticPr fontId="1" type="noConversion"/>
  </si>
  <si>
    <t>劉江祝</t>
    <phoneticPr fontId="1" type="noConversion"/>
  </si>
  <si>
    <t>柯滄銘</t>
    <phoneticPr fontId="1" type="noConversion"/>
  </si>
  <si>
    <t>陳英俊</t>
    <phoneticPr fontId="1" type="noConversion"/>
  </si>
  <si>
    <t>陳勝平</t>
    <phoneticPr fontId="1" type="noConversion"/>
  </si>
  <si>
    <t>呂應昌</t>
    <phoneticPr fontId="1" type="noConversion"/>
  </si>
  <si>
    <t>詹敦聖</t>
    <phoneticPr fontId="1" type="noConversion"/>
  </si>
  <si>
    <t>林佑蒼</t>
    <phoneticPr fontId="1" type="noConversion"/>
  </si>
  <si>
    <t>陳洪秀子</t>
    <phoneticPr fontId="1" type="noConversion"/>
  </si>
  <si>
    <r>
      <t>10</t>
    </r>
    <r>
      <rPr>
        <sz val="12"/>
        <color rgb="FFFF0000"/>
        <rFont val="新細明體"/>
        <family val="1"/>
        <charset val="136"/>
        <scheme val="minor"/>
      </rPr>
      <t>3</t>
    </r>
    <r>
      <rPr>
        <sz val="12"/>
        <color theme="1"/>
        <rFont val="新細明體"/>
        <family val="1"/>
        <charset val="136"/>
        <scheme val="minor"/>
      </rPr>
      <t>/12/23</t>
    </r>
    <phoneticPr fontId="1" type="noConversion"/>
  </si>
  <si>
    <r>
      <t>10</t>
    </r>
    <r>
      <rPr>
        <sz val="12"/>
        <color rgb="FFFF0000"/>
        <rFont val="新細明體"/>
        <family val="1"/>
        <charset val="136"/>
        <scheme val="minor"/>
      </rPr>
      <t>4</t>
    </r>
    <r>
      <rPr>
        <sz val="12"/>
        <color theme="1"/>
        <rFont val="新細明體"/>
        <family val="1"/>
        <charset val="136"/>
        <scheme val="minor"/>
      </rPr>
      <t>/01/07</t>
    </r>
    <phoneticPr fontId="1" type="noConversion"/>
  </si>
  <si>
    <t xml:space="preserve">本院前審卷四第191頁、卷五第357頁
</t>
    <phoneticPr fontId="2" type="noConversion"/>
  </si>
  <si>
    <t xml:space="preserve">E20第81頁、本院前審卷四第171頁、卷五第357頁
</t>
  </si>
  <si>
    <t>E14第99、135頁、本院前審卷四第199頁、E14卷第136頁，本院前審卷七第319頁</t>
  </si>
  <si>
    <t>本院前審卷五第357頁</t>
  </si>
  <si>
    <t>本院前審卷四第19頁</t>
  </si>
  <si>
    <t>E14第1頁、本院前審卷四第201頁、卷五第357頁</t>
  </si>
  <si>
    <t>本院前審卷四第351頁</t>
  </si>
  <si>
    <t>本院前審卷四第21頁</t>
  </si>
  <si>
    <t>本院前審卷四第33頁</t>
  </si>
  <si>
    <t>本院前審卷四第31頁</t>
  </si>
  <si>
    <t>原證7-33、7-34、E16第7頁、本院前審卷四第307頁、本院前審卷七第50頁</t>
  </si>
  <si>
    <t>原證7-33、7-34、本院前審卷七第50頁</t>
  </si>
  <si>
    <t xml:space="preserve">本院前審卷四第321頁、卷五第357頁
</t>
  </si>
  <si>
    <t>E22第116、118、120頁、本院前審卷四第381頁、卷五第357頁</t>
  </si>
  <si>
    <t>E15第47、55、56頁、本院前審卷四第239頁、卷五第357頁</t>
  </si>
  <si>
    <t>本院前審卷四第87頁</t>
  </si>
  <si>
    <t>E16第7、142頁、本院前審卷六第257頁</t>
  </si>
  <si>
    <t>本院前審卷四第213頁、卷五第357頁</t>
  </si>
  <si>
    <t>本院前審卷七第316頁</t>
  </si>
  <si>
    <t>本院前審卷四第23頁</t>
  </si>
  <si>
    <t>E22第20頁、本院前審卷四第353頁、卷五第357頁</t>
  </si>
  <si>
    <t>本院前審卷七第318頁</t>
  </si>
  <si>
    <t>E14第1頁、本院前審卷四第201頁、卷五第357頁，本院前審卷七第320頁</t>
  </si>
  <si>
    <t>E20第129頁、本院前審卷七第50頁</t>
  </si>
  <si>
    <t>E21第161頁、本院前審卷七第50頁</t>
  </si>
  <si>
    <t>E20第77頁、原證7-33、7-34、本院前審卷七第50頁</t>
  </si>
  <si>
    <t>本院前審卷四第487頁、卷五第357頁</t>
  </si>
  <si>
    <t>E20第104頁、本院前審卷四第175頁</t>
  </si>
  <si>
    <t>本院前審卷四第11頁</t>
  </si>
  <si>
    <t>E16第7、90頁、本院前審卷四第303頁</t>
  </si>
  <si>
    <t>本院前審卷四第283頁、卷五第357頁</t>
  </si>
  <si>
    <t>E17第65、73、74頁、本院前審卷七第53頁</t>
  </si>
  <si>
    <t>E17第65、81-82頁、本院前審卷六第475頁、卷七第53頁</t>
  </si>
  <si>
    <t>B3第13頁，本院前審卷七第53頁</t>
  </si>
  <si>
    <t>B3第2頁、第8頁反面、E17第10、35、40頁、本院前審卷七第53頁</t>
  </si>
  <si>
    <t>本院前審卷四第33頁、E13卷第121頁</t>
  </si>
  <si>
    <t>本院前審卷四第25頁</t>
  </si>
  <si>
    <t>E18第106、108頁、E19第60-64頁、本院前審卷四第101頁、卷五第357頁</t>
  </si>
  <si>
    <t>本院前審卷六第475頁、卷七第53頁</t>
  </si>
  <si>
    <t>E17第10、35-36頁、本院前審卷七第53頁</t>
  </si>
  <si>
    <t>E17第10、24、46-48頁、本院前審卷六第475頁、卷七第53頁</t>
  </si>
  <si>
    <t>E17第65、73、76頁、本院前審卷七第53頁</t>
  </si>
  <si>
    <t>E17第91頁、本院前審卷七第53頁</t>
  </si>
  <si>
    <t>E17第65、73、75頁、本院前審卷七第53頁</t>
  </si>
  <si>
    <t>本院前審卷四第13頁</t>
  </si>
  <si>
    <t>E14第54、86頁、本院前審卷五第357頁</t>
  </si>
  <si>
    <t>本院前審卷四第213頁卷五第357頁</t>
  </si>
  <si>
    <t>原證7-33、7-34、本院前審卷四第293頁、本院前審卷七第50頁</t>
  </si>
  <si>
    <t>原證7-33、7-34、E20第77頁、本院前審卷七第50頁</t>
  </si>
  <si>
    <t>本院前審卷四第285頁、卷五第357頁</t>
  </si>
  <si>
    <t>本院前審卷四第237頁、卷五第357頁</t>
  </si>
  <si>
    <t>本院前審卷四第15頁</t>
  </si>
  <si>
    <t>本院前審卷四第157頁、卷五第357頁</t>
  </si>
  <si>
    <t>本院前審卷四第27頁</t>
  </si>
  <si>
    <t>本院前審卷四第35頁</t>
  </si>
  <si>
    <t>E18第5、8頁、本院前審卷四第159頁、卷五第357頁</t>
  </si>
  <si>
    <t>E16第7頁、本院前審卷四第303頁</t>
  </si>
  <si>
    <t>E20第110頁、本院前審卷七第53頁</t>
  </si>
  <si>
    <t>B3第2、9-10頁、第8頁反面、E17第10、28、46-47頁、本院前審卷七第53頁</t>
  </si>
  <si>
    <t>E17第65、73、78頁、本院前審卷七第53頁</t>
  </si>
  <si>
    <t>E16第214、226-227頁、本院前審卷四第337頁、卷五第357頁</t>
  </si>
  <si>
    <t>E23第168頁、本院前審卷四第481頁</t>
  </si>
  <si>
    <t>E17第10、27、46-48頁、本院前審卷六第475頁、卷七第53頁</t>
  </si>
  <si>
    <t>E17第65、73、77頁、本院前審卷七第53頁</t>
  </si>
  <si>
    <t>本院前審卷六第479、481頁、卷七第53頁</t>
  </si>
  <si>
    <t>本院前審卷四第411頁、本院前審卷五第357頁</t>
  </si>
  <si>
    <t>本院前審卷四第477頁、卷五第357頁</t>
  </si>
  <si>
    <t>E16第142、159頁、本院前審卷四第317頁、卷五第357頁</t>
  </si>
  <si>
    <t>本院前審卷四第411、325頁、卷五第357頁</t>
  </si>
  <si>
    <t>E15第67頁、本院前審卷七第50頁</t>
  </si>
  <si>
    <t>E17第10頁、本院前審卷四第377頁、卷五第357頁</t>
  </si>
  <si>
    <t>本院前審卷四第153頁、卷七第320頁</t>
  </si>
  <si>
    <t>本院前審卷四第17頁</t>
  </si>
  <si>
    <t>E14第54、86頁、本院前審卷四第169頁、卷五第357頁</t>
  </si>
  <si>
    <t>E16第214、223頁、本院前審卷四第313頁、卷五第357頁</t>
  </si>
  <si>
    <t>E17第11頁、本院前審卷四第471頁、卷五第357頁</t>
  </si>
  <si>
    <t>E17第10頁、本院前審卷四第375頁、卷五第357頁</t>
  </si>
  <si>
    <t>E17第11頁、本院前審卷四第375頁、卷五第357頁</t>
  </si>
  <si>
    <t>本院前審卷四第153頁，卷七第320頁</t>
  </si>
  <si>
    <t>本院前審卷四第335頁、卷五第357頁</t>
  </si>
  <si>
    <t>E15第47、65-3、66頁、本院前審卷四第269頁、卷五第357頁</t>
  </si>
  <si>
    <t>E15第47、65頁、本院前審卷四第269頁、卷五第357頁</t>
  </si>
  <si>
    <t>E15第47、65-2頁、本院前審卷四第269頁、卷五第357頁</t>
  </si>
  <si>
    <t>本院前審卷四第489頁、卷五第357頁</t>
  </si>
  <si>
    <t>E15第47、65頁、本院前審卷四第265頁、卷五第357頁</t>
  </si>
  <si>
    <t>E15第47、65-2頁、本院前審卷四第267頁、卷五第357頁</t>
  </si>
  <si>
    <t>E14第1、14頁、本院前審卷四第187頁、卷五第357頁</t>
  </si>
  <si>
    <t>本院前審卷四第117頁、卷五第357頁</t>
  </si>
  <si>
    <t>E19第168、171頁、本院前審卷四第135頁、卷五第357頁</t>
  </si>
  <si>
    <t>E20第81頁、本院前審卷四第171頁、104偵18394卷第12頁、104偵18394卷第20頁</t>
    <phoneticPr fontId="1" type="noConversion"/>
  </si>
  <si>
    <t xml:space="preserve">104他6878卷第34頁、104偵18394卷第12反
</t>
    <phoneticPr fontId="1" type="noConversion"/>
  </si>
  <si>
    <t>E19第60-64頁、本院前審卷四第101頁、104他7832卷十一第60頁、104他7832卷十一第65頁、104他7832卷十一第77頁</t>
    <phoneticPr fontId="1" type="noConversion"/>
  </si>
  <si>
    <t>E19第60-64頁、本院前審卷四第101頁、104他7832卷十一第87頁、104他7832卷十一第76頁、104偵18394卷第12反</t>
    <phoneticPr fontId="1" type="noConversion"/>
  </si>
  <si>
    <r>
      <t>永豐銀行103年6月17日匯款申請單，105金上重訴23卷九第213、215、223、225頁、104偵18394卷第13頁</t>
    </r>
    <r>
      <rPr>
        <sz val="12"/>
        <color rgb="FFFF0000"/>
        <rFont val="標楷體"/>
        <family val="4"/>
        <charset val="136"/>
      </rPr>
      <t xml:space="preserve">
</t>
    </r>
    <phoneticPr fontId="1" type="noConversion"/>
  </si>
  <si>
    <t xml:space="preserve">E19第83、85頁、本院前審卷四第103頁、105金上重訴23卷七第433、435、437頁、104偵18394卷第13頁
</t>
    <phoneticPr fontId="1" type="noConversion"/>
  </si>
  <si>
    <t>本院前審卷四第21頁、他7832卷七第42、43頁</t>
    <phoneticPr fontId="1" type="noConversion"/>
  </si>
  <si>
    <t xml:space="preserve">本院前審卷四第99頁、105金上重訴23卷七第443、445、447頁
</t>
    <phoneticPr fontId="1" type="noConversion"/>
  </si>
  <si>
    <t>本院前審卷四第21頁、105金上重訴23卷十第351、355、357-359反</t>
    <phoneticPr fontId="1" type="noConversion"/>
  </si>
  <si>
    <t>E19第60-64頁、本院前審卷四第101頁、104偵18394卷第13頁、104他7832卷十一第62頁、104他7832卷十一第67頁、104他7832卷十一第75頁、104偵18394卷第13頁</t>
    <phoneticPr fontId="1" type="noConversion"/>
  </si>
  <si>
    <t>本院前審卷四第21頁、104他7832卷八第141頁</t>
    <phoneticPr fontId="1" type="noConversion"/>
  </si>
  <si>
    <t>本院前審卷四第33頁、104他7832卷九第210頁、104偵18394卷第20頁</t>
    <phoneticPr fontId="1" type="noConversion"/>
  </si>
  <si>
    <t>本院前審卷四第33頁、104他7832卷三第144頁、104偵18394卷第20頁</t>
    <phoneticPr fontId="1" type="noConversion"/>
  </si>
  <si>
    <t>本院前審卷四第11頁、104他7850卷第22、23、30反-33頁</t>
    <phoneticPr fontId="1" type="noConversion"/>
  </si>
  <si>
    <t xml:space="preserve">104偵19469卷第38-41、47、49頁，至於以陳信益名義於103年7月21日出售3,000股至附民原告部分，金額201,000元，非屬本件被告所掌握之人頭所販售者，擬不予採認 </t>
    <phoneticPr fontId="1" type="noConversion"/>
  </si>
  <si>
    <t>本院前審卷七第318頁、104他7832卷四第76頁</t>
    <phoneticPr fontId="1" type="noConversion"/>
  </si>
  <si>
    <t xml:space="preserve">104他7832卷十四第5-6反、
104他7832卷四第29頁
</t>
    <phoneticPr fontId="1" type="noConversion"/>
  </si>
  <si>
    <t>E17第65、89頁、本院前審卷七第53頁、高雄市調處B3卷第8反</t>
    <phoneticPr fontId="1" type="noConversion"/>
  </si>
  <si>
    <t>E17第231頁反面、本院前審卷七第53頁、104他7832卷四第134頁</t>
    <phoneticPr fontId="1" type="noConversion"/>
  </si>
  <si>
    <t>本院前審卷四第11頁、104他7850卷第22反、23反、24-25反、27反-30反</t>
    <phoneticPr fontId="1" type="noConversion"/>
  </si>
  <si>
    <t>本院前審卷四第25頁、104他7850卷第22反、23反、24-25反、27反-30反</t>
    <phoneticPr fontId="1" type="noConversion"/>
  </si>
  <si>
    <t>本院前審卷四第369頁、本院前審卷七第53頁</t>
    <phoneticPr fontId="1" type="noConversion"/>
  </si>
  <si>
    <t>E17第65、89頁、本院前審卷七第53頁</t>
    <phoneticPr fontId="1" type="noConversion"/>
  </si>
  <si>
    <t xml:space="preserve">本院前審卷七第53頁、104他7832卷四第136頁、高雄市調處B3卷第8反
</t>
    <phoneticPr fontId="1" type="noConversion"/>
  </si>
  <si>
    <t xml:space="preserve">本院前審卷七第53頁、104他7832卷四第136頁、高雄市調處B3卷第8反
</t>
    <phoneticPr fontId="1" type="noConversion"/>
  </si>
  <si>
    <t>105金上重訴23卷三第479-480、481頁</t>
    <phoneticPr fontId="1" type="noConversion"/>
  </si>
  <si>
    <t xml:space="preserve">104他7832卷十四第3正反、8正反、104他7832卷四第29頁
</t>
    <phoneticPr fontId="1" type="noConversion"/>
  </si>
  <si>
    <t xml:space="preserve">104他7832卷十四第4正反、7正反、
104他7832卷四第29頁
</t>
    <phoneticPr fontId="1" type="noConversion"/>
  </si>
  <si>
    <t>本院前審卷四第13頁、104他7832卷六第20-23、25頁</t>
    <phoneticPr fontId="1" type="noConversion"/>
  </si>
  <si>
    <t xml:space="preserve">104他7832卷十四第4正反、7正反、104他7832卷四第29頁
</t>
    <phoneticPr fontId="1" type="noConversion"/>
  </si>
  <si>
    <t>本院前審卷四第33頁、104他7832卷六第20-23、24頁</t>
    <phoneticPr fontId="1" type="noConversion"/>
  </si>
  <si>
    <t>本院前審卷四第13頁、105金上重訴23卷十第339、341-348頁</t>
    <phoneticPr fontId="1" type="noConversion"/>
  </si>
  <si>
    <t>本院前審卷四第35頁、105金上重訴23卷十第337、341-348頁</t>
    <phoneticPr fontId="1" type="noConversion"/>
  </si>
  <si>
    <t>E17第65、89頁、本院前審卷四第365頁、本院前審卷七第53頁</t>
    <phoneticPr fontId="1" type="noConversion"/>
  </si>
  <si>
    <t>本院前審卷四第15頁、104他7832卷三第141頁、104偵18394卷第23頁</t>
    <phoneticPr fontId="1" type="noConversion"/>
  </si>
  <si>
    <t>本院前審卷七第318頁、104他7832卷四第76頁、104偵18394卷第23頁</t>
    <phoneticPr fontId="1" type="noConversion"/>
  </si>
  <si>
    <t xml:space="preserve">104他7832卷七第111-116反、105金上重訴23卷十第365、365之4頁
</t>
    <phoneticPr fontId="1" type="noConversion"/>
  </si>
  <si>
    <t>本院前審卷五第357頁、104他7832卷七第111-116反、105金上重訴23卷十第365之2、365之4頁</t>
    <phoneticPr fontId="1" type="noConversion"/>
  </si>
  <si>
    <t>本院前審卷七第320頁、104他7832卷三第34頁、104偵18394卷第23反</t>
    <phoneticPr fontId="1" type="noConversion"/>
  </si>
  <si>
    <t>本院前審卷五第357頁、104偵18394卷第24反</t>
    <phoneticPr fontId="1" type="noConversion"/>
  </si>
  <si>
    <t>本院前審卷四第323頁、卷五第357頁、104他10485卷第28-29、31-32、30頁</t>
    <phoneticPr fontId="1" type="noConversion"/>
  </si>
  <si>
    <t>本院前審卷四第323頁、卷五第357頁、104他10485卷第28-29、31-32、30頁</t>
    <phoneticPr fontId="1" type="noConversion"/>
  </si>
  <si>
    <t>E18第21頁正反、本院前審卷四第485頁、卷五第357頁104偵18394卷第25頁</t>
    <phoneticPr fontId="1" type="noConversion"/>
  </si>
  <si>
    <t>E18第21頁正反、本院前審卷四第485頁、本院前審卷五第357頁、104偵18394卷第25正反</t>
    <phoneticPr fontId="1" type="noConversion"/>
  </si>
  <si>
    <t>本院卷二P38-39</t>
    <phoneticPr fontId="1" type="noConversion"/>
  </si>
  <si>
    <t>本院卷二P38-39</t>
    <phoneticPr fontId="1" type="noConversion"/>
  </si>
  <si>
    <t>本院卷二P40</t>
    <phoneticPr fontId="1" type="noConversion"/>
  </si>
  <si>
    <t>本院卷二P41-44</t>
    <phoneticPr fontId="1" type="noConversion"/>
  </si>
  <si>
    <t>本院前審卷四第21頁、104他7832卷三第40頁</t>
    <phoneticPr fontId="1" type="noConversion"/>
  </si>
  <si>
    <t>E18第86、90頁、本院前審卷七第319頁</t>
    <phoneticPr fontId="1" type="noConversion"/>
  </si>
  <si>
    <t>E18第86、89頁、本院前審卷四第491頁，本院前審卷七第319頁</t>
    <phoneticPr fontId="1" type="noConversion"/>
  </si>
  <si>
    <t>E17第231頁反面、本院前審卷七第53頁</t>
    <phoneticPr fontId="1" type="noConversion"/>
  </si>
  <si>
    <t>本院前審卷四第27頁</t>
    <phoneticPr fontId="1" type="noConversion"/>
  </si>
  <si>
    <t>本院前審卷四第233頁、卷五第357頁、104偵18394卷第25頁</t>
    <phoneticPr fontId="1" type="noConversion"/>
  </si>
  <si>
    <t>投資人姓名</t>
    <phoneticPr fontId="1" type="noConversion"/>
  </si>
  <si>
    <t>和解金額
(元)</t>
    <phoneticPr fontId="1" type="noConversion"/>
  </si>
  <si>
    <t>106金訴易40</t>
    <phoneticPr fontId="1" type="noConversion"/>
  </si>
  <si>
    <t>106金訴易32</t>
    <phoneticPr fontId="1" type="noConversion"/>
  </si>
  <si>
    <t>106金訴易42</t>
    <phoneticPr fontId="1" type="noConversion"/>
  </si>
  <si>
    <t>莊滄江</t>
    <phoneticPr fontId="1" type="noConversion"/>
  </si>
  <si>
    <t>106金訴易46</t>
    <phoneticPr fontId="1" type="noConversion"/>
  </si>
  <si>
    <t>106金訴10</t>
    <phoneticPr fontId="1" type="noConversion"/>
  </si>
  <si>
    <t>106金訴易10</t>
    <phoneticPr fontId="1" type="noConversion"/>
  </si>
  <si>
    <t>106金訴易37</t>
    <phoneticPr fontId="1" type="noConversion"/>
  </si>
  <si>
    <t>106金訴易45</t>
    <phoneticPr fontId="1" type="noConversion"/>
  </si>
  <si>
    <t>106金訴易57</t>
    <phoneticPr fontId="1" type="noConversion"/>
  </si>
  <si>
    <t>106金訴易59</t>
    <phoneticPr fontId="1" type="noConversion"/>
  </si>
  <si>
    <t>106金訴易62</t>
    <phoneticPr fontId="1" type="noConversion"/>
  </si>
  <si>
    <t>106金訴13</t>
    <phoneticPr fontId="1" type="noConversion"/>
  </si>
  <si>
    <t>106金訴易9</t>
    <phoneticPr fontId="1" type="noConversion"/>
  </si>
  <si>
    <t>106金訴易34</t>
    <phoneticPr fontId="1" type="noConversion"/>
  </si>
  <si>
    <t>106金訴易51</t>
    <phoneticPr fontId="1" type="noConversion"/>
  </si>
  <si>
    <t>106金訴易43</t>
    <phoneticPr fontId="1" type="noConversion"/>
  </si>
  <si>
    <t>105金153</t>
    <phoneticPr fontId="1" type="noConversion"/>
  </si>
  <si>
    <t>105金簡上3</t>
    <phoneticPr fontId="1" type="noConversion"/>
  </si>
  <si>
    <t>陳玟玲</t>
    <phoneticPr fontId="1" type="noConversion"/>
  </si>
  <si>
    <t>105金152</t>
    <phoneticPr fontId="1" type="noConversion"/>
  </si>
  <si>
    <t>105北金簡132</t>
    <phoneticPr fontId="1" type="noConversion"/>
  </si>
  <si>
    <t>105金150</t>
    <phoneticPr fontId="1" type="noConversion"/>
  </si>
  <si>
    <t>宋愛萍</t>
    <phoneticPr fontId="1" type="noConversion"/>
  </si>
  <si>
    <t>105北金簡129</t>
    <phoneticPr fontId="1" type="noConversion"/>
  </si>
  <si>
    <t>陳已淳</t>
    <phoneticPr fontId="1" type="noConversion"/>
  </si>
  <si>
    <t>105北金簡94</t>
    <phoneticPr fontId="1" type="noConversion"/>
  </si>
  <si>
    <t>陳仲卿</t>
    <phoneticPr fontId="1" type="noConversion"/>
  </si>
  <si>
    <t>105北金簡120</t>
    <phoneticPr fontId="1" type="noConversion"/>
  </si>
  <si>
    <t>105金149</t>
    <phoneticPr fontId="1" type="noConversion"/>
  </si>
  <si>
    <t>楊小宜</t>
    <phoneticPr fontId="1" type="noConversion"/>
  </si>
  <si>
    <t>105北金簡125</t>
    <phoneticPr fontId="1" type="noConversion"/>
  </si>
  <si>
    <t>106金訴12</t>
    <phoneticPr fontId="1" type="noConversion"/>
  </si>
  <si>
    <t>106金訴9</t>
    <phoneticPr fontId="1" type="noConversion"/>
  </si>
  <si>
    <t>謝美真</t>
    <phoneticPr fontId="1" type="noConversion"/>
  </si>
  <si>
    <t>105金上重訴23</t>
    <phoneticPr fontId="1" type="noConversion"/>
  </si>
  <si>
    <t>謝美秋</t>
    <phoneticPr fontId="1" type="noConversion"/>
  </si>
  <si>
    <t>105金221</t>
    <phoneticPr fontId="1" type="noConversion"/>
  </si>
  <si>
    <t>105金182</t>
    <phoneticPr fontId="1" type="noConversion"/>
  </si>
  <si>
    <t>106金訴易8</t>
    <phoneticPr fontId="1" type="noConversion"/>
  </si>
  <si>
    <t>106金訴易11</t>
    <phoneticPr fontId="1" type="noConversion"/>
  </si>
  <si>
    <t>105金148</t>
    <phoneticPr fontId="1" type="noConversion"/>
  </si>
  <si>
    <t>105金144</t>
    <phoneticPr fontId="1" type="noConversion"/>
  </si>
  <si>
    <t>註1.</t>
    <phoneticPr fontId="1" type="noConversion"/>
  </si>
  <si>
    <t>被告黃泳學已實際給付和解金額總計為1,028,000元。</t>
    <phoneticPr fontId="1" type="noConversion"/>
  </si>
  <si>
    <t>註2.</t>
    <phoneticPr fontId="1" type="noConversion"/>
  </si>
  <si>
    <t>附表十三：「黃泳學案和解人數金額統計表」</t>
    <phoneticPr fontId="1" type="noConversion"/>
  </si>
  <si>
    <t>此各部分係先過戶至「賴國隆」名下，再分別轉讓、過戶給各該投資人，見原審卷六第241至244頁所附光碟資料及本院列印資料1份（本院光碟資料卷第2至17頁）。</t>
    <phoneticPr fontId="1" type="noConversion"/>
  </si>
  <si>
    <t>本表關於本院審核及卷證依據部分，除各該所載內容外，其餘均見原審卷六第241至244頁所附光碟及本院列印資料 1份（本院光碟資料卷第2至17頁）</t>
    <phoneticPr fontId="2" type="noConversion"/>
  </si>
  <si>
    <t>本院前審卷六第415頁</t>
  </si>
  <si>
    <t>103年度偵字第18883號編號1-6第3頁</t>
    <phoneticPr fontId="1" type="noConversion"/>
  </si>
  <si>
    <t>本院前審卷六第413頁、103年度偵字第18883號編號1-6第3頁</t>
  </si>
  <si>
    <t>本院前審卷六第413頁、103年度偵字第18883號編號1-6第2頁，106年度附民字第106號第7頁</t>
  </si>
  <si>
    <t>本院前審卷六第413頁、103年度偵字第18883號編號2-6第1頁</t>
  </si>
  <si>
    <t>本院前審卷六第423頁、103年度偵字第18883號編號2-13第1頁</t>
  </si>
  <si>
    <t>本院前審卷六第415頁、103年度偵字第18883號編號1-7第2頁、105年度附民字第226號第103頁</t>
  </si>
  <si>
    <t>本院前審卷六第415頁、103年度偵字第18883號編號1-7第3頁</t>
  </si>
  <si>
    <t>本院前審卷六第411頁、103年度偵字第18883號編號1-7第3頁</t>
  </si>
  <si>
    <t>本院前審卷六第413頁、103年度偵字第18883號編號1-7第2頁</t>
  </si>
  <si>
    <t>本院前審卷六第415頁、103年度偵字第18883號編號1-6第2頁，本院前審卷十三第457-459頁</t>
  </si>
  <si>
    <t>本院前審卷六第415頁、103年度偵字第18883號編號1-6第5頁</t>
  </si>
  <si>
    <t>本院前審卷六第415頁、103年度偵字第18883號編號1-6第3頁</t>
  </si>
  <si>
    <t>本院前審卷六第415頁、103年度偵字第18883號編號1-7第2頁</t>
  </si>
  <si>
    <t>本院前審卷四第447頁</t>
  </si>
  <si>
    <t>本院前審卷六第415頁、103年度偵字第18883號編號1-6第2頁</t>
  </si>
  <si>
    <t>本院前審卷六第423頁、103年度偵字第18883號編號1-6第1頁。至於106年附民字第93號並無相關交易憑證，爰以本院審核結果為準</t>
  </si>
  <si>
    <t>本院前審卷四第481頁</t>
  </si>
  <si>
    <t>本院前審卷六第419頁、103年度偵字第18883號編號1-6第2頁</t>
  </si>
  <si>
    <t>本院前審卷六第419頁、103年度偵字第18883號編號1-7第2頁</t>
  </si>
  <si>
    <t>本院前審卷六第419頁、103年度偵字第18883號編號1-6第3頁</t>
  </si>
  <si>
    <t>本院前審卷六第419頁、103年度偵字第18883號編號1-7第1頁</t>
  </si>
  <si>
    <t>本院前審卷六第415頁、103年度偵字第18883號編號1-6第1頁</t>
  </si>
  <si>
    <t>本院前審卷六第415頁、103年度偵字第18883號編號1-7第1頁</t>
  </si>
  <si>
    <t>本院前審卷六第419頁、103年度偵字第18883號編號1-6第1頁</t>
  </si>
  <si>
    <t>本院前審卷六第415頁、103年度偵字第18883號編號2-13第1頁</t>
  </si>
  <si>
    <t>本院前審卷六第419頁、103年度偵字第18883號編號2-13第1頁</t>
  </si>
  <si>
    <t>本院前審卷六第415頁、103年度偵字第18883號編號1-7第2頁、105年度附民字第226號第108頁</t>
  </si>
  <si>
    <t>本院前審卷六第415頁、103年度偵字第18883號編號1-7第1頁、105年度附民字第226號第106頁</t>
  </si>
  <si>
    <t>本院前審卷四第185頁</t>
  </si>
  <si>
    <t>本院前審卷四第271頁</t>
  </si>
  <si>
    <t>本院前審卷六第421頁、103年度偵字第18883號編號2-13第1頁</t>
  </si>
  <si>
    <t>本院前審卷六第417頁、103年度偵字第18883號編號1-7第1頁</t>
  </si>
  <si>
    <t>本院前審卷六第427頁、103年度偵字第18883號編號2-13第1頁</t>
  </si>
  <si>
    <t>本院前審卷六第417頁、103年度偵字第18883號編號2-13第1頁</t>
  </si>
  <si>
    <t>本院前審卷六第427頁</t>
  </si>
  <si>
    <t>本院前審卷六第417頁、103年度偵字第18883號編號1-6第5頁</t>
  </si>
  <si>
    <t>本院前審卷六第417頁</t>
  </si>
  <si>
    <t>本院前審卷六第419頁、103年度偵字第18883號編號2-13第1頁、106年度附民字第110號第4頁</t>
  </si>
  <si>
    <t>本院前審卷六第417頁，E36卷第240頁</t>
  </si>
  <si>
    <t>本院前審卷六第419頁、103年度偵字第18883號編號2-13第1頁、E15卷第39頁</t>
  </si>
  <si>
    <t>本院前審卷六第413頁、103年度偵字第18883號編號2-13第1頁</t>
  </si>
  <si>
    <t>本院前審卷六第419頁、103年度偵字第18883號編號1-6第5頁</t>
  </si>
  <si>
    <t>本院前審卷六第423頁、103年度偵字第18883號編號1-6第5頁</t>
  </si>
  <si>
    <t>本院前審卷六第411頁、103年度偵字第18883號編號1-6第5頁、E14卷第107頁</t>
  </si>
  <si>
    <t>本院前審卷六第419頁、103年度偵字第18883號編號2-6第3頁</t>
  </si>
  <si>
    <t>本院前審卷六第419頁、103年度偵字第18883號編號1-6第4頁、105年度附民字第349號第12頁</t>
  </si>
  <si>
    <t>本院前審卷六第419頁、105年度附民字227號第3頁、105年度附民字第349號第11頁</t>
  </si>
  <si>
    <t>本院前審卷六第419頁、103年度偵字第18883號編號1-6第4頁</t>
  </si>
  <si>
    <t>本院前審卷六第419頁、103年度偵字第18883號編號2-13第1頁，至於106年附民字第83號第2頁所提供之渣打銀行匯款申請書並無銀行核章證明，參考性低，爰以銀行對帳單、德睿內部成交明細作為卷證依據</t>
  </si>
  <si>
    <t>本院前審卷六第421頁、103年度偵字第18883號編號2-6第1頁</t>
  </si>
  <si>
    <t>本院前審卷六第421頁</t>
  </si>
  <si>
    <t>本院前審卷六第423頁、103年度偵字第18883號編號2-13第1頁。至於106年附民字第93號並無相關交易憑證，爰以本院審核結果為準</t>
  </si>
  <si>
    <t>本院前審卷六第421頁、105年度附民字第349號第18頁</t>
  </si>
  <si>
    <t>本院前審卷六第421頁，本院前審卷十三第439、441頁</t>
  </si>
  <si>
    <t>本院前審卷六第421頁、105年度附民字第183號第8頁</t>
  </si>
  <si>
    <t>本院前審卷六第421頁、E18卷第62頁</t>
  </si>
  <si>
    <t>本院前審卷四第217頁</t>
  </si>
  <si>
    <t>本院前審卷六第423頁</t>
  </si>
  <si>
    <t>本院前審卷六第423頁、103年度偵字第18883號編號1-6第2頁</t>
  </si>
  <si>
    <t>本院前審卷六第423頁、103年度偵字第18883號編號2-6第1頁</t>
  </si>
  <si>
    <t>本院前審卷六第421頁、105年度附民字第183號第2頁</t>
  </si>
  <si>
    <t>本院前審卷六第425頁、103年度偵字第18883號編號1-6第2頁，E14卷第52頁</t>
  </si>
  <si>
    <t>本院前審卷六第423頁、103年度偵字第18883號編號2-13第1頁，106年度附民字第86號第3頁</t>
  </si>
  <si>
    <t>本院前審卷六第425頁</t>
  </si>
  <si>
    <t>本院前審卷六第429頁</t>
  </si>
  <si>
    <t>本院前審卷六第425頁、103年度偵字第18883號編號2-13第1頁，至於106年附民字第97號並無相關交易憑證，爰以本院審核結果為準</t>
  </si>
  <si>
    <t>該交易為其他中盤販售，本院前審卷四第319頁</t>
  </si>
  <si>
    <t>本院前審卷六第425頁、103年度偵字第18883號編號2-6第1頁，至於106年附民字第97號並無相關交易憑證，爰以本院審核結果為準</t>
  </si>
  <si>
    <t>本院前審卷四第83頁</t>
  </si>
  <si>
    <t>本院前審卷四第197頁</t>
  </si>
  <si>
    <t>依扣押物所示成交明細，可知投資人林蕙玟亦在德睿公司成交名單中，堪認屬德睿公司所販賣者（本院前審卷七P7)</t>
  </si>
  <si>
    <t>同日再以同一成交價格過戶至投資人鍾毓珊、吳劉素琴、王裕仁名下（104偵17991卷二第45頁）</t>
    <phoneticPr fontId="2" type="noConversion"/>
  </si>
  <si>
    <t>本案聯絡窗口為德睿公司陳姷妁（104他7832卷十五第168頁），亦屬被告黃馨瑩主導之股票交易</t>
    <phoneticPr fontId="1" type="noConversion"/>
  </si>
  <si>
    <t>其後於同年4月16日、21日再以同一價格過戶至吳景輝1、湯美珍1、戴金騰3名下</t>
    <phoneticPr fontId="2" type="noConversion"/>
  </si>
  <si>
    <t>依扣押物所示成交明細，可知投資人林麗雪亦在德睿公司成交名單中，堪認屬德睿公司所販賣者（本院前審卷七P11)</t>
    <phoneticPr fontId="1" type="noConversion"/>
  </si>
  <si>
    <t>其後於同年4月17日再以同一價格過戶至施瑞霖名下</t>
    <phoneticPr fontId="2" type="noConversion"/>
  </si>
  <si>
    <t>其後同年4月24日、25日以同一價格過戶至王冬立3、洪榮森2名下</t>
    <phoneticPr fontId="2" type="noConversion"/>
  </si>
  <si>
    <t>同日再以同一成交價格過戶至毛學玲名下</t>
    <phoneticPr fontId="2" type="noConversion"/>
  </si>
  <si>
    <t>其後同年6月12日再以同一價格過戶至吳翠琴名下（註2）</t>
    <phoneticPr fontId="2" type="noConversion"/>
  </si>
  <si>
    <t>其後同年6月12日再以同一價格過戶至吳翠琴名下、註2（本院光碟資料卷第3反）</t>
    <phoneticPr fontId="2" type="noConversion"/>
  </si>
  <si>
    <t>其後同年月14日先過戶至鄭珍慧名下，又於同年月16至21日間過戶至徐正民1、陶長興2、吳銘展1、劉聰杰2名下</t>
    <phoneticPr fontId="2" type="noConversion"/>
  </si>
  <si>
    <t>其後同年月14日先過戶至鄭珍慧名下（本院光碟資料卷第6反），又於同年月16至21日間過戶至徐正民、陶長興、吳銘展、劉聰杰名下(本院光碟資料卷第9反、6反、5頁)</t>
    <phoneticPr fontId="2" type="noConversion"/>
  </si>
  <si>
    <t>其後同年月15日再以同一成交價格過戶至吳勝傑4、曾穩銘1名下</t>
    <phoneticPr fontId="2" type="noConversion"/>
  </si>
  <si>
    <t>其後於同年4月24日至5月5日再以同一成交價格過戶至黃仲蘭1、謝宗雄10、陳惠春、陳淑如名下</t>
    <phoneticPr fontId="2" type="noConversion"/>
  </si>
  <si>
    <t>其後於同年4月28日、5月8日再以同一成交價格過戶至張寶慧1、陳秀春2名下</t>
    <phoneticPr fontId="2" type="noConversion"/>
  </si>
  <si>
    <t>其後同年5月8日再以同一成交價格過戶至陳豐榮2、黃賓1、洪仁成5、方燦堂10、范登閔2名下</t>
    <phoneticPr fontId="2" type="noConversion"/>
  </si>
  <si>
    <t>其後同年6月16日再以同一成交價格過戶3張至陳仲卿名下（註2）</t>
    <phoneticPr fontId="2" type="noConversion"/>
  </si>
  <si>
    <t>其後同年8月5日再以同一成交價格過戶至陳春宏名下（本院光碟資料卷第3頁）、註2</t>
    <phoneticPr fontId="2" type="noConversion"/>
  </si>
  <si>
    <t>其後同年6月16日再以同一成交價格過戶至李渝倬名下（註2）</t>
    <phoneticPr fontId="2" type="noConversion"/>
  </si>
  <si>
    <t>其後同年6月16日再以同一成交價格過戶至李渝倬名下(本院光碟資料卷第6頁)、註2</t>
    <phoneticPr fontId="2" type="noConversion"/>
  </si>
  <si>
    <t>謝秋琴証稱其將股票贈與女兒鍾毓珊2、鍾心芸、鍾安如（E17卷第231反頁）</t>
    <phoneticPr fontId="2" type="noConversion"/>
  </si>
  <si>
    <t>同日再以同一成交價格過戶至投資人鍾毓珊2、吳劉素琴5、王裕仁10名下（A46卷第145頁）</t>
    <phoneticPr fontId="2" type="noConversion"/>
  </si>
  <si>
    <r>
      <t>本院審核</t>
    </r>
    <r>
      <rPr>
        <vertAlign val="superscript"/>
        <sz val="12"/>
        <color theme="1"/>
        <rFont val="新細明體"/>
        <family val="1"/>
        <charset val="136"/>
        <scheme val="minor"/>
      </rPr>
      <t>註1</t>
    </r>
    <phoneticPr fontId="2" type="noConversion"/>
  </si>
  <si>
    <r>
      <t>卷證依據</t>
    </r>
    <r>
      <rPr>
        <vertAlign val="superscript"/>
        <sz val="12"/>
        <color theme="1"/>
        <rFont val="新細明體"/>
        <family val="1"/>
        <charset val="136"/>
        <scheme val="minor"/>
      </rPr>
      <t>註1</t>
    </r>
    <phoneticPr fontId="2" type="noConversion"/>
  </si>
  <si>
    <t>本院光碟資料卷P14反</t>
  </si>
  <si>
    <t>本院光碟資料卷P4反</t>
  </si>
  <si>
    <t>本院光碟資料卷P7</t>
  </si>
  <si>
    <t>本院光碟資料卷P9反</t>
  </si>
  <si>
    <t>本院光碟資料卷P3</t>
  </si>
  <si>
    <t>本院光碟資料卷P3反</t>
  </si>
  <si>
    <t>本院光碟資料卷P11</t>
  </si>
  <si>
    <t>本院光碟資料卷P12</t>
  </si>
  <si>
    <t>本院光碟資料卷P13</t>
  </si>
  <si>
    <t>本院光碟資料卷P14</t>
  </si>
  <si>
    <t>本院光碟資料卷P15</t>
  </si>
  <si>
    <t>本院光碟資料卷P16</t>
  </si>
  <si>
    <t>本院光碟資料卷P12反</t>
  </si>
  <si>
    <t>本院光碟資料卷P6反</t>
  </si>
  <si>
    <t>本院光碟資料卷P13反</t>
  </si>
  <si>
    <t>本院光碟資料卷P11反</t>
  </si>
  <si>
    <t>本院光碟資料卷P16反</t>
  </si>
  <si>
    <t>本院光碟資料卷P6</t>
  </si>
  <si>
    <t>本院光碟資料卷P4</t>
  </si>
  <si>
    <t>本院光碟資料卷P10</t>
  </si>
  <si>
    <t>本院光碟資料卷P8</t>
  </si>
  <si>
    <t>本院光碟資料卷P10反</t>
  </si>
  <si>
    <t>本院光碟資料卷P5</t>
  </si>
  <si>
    <t xml:space="preserve">本院光碟資料卷P8
</t>
  </si>
  <si>
    <t>本院光碟資料卷P8反</t>
  </si>
  <si>
    <t>本院光碟資料卷P9</t>
  </si>
  <si>
    <t>本院光碟資料卷P11反
其後於同年月26日至30日間以同一價格再過戶至熊延平、陳洪秀子、陳松彬、高建保、陳炳森、黃寬猛、楊龍雄、柯佑在名下（本院光碟資料卷P6反、10、9反、12、14、15反、16反）</t>
  </si>
  <si>
    <t>本院光碟資料卷P12
其後於同年月26日至30日間以同一價格再過戶至陳洪秀子、陳松彬、高建保、陳炳森、劉素花、黃寬猛、楊龍雄、柯佑在名下（本院光碟資料卷P7反、9反、10、12、15反、16反、19）</t>
  </si>
  <si>
    <t>本院光碟資料卷P7反</t>
  </si>
  <si>
    <t>本院光碟資料卷P17</t>
  </si>
  <si>
    <t xml:space="preserve">依104紅保1413號扣押物編號「7-33」及「7-34」所示，該部分乃被告黃馨瑩遭法務部調查局高雄市調查處破獲未經許可販售未上市公司股票（已另案由臺灣高雄地方法院檢察署以103年度偵字第18883號為緩起訴處分）後，另行與朱緯業謀定，當實際負責人為黃馨瑩所經營之兆豐財經資訊中心、盛豐財經資訊中心售出兆良公司股票後，先過戶至由朱緯業所提供之登記名義人「沈花女」名下，再過戶至最終投資人名下，並以每售出1張股票分給朱緯業2000元作為酬庸，以利黃馨瑩得續行販售兆良公司股票，而屬黃馨瑩與朱緯業共同販售。 </t>
    <phoneticPr fontId="1" type="noConversion"/>
  </si>
  <si>
    <t>1.本表關於本院審核及卷證依據部分，除各該所載內容外，其餘均見A21卷第69至81頁、A59卷第15至25頁 、原審卷六第241至244頁所附光碟及本院列印資料 1份（本院光碟資料卷第2-17頁）。
2.起訴書附表3編號1至4所示由「沈花女」及「林明頡」過戶至「王立華」，以及由「林明頡」過戶至「沈花女」之交易，因僅係單純過戶行為，故扣除之。</t>
    <phoneticPr fontId="1" type="noConversion"/>
  </si>
  <si>
    <t>本表關於本院審核及卷證依據部分，除各該所載外，其餘見原審卷六第241至244頁所附光碟資料（不包含王立華過戶至林明頡名下部分）及本院列印資料 1份（本院光碟資料卷第2-17頁）。</t>
    <phoneticPr fontId="2" type="noConversion"/>
  </si>
  <si>
    <t>本院前審卷四第521頁、卷五第357頁、卷七第52頁</t>
  </si>
  <si>
    <t>本院前審卷四第523頁、卷五第357頁、卷七第52頁</t>
  </si>
  <si>
    <t>本院前審卷四第513頁、卷五第357頁、卷七第52頁</t>
  </si>
  <si>
    <t>本院前審卷四第525頁、卷五第357頁、卷七第52頁</t>
  </si>
  <si>
    <t>本院前審卷四第515頁、卷五第357頁、卷七第52頁</t>
  </si>
  <si>
    <t>本院前審卷四第519頁、卷五第357頁、卷七第52頁</t>
  </si>
  <si>
    <t>本院前審卷七第52頁</t>
  </si>
  <si>
    <t>本院前審卷四第517頁、卷五第357頁、卷七第52頁</t>
  </si>
  <si>
    <t>出處：專案申請調檔查核清單（105他4192卷一第374至377頁）</t>
    <phoneticPr fontId="1" type="noConversion"/>
  </si>
  <si>
    <t>出處：財政部北區國稅局進銷項憑證明細資料表（105他4192卷一第351至352頁）</t>
    <phoneticPr fontId="1" type="noConversion"/>
  </si>
  <si>
    <t>總計</t>
    <phoneticPr fontId="1" type="noConversion"/>
  </si>
  <si>
    <t>附表八：「劉勝誼購入兆良公司股票後出售予投資人明細表」（註）</t>
    <phoneticPr fontId="1" type="noConversion"/>
  </si>
  <si>
    <t>註：</t>
    <phoneticPr fontId="1" type="noConversion"/>
  </si>
  <si>
    <t>卷證出處為A21卷第113至144頁、原審卷六第241至244頁所附光碟及本院列印資料 1份（本院光碟資料卷第2-17頁）。</t>
    <phoneticPr fontId="1" type="noConversion"/>
  </si>
  <si>
    <t>H1</t>
    <phoneticPr fontId="1" type="noConversion"/>
  </si>
  <si>
    <t>桃園地檢105偵2822卷一</t>
    <phoneticPr fontId="1" type="noConversion"/>
  </si>
  <si>
    <t>H2</t>
    <phoneticPr fontId="1" type="noConversion"/>
  </si>
  <si>
    <t>桃園地檢105偵2822卷二</t>
    <phoneticPr fontId="1" type="noConversion"/>
  </si>
  <si>
    <t>H3</t>
    <phoneticPr fontId="1" type="noConversion"/>
  </si>
  <si>
    <t>桃園地檢105偵2822卷三</t>
    <phoneticPr fontId="1" type="noConversion"/>
  </si>
  <si>
    <t>H4</t>
    <phoneticPr fontId="1" type="noConversion"/>
  </si>
  <si>
    <t>桃園地檢105偵2822卷四</t>
    <phoneticPr fontId="1" type="noConversion"/>
  </si>
  <si>
    <t>H5</t>
    <phoneticPr fontId="1" type="noConversion"/>
  </si>
  <si>
    <t>桃園地檢105偵2822卷五</t>
    <phoneticPr fontId="1" type="noConversion"/>
  </si>
  <si>
    <t>實際賠償金額</t>
    <phoneticPr fontId="1" type="noConversion"/>
  </si>
  <si>
    <t>相關案號</t>
    <phoneticPr fontId="1" type="noConversion"/>
  </si>
  <si>
    <t>撤回/和解情形/實際賠償金額及卷證出處</t>
    <phoneticPr fontId="1" type="noConversion"/>
  </si>
  <si>
    <t>撤回民事起訴（本院更一卷一P289-290）</t>
    <phoneticPr fontId="1" type="noConversion"/>
  </si>
  <si>
    <t>撤回民事起訴（本院更一卷一P291-292)</t>
  </si>
  <si>
    <t>撤回民事起訴（本院更一卷一P293-294)</t>
  </si>
  <si>
    <t>撤回民事起訴（本院更一卷一P295-296)</t>
  </si>
  <si>
    <t>調解書、和解契約（本院更一卷一P297-301)</t>
  </si>
  <si>
    <t>和解筆錄（本院更一卷一P302-303)</t>
  </si>
  <si>
    <t>和解筆錄（本院更一卷一P304)</t>
  </si>
  <si>
    <t>和解筆錄（本院更一卷一P305)</t>
  </si>
  <si>
    <t>和解筆錄（本院更一卷一P306)</t>
  </si>
  <si>
    <t>和解筆錄、和解契約（本院更一卷一P307-309）</t>
  </si>
  <si>
    <t>和解筆錄（本院更一卷一P310)</t>
  </si>
  <si>
    <t>和解筆錄（本院更一卷一P311)</t>
  </si>
  <si>
    <t>和解筆錄（本院更一卷一P312)</t>
  </si>
  <si>
    <t>和解筆錄（本院更一卷一P313）</t>
  </si>
  <si>
    <t>和解筆錄（本院更一卷一P314)</t>
  </si>
  <si>
    <t>和解筆錄（本院更一卷一P315)</t>
  </si>
  <si>
    <t>和解筆錄（本院更一卷一P316-317)：除左列和解金額外，另給付107年7月14日起至清償日止，按周年利率4％計算之利息</t>
  </si>
  <si>
    <t>和解筆錄（本院更一卷一P318)</t>
  </si>
  <si>
    <t>和解契約、和解筆錄（本院更一卷一P319-322)：簽約現場給付左列和解金額，另給付執行費用1,140元</t>
    <phoneticPr fontId="1" type="noConversion"/>
  </si>
  <si>
    <t>本院上訴審判決附表十三編號128</t>
    <phoneticPr fontId="1" type="noConversion"/>
  </si>
  <si>
    <t>和解筆錄、 和解書（本院更一卷一P323-325)：當庭交付7萬元，餘1萬元另於指定日期匯款予林依潔指定帳戶</t>
    <phoneticPr fontId="1" type="noConversion"/>
  </si>
  <si>
    <t>調解筆錄、和解契約書（本院更一卷一P326-329）：106/6/7已給付6萬</t>
    <phoneticPr fontId="1" type="noConversion"/>
  </si>
  <si>
    <t>本院上訴審判決附表十三編號298、303</t>
    <phoneticPr fontId="1" type="noConversion"/>
  </si>
  <si>
    <t>和解契約（本院更一卷一P330-331)：已過戶5,000股中茂國際能源股份有限公司股票當作141,000元金額和解</t>
  </si>
  <si>
    <t>和解筆錄（本院更一卷一P335-337)：106/7-10月每月各給付2萬，其餘22萬加計自104年12月11日起至清償日止按5％計算利息。
存入證明（本院更一卷一P338-339）：106/7-10月已給付8萬元</t>
    <phoneticPr fontId="1" type="noConversion"/>
  </si>
  <si>
    <t>和解筆錄（本院更一卷一P340-341)</t>
    <phoneticPr fontId="1" type="noConversion"/>
  </si>
  <si>
    <t>本院上訴審判決附表十三編號25</t>
    <phoneticPr fontId="1" type="noConversion"/>
  </si>
  <si>
    <t>和解筆錄（本院更一卷一P342-343）</t>
  </si>
  <si>
    <t>和解筆錄（本院更一卷一P344-345)</t>
  </si>
  <si>
    <t>和解筆錄（本院更一卷一P346-347）</t>
    <phoneticPr fontId="1" type="noConversion"/>
  </si>
  <si>
    <t>本院上訴審判決附表十三編號28</t>
    <phoneticPr fontId="1" type="noConversion"/>
  </si>
  <si>
    <t>和解筆錄（本院更一卷一P348-349)、
和解書（本院更一卷一P350-351)：簽約同時交付3萬2,000元
存入證明（本院更一卷一P351-355）：已匯款5萬元</t>
    <phoneticPr fontId="1" type="noConversion"/>
  </si>
  <si>
    <t>本院上訴審判決附表十三編號297</t>
    <phoneticPr fontId="1" type="noConversion"/>
  </si>
  <si>
    <t>和解契約（本院更一卷一P356-359）</t>
    <phoneticPr fontId="1" type="noConversion"/>
  </si>
  <si>
    <t>本院上訴審判決附表十三編號33</t>
    <phoneticPr fontId="1" type="noConversion"/>
  </si>
  <si>
    <t>本院上訴審判決附表十三編號34</t>
    <phoneticPr fontId="1" type="noConversion"/>
  </si>
  <si>
    <t>本院上訴審判決附表十三編號40</t>
    <phoneticPr fontId="1" type="noConversion"/>
  </si>
  <si>
    <t>本院上訴審判決附表十三編號37</t>
    <phoneticPr fontId="1" type="noConversion"/>
  </si>
  <si>
    <t>本院上訴審判決附表十三編號35</t>
    <phoneticPr fontId="1" type="noConversion"/>
  </si>
  <si>
    <t>本院上訴審判決附表十三編號38</t>
    <phoneticPr fontId="1" type="noConversion"/>
  </si>
  <si>
    <t>本院上訴審判決附表十三編號39</t>
    <phoneticPr fontId="1" type="noConversion"/>
  </si>
  <si>
    <t>本院上訴審判決附表十三編號36</t>
    <phoneticPr fontId="1" type="noConversion"/>
  </si>
  <si>
    <t>本院上訴審判決附表十三編號41</t>
    <phoneticPr fontId="1" type="noConversion"/>
  </si>
  <si>
    <t>本院上訴審判決附表十三編號42</t>
    <phoneticPr fontId="1" type="noConversion"/>
  </si>
  <si>
    <t>和解契約（本院更一卷一P364-365)：已過戶15,000股中茂國際能源股份有限公司股票當作15萬元金額和解</t>
    <phoneticPr fontId="1" type="noConversion"/>
  </si>
  <si>
    <t>和解筆錄（本院更一卷一P368-369)</t>
    <phoneticPr fontId="1" type="noConversion"/>
  </si>
  <si>
    <t>本院上訴審判決附表十三編號10</t>
    <phoneticPr fontId="1" type="noConversion"/>
  </si>
  <si>
    <t>和解筆錄（本院更一卷一P370)</t>
  </si>
  <si>
    <t>和解筆錄（本院更一卷一P371)</t>
  </si>
  <si>
    <t>和解書（本院更一卷一P372)：除左列和解金額外，及自104年12月11日起至清償日止，按週年利率5％計算之利息。106/10/4給付30萬，餘額由查扣資產分配中取償</t>
    <phoneticPr fontId="1" type="noConversion"/>
  </si>
  <si>
    <t>調解筆錄（本院更一卷一P373-374)</t>
    <phoneticPr fontId="1" type="noConversion"/>
  </si>
  <si>
    <t>本院上訴審判決附表十三編號43</t>
    <phoneticPr fontId="1" type="noConversion"/>
  </si>
  <si>
    <t>另投資人徐錫瑤、蔡文益、蔡長霖、黃阿勤、羅文峰、李淑錦、曾喜樑、詹榮泉等8人已撤回民事起訴(本院上訴審判決附表十三編號170、186、200、220、232、246、260、274)，爰不再列計於此表。</t>
    <phoneticPr fontId="1" type="noConversion"/>
  </si>
  <si>
    <t>施鍀岷</t>
    <phoneticPr fontId="1" type="noConversion"/>
  </si>
  <si>
    <t>凃宣因</t>
    <phoneticPr fontId="1" type="noConversion"/>
  </si>
  <si>
    <t>陳𣏌淂</t>
    <phoneticPr fontId="1" type="noConversion"/>
  </si>
  <si>
    <t>楊峯坤</t>
    <phoneticPr fontId="1" type="noConversion"/>
  </si>
  <si>
    <t>周  雲</t>
    <phoneticPr fontId="1" type="noConversion"/>
  </si>
  <si>
    <t>黃泳學因兆良公司詐偽犯行實際獲得之金額，詳如理由欄所載。</t>
    <phoneticPr fontId="1" type="noConversion"/>
  </si>
  <si>
    <t>陳薇伃（B4卷第26頁）</t>
    <phoneticPr fontId="1" type="noConversion"/>
  </si>
  <si>
    <t>陳薇伃（E13卷第125反頁）</t>
    <phoneticPr fontId="1" type="noConversion"/>
  </si>
  <si>
    <t>第一銀行龍潭分行000-00-000000</t>
    <phoneticPr fontId="2" type="noConversion"/>
  </si>
  <si>
    <t>本件交易匯款帳戶係中信信義分行張佳容帳戶，帳號000000000000，屬被告黃馨瑩所控制之人頭帳戶</t>
    <phoneticPr fontId="1" type="noConversion"/>
  </si>
  <si>
    <t>本件交易匯款帳戶係中信信義分行張佳容帳戶，帳號000000000000，經加總編號292、304之成交金額與銀行對帳單明細相符，屬被告黃馨瑩所控制之人頭交易</t>
    <phoneticPr fontId="1" type="noConversion"/>
  </si>
  <si>
    <t xml:space="preserve">本件交易匯款帳戶係中信信義分行張佳容帳戶，帳號000000000000，屬被告黃馨瑩所控制之人頭帳戶 </t>
    <phoneticPr fontId="1" type="noConversion"/>
  </si>
  <si>
    <t>本件交易匯款帳戶係中信信義分行張佳容帳戶，帳號000000000000，經加總編號242、304之成交金額與銀行對帳單明細相符，屬被告黃馨瑩所控制之人頭交易</t>
    <phoneticPr fontId="1" type="noConversion"/>
  </si>
  <si>
    <t>本件交易匯款帳戶係中信信義分行張佳容帳戶，帳號000000000000，經加總編號292、249之成交金額與銀行對帳單明細相符，屬被告黃馨瑩所控制之人頭交易</t>
    <phoneticPr fontId="1" type="noConversion"/>
  </si>
  <si>
    <t>本件交易匯款帳戶係中信信義分行張佳容帳戶，帳號000000000000，屬被告黃黃馨瑩所控制之人頭帳戶</t>
    <phoneticPr fontId="1" type="noConversion"/>
  </si>
  <si>
    <t>吳梅枝於103年10月28日匯款7.2萬元至張佳容中信信義分行帳戶，帳號000000000000，屬被告黃馨瑩所控制之人頭帳戶</t>
    <phoneticPr fontId="1" type="noConversion"/>
  </si>
  <si>
    <t>馬志尚於103年12月16日匯款30.3萬元至張佳容中信信義分行帳號000000000000帳戶，屬被告黃馨瑩所控制之人頭帳戶</t>
    <phoneticPr fontId="1" type="noConversion"/>
  </si>
  <si>
    <t>歐俊龍於103年12月26日匯款共16.9萬元（編號624和628），至張佳容中信信義分行帳號000000000000帳戶，屬被告黃馨瑩所控制之人頭帳戶</t>
    <phoneticPr fontId="1" type="noConversion"/>
  </si>
  <si>
    <t>吳堃霖</t>
    <phoneticPr fontId="1" type="noConversion"/>
  </si>
  <si>
    <t>邱綉珍</t>
    <phoneticPr fontId="1" type="noConversion"/>
  </si>
  <si>
    <t>郭金峯</t>
    <phoneticPr fontId="1" type="noConversion"/>
  </si>
  <si>
    <t>連捷</t>
    <phoneticPr fontId="1" type="noConversion"/>
  </si>
  <si>
    <t>陳綉凰</t>
    <phoneticPr fontId="1" type="noConversion"/>
  </si>
  <si>
    <t>廖継仕</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</si>
</sst>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6" formatCode="&quot;$&quot;#,##0;[Red]\-&quot;$&quot;#,##0"/>
    <numFmt numFmtId="42" formatCode="_-&quot;$&quot;* #,##0_-;\-&quot;$&quot;* #,##0_-;_-&quot;$&quot;* &quot;-&quot;_-;_-@_-"/>
    <numFmt numFmtId="44" formatCode="_-&quot;$&quot;* #,##0.00_-;\-&quot;$&quot;* #,##0.00_-;_-&quot;$&quot;* &quot;-&quot;??_-;_-@_-"/>
    <numFmt numFmtId="43" formatCode="_-* #,##0.00_-;\-* #,##0.00_-;_-* &quot;-&quot;??_-;_-@_-"/>
    <numFmt numFmtId="176" formatCode="#,##0;[Red]#,##0"/>
    <numFmt numFmtId="177" formatCode="_-&quot;$&quot;* #,##0_-;\-&quot;$&quot;* #,##0_-;_-&quot;$&quot;* &quot;-&quot;??_-;_-@_-"/>
    <numFmt numFmtId="178" formatCode="#,##0_ "/>
    <numFmt numFmtId="179" formatCode="m/d;@"/>
    <numFmt numFmtId="180" formatCode="_-* #,##0_-;\-* #,##0_-;_-* &quot;-&quot;??_-;_-@_-"/>
    <numFmt numFmtId="181" formatCode="#,##0_);[Red]\(#,##0\)"/>
    <numFmt numFmtId="182" formatCode="[$-404]e\.m\.d;@"/>
    <numFmt numFmtId="183" formatCode="[$-404]e/m/d;@"/>
  </numFmts>
  <fonts count="31">
    <font>
      <sz val="12"/>
      <color theme="1"/>
      <name val="新細明體"/>
      <family val="2"/>
      <charset val="136"/>
      <scheme val="minor"/>
    </font>
    <font>
      <sz val="9"/>
      <name val="新細明體"/>
      <family val="2"/>
      <charset val="136"/>
      <scheme val="minor"/>
    </font>
    <font>
      <sz val="9"/>
      <name val="新細明體"/>
      <family val="1"/>
      <charset val="136"/>
    </font>
    <font>
      <b/>
      <sz val="12"/>
      <name val="新細明體"/>
      <family val="1"/>
      <charset val="136"/>
    </font>
    <font>
      <sz val="12"/>
      <name val="新細明體"/>
      <family val="1"/>
      <charset val="136"/>
    </font>
    <font>
      <sz val="12"/>
      <color theme="1"/>
      <name val="新細明體"/>
      <family val="1"/>
      <charset val="136"/>
      <scheme val="minor"/>
    </font>
    <font>
      <sz val="14"/>
      <name val="新細明體"/>
      <family val="1"/>
      <charset val="136"/>
    </font>
    <font>
      <sz val="12"/>
      <color theme="1"/>
      <name val="新細明體"/>
      <family val="1"/>
      <charset val="136"/>
    </font>
    <font>
      <sz val="12"/>
      <color theme="1"/>
      <name val="新細明體"/>
      <family val="2"/>
      <charset val="136"/>
      <scheme val="minor"/>
    </font>
    <font>
      <sz val="11"/>
      <color theme="1"/>
      <name val="新細明體"/>
      <family val="2"/>
      <charset val="136"/>
      <scheme val="minor"/>
    </font>
    <font>
      <sz val="10"/>
      <name val="Arial"/>
      <family val="2"/>
    </font>
    <font>
      <b/>
      <sz val="12"/>
      <color theme="1"/>
      <name val="新細明體"/>
      <family val="2"/>
      <charset val="136"/>
      <scheme val="minor"/>
    </font>
    <font>
      <b/>
      <sz val="12"/>
      <color theme="1"/>
      <name val="新細明體"/>
      <family val="1"/>
      <charset val="136"/>
      <scheme val="minor"/>
    </font>
    <font>
      <sz val="12"/>
      <color theme="1"/>
      <name val="新細明體"/>
      <family val="1"/>
      <charset val="136"/>
      <scheme val="major"/>
    </font>
    <font>
      <sz val="10"/>
      <color theme="1"/>
      <name val="新細明體"/>
      <family val="1"/>
      <charset val="136"/>
      <scheme val="minor"/>
    </font>
    <font>
      <b/>
      <sz val="16"/>
      <color theme="1"/>
      <name val="新細明體"/>
      <family val="1"/>
      <charset val="136"/>
      <scheme val="minor"/>
    </font>
    <font>
      <sz val="12"/>
      <color rgb="FF000000"/>
      <name val="新細明體"/>
      <family val="1"/>
      <charset val="136"/>
      <scheme val="minor"/>
    </font>
    <font>
      <sz val="12"/>
      <color rgb="FF0000FF"/>
      <name val="新細明體"/>
      <family val="1"/>
      <charset val="136"/>
      <scheme val="minor"/>
    </font>
    <font>
      <sz val="8"/>
      <color indexed="8"/>
      <name val="新細明體"/>
      <family val="1"/>
      <charset val="136"/>
    </font>
    <font>
      <sz val="7"/>
      <color indexed="8"/>
      <name val="新細明體"/>
      <family val="1"/>
      <charset val="136"/>
    </font>
    <font>
      <vertAlign val="superscript"/>
      <sz val="12"/>
      <color indexed="8"/>
      <name val="新細明體"/>
      <family val="1"/>
      <charset val="136"/>
    </font>
    <font>
      <sz val="12"/>
      <color rgb="FFFF0000"/>
      <name val="新細明體"/>
      <family val="1"/>
      <charset val="136"/>
      <scheme val="minor"/>
    </font>
    <font>
      <sz val="12"/>
      <name val="新細明體"/>
      <family val="1"/>
      <charset val="136"/>
      <scheme val="minor"/>
    </font>
    <font>
      <sz val="12"/>
      <color indexed="8"/>
      <name val="新細明體"/>
      <family val="1"/>
      <charset val="136"/>
    </font>
    <font>
      <sz val="11"/>
      <color theme="1"/>
      <name val="新細明體"/>
      <family val="1"/>
      <charset val="136"/>
      <scheme val="minor"/>
    </font>
    <font>
      <sz val="14"/>
      <color theme="1"/>
      <name val="新細明體"/>
      <family val="1"/>
      <charset val="136"/>
      <scheme val="minor"/>
    </font>
    <font>
      <sz val="12"/>
      <name val="新細明體"/>
      <family val="2"/>
      <charset val="136"/>
      <scheme val="minor"/>
    </font>
    <font>
      <b/>
      <sz val="12"/>
      <name val="新細明體"/>
      <family val="1"/>
      <charset val="136"/>
      <scheme val="minor"/>
    </font>
    <font>
      <sz val="12"/>
      <color indexed="8"/>
      <name val="新細明體"/>
      <family val="1"/>
      <charset val="136"/>
      <scheme val="minor"/>
    </font>
    <font>
      <sz val="12"/>
      <color rgb="FFFF0000"/>
      <name val="標楷體"/>
      <family val="4"/>
      <charset val="136"/>
    </font>
    <font>
      <vertAlign val="superscript"/>
      <sz val="12"/>
      <color theme="1"/>
      <name val="新細明體"/>
      <family val="1"/>
      <charset val="136"/>
      <scheme val="minor"/>
    </font>
  </fonts>
  <fills count="11">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FF0000"/>
        <bgColor indexed="64"/>
      </patternFill>
    </fill>
    <fill>
      <patternFill patternType="solid">
        <fgColor rgb="FF008000"/>
        <bgColor indexed="64"/>
      </patternFill>
    </fill>
    <fill>
      <patternFill patternType="solid">
        <fgColor theme="9"/>
        <bgColor indexed="64"/>
      </patternFill>
    </fill>
    <fill>
      <patternFill patternType="solid">
        <fgColor theme="7" tint="0.39997558519241921"/>
        <bgColor indexed="64"/>
      </patternFill>
    </fill>
    <fill>
      <patternFill patternType="solid">
        <fgColor theme="8"/>
        <bgColor indexed="64"/>
      </patternFill>
    </fill>
    <fill>
      <patternFill patternType="solid">
        <fgColor rgb="FF3366FF"/>
        <bgColor rgb="FF000000"/>
      </patternFill>
    </fill>
    <fill>
      <patternFill patternType="solid">
        <fgColor rgb="FF3366FF"/>
        <bgColor indexed="64"/>
      </patternFill>
    </fill>
  </fills>
  <borders count="5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style="medium">
        <color indexed="64"/>
      </right>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thin">
        <color indexed="64"/>
      </right>
      <top/>
      <bottom style="double">
        <color indexed="64"/>
      </bottom>
      <diagonal/>
    </border>
    <border>
      <left style="thin">
        <color rgb="FF000000"/>
      </left>
      <right style="thin">
        <color rgb="FF000000"/>
      </right>
      <top style="thin">
        <color rgb="FF000000"/>
      </top>
      <bottom style="thin">
        <color rgb="FF000000"/>
      </bottom>
      <diagonal/>
    </border>
    <border>
      <left/>
      <right/>
      <top/>
      <bottom style="medium">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right style="medium">
        <color indexed="64"/>
      </right>
      <top/>
      <bottom style="medium">
        <color indexed="64"/>
      </bottom>
      <diagonal/>
    </border>
  </borders>
  <cellStyleXfs count="7">
    <xf numFmtId="0" fontId="0" fillId="0" borderId="0">
      <alignment vertical="center"/>
    </xf>
    <xf numFmtId="0" fontId="4" fillId="0" borderId="0">
      <alignment vertical="center"/>
    </xf>
    <xf numFmtId="0" fontId="5" fillId="0" borderId="0">
      <alignment vertical="center"/>
    </xf>
    <xf numFmtId="44" fontId="4" fillId="0" borderId="0" applyFont="0" applyFill="0" applyBorder="0" applyAlignment="0" applyProtection="0">
      <alignment vertical="center"/>
    </xf>
    <xf numFmtId="43" fontId="8" fillId="0" borderId="0" applyFont="0" applyFill="0" applyBorder="0" applyAlignment="0" applyProtection="0">
      <alignment vertical="center"/>
    </xf>
    <xf numFmtId="0" fontId="10" fillId="0" borderId="0">
      <alignment vertical="center"/>
    </xf>
    <xf numFmtId="9" fontId="8" fillId="0" borderId="0" applyFont="0" applyFill="0" applyBorder="0" applyAlignment="0" applyProtection="0">
      <alignment vertical="center"/>
    </xf>
  </cellStyleXfs>
  <cellXfs count="445">
    <xf numFmtId="0" fontId="0" fillId="0" borderId="0" xfId="0">
      <alignment vertical="center"/>
    </xf>
    <xf numFmtId="0" fontId="0" fillId="0" borderId="1" xfId="0" applyBorder="1" applyAlignment="1"/>
    <xf numFmtId="176" fontId="0" fillId="0" borderId="1" xfId="0" applyNumberFormat="1" applyBorder="1" applyAlignment="1"/>
    <xf numFmtId="0" fontId="0" fillId="0" borderId="2" xfId="0" applyBorder="1">
      <alignment vertical="center"/>
    </xf>
    <xf numFmtId="176" fontId="0" fillId="0" borderId="3" xfId="0" applyNumberFormat="1" applyBorder="1" applyAlignment="1"/>
    <xf numFmtId="0" fontId="0" fillId="0" borderId="4" xfId="0" applyBorder="1">
      <alignment vertical="center"/>
    </xf>
    <xf numFmtId="0" fontId="0" fillId="0" borderId="5" xfId="0" applyBorder="1">
      <alignment vertical="center"/>
    </xf>
    <xf numFmtId="0" fontId="0" fillId="0" borderId="5" xfId="0" applyBorder="1" applyAlignment="1"/>
    <xf numFmtId="176" fontId="0" fillId="0" borderId="5" xfId="0" applyNumberFormat="1" applyBorder="1">
      <alignment vertical="center"/>
    </xf>
    <xf numFmtId="176" fontId="0" fillId="0" borderId="6" xfId="0" applyNumberFormat="1" applyBorder="1">
      <alignment vertical="center"/>
    </xf>
    <xf numFmtId="0" fontId="0" fillId="0" borderId="7" xfId="0" applyBorder="1">
      <alignment vertical="center"/>
    </xf>
    <xf numFmtId="0" fontId="0" fillId="0" borderId="8" xfId="0" applyBorder="1" applyAlignment="1"/>
    <xf numFmtId="176" fontId="0" fillId="0" borderId="8" xfId="0" applyNumberFormat="1" applyBorder="1" applyAlignment="1"/>
    <xf numFmtId="176" fontId="0" fillId="0" borderId="9" xfId="0" applyNumberFormat="1" applyBorder="1" applyAlignment="1"/>
    <xf numFmtId="0" fontId="0" fillId="0" borderId="10" xfId="0" applyBorder="1">
      <alignment vertical="center"/>
    </xf>
    <xf numFmtId="0" fontId="0" fillId="0" borderId="11" xfId="0" applyBorder="1">
      <alignment vertical="center"/>
    </xf>
    <xf numFmtId="176" fontId="0" fillId="0" borderId="5" xfId="0" applyNumberFormat="1" applyBorder="1" applyAlignment="1"/>
    <xf numFmtId="176" fontId="0" fillId="0" borderId="6" xfId="0" applyNumberFormat="1" applyBorder="1" applyAlignment="1"/>
    <xf numFmtId="0" fontId="0" fillId="0" borderId="7" xfId="0" applyBorder="1" applyAlignment="1">
      <alignment horizontal="center" vertical="center"/>
    </xf>
    <xf numFmtId="0" fontId="0" fillId="0" borderId="8" xfId="0" applyBorder="1" applyAlignment="1">
      <alignment horizontal="center"/>
    </xf>
    <xf numFmtId="0" fontId="0" fillId="0" borderId="2" xfId="0" applyBorder="1" applyAlignment="1">
      <alignment horizontal="center" vertical="center"/>
    </xf>
    <xf numFmtId="0" fontId="0" fillId="0" borderId="1" xfId="0" applyBorder="1" applyAlignment="1">
      <alignment horizont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5" xfId="0" applyBorder="1" applyAlignment="1"/>
    <xf numFmtId="176" fontId="0" fillId="0" borderId="15" xfId="0" applyNumberFormat="1" applyBorder="1" applyAlignment="1"/>
    <xf numFmtId="0" fontId="0" fillId="0" borderId="11" xfId="0" applyBorder="1" applyAlignment="1"/>
    <xf numFmtId="176" fontId="0" fillId="0" borderId="11" xfId="0" applyNumberFormat="1" applyBorder="1" applyAlignment="1"/>
    <xf numFmtId="0" fontId="0" fillId="0" borderId="11" xfId="0" applyBorder="1" applyAlignment="1">
      <alignment horizontal="center"/>
    </xf>
    <xf numFmtId="0" fontId="0" fillId="0" borderId="20" xfId="0" applyBorder="1">
      <alignment vertical="center"/>
    </xf>
    <xf numFmtId="0" fontId="0" fillId="0" borderId="0" xfId="0" applyAlignment="1">
      <alignment horizontal="center" vertical="center"/>
    </xf>
    <xf numFmtId="0" fontId="0" fillId="0" borderId="15" xfId="0" applyBorder="1" applyAlignment="1">
      <alignment horizontal="center"/>
    </xf>
    <xf numFmtId="0" fontId="3" fillId="0" borderId="11" xfId="0" applyFont="1" applyBorder="1" applyAlignment="1">
      <alignment horizontal="center"/>
    </xf>
    <xf numFmtId="0" fontId="0" fillId="0" borderId="0" xfId="0" applyAlignment="1">
      <alignment horizontal="right" vertical="center"/>
    </xf>
    <xf numFmtId="0" fontId="0" fillId="0" borderId="0" xfId="0" applyAlignment="1">
      <alignment horizontal="right" vertical="top"/>
    </xf>
    <xf numFmtId="0" fontId="4" fillId="0" borderId="0" xfId="1" applyFont="1">
      <alignment vertical="center"/>
    </xf>
    <xf numFmtId="0" fontId="4" fillId="0" borderId="1" xfId="1" applyFont="1" applyBorder="1" applyAlignment="1">
      <alignment horizontal="center" vertical="center" wrapText="1"/>
    </xf>
    <xf numFmtId="49" fontId="4" fillId="0" borderId="1" xfId="1" applyNumberFormat="1" applyFont="1" applyBorder="1" applyAlignment="1">
      <alignment horizontal="distributed" vertical="center" wrapText="1"/>
    </xf>
    <xf numFmtId="49" fontId="4" fillId="0" borderId="1" xfId="1" applyNumberFormat="1" applyFont="1" applyBorder="1" applyAlignment="1">
      <alignment horizontal="center" vertical="center" wrapText="1"/>
    </xf>
    <xf numFmtId="178" fontId="4" fillId="0" borderId="1" xfId="1" applyNumberFormat="1" applyFont="1" applyBorder="1" applyAlignment="1">
      <alignment horizontal="right" vertical="center" wrapText="1"/>
    </xf>
    <xf numFmtId="177" fontId="4" fillId="0" borderId="1" xfId="3" applyNumberFormat="1" applyFont="1" applyBorder="1" applyAlignment="1">
      <alignment vertical="center"/>
    </xf>
    <xf numFmtId="49" fontId="4" fillId="3" borderId="1" xfId="1" applyNumberFormat="1" applyFont="1" applyFill="1" applyBorder="1" applyAlignment="1">
      <alignment horizontal="distributed" vertical="center" wrapText="1"/>
    </xf>
    <xf numFmtId="49" fontId="4" fillId="3" borderId="1" xfId="1" applyNumberFormat="1" applyFont="1" applyFill="1" applyBorder="1" applyAlignment="1">
      <alignment horizontal="center" vertical="center" wrapText="1"/>
    </xf>
    <xf numFmtId="178" fontId="4" fillId="3" borderId="1" xfId="1" applyNumberFormat="1" applyFont="1" applyFill="1" applyBorder="1" applyAlignment="1">
      <alignment horizontal="right" vertical="center" wrapText="1"/>
    </xf>
    <xf numFmtId="177" fontId="4" fillId="3" borderId="1" xfId="3" applyNumberFormat="1" applyFont="1" applyFill="1" applyBorder="1" applyAlignment="1">
      <alignment vertical="center"/>
    </xf>
    <xf numFmtId="0" fontId="4" fillId="0" borderId="1" xfId="1" applyFont="1" applyBorder="1">
      <alignment vertical="center"/>
    </xf>
    <xf numFmtId="0" fontId="4" fillId="0" borderId="1" xfId="1" applyFont="1" applyBorder="1" applyAlignment="1">
      <alignment horizontal="center" vertical="center"/>
    </xf>
    <xf numFmtId="0" fontId="7" fillId="0" borderId="0" xfId="0" applyFont="1">
      <alignment vertical="center"/>
    </xf>
    <xf numFmtId="49" fontId="4" fillId="0" borderId="0" xfId="1" applyNumberFormat="1" applyFont="1" applyAlignment="1">
      <alignment horizontal="center" vertical="center"/>
    </xf>
    <xf numFmtId="177" fontId="4" fillId="0" borderId="0" xfId="1" applyNumberFormat="1" applyFont="1" applyAlignment="1">
      <alignment vertical="center"/>
    </xf>
    <xf numFmtId="0" fontId="4" fillId="0" borderId="0" xfId="1" applyFont="1" applyAlignment="1">
      <alignment horizontal="center" vertical="center"/>
    </xf>
    <xf numFmtId="178" fontId="4" fillId="0" borderId="0" xfId="1" applyNumberFormat="1" applyFont="1">
      <alignment vertical="center"/>
    </xf>
    <xf numFmtId="0" fontId="7" fillId="0" borderId="1" xfId="2" applyFont="1" applyBorder="1" applyAlignment="1">
      <alignment horizontal="center" vertical="center"/>
    </xf>
    <xf numFmtId="0" fontId="7" fillId="3" borderId="1" xfId="2" applyFont="1" applyFill="1" applyBorder="1" applyAlignment="1">
      <alignment horizontal="center" vertical="center"/>
    </xf>
    <xf numFmtId="0" fontId="6" fillId="0" borderId="0" xfId="1" applyFont="1">
      <alignment vertical="center"/>
    </xf>
    <xf numFmtId="180" fontId="0" fillId="0" borderId="0" xfId="4" applyNumberFormat="1" applyFont="1">
      <alignment vertical="center"/>
    </xf>
    <xf numFmtId="0" fontId="0" fillId="0" borderId="0" xfId="0" applyAlignment="1">
      <alignment vertical="center"/>
    </xf>
    <xf numFmtId="181" fontId="0" fillId="0" borderId="0" xfId="0" applyNumberFormat="1">
      <alignment vertical="center"/>
    </xf>
    <xf numFmtId="181" fontId="0" fillId="0" borderId="11" xfId="0" applyNumberFormat="1" applyBorder="1" applyAlignment="1">
      <alignment horizontal="center" vertical="center"/>
    </xf>
    <xf numFmtId="0" fontId="0" fillId="0" borderId="3" xfId="0" applyBorder="1">
      <alignment vertical="center"/>
    </xf>
    <xf numFmtId="0" fontId="0" fillId="0" borderId="9" xfId="0" applyBorder="1">
      <alignment vertical="center"/>
    </xf>
    <xf numFmtId="0" fontId="0" fillId="0" borderId="0" xfId="0" applyBorder="1" applyAlignment="1">
      <alignment horizontal="center" vertical="center"/>
    </xf>
    <xf numFmtId="0" fontId="0" fillId="0" borderId="1" xfId="0" applyBorder="1">
      <alignment vertical="center"/>
    </xf>
    <xf numFmtId="180" fontId="0" fillId="0" borderId="1" xfId="4" applyNumberFormat="1" applyFont="1" applyBorder="1">
      <alignment vertical="center"/>
    </xf>
    <xf numFmtId="182" fontId="0" fillId="0" borderId="0" xfId="0" applyNumberFormat="1" applyBorder="1" applyAlignment="1">
      <alignment horizontal="left" vertical="center"/>
    </xf>
    <xf numFmtId="180" fontId="0" fillId="0" borderId="11" xfId="4" applyNumberFormat="1" applyFont="1" applyBorder="1" applyAlignment="1">
      <alignment horizontal="center" vertical="center"/>
    </xf>
    <xf numFmtId="180" fontId="0" fillId="0" borderId="11" xfId="4" applyNumberFormat="1" applyFont="1" applyBorder="1">
      <alignment vertical="center"/>
    </xf>
    <xf numFmtId="0" fontId="0" fillId="0" borderId="12" xfId="0" applyBorder="1">
      <alignment vertical="center"/>
    </xf>
    <xf numFmtId="180" fontId="0" fillId="0" borderId="27" xfId="4" applyNumberFormat="1" applyFont="1" applyBorder="1">
      <alignment vertical="center"/>
    </xf>
    <xf numFmtId="0" fontId="0" fillId="0" borderId="8" xfId="0" applyBorder="1">
      <alignment vertical="center"/>
    </xf>
    <xf numFmtId="180" fontId="0" fillId="0" borderId="8" xfId="4" applyNumberFormat="1" applyFont="1" applyBorder="1">
      <alignment vertical="center"/>
    </xf>
    <xf numFmtId="0" fontId="0" fillId="0" borderId="15" xfId="0" applyBorder="1">
      <alignment vertical="center"/>
    </xf>
    <xf numFmtId="180" fontId="0" fillId="0" borderId="15" xfId="4" applyNumberFormat="1" applyFont="1" applyBorder="1">
      <alignment vertical="center"/>
    </xf>
    <xf numFmtId="0" fontId="0" fillId="0" borderId="19" xfId="0" applyBorder="1">
      <alignment vertical="center"/>
    </xf>
    <xf numFmtId="0" fontId="12" fillId="0" borderId="10" xfId="0" applyFont="1" applyBorder="1">
      <alignment vertical="center"/>
    </xf>
    <xf numFmtId="0" fontId="0" fillId="0" borderId="29" xfId="0" applyBorder="1">
      <alignment vertical="center"/>
    </xf>
    <xf numFmtId="0" fontId="0" fillId="0" borderId="30" xfId="0" applyBorder="1">
      <alignment vertical="center"/>
    </xf>
    <xf numFmtId="0" fontId="0" fillId="0" borderId="33" xfId="0" applyBorder="1">
      <alignment vertical="center"/>
    </xf>
    <xf numFmtId="180" fontId="0" fillId="0" borderId="32" xfId="4" applyNumberFormat="1" applyFont="1" applyBorder="1">
      <alignment vertical="center"/>
    </xf>
    <xf numFmtId="180" fontId="0" fillId="0" borderId="34" xfId="4" applyNumberFormat="1" applyFont="1" applyBorder="1">
      <alignment vertical="center"/>
    </xf>
    <xf numFmtId="0" fontId="0" fillId="0" borderId="31" xfId="0" applyBorder="1">
      <alignment vertical="center"/>
    </xf>
    <xf numFmtId="0" fontId="0" fillId="0" borderId="35" xfId="0" applyBorder="1">
      <alignment vertical="center"/>
    </xf>
    <xf numFmtId="0" fontId="0" fillId="0" borderId="36" xfId="0" applyBorder="1">
      <alignment vertical="center"/>
    </xf>
    <xf numFmtId="180" fontId="0" fillId="0" borderId="5" xfId="4" applyNumberFormat="1" applyFont="1" applyBorder="1">
      <alignment vertical="center"/>
    </xf>
    <xf numFmtId="0" fontId="0" fillId="0" borderId="25" xfId="0" applyBorder="1">
      <alignment vertical="center"/>
    </xf>
    <xf numFmtId="0" fontId="0" fillId="0" borderId="0" xfId="0" applyAlignment="1">
      <alignment vertical="top"/>
    </xf>
    <xf numFmtId="0" fontId="0" fillId="0" borderId="1" xfId="0" applyBorder="1" applyAlignment="1">
      <alignment horizontal="left" vertical="center"/>
    </xf>
    <xf numFmtId="0" fontId="0" fillId="0" borderId="0" xfId="0" applyFill="1" applyBorder="1" applyAlignment="1"/>
    <xf numFmtId="181" fontId="0" fillId="0" borderId="1" xfId="0" applyNumberFormat="1" applyBorder="1">
      <alignment vertical="center"/>
    </xf>
    <xf numFmtId="180" fontId="0" fillId="0" borderId="1" xfId="4" applyNumberFormat="1" applyFont="1" applyBorder="1" applyAlignment="1">
      <alignment horizontal="left" vertical="center"/>
    </xf>
    <xf numFmtId="180" fontId="0" fillId="0" borderId="1" xfId="4" applyNumberFormat="1" applyFont="1" applyBorder="1" applyAlignment="1">
      <alignment horizontal="center" vertical="center"/>
    </xf>
    <xf numFmtId="0" fontId="0" fillId="0" borderId="37" xfId="0" applyBorder="1">
      <alignment vertical="center"/>
    </xf>
    <xf numFmtId="180" fontId="0" fillId="0" borderId="37" xfId="4" applyNumberFormat="1" applyFont="1" applyBorder="1">
      <alignment vertical="center"/>
    </xf>
    <xf numFmtId="181" fontId="0" fillId="0" borderId="37" xfId="0" applyNumberFormat="1" applyBorder="1">
      <alignment vertical="center"/>
    </xf>
    <xf numFmtId="0" fontId="0" fillId="0" borderId="38" xfId="0" applyFill="1" applyBorder="1">
      <alignment vertical="center"/>
    </xf>
    <xf numFmtId="180" fontId="0" fillId="0" borderId="38" xfId="4" applyNumberFormat="1" applyFont="1" applyBorder="1">
      <alignment vertical="center"/>
    </xf>
    <xf numFmtId="10" fontId="0" fillId="0" borderId="38" xfId="6" applyNumberFormat="1" applyFont="1" applyBorder="1">
      <alignment vertical="center"/>
    </xf>
    <xf numFmtId="0" fontId="0" fillId="0" borderId="38" xfId="0" applyBorder="1">
      <alignment vertical="center"/>
    </xf>
    <xf numFmtId="0" fontId="0" fillId="0" borderId="39" xfId="0" applyFill="1" applyBorder="1">
      <alignment vertical="center"/>
    </xf>
    <xf numFmtId="180" fontId="0" fillId="0" borderId="39" xfId="4" applyNumberFormat="1" applyFont="1" applyBorder="1">
      <alignment vertical="center"/>
    </xf>
    <xf numFmtId="10" fontId="0" fillId="0" borderId="39" xfId="6" applyNumberFormat="1" applyFont="1" applyBorder="1">
      <alignment vertical="center"/>
    </xf>
    <xf numFmtId="0" fontId="0" fillId="0" borderId="39" xfId="0" applyBorder="1">
      <alignment vertical="center"/>
    </xf>
    <xf numFmtId="181" fontId="0" fillId="0" borderId="5" xfId="0" applyNumberFormat="1" applyBorder="1">
      <alignment vertical="center"/>
    </xf>
    <xf numFmtId="181" fontId="0" fillId="0" borderId="8" xfId="0" applyNumberFormat="1" applyBorder="1">
      <alignment vertical="center"/>
    </xf>
    <xf numFmtId="0" fontId="9" fillId="0" borderId="0" xfId="0" applyFont="1">
      <alignment vertical="center"/>
    </xf>
    <xf numFmtId="0" fontId="13" fillId="0" borderId="0" xfId="0" applyFont="1">
      <alignment vertical="center"/>
    </xf>
    <xf numFmtId="0" fontId="13" fillId="0" borderId="40" xfId="0" applyFont="1" applyBorder="1" applyAlignment="1">
      <alignment horizontal="center" vertical="top" wrapText="1"/>
    </xf>
    <xf numFmtId="0" fontId="13" fillId="0" borderId="40" xfId="0" applyFont="1" applyBorder="1" applyAlignment="1">
      <alignment vertical="top" wrapText="1"/>
    </xf>
    <xf numFmtId="0" fontId="14" fillId="0" borderId="0" xfId="0" applyFont="1">
      <alignment vertical="center"/>
    </xf>
    <xf numFmtId="0" fontId="14" fillId="0" borderId="0" xfId="0" applyFont="1" applyFill="1">
      <alignment vertical="center"/>
    </xf>
    <xf numFmtId="0" fontId="14" fillId="0" borderId="1" xfId="0" applyFont="1" applyBorder="1">
      <alignment vertical="center"/>
    </xf>
    <xf numFmtId="0" fontId="14" fillId="0" borderId="1" xfId="0" applyFont="1" applyFill="1" applyBorder="1">
      <alignment vertical="center"/>
    </xf>
    <xf numFmtId="0" fontId="5" fillId="0" borderId="0" xfId="2">
      <alignment vertical="center"/>
    </xf>
    <xf numFmtId="0" fontId="15" fillId="0" borderId="0" xfId="2" applyFont="1">
      <alignment vertical="center"/>
    </xf>
    <xf numFmtId="0" fontId="15" fillId="0" borderId="0" xfId="2" applyFont="1" applyAlignment="1">
      <alignment horizontal="left" vertical="center" wrapText="1"/>
    </xf>
    <xf numFmtId="0" fontId="5" fillId="0" borderId="0" xfId="2" applyAlignment="1">
      <alignment vertical="center" wrapText="1"/>
    </xf>
    <xf numFmtId="0" fontId="5" fillId="0" borderId="0" xfId="2" applyAlignment="1">
      <alignment horizontal="left" vertical="center" wrapText="1"/>
    </xf>
    <xf numFmtId="0" fontId="5" fillId="2" borderId="0" xfId="2" applyFill="1">
      <alignment vertical="center"/>
    </xf>
    <xf numFmtId="0" fontId="5" fillId="0" borderId="0" xfId="2" applyAlignment="1">
      <alignment vertical="center"/>
    </xf>
    <xf numFmtId="0" fontId="5" fillId="0" borderId="0" xfId="2" applyFill="1" applyBorder="1" applyAlignment="1">
      <alignment vertical="center"/>
    </xf>
    <xf numFmtId="0" fontId="5" fillId="4" borderId="0" xfId="2" applyFill="1">
      <alignment vertical="center"/>
    </xf>
    <xf numFmtId="0" fontId="5" fillId="3" borderId="0" xfId="2" applyFill="1" applyAlignment="1">
      <alignment vertical="center"/>
    </xf>
    <xf numFmtId="0" fontId="5" fillId="3" borderId="0" xfId="2" applyFill="1" applyAlignment="1">
      <alignment horizontal="left" vertical="center" wrapText="1"/>
    </xf>
    <xf numFmtId="0" fontId="5" fillId="5" borderId="0" xfId="2" applyFill="1">
      <alignment vertical="center"/>
    </xf>
    <xf numFmtId="0" fontId="5" fillId="6" borderId="0" xfId="2" applyFill="1">
      <alignment vertical="center"/>
    </xf>
    <xf numFmtId="0" fontId="5" fillId="7" borderId="0" xfId="2" applyFill="1">
      <alignment vertical="center"/>
    </xf>
    <xf numFmtId="0" fontId="5" fillId="3" borderId="0" xfId="2" applyFill="1" applyAlignment="1">
      <alignment vertical="center" wrapText="1"/>
    </xf>
    <xf numFmtId="0" fontId="5" fillId="8" borderId="0" xfId="2" applyFill="1">
      <alignment vertical="center"/>
    </xf>
    <xf numFmtId="0" fontId="16" fillId="9" borderId="0" xfId="2" applyFont="1" applyFill="1">
      <alignment vertical="center"/>
    </xf>
    <xf numFmtId="0" fontId="16" fillId="0" borderId="0" xfId="2" applyFont="1">
      <alignment vertical="center"/>
    </xf>
    <xf numFmtId="0" fontId="5" fillId="0" borderId="1" xfId="2" applyBorder="1" applyAlignment="1">
      <alignment vertical="center" wrapText="1"/>
    </xf>
    <xf numFmtId="0" fontId="5" fillId="0" borderId="1" xfId="2" applyBorder="1">
      <alignment vertical="center"/>
    </xf>
    <xf numFmtId="0" fontId="5" fillId="0" borderId="1" xfId="2" applyBorder="1" applyAlignment="1">
      <alignment horizontal="left" vertical="center" wrapText="1"/>
    </xf>
    <xf numFmtId="0" fontId="17" fillId="2" borderId="1" xfId="2" applyFont="1" applyFill="1" applyBorder="1">
      <alignment vertical="center"/>
    </xf>
    <xf numFmtId="0" fontId="14" fillId="2" borderId="1" xfId="2" applyFont="1" applyFill="1" applyBorder="1">
      <alignment vertical="center"/>
    </xf>
    <xf numFmtId="0" fontId="5" fillId="0" borderId="1" xfId="2" quotePrefix="1" applyBorder="1" applyAlignment="1">
      <alignment vertical="center" wrapText="1"/>
    </xf>
    <xf numFmtId="0" fontId="5" fillId="4" borderId="1" xfId="2" applyFill="1" applyBorder="1">
      <alignment vertical="center"/>
    </xf>
    <xf numFmtId="0" fontId="14" fillId="4" borderId="1" xfId="2" applyFont="1" applyFill="1" applyBorder="1">
      <alignment vertical="center"/>
    </xf>
    <xf numFmtId="0" fontId="5" fillId="7" borderId="1" xfId="2" applyFill="1" applyBorder="1">
      <alignment vertical="center"/>
    </xf>
    <xf numFmtId="0" fontId="14" fillId="7" borderId="1" xfId="2" applyFont="1" applyFill="1" applyBorder="1">
      <alignment vertical="center"/>
    </xf>
    <xf numFmtId="0" fontId="5" fillId="2" borderId="1" xfId="2" applyFill="1" applyBorder="1">
      <alignment vertical="center"/>
    </xf>
    <xf numFmtId="0" fontId="5" fillId="10" borderId="1" xfId="2" applyFill="1" applyBorder="1">
      <alignment vertical="center"/>
    </xf>
    <xf numFmtId="0" fontId="14" fillId="10" borderId="1" xfId="2" applyFont="1" applyFill="1" applyBorder="1">
      <alignment vertical="center"/>
    </xf>
    <xf numFmtId="0" fontId="5" fillId="0" borderId="1" xfId="2" applyBorder="1" applyAlignment="1">
      <alignment horizontal="left" vertical="center"/>
    </xf>
    <xf numFmtId="0" fontId="5" fillId="5" borderId="1" xfId="2" applyFill="1" applyBorder="1">
      <alignment vertical="center"/>
    </xf>
    <xf numFmtId="0" fontId="14" fillId="5" borderId="1" xfId="2" applyFont="1" applyFill="1" applyBorder="1">
      <alignment vertical="center"/>
    </xf>
    <xf numFmtId="0" fontId="5" fillId="6" borderId="1" xfId="2" applyFill="1" applyBorder="1">
      <alignment vertical="center"/>
    </xf>
    <xf numFmtId="0" fontId="14" fillId="6" borderId="1" xfId="2" applyFont="1" applyFill="1" applyBorder="1">
      <alignment vertical="center"/>
    </xf>
    <xf numFmtId="0" fontId="5" fillId="3" borderId="1" xfId="2" applyFill="1" applyBorder="1" applyAlignment="1">
      <alignment vertical="center" wrapText="1"/>
    </xf>
    <xf numFmtId="0" fontId="5" fillId="3" borderId="1" xfId="2" quotePrefix="1" applyFill="1" applyBorder="1" applyAlignment="1">
      <alignment vertical="center" wrapText="1"/>
    </xf>
    <xf numFmtId="0" fontId="5" fillId="8" borderId="1" xfId="2" applyFill="1" applyBorder="1">
      <alignment vertical="center"/>
    </xf>
    <xf numFmtId="0" fontId="14" fillId="8" borderId="1" xfId="2" applyFont="1" applyFill="1" applyBorder="1">
      <alignment vertical="center"/>
    </xf>
    <xf numFmtId="176" fontId="5" fillId="0" borderId="22" xfId="2" applyNumberFormat="1" applyFill="1" applyBorder="1" applyAlignment="1">
      <alignment horizontal="left" vertical="top" wrapText="1"/>
    </xf>
    <xf numFmtId="0" fontId="5" fillId="0" borderId="0" xfId="2" applyFill="1" applyAlignment="1">
      <alignment horizontal="center" vertical="center"/>
    </xf>
    <xf numFmtId="0" fontId="5" fillId="0" borderId="0" xfId="2" applyFill="1" applyAlignment="1">
      <alignment horizontal="left" vertical="center"/>
    </xf>
    <xf numFmtId="0" fontId="5" fillId="0" borderId="0" xfId="2" applyFill="1" applyAlignment="1">
      <alignment vertical="center"/>
    </xf>
    <xf numFmtId="176" fontId="5" fillId="0" borderId="0" xfId="2" applyNumberFormat="1" applyFill="1" applyBorder="1" applyAlignment="1">
      <alignment horizontal="left" vertical="top" wrapText="1"/>
    </xf>
    <xf numFmtId="176" fontId="5" fillId="0" borderId="0" xfId="2" applyNumberFormat="1" applyFill="1" applyBorder="1" applyAlignment="1">
      <alignment vertical="center"/>
    </xf>
    <xf numFmtId="181" fontId="5" fillId="0" borderId="0" xfId="2" applyNumberFormat="1" applyFill="1" applyAlignment="1">
      <alignment horizontal="right" vertical="top" wrapText="1"/>
    </xf>
    <xf numFmtId="181" fontId="5" fillId="0" borderId="0" xfId="2" applyNumberFormat="1" applyFill="1" applyAlignment="1">
      <alignment horizontal="left" vertical="top" wrapText="1"/>
    </xf>
    <xf numFmtId="181" fontId="5" fillId="0" borderId="0" xfId="2" applyNumberFormat="1" applyFill="1" applyAlignment="1">
      <alignment horizontal="center" vertical="top" wrapText="1"/>
    </xf>
    <xf numFmtId="0" fontId="5" fillId="0" borderId="1" xfId="2" applyFill="1" applyBorder="1" applyAlignment="1">
      <alignment horizontal="center" vertical="center" wrapText="1"/>
    </xf>
    <xf numFmtId="0" fontId="5" fillId="0" borderId="1" xfId="2" applyBorder="1" applyAlignment="1">
      <alignment horizontal="center" vertical="center" wrapText="1"/>
    </xf>
    <xf numFmtId="0" fontId="5" fillId="0" borderId="0" xfId="2" applyFill="1" applyBorder="1" applyAlignment="1">
      <alignment horizontal="left" vertical="center" wrapText="1"/>
    </xf>
    <xf numFmtId="0" fontId="5" fillId="0" borderId="0" xfId="2" applyFill="1" applyBorder="1" applyAlignment="1">
      <alignment horizontal="center" vertical="center" wrapText="1"/>
    </xf>
    <xf numFmtId="0" fontId="5" fillId="0" borderId="1" xfId="2" applyFill="1" applyBorder="1" applyAlignment="1">
      <alignment horizontal="center" vertical="center"/>
    </xf>
    <xf numFmtId="0" fontId="5" fillId="0" borderId="1" xfId="2" applyFill="1" applyBorder="1" applyAlignment="1">
      <alignment horizontal="left" vertical="center"/>
    </xf>
    <xf numFmtId="0" fontId="5" fillId="0" borderId="1" xfId="2" applyFill="1" applyBorder="1" applyAlignment="1">
      <alignment vertical="center"/>
    </xf>
    <xf numFmtId="176" fontId="5" fillId="0" borderId="1" xfId="2" applyNumberFormat="1" applyFill="1" applyBorder="1" applyAlignment="1">
      <alignment vertical="center"/>
    </xf>
    <xf numFmtId="176" fontId="5" fillId="0" borderId="1" xfId="2" applyNumberFormat="1" applyFill="1" applyBorder="1" applyAlignment="1">
      <alignment horizontal="left" vertical="top" wrapText="1"/>
    </xf>
    <xf numFmtId="176" fontId="5" fillId="0" borderId="43" xfId="2" applyNumberFormat="1" applyFill="1" applyBorder="1" applyAlignment="1">
      <alignment horizontal="left" vertical="top" wrapText="1"/>
    </xf>
    <xf numFmtId="181" fontId="5" fillId="0" borderId="1" xfId="2" applyNumberFormat="1" applyFill="1" applyBorder="1" applyAlignment="1">
      <alignment horizontal="right" vertical="top" wrapText="1"/>
    </xf>
    <xf numFmtId="181" fontId="5" fillId="0" borderId="1" xfId="2" applyNumberFormat="1" applyFill="1" applyBorder="1" applyAlignment="1">
      <alignment horizontal="left" vertical="top" wrapText="1"/>
    </xf>
    <xf numFmtId="181" fontId="5" fillId="0" borderId="1" xfId="2" applyNumberFormat="1" applyFill="1" applyBorder="1" applyAlignment="1">
      <alignment horizontal="center" vertical="top" wrapText="1"/>
    </xf>
    <xf numFmtId="176" fontId="5" fillId="0" borderId="44" xfId="2" applyNumberFormat="1" applyFill="1" applyBorder="1" applyAlignment="1">
      <alignment horizontal="left" vertical="top" wrapText="1"/>
    </xf>
    <xf numFmtId="176" fontId="5" fillId="0" borderId="1" xfId="2" applyNumberFormat="1" applyFont="1" applyFill="1" applyBorder="1" applyAlignment="1">
      <alignment horizontal="left" vertical="top" wrapText="1"/>
    </xf>
    <xf numFmtId="176" fontId="5" fillId="0" borderId="45" xfId="2" applyNumberFormat="1" applyFill="1" applyBorder="1" applyAlignment="1">
      <alignment horizontal="left" vertical="top" wrapText="1"/>
    </xf>
    <xf numFmtId="0" fontId="22" fillId="0" borderId="1" xfId="2" applyFont="1" applyFill="1" applyBorder="1" applyAlignment="1">
      <alignment horizontal="center" vertical="center"/>
    </xf>
    <xf numFmtId="0" fontId="22" fillId="0" borderId="1" xfId="2" applyFont="1" applyFill="1" applyBorder="1" applyAlignment="1">
      <alignment horizontal="left" vertical="center"/>
    </xf>
    <xf numFmtId="0" fontId="22" fillId="0" borderId="1" xfId="2" applyFont="1" applyFill="1" applyBorder="1" applyAlignment="1">
      <alignment vertical="center" wrapText="1"/>
    </xf>
    <xf numFmtId="176" fontId="22" fillId="0" borderId="1" xfId="2" applyNumberFormat="1" applyFont="1" applyFill="1" applyBorder="1" applyAlignment="1">
      <alignment vertical="center"/>
    </xf>
    <xf numFmtId="0" fontId="22" fillId="0" borderId="1" xfId="2" applyFont="1" applyFill="1" applyBorder="1" applyAlignment="1">
      <alignment vertical="center"/>
    </xf>
    <xf numFmtId="176" fontId="22" fillId="0" borderId="1" xfId="2" applyNumberFormat="1" applyFont="1" applyFill="1" applyBorder="1" applyAlignment="1">
      <alignment horizontal="left" vertical="center" wrapText="1"/>
    </xf>
    <xf numFmtId="0" fontId="3" fillId="0" borderId="1" xfId="2" applyFont="1" applyFill="1" applyBorder="1" applyAlignment="1">
      <alignment vertical="center"/>
    </xf>
    <xf numFmtId="176" fontId="5" fillId="0" borderId="13" xfId="2" applyNumberFormat="1" applyFill="1" applyBorder="1" applyAlignment="1">
      <alignment horizontal="left" vertical="top" wrapText="1"/>
    </xf>
    <xf numFmtId="176" fontId="5" fillId="0" borderId="1" xfId="2" applyNumberFormat="1" applyFill="1" applyBorder="1" applyAlignment="1">
      <alignment horizontal="left" vertical="center"/>
    </xf>
    <xf numFmtId="176" fontId="5" fillId="0" borderId="1" xfId="2" applyNumberFormat="1" applyFill="1" applyBorder="1" applyAlignment="1">
      <alignment horizontal="center" vertical="center"/>
    </xf>
    <xf numFmtId="0" fontId="5" fillId="0" borderId="15" xfId="2" applyFill="1" applyBorder="1" applyAlignment="1">
      <alignment horizontal="center" vertical="center"/>
    </xf>
    <xf numFmtId="0" fontId="5" fillId="0" borderId="15" xfId="2" applyFill="1" applyBorder="1" applyAlignment="1">
      <alignment horizontal="left" vertical="center"/>
    </xf>
    <xf numFmtId="176" fontId="5" fillId="0" borderId="15" xfId="2" applyNumberFormat="1" applyFill="1" applyBorder="1" applyAlignment="1">
      <alignment vertical="center"/>
    </xf>
    <xf numFmtId="176" fontId="5" fillId="0" borderId="15" xfId="2" applyNumberFormat="1" applyFill="1" applyBorder="1" applyAlignment="1">
      <alignment horizontal="left" vertical="center"/>
    </xf>
    <xf numFmtId="176" fontId="5" fillId="0" borderId="15" xfId="2" applyNumberFormat="1" applyFill="1" applyBorder="1" applyAlignment="1">
      <alignment horizontal="left" vertical="top" wrapText="1"/>
    </xf>
    <xf numFmtId="181" fontId="5" fillId="0" borderId="15" xfId="2" applyNumberFormat="1" applyFill="1" applyBorder="1" applyAlignment="1">
      <alignment horizontal="right" vertical="top" wrapText="1"/>
    </xf>
    <xf numFmtId="181" fontId="5" fillId="0" borderId="15" xfId="2" applyNumberFormat="1" applyFill="1" applyBorder="1" applyAlignment="1">
      <alignment horizontal="left" vertical="top" wrapText="1"/>
    </xf>
    <xf numFmtId="181" fontId="5" fillId="0" borderId="15" xfId="2" applyNumberFormat="1" applyFill="1" applyBorder="1" applyAlignment="1">
      <alignment horizontal="center" vertical="top" wrapText="1"/>
    </xf>
    <xf numFmtId="176" fontId="5" fillId="0" borderId="1" xfId="2" applyNumberFormat="1" applyFill="1" applyBorder="1" applyAlignment="1">
      <alignment vertical="center" wrapText="1"/>
    </xf>
    <xf numFmtId="0" fontId="5" fillId="0" borderId="26" xfId="2" applyFill="1" applyBorder="1" applyAlignment="1">
      <alignment vertical="center" wrapText="1"/>
    </xf>
    <xf numFmtId="0" fontId="5" fillId="0" borderId="1" xfId="2" applyFill="1" applyBorder="1" applyAlignment="1">
      <alignment vertical="top" wrapText="1"/>
    </xf>
    <xf numFmtId="181" fontId="5" fillId="0" borderId="1" xfId="2" applyNumberFormat="1" applyFill="1" applyBorder="1" applyAlignment="1">
      <alignment horizontal="left" vertical="center" wrapText="1"/>
    </xf>
    <xf numFmtId="181" fontId="5" fillId="0" borderId="1" xfId="2" applyNumberFormat="1" applyFill="1" applyBorder="1" applyAlignment="1">
      <alignment horizontal="center" vertical="center" wrapText="1"/>
    </xf>
    <xf numFmtId="0" fontId="5" fillId="0" borderId="0" xfId="2" applyFill="1" applyAlignment="1">
      <alignment horizontal="center" vertical="top"/>
    </xf>
    <xf numFmtId="0" fontId="5" fillId="0" borderId="0" xfId="2" applyFill="1" applyAlignment="1">
      <alignment horizontal="right" vertical="top"/>
    </xf>
    <xf numFmtId="0" fontId="5" fillId="0" borderId="0" xfId="2" applyFill="1">
      <alignment vertical="center"/>
    </xf>
    <xf numFmtId="0" fontId="5" fillId="0" borderId="0" xfId="2" applyFont="1" applyFill="1" applyAlignment="1">
      <alignment vertical="top" wrapText="1"/>
    </xf>
    <xf numFmtId="0" fontId="5" fillId="0" borderId="1" xfId="2" applyFont="1" applyFill="1" applyBorder="1" applyAlignment="1">
      <alignment horizontal="center" vertical="center" wrapText="1"/>
    </xf>
    <xf numFmtId="176" fontId="5" fillId="0" borderId="1" xfId="2" applyNumberFormat="1" applyFont="1" applyFill="1" applyBorder="1" applyAlignment="1">
      <alignment vertical="top" wrapText="1"/>
    </xf>
    <xf numFmtId="0" fontId="5" fillId="0" borderId="1" xfId="2" applyFill="1" applyBorder="1" applyAlignment="1">
      <alignment horizontal="left" vertical="top" wrapText="1"/>
    </xf>
    <xf numFmtId="0" fontId="5" fillId="0" borderId="1" xfId="2" applyFont="1" applyFill="1" applyBorder="1" applyAlignment="1">
      <alignment vertical="top" wrapText="1"/>
    </xf>
    <xf numFmtId="176" fontId="5" fillId="0" borderId="1" xfId="2" applyNumberFormat="1" applyFont="1" applyFill="1" applyBorder="1" applyAlignment="1">
      <alignment horizontal="center" vertical="top" wrapText="1"/>
    </xf>
    <xf numFmtId="0" fontId="5" fillId="0" borderId="1" xfId="2" applyFont="1" applyFill="1" applyBorder="1" applyAlignment="1">
      <alignment horizontal="center" vertical="top"/>
    </xf>
    <xf numFmtId="176" fontId="24" fillId="0" borderId="1" xfId="2" applyNumberFormat="1" applyFont="1" applyFill="1" applyBorder="1" applyAlignment="1">
      <alignment vertical="top" wrapText="1"/>
    </xf>
    <xf numFmtId="181" fontId="5" fillId="0" borderId="0" xfId="2" applyNumberFormat="1" applyFill="1" applyAlignment="1">
      <alignment vertical="center"/>
    </xf>
    <xf numFmtId="0" fontId="5" fillId="0" borderId="0" xfId="2" applyFont="1" applyAlignment="1">
      <alignment vertical="center" wrapText="1"/>
    </xf>
    <xf numFmtId="181" fontId="5" fillId="0" borderId="1" xfId="2" applyNumberFormat="1" applyFill="1" applyBorder="1" applyAlignment="1">
      <alignment vertical="center"/>
    </xf>
    <xf numFmtId="0" fontId="5" fillId="0" borderId="1" xfId="2" applyFont="1" applyBorder="1" applyAlignment="1">
      <alignment vertical="center" wrapText="1"/>
    </xf>
    <xf numFmtId="181" fontId="5" fillId="0" borderId="1" xfId="2" applyNumberFormat="1" applyFont="1" applyFill="1" applyBorder="1" applyAlignment="1">
      <alignment vertical="center"/>
    </xf>
    <xf numFmtId="0" fontId="5" fillId="0" borderId="1" xfId="2" applyBorder="1" applyAlignment="1">
      <alignment vertical="center"/>
    </xf>
    <xf numFmtId="0" fontId="5" fillId="0" borderId="0" xfId="2" applyBorder="1">
      <alignment vertical="center"/>
    </xf>
    <xf numFmtId="0" fontId="5" fillId="0" borderId="0" xfId="2" applyFont="1" applyBorder="1" applyAlignment="1">
      <alignment vertical="center" wrapText="1"/>
    </xf>
    <xf numFmtId="0" fontId="5" fillId="0" borderId="0" xfId="2" applyFont="1" applyFill="1" applyAlignment="1">
      <alignment horizontal="center" vertical="top"/>
    </xf>
    <xf numFmtId="0" fontId="25" fillId="0" borderId="0" xfId="2" applyFont="1">
      <alignment vertical="center"/>
    </xf>
    <xf numFmtId="179" fontId="7" fillId="0" borderId="1" xfId="2" applyNumberFormat="1" applyFont="1" applyBorder="1" applyAlignment="1">
      <alignment horizontal="left" vertical="center" wrapText="1"/>
    </xf>
    <xf numFmtId="0" fontId="4" fillId="0" borderId="1" xfId="1" applyFont="1" applyBorder="1" applyAlignment="1">
      <alignment horizontal="left" vertical="center" wrapText="1"/>
    </xf>
    <xf numFmtId="177" fontId="4" fillId="0" borderId="1" xfId="1" applyNumberFormat="1" applyFont="1" applyFill="1" applyBorder="1" applyAlignment="1">
      <alignment horizontal="left" vertical="center" wrapText="1"/>
    </xf>
    <xf numFmtId="0" fontId="4" fillId="3" borderId="1" xfId="1" applyFont="1" applyFill="1" applyBorder="1" applyAlignment="1">
      <alignment horizontal="left" vertical="center" wrapText="1"/>
    </xf>
    <xf numFmtId="177" fontId="4" fillId="3" borderId="1" xfId="1" applyNumberFormat="1" applyFont="1" applyFill="1" applyBorder="1" applyAlignment="1">
      <alignment horizontal="left" vertical="center" wrapText="1"/>
    </xf>
    <xf numFmtId="177" fontId="4" fillId="0" borderId="1" xfId="3" applyNumberFormat="1" applyFont="1" applyBorder="1" applyAlignment="1">
      <alignment horizontal="left" vertical="center" wrapText="1"/>
    </xf>
    <xf numFmtId="0" fontId="4" fillId="0" borderId="0" xfId="1" applyFont="1" applyAlignment="1">
      <alignment horizontal="left" vertical="center" wrapText="1"/>
    </xf>
    <xf numFmtId="0" fontId="5" fillId="0" borderId="1" xfId="0" applyFont="1" applyBorder="1" applyAlignment="1">
      <alignment vertical="top" wrapText="1"/>
    </xf>
    <xf numFmtId="0" fontId="5" fillId="0" borderId="1" xfId="0" applyFont="1" applyBorder="1" applyAlignment="1">
      <alignment horizontal="center" vertical="center"/>
    </xf>
    <xf numFmtId="178" fontId="5" fillId="0" borderId="1" xfId="0" applyNumberFormat="1"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vertical="top"/>
    </xf>
    <xf numFmtId="178" fontId="5" fillId="0" borderId="1" xfId="0" applyNumberFormat="1" applyFont="1" applyBorder="1" applyAlignment="1">
      <alignment vertical="top"/>
    </xf>
    <xf numFmtId="0" fontId="5" fillId="0" borderId="0" xfId="0" applyFont="1" applyAlignment="1">
      <alignment vertical="top"/>
    </xf>
    <xf numFmtId="178" fontId="5" fillId="0" borderId="0" xfId="0" applyNumberFormat="1" applyFont="1" applyAlignment="1">
      <alignment vertical="top"/>
    </xf>
    <xf numFmtId="0" fontId="5" fillId="0" borderId="0" xfId="0" applyFont="1" applyAlignment="1">
      <alignment vertical="top" wrapText="1"/>
    </xf>
    <xf numFmtId="0" fontId="5" fillId="0" borderId="1" xfId="0" applyFont="1" applyFill="1" applyBorder="1" applyAlignment="1">
      <alignment vertical="top" wrapText="1"/>
    </xf>
    <xf numFmtId="177" fontId="4" fillId="0" borderId="1" xfId="1" applyNumberFormat="1" applyFont="1" applyFill="1" applyBorder="1" applyAlignment="1">
      <alignment horizontal="left" vertical="top" wrapText="1"/>
    </xf>
    <xf numFmtId="0" fontId="5" fillId="0" borderId="0" xfId="0" applyFont="1" applyBorder="1" applyAlignment="1">
      <alignment horizontal="center" vertical="top" wrapText="1"/>
    </xf>
    <xf numFmtId="0" fontId="0" fillId="0" borderId="1" xfId="0" applyBorder="1" applyAlignment="1">
      <alignment horizontal="center" vertical="top"/>
    </xf>
    <xf numFmtId="0" fontId="0" fillId="0" borderId="1" xfId="0" applyBorder="1" applyAlignment="1">
      <alignment vertical="top"/>
    </xf>
    <xf numFmtId="176" fontId="0" fillId="0" borderId="1" xfId="0" applyNumberFormat="1" applyBorder="1" applyAlignment="1">
      <alignment vertical="top"/>
    </xf>
    <xf numFmtId="0" fontId="5" fillId="0" borderId="1" xfId="0" applyFont="1" applyFill="1" applyBorder="1" applyAlignment="1">
      <alignment horizontal="center" vertical="center" wrapText="1"/>
    </xf>
    <xf numFmtId="0" fontId="5" fillId="0" borderId="0" xfId="0" applyFont="1" applyFill="1" applyAlignment="1">
      <alignment vertical="top" wrapText="1"/>
    </xf>
    <xf numFmtId="0" fontId="26" fillId="0" borderId="0" xfId="0" applyFont="1" applyFill="1" applyAlignment="1">
      <alignment horizontal="center" vertical="center"/>
    </xf>
    <xf numFmtId="0" fontId="26" fillId="0" borderId="1" xfId="0" applyFont="1" applyFill="1" applyBorder="1" applyAlignment="1">
      <alignment horizontal="center" vertical="center"/>
    </xf>
    <xf numFmtId="0" fontId="22"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2" fillId="0" borderId="1" xfId="0" applyFont="1" applyFill="1" applyBorder="1" applyAlignment="1">
      <alignment horizontal="center" vertical="center"/>
    </xf>
    <xf numFmtId="0" fontId="0" fillId="0" borderId="1" xfId="0" applyFill="1" applyBorder="1">
      <alignment vertical="center"/>
    </xf>
    <xf numFmtId="11" fontId="14" fillId="0" borderId="1" xfId="0" applyNumberFormat="1" applyFont="1" applyFill="1" applyBorder="1">
      <alignment vertical="center"/>
    </xf>
    <xf numFmtId="0" fontId="5" fillId="0" borderId="44" xfId="2" applyFill="1" applyBorder="1" applyAlignment="1">
      <alignment horizontal="left" vertical="top" wrapText="1"/>
    </xf>
    <xf numFmtId="176" fontId="5" fillId="0" borderId="0" xfId="2" applyNumberFormat="1" applyFont="1" applyFill="1" applyBorder="1" applyAlignment="1">
      <alignment vertical="top" wrapText="1"/>
    </xf>
    <xf numFmtId="0" fontId="5" fillId="0" borderId="1" xfId="2" applyFill="1" applyBorder="1" applyAlignment="1">
      <alignment horizontal="left" vertical="center" wrapText="1"/>
    </xf>
    <xf numFmtId="0" fontId="0" fillId="0" borderId="0" xfId="0" applyAlignment="1">
      <alignment vertical="center" wrapText="1"/>
    </xf>
    <xf numFmtId="0" fontId="25" fillId="0" borderId="0" xfId="2" applyFont="1" applyFill="1" applyAlignment="1">
      <alignment horizontal="center" vertical="center"/>
    </xf>
    <xf numFmtId="0" fontId="25" fillId="0" borderId="0" xfId="2" applyFont="1" applyFill="1" applyAlignment="1">
      <alignment horizontal="left" vertical="center"/>
    </xf>
    <xf numFmtId="0" fontId="25" fillId="0" borderId="0" xfId="2" applyFont="1" applyFill="1" applyAlignment="1">
      <alignment vertical="center"/>
    </xf>
    <xf numFmtId="0" fontId="25" fillId="0" borderId="0" xfId="2" applyFont="1" applyFill="1" applyAlignment="1">
      <alignment horizontal="left" vertical="top" wrapText="1"/>
    </xf>
    <xf numFmtId="0" fontId="25" fillId="0" borderId="0" xfId="2" applyFont="1" applyFill="1" applyAlignment="1">
      <alignment horizontal="left" vertical="top"/>
    </xf>
    <xf numFmtId="183" fontId="7" fillId="0" borderId="1" xfId="2" applyNumberFormat="1" applyFont="1" applyBorder="1">
      <alignment vertical="center"/>
    </xf>
    <xf numFmtId="183" fontId="7" fillId="3" borderId="1" xfId="2" applyNumberFormat="1" applyFont="1" applyFill="1" applyBorder="1">
      <alignment vertical="center"/>
    </xf>
    <xf numFmtId="0" fontId="0" fillId="0" borderId="32" xfId="0" applyBorder="1" applyAlignment="1">
      <alignment horizontal="center" vertical="center"/>
    </xf>
    <xf numFmtId="0" fontId="0" fillId="0" borderId="31" xfId="0" applyBorder="1" applyAlignment="1">
      <alignment horizontal="center" vertical="center"/>
    </xf>
    <xf numFmtId="0" fontId="0" fillId="0" borderId="33" xfId="0" applyBorder="1" applyAlignment="1">
      <alignment horizontal="center" vertical="center"/>
    </xf>
    <xf numFmtId="0" fontId="0" fillId="0" borderId="48" xfId="0" applyBorder="1">
      <alignment vertical="center"/>
    </xf>
    <xf numFmtId="176" fontId="0" fillId="0" borderId="34" xfId="0" applyNumberFormat="1" applyBorder="1" applyAlignment="1"/>
    <xf numFmtId="0" fontId="0" fillId="0" borderId="34" xfId="0" applyBorder="1" applyAlignment="1"/>
    <xf numFmtId="176" fontId="0" fillId="0" borderId="49" xfId="0" applyNumberFormat="1" applyBorder="1" applyAlignment="1"/>
    <xf numFmtId="176" fontId="0" fillId="0" borderId="3" xfId="0" applyNumberFormat="1" applyFill="1" applyBorder="1" applyAlignment="1">
      <alignment vertical="top" wrapText="1"/>
    </xf>
    <xf numFmtId="3" fontId="0" fillId="0" borderId="0" xfId="0" applyNumberFormat="1">
      <alignment vertical="center"/>
    </xf>
    <xf numFmtId="0" fontId="0" fillId="0" borderId="1" xfId="0" applyBorder="1" applyAlignment="1">
      <alignment horizontal="center" vertical="center"/>
    </xf>
    <xf numFmtId="0" fontId="0" fillId="0" borderId="1" xfId="0" applyBorder="1" applyAlignment="1">
      <alignment vertical="center" wrapText="1"/>
    </xf>
    <xf numFmtId="0" fontId="0" fillId="0" borderId="46" xfId="0" applyBorder="1" applyAlignment="1">
      <alignment horizontal="center" vertical="center"/>
    </xf>
    <xf numFmtId="0" fontId="0" fillId="0" borderId="27" xfId="0" applyBorder="1" applyAlignment="1">
      <alignment horizontal="center" vertical="center"/>
    </xf>
    <xf numFmtId="0" fontId="0" fillId="0" borderId="27" xfId="0" applyBorder="1" applyAlignment="1">
      <alignment vertical="center" wrapText="1"/>
    </xf>
    <xf numFmtId="0" fontId="0" fillId="0" borderId="47" xfId="0" applyBorder="1" applyAlignment="1">
      <alignment horizontal="center" vertical="center" wrapText="1"/>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27" xfId="0" applyBorder="1" applyAlignment="1">
      <alignment horizontal="center" vertical="center" wrapText="1"/>
    </xf>
    <xf numFmtId="176" fontId="29" fillId="0" borderId="1" xfId="2" applyNumberFormat="1" applyFont="1" applyFill="1" applyBorder="1" applyAlignment="1">
      <alignment horizontal="left" vertical="top" wrapText="1"/>
    </xf>
    <xf numFmtId="0" fontId="0" fillId="0" borderId="7" xfId="0" applyBorder="1" applyAlignment="1">
      <alignment vertical="top"/>
    </xf>
    <xf numFmtId="0" fontId="0" fillId="0" borderId="2" xfId="0" applyBorder="1" applyAlignment="1">
      <alignment vertical="top"/>
    </xf>
    <xf numFmtId="0" fontId="5" fillId="0" borderId="0" xfId="0" applyFont="1" applyAlignment="1">
      <alignment horizontal="center" vertical="center"/>
    </xf>
    <xf numFmtId="180" fontId="5" fillId="0" borderId="1" xfId="4" applyNumberFormat="1" applyFont="1" applyBorder="1" applyAlignment="1">
      <alignment horizontal="right" vertical="center"/>
    </xf>
    <xf numFmtId="0" fontId="24" fillId="0" borderId="1" xfId="0" applyFont="1" applyBorder="1" applyAlignment="1">
      <alignment horizontal="center" vertical="center" wrapText="1"/>
    </xf>
    <xf numFmtId="0" fontId="5" fillId="0" borderId="1" xfId="0" applyFont="1" applyBorder="1" applyAlignment="1">
      <alignment horizontal="left" vertical="top" wrapText="1"/>
    </xf>
    <xf numFmtId="0" fontId="12" fillId="0" borderId="1" xfId="0" applyFont="1" applyBorder="1" applyAlignment="1">
      <alignment horizontal="left" vertical="top" wrapText="1"/>
    </xf>
    <xf numFmtId="0" fontId="5" fillId="0" borderId="0" xfId="2" applyFont="1" applyFill="1" applyAlignment="1">
      <alignment horizontal="center" vertical="center"/>
    </xf>
    <xf numFmtId="0" fontId="5" fillId="0" borderId="0" xfId="2" applyFont="1" applyFill="1">
      <alignment vertical="center"/>
    </xf>
    <xf numFmtId="0" fontId="5" fillId="0" borderId="0" xfId="2" applyFont="1" applyFill="1" applyAlignment="1">
      <alignment horizontal="left" vertical="center" wrapText="1"/>
    </xf>
    <xf numFmtId="0" fontId="5" fillId="0" borderId="1" xfId="2" applyFont="1" applyFill="1" applyBorder="1" applyAlignment="1">
      <alignment horizontal="center" vertical="center"/>
    </xf>
    <xf numFmtId="0" fontId="5" fillId="0" borderId="42" xfId="2" applyFont="1" applyFill="1" applyBorder="1" applyAlignment="1">
      <alignment horizontal="left" vertical="center" wrapText="1"/>
    </xf>
    <xf numFmtId="0" fontId="5" fillId="0" borderId="26" xfId="2" applyFont="1" applyFill="1" applyBorder="1" applyAlignment="1">
      <alignment horizontal="left" vertical="center" wrapText="1"/>
    </xf>
    <xf numFmtId="0" fontId="5" fillId="0" borderId="0" xfId="2" applyFont="1" applyFill="1" applyBorder="1" applyAlignment="1">
      <alignment horizontal="center" vertical="center"/>
    </xf>
    <xf numFmtId="0" fontId="5" fillId="0" borderId="1" xfId="2" applyFont="1" applyFill="1" applyBorder="1" applyAlignment="1">
      <alignment vertical="top"/>
    </xf>
    <xf numFmtId="176" fontId="5" fillId="0" borderId="1" xfId="2" applyNumberFormat="1" applyFont="1" applyFill="1" applyBorder="1" applyAlignment="1">
      <alignment vertical="top"/>
    </xf>
    <xf numFmtId="176" fontId="5" fillId="0" borderId="42" xfId="2" applyNumberFormat="1" applyFont="1" applyFill="1" applyBorder="1" applyAlignment="1">
      <alignment vertical="top"/>
    </xf>
    <xf numFmtId="181" fontId="5" fillId="0" borderId="26" xfId="2" applyNumberFormat="1" applyFont="1" applyFill="1" applyBorder="1" applyAlignment="1">
      <alignment horizontal="center" vertical="top" wrapText="1"/>
    </xf>
    <xf numFmtId="0" fontId="5" fillId="0" borderId="1" xfId="2" applyFont="1" applyFill="1" applyBorder="1" applyAlignment="1">
      <alignment horizontal="left" vertical="top" wrapText="1"/>
    </xf>
    <xf numFmtId="0" fontId="5" fillId="0" borderId="1" xfId="2" applyFont="1" applyFill="1" applyBorder="1" applyAlignment="1">
      <alignment horizontal="left" vertical="top"/>
    </xf>
    <xf numFmtId="181" fontId="5" fillId="0" borderId="1" xfId="2" applyNumberFormat="1" applyFont="1" applyFill="1" applyBorder="1" applyAlignment="1">
      <alignment horizontal="center" vertical="top" wrapText="1"/>
    </xf>
    <xf numFmtId="0" fontId="5" fillId="0" borderId="1" xfId="2" applyFont="1" applyFill="1" applyBorder="1" applyAlignment="1">
      <alignment horizontal="center" vertical="top" wrapText="1"/>
    </xf>
    <xf numFmtId="0" fontId="5" fillId="0" borderId="1" xfId="2" applyFont="1" applyFill="1" applyBorder="1" applyAlignment="1">
      <alignment vertical="center" wrapText="1"/>
    </xf>
    <xf numFmtId="176" fontId="5" fillId="0" borderId="26" xfId="2" applyNumberFormat="1" applyFont="1" applyFill="1" applyBorder="1" applyAlignment="1">
      <alignment horizontal="left" vertical="top" wrapText="1"/>
    </xf>
    <xf numFmtId="0" fontId="5" fillId="0" borderId="1" xfId="2" applyFont="1" applyFill="1" applyBorder="1" applyAlignment="1">
      <alignment horizontal="center"/>
    </xf>
    <xf numFmtId="0" fontId="5" fillId="0" borderId="1" xfId="2" applyFont="1" applyFill="1" applyBorder="1" applyAlignment="1"/>
    <xf numFmtId="176" fontId="5" fillId="0" borderId="1" xfId="2" applyNumberFormat="1" applyFont="1" applyFill="1" applyBorder="1" applyAlignment="1"/>
    <xf numFmtId="0" fontId="5" fillId="0" borderId="1" xfId="2" applyFont="1" applyFill="1" applyBorder="1">
      <alignment vertical="center"/>
    </xf>
    <xf numFmtId="176" fontId="5" fillId="0" borderId="42" xfId="2" applyNumberFormat="1" applyFont="1" applyFill="1" applyBorder="1" applyAlignment="1"/>
    <xf numFmtId="176" fontId="5" fillId="0" borderId="1" xfId="2" applyNumberFormat="1" applyFont="1" applyFill="1" applyBorder="1" applyAlignment="1">
      <alignment horizontal="left" wrapText="1"/>
    </xf>
    <xf numFmtId="176" fontId="5" fillId="0" borderId="1" xfId="2" applyNumberFormat="1" applyFont="1" applyFill="1" applyBorder="1" applyAlignment="1">
      <alignment vertical="center" wrapText="1"/>
    </xf>
    <xf numFmtId="176" fontId="5" fillId="0" borderId="1" xfId="2" applyNumberFormat="1" applyFont="1" applyFill="1" applyBorder="1" applyAlignment="1">
      <alignment horizontal="left" vertical="center" wrapText="1"/>
    </xf>
    <xf numFmtId="176" fontId="5" fillId="0" borderId="26" xfId="2" applyNumberFormat="1" applyFont="1" applyFill="1" applyBorder="1" applyAlignment="1">
      <alignment horizontal="center" vertical="center"/>
    </xf>
    <xf numFmtId="0" fontId="5" fillId="0" borderId="0" xfId="2" applyFont="1" applyFill="1" applyAlignment="1">
      <alignment horizontal="right" vertical="center"/>
    </xf>
    <xf numFmtId="0" fontId="5" fillId="0" borderId="0" xfId="2" applyFont="1" applyFill="1" applyAlignment="1">
      <alignment horizontal="right" vertical="top"/>
    </xf>
    <xf numFmtId="0" fontId="12" fillId="0" borderId="1" xfId="2" applyNumberFormat="1" applyFont="1" applyFill="1" applyBorder="1" applyAlignment="1">
      <alignment vertical="top"/>
    </xf>
    <xf numFmtId="0" fontId="12" fillId="0" borderId="1" xfId="2" applyFont="1" applyFill="1" applyBorder="1" applyAlignment="1">
      <alignment vertical="top"/>
    </xf>
    <xf numFmtId="0" fontId="12" fillId="0" borderId="1" xfId="2" applyFont="1" applyFill="1" applyBorder="1" applyAlignment="1">
      <alignment horizontal="right"/>
    </xf>
    <xf numFmtId="0" fontId="0" fillId="3" borderId="0" xfId="0" applyFont="1" applyFill="1" applyAlignment="1">
      <alignment vertical="center" wrapText="1"/>
    </xf>
    <xf numFmtId="0" fontId="0" fillId="3" borderId="14" xfId="0" applyFont="1" applyFill="1" applyBorder="1" applyAlignment="1">
      <alignment horizontal="center" vertical="center" wrapText="1"/>
    </xf>
    <xf numFmtId="176" fontId="5" fillId="3" borderId="21" xfId="0" applyNumberFormat="1" applyFont="1" applyFill="1" applyBorder="1" applyAlignment="1">
      <alignment wrapText="1"/>
    </xf>
    <xf numFmtId="176" fontId="5" fillId="3" borderId="22" xfId="0" applyNumberFormat="1" applyFont="1" applyFill="1" applyBorder="1" applyAlignment="1">
      <alignment wrapText="1"/>
    </xf>
    <xf numFmtId="176" fontId="5" fillId="3" borderId="3" xfId="0" applyNumberFormat="1" applyFont="1" applyFill="1" applyBorder="1" applyAlignment="1">
      <alignment wrapText="1"/>
    </xf>
    <xf numFmtId="176" fontId="5" fillId="3" borderId="22" xfId="0" applyNumberFormat="1" applyFont="1" applyFill="1" applyBorder="1" applyAlignment="1">
      <alignment vertical="top" wrapText="1"/>
    </xf>
    <xf numFmtId="176" fontId="5" fillId="3" borderId="14" xfId="0" applyNumberFormat="1" applyFont="1" applyFill="1" applyBorder="1" applyAlignment="1">
      <alignment wrapText="1"/>
    </xf>
    <xf numFmtId="0" fontId="5" fillId="0" borderId="15" xfId="0" applyFont="1" applyBorder="1" applyAlignment="1">
      <alignment horizontal="left" vertical="top" wrapText="1"/>
    </xf>
    <xf numFmtId="0" fontId="5" fillId="0" borderId="15" xfId="0" applyFont="1" applyBorder="1" applyAlignment="1">
      <alignment horizontal="center" vertical="center"/>
    </xf>
    <xf numFmtId="180" fontId="5" fillId="0" borderId="15" xfId="4" applyNumberFormat="1" applyFont="1" applyBorder="1" applyAlignment="1">
      <alignment horizontal="right" vertical="center"/>
    </xf>
    <xf numFmtId="0" fontId="5" fillId="0" borderId="15" xfId="0" applyFont="1" applyBorder="1" applyAlignment="1">
      <alignment horizontal="center" vertical="center" wrapText="1"/>
    </xf>
    <xf numFmtId="0" fontId="5" fillId="0" borderId="1" xfId="0" applyFont="1" applyBorder="1" applyAlignment="1">
      <alignment horizontal="center" vertical="center"/>
    </xf>
    <xf numFmtId="180" fontId="5" fillId="0" borderId="15" xfId="4" applyNumberFormat="1" applyFont="1" applyBorder="1" applyAlignment="1">
      <alignment horizontal="center" vertical="center" wrapText="1"/>
    </xf>
    <xf numFmtId="0" fontId="5" fillId="0" borderId="1" xfId="2" applyFont="1" applyFill="1" applyBorder="1" applyAlignment="1">
      <alignment horizontal="left" vertical="center" wrapText="1"/>
    </xf>
    <xf numFmtId="0" fontId="5" fillId="0" borderId="0" xfId="2" applyFill="1" applyAlignment="1">
      <alignment horizontal="left" vertical="top" wrapText="1"/>
    </xf>
    <xf numFmtId="0" fontId="5" fillId="0" borderId="0" xfId="0" applyFont="1" applyAlignment="1">
      <alignment vertical="center" wrapText="1"/>
    </xf>
    <xf numFmtId="0" fontId="5" fillId="0" borderId="1" xfId="0" applyFont="1" applyBorder="1" applyAlignment="1">
      <alignment vertical="center" wrapText="1"/>
    </xf>
    <xf numFmtId="0" fontId="5" fillId="0" borderId="1" xfId="0" applyFont="1" applyBorder="1" applyAlignment="1">
      <alignment horizontal="left" vertical="center" wrapText="1"/>
    </xf>
    <xf numFmtId="0" fontId="21" fillId="0" borderId="13" xfId="2" applyFont="1" applyFill="1" applyBorder="1" applyAlignment="1">
      <alignment horizontal="center" vertical="center" wrapText="1"/>
    </xf>
    <xf numFmtId="181" fontId="22" fillId="0" borderId="1" xfId="2" applyNumberFormat="1" applyFont="1" applyFill="1" applyBorder="1" applyAlignment="1">
      <alignment horizontal="left" vertical="center" wrapText="1"/>
    </xf>
    <xf numFmtId="181" fontId="22" fillId="0" borderId="1" xfId="2" applyNumberFormat="1" applyFont="1" applyFill="1" applyBorder="1" applyAlignment="1">
      <alignment horizontal="center" vertical="center" wrapText="1"/>
    </xf>
    <xf numFmtId="0" fontId="5" fillId="0" borderId="0" xfId="2" applyFill="1" applyAlignment="1">
      <alignment vertical="center" wrapText="1"/>
    </xf>
    <xf numFmtId="0" fontId="5" fillId="0" borderId="1" xfId="2" applyFill="1" applyBorder="1">
      <alignment vertical="center"/>
    </xf>
    <xf numFmtId="176" fontId="5" fillId="0" borderId="1" xfId="2" applyNumberFormat="1" applyFill="1" applyBorder="1" applyAlignment="1">
      <alignment horizontal="left" vertical="center" wrapText="1"/>
    </xf>
    <xf numFmtId="0" fontId="5" fillId="0" borderId="1" xfId="2" applyFill="1" applyBorder="1" applyAlignment="1">
      <alignment vertical="center" wrapText="1"/>
    </xf>
    <xf numFmtId="0" fontId="13" fillId="0" borderId="40" xfId="0" applyFont="1" applyFill="1" applyBorder="1" applyAlignment="1">
      <alignment horizontal="center" vertical="top" wrapText="1"/>
    </xf>
    <xf numFmtId="0" fontId="13" fillId="0" borderId="40" xfId="0" applyFont="1" applyFill="1" applyBorder="1" applyAlignment="1">
      <alignment vertical="top" wrapText="1"/>
    </xf>
    <xf numFmtId="0" fontId="4" fillId="0" borderId="1" xfId="1" applyFont="1" applyBorder="1" applyAlignment="1">
      <alignment horizontal="center" vertical="center" wrapText="1"/>
    </xf>
    <xf numFmtId="0" fontId="22" fillId="0" borderId="1" xfId="0" applyFont="1" applyFill="1" applyBorder="1" applyAlignment="1">
      <alignment horizontal="center" vertical="center"/>
    </xf>
    <xf numFmtId="0" fontId="5" fillId="0" borderId="1" xfId="0" applyFont="1" applyFill="1" applyBorder="1" applyAlignment="1">
      <alignment horizontal="center" vertical="top" wrapText="1"/>
    </xf>
    <xf numFmtId="0" fontId="5" fillId="0" borderId="43" xfId="0" applyFont="1" applyBorder="1" applyAlignment="1">
      <alignment horizontal="center" vertical="top"/>
    </xf>
    <xf numFmtId="0" fontId="5" fillId="0" borderId="42" xfId="2" applyBorder="1" applyAlignment="1">
      <alignment horizontal="center" vertical="center"/>
    </xf>
    <xf numFmtId="0" fontId="5" fillId="0" borderId="26" xfId="2" applyBorder="1" applyAlignment="1">
      <alignment horizontal="center" vertical="center"/>
    </xf>
    <xf numFmtId="0" fontId="6" fillId="0" borderId="23" xfId="1" applyFont="1" applyBorder="1" applyAlignment="1">
      <alignment horizontal="left" vertical="center"/>
    </xf>
    <xf numFmtId="0" fontId="6" fillId="0" borderId="16" xfId="1" applyFont="1" applyBorder="1" applyAlignment="1">
      <alignment horizontal="left" vertical="center"/>
    </xf>
    <xf numFmtId="0" fontId="6" fillId="0" borderId="24" xfId="1" applyFont="1" applyBorder="1" applyAlignment="1">
      <alignment horizontal="left" vertical="center"/>
    </xf>
    <xf numFmtId="0" fontId="4" fillId="0" borderId="1" xfId="1" applyFont="1" applyBorder="1" applyAlignment="1">
      <alignment horizontal="center" vertical="center" wrapText="1"/>
    </xf>
    <xf numFmtId="0" fontId="4" fillId="0" borderId="1" xfId="1" applyFont="1" applyBorder="1" applyAlignment="1">
      <alignment vertical="center"/>
    </xf>
    <xf numFmtId="0" fontId="4" fillId="0" borderId="1" xfId="1" applyFont="1" applyBorder="1" applyAlignment="1">
      <alignment horizontal="center" vertical="center"/>
    </xf>
    <xf numFmtId="177" fontId="4" fillId="0" borderId="1" xfId="1" applyNumberFormat="1" applyFont="1" applyBorder="1" applyAlignment="1">
      <alignment horizontal="center" vertical="center" wrapText="1"/>
    </xf>
    <xf numFmtId="177" fontId="4" fillId="0" borderId="1" xfId="1" applyNumberFormat="1" applyFont="1" applyBorder="1" applyAlignment="1">
      <alignment horizontal="center" vertical="center"/>
    </xf>
    <xf numFmtId="0" fontId="4" fillId="0" borderId="15" xfId="1" applyFont="1" applyBorder="1" applyAlignment="1">
      <alignment horizontal="center" vertical="center" wrapText="1"/>
    </xf>
    <xf numFmtId="0" fontId="4" fillId="0" borderId="8" xfId="1" applyFont="1" applyBorder="1" applyAlignment="1">
      <alignment horizontal="center" vertical="center" wrapText="1"/>
    </xf>
    <xf numFmtId="49" fontId="4" fillId="0" borderId="15" xfId="1" applyNumberFormat="1" applyFont="1" applyBorder="1" applyAlignment="1">
      <alignment horizontal="center" vertical="center" wrapText="1"/>
    </xf>
    <xf numFmtId="49" fontId="4" fillId="0" borderId="16" xfId="1" applyNumberFormat="1" applyFont="1" applyBorder="1" applyAlignment="1">
      <alignment horizontal="center" vertical="center" wrapText="1"/>
    </xf>
    <xf numFmtId="49" fontId="4" fillId="0" borderId="8" xfId="1" applyNumberFormat="1" applyFont="1" applyBorder="1" applyAlignment="1">
      <alignment horizontal="center" vertical="center" wrapText="1"/>
    </xf>
    <xf numFmtId="0" fontId="7" fillId="0" borderId="15" xfId="2" applyFont="1" applyBorder="1" applyAlignment="1">
      <alignment horizontal="center" vertical="center"/>
    </xf>
    <xf numFmtId="0" fontId="7" fillId="0" borderId="16" xfId="2" applyFont="1" applyBorder="1" applyAlignment="1">
      <alignment horizontal="center" vertical="center"/>
    </xf>
    <xf numFmtId="0" fontId="7" fillId="0" borderId="8" xfId="2" applyFont="1" applyBorder="1" applyAlignment="1">
      <alignment horizontal="center" vertical="center"/>
    </xf>
    <xf numFmtId="183" fontId="4" fillId="0" borderId="15" xfId="1" applyNumberFormat="1" applyFont="1" applyBorder="1" applyAlignment="1">
      <alignment horizontal="center" vertical="center" wrapText="1"/>
    </xf>
    <xf numFmtId="183" fontId="4" fillId="0" borderId="16" xfId="1" applyNumberFormat="1" applyFont="1" applyBorder="1" applyAlignment="1">
      <alignment horizontal="center" vertical="center" wrapText="1"/>
    </xf>
    <xf numFmtId="183" fontId="4" fillId="0" borderId="8" xfId="1" applyNumberFormat="1" applyFont="1" applyBorder="1" applyAlignment="1">
      <alignment horizontal="center" vertical="center" wrapText="1"/>
    </xf>
    <xf numFmtId="178" fontId="4" fillId="0" borderId="15" xfId="1" applyNumberFormat="1" applyFont="1" applyBorder="1" applyAlignment="1">
      <alignment horizontal="right" vertical="center" wrapText="1"/>
    </xf>
    <xf numFmtId="178" fontId="4" fillId="0" borderId="16" xfId="1" applyNumberFormat="1" applyFont="1" applyBorder="1" applyAlignment="1">
      <alignment horizontal="right" vertical="center" wrapText="1"/>
    </xf>
    <xf numFmtId="178" fontId="4" fillId="0" borderId="8" xfId="1" applyNumberFormat="1" applyFont="1" applyBorder="1" applyAlignment="1">
      <alignment horizontal="right" vertical="center" wrapText="1"/>
    </xf>
    <xf numFmtId="177" fontId="4" fillId="0" borderId="15" xfId="3" applyNumberFormat="1" applyFont="1" applyBorder="1" applyAlignment="1">
      <alignment horizontal="center" vertical="center"/>
    </xf>
    <xf numFmtId="177" fontId="4" fillId="0" borderId="16" xfId="3" applyNumberFormat="1" applyFont="1" applyBorder="1" applyAlignment="1">
      <alignment horizontal="center" vertical="center"/>
    </xf>
    <xf numFmtId="177" fontId="4" fillId="0" borderId="8" xfId="3" applyNumberFormat="1" applyFont="1" applyBorder="1" applyAlignment="1">
      <alignment horizontal="center" vertical="center"/>
    </xf>
    <xf numFmtId="183" fontId="4" fillId="0" borderId="15" xfId="1" applyNumberFormat="1" applyFont="1" applyBorder="1" applyAlignment="1">
      <alignment horizontal="right" vertical="center" wrapText="1"/>
    </xf>
    <xf numFmtId="183" fontId="4" fillId="0" borderId="16" xfId="1" applyNumberFormat="1" applyFont="1" applyBorder="1" applyAlignment="1">
      <alignment horizontal="right" vertical="center" wrapText="1"/>
    </xf>
    <xf numFmtId="183" fontId="4" fillId="0" borderId="8" xfId="1" applyNumberFormat="1" applyFont="1" applyBorder="1" applyAlignment="1">
      <alignment horizontal="right" vertical="center" wrapText="1"/>
    </xf>
    <xf numFmtId="6" fontId="4" fillId="0" borderId="15" xfId="1" applyNumberFormat="1" applyFont="1" applyBorder="1" applyAlignment="1">
      <alignment horizontal="center" vertical="center" wrapText="1"/>
    </xf>
    <xf numFmtId="42" fontId="4" fillId="0" borderId="16" xfId="1" applyNumberFormat="1" applyFont="1" applyBorder="1" applyAlignment="1">
      <alignment horizontal="center" vertical="center" wrapText="1"/>
    </xf>
    <xf numFmtId="42" fontId="4" fillId="0" borderId="8" xfId="1" applyNumberFormat="1" applyFont="1" applyBorder="1" applyAlignment="1">
      <alignment horizontal="center" vertical="center" wrapText="1"/>
    </xf>
    <xf numFmtId="183" fontId="7" fillId="0" borderId="15" xfId="2" applyNumberFormat="1" applyFont="1" applyBorder="1" applyAlignment="1">
      <alignment horizontal="right" vertical="center"/>
    </xf>
    <xf numFmtId="183" fontId="7" fillId="0" borderId="8" xfId="2" applyNumberFormat="1" applyFont="1" applyBorder="1" applyAlignment="1">
      <alignment horizontal="right" vertical="center"/>
    </xf>
    <xf numFmtId="177" fontId="4" fillId="3" borderId="15" xfId="3" applyNumberFormat="1" applyFont="1" applyFill="1" applyBorder="1" applyAlignment="1">
      <alignment horizontal="center" vertical="center"/>
    </xf>
    <xf numFmtId="177" fontId="4" fillId="3" borderId="8" xfId="3" applyNumberFormat="1" applyFont="1" applyFill="1" applyBorder="1" applyAlignment="1">
      <alignment horizontal="center" vertical="center"/>
    </xf>
    <xf numFmtId="49" fontId="4" fillId="3" borderId="15" xfId="1" applyNumberFormat="1" applyFont="1" applyFill="1" applyBorder="1" applyAlignment="1">
      <alignment horizontal="center" vertical="center" wrapText="1"/>
    </xf>
    <xf numFmtId="49" fontId="4" fillId="3" borderId="8" xfId="1" applyNumberFormat="1" applyFont="1" applyFill="1" applyBorder="1" applyAlignment="1">
      <alignment horizontal="center" vertical="center" wrapText="1"/>
    </xf>
    <xf numFmtId="0" fontId="7" fillId="3" borderId="15" xfId="2" applyFont="1" applyFill="1" applyBorder="1" applyAlignment="1">
      <alignment horizontal="center" vertical="center"/>
    </xf>
    <xf numFmtId="0" fontId="7" fillId="3" borderId="8" xfId="2" applyFont="1" applyFill="1" applyBorder="1" applyAlignment="1">
      <alignment horizontal="center" vertical="center"/>
    </xf>
    <xf numFmtId="183" fontId="7" fillId="3" borderId="15" xfId="2" applyNumberFormat="1" applyFont="1" applyFill="1" applyBorder="1" applyAlignment="1">
      <alignment horizontal="center" vertical="center"/>
    </xf>
    <xf numFmtId="183" fontId="7" fillId="3" borderId="8" xfId="2" applyNumberFormat="1" applyFont="1" applyFill="1" applyBorder="1" applyAlignment="1">
      <alignment horizontal="center" vertical="center"/>
    </xf>
    <xf numFmtId="178" fontId="4" fillId="3" borderId="15" xfId="1" applyNumberFormat="1" applyFont="1" applyFill="1" applyBorder="1" applyAlignment="1">
      <alignment horizontal="right" vertical="center" wrapText="1"/>
    </xf>
    <xf numFmtId="178" fontId="4" fillId="3" borderId="8" xfId="1" applyNumberFormat="1" applyFont="1" applyFill="1" applyBorder="1" applyAlignment="1">
      <alignment horizontal="right" vertical="center" wrapText="1"/>
    </xf>
    <xf numFmtId="0" fontId="0" fillId="0" borderId="0" xfId="0" applyAlignment="1">
      <alignment horizontal="left" vertical="center" wrapText="1"/>
    </xf>
    <xf numFmtId="0" fontId="0" fillId="0" borderId="41" xfId="0" applyBorder="1" applyAlignment="1">
      <alignment horizontal="left" vertical="center" wrapText="1"/>
    </xf>
    <xf numFmtId="0" fontId="0" fillId="0" borderId="0" xfId="0" applyAlignment="1">
      <alignment vertical="top" wrapText="1"/>
    </xf>
    <xf numFmtId="0" fontId="0" fillId="0" borderId="35" xfId="0" applyBorder="1" applyAlignment="1">
      <alignment horizontal="center"/>
    </xf>
    <xf numFmtId="0" fontId="0" fillId="0" borderId="41" xfId="0" applyBorder="1" applyAlignment="1">
      <alignment horizontal="center"/>
    </xf>
    <xf numFmtId="0" fontId="0" fillId="0" borderId="36" xfId="0" applyBorder="1" applyAlignment="1">
      <alignment horizontal="center"/>
    </xf>
    <xf numFmtId="0" fontId="0" fillId="0" borderId="0" xfId="0" applyAlignment="1">
      <alignment horizontal="left" vertical="top" wrapText="1"/>
    </xf>
    <xf numFmtId="0" fontId="5" fillId="0" borderId="0" xfId="2" applyFill="1" applyAlignment="1">
      <alignment horizontal="left" vertical="center" wrapText="1"/>
    </xf>
    <xf numFmtId="0" fontId="5" fillId="0" borderId="42" xfId="2" applyFill="1" applyBorder="1" applyAlignment="1">
      <alignment horizontal="left" vertical="center" wrapText="1"/>
    </xf>
    <xf numFmtId="0" fontId="5" fillId="0" borderId="44" xfId="2" applyFill="1" applyBorder="1" applyAlignment="1">
      <alignment horizontal="left" vertical="center" wrapText="1"/>
    </xf>
    <xf numFmtId="0" fontId="5" fillId="0" borderId="0" xfId="2" applyFill="1" applyBorder="1" applyAlignment="1">
      <alignment horizontal="left" vertical="top" wrapText="1"/>
    </xf>
    <xf numFmtId="0" fontId="5" fillId="0" borderId="0" xfId="2" applyFill="1" applyAlignment="1">
      <alignment horizontal="left" vertical="top" wrapText="1"/>
    </xf>
    <xf numFmtId="0" fontId="5" fillId="0" borderId="1" xfId="2" applyFont="1" applyFill="1" applyBorder="1" applyAlignment="1">
      <alignment horizontal="left" vertical="center" wrapText="1"/>
    </xf>
    <xf numFmtId="0" fontId="5" fillId="0" borderId="0" xfId="2" applyFont="1" applyFill="1" applyAlignment="1">
      <alignment horizontal="left" vertical="top" wrapText="1"/>
    </xf>
    <xf numFmtId="0" fontId="5" fillId="0" borderId="45" xfId="2" applyFont="1" applyFill="1" applyBorder="1" applyAlignment="1">
      <alignment horizontal="left" vertical="center" wrapText="1"/>
    </xf>
    <xf numFmtId="0" fontId="0" fillId="0" borderId="28" xfId="0" applyBorder="1" applyAlignment="1">
      <alignment horizontal="left" vertical="center" wrapText="1"/>
    </xf>
    <xf numFmtId="0" fontId="0" fillId="0" borderId="5" xfId="0" applyBorder="1" applyAlignment="1">
      <alignment horizontal="left" vertical="center"/>
    </xf>
    <xf numFmtId="0" fontId="12" fillId="0" borderId="11" xfId="0" applyFont="1" applyBorder="1" applyAlignment="1">
      <alignment horizontal="center" vertical="center" wrapText="1"/>
    </xf>
    <xf numFmtId="0" fontId="0" fillId="0" borderId="17" xfId="0" applyBorder="1" applyAlignment="1">
      <alignment horizontal="center" vertical="center" wrapText="1"/>
    </xf>
    <xf numFmtId="0" fontId="0" fillId="0" borderId="13" xfId="0" applyBorder="1" applyAlignment="1">
      <alignment horizontal="center" vertical="center" wrapText="1"/>
    </xf>
    <xf numFmtId="0" fontId="0" fillId="0" borderId="18" xfId="0" applyBorder="1" applyAlignment="1">
      <alignment horizontal="center" vertical="center" wrapText="1"/>
    </xf>
    <xf numFmtId="0" fontId="0" fillId="0" borderId="32" xfId="0" applyBorder="1" applyAlignment="1">
      <alignment horizontal="center" vertical="center"/>
    </xf>
    <xf numFmtId="0" fontId="0" fillId="0" borderId="1" xfId="0" applyBorder="1" applyAlignment="1">
      <alignment horizontal="center" vertical="center"/>
    </xf>
    <xf numFmtId="0" fontId="0" fillId="0" borderId="8" xfId="0" applyBorder="1" applyAlignment="1">
      <alignment horizontal="left" vertical="center"/>
    </xf>
    <xf numFmtId="0" fontId="11" fillId="0" borderId="29" xfId="0" applyFont="1" applyBorder="1" applyAlignment="1">
      <alignment horizontal="center" vertical="center"/>
    </xf>
    <xf numFmtId="0" fontId="11" fillId="0" borderId="28" xfId="0" applyFont="1" applyBorder="1" applyAlignment="1">
      <alignment horizontal="center" vertical="center"/>
    </xf>
    <xf numFmtId="0" fontId="11" fillId="0" borderId="30" xfId="0" applyFont="1" applyBorder="1" applyAlignment="1">
      <alignment horizontal="center" vertical="center"/>
    </xf>
    <xf numFmtId="0" fontId="0" fillId="0" borderId="1" xfId="0" applyBorder="1" applyAlignment="1">
      <alignment horizontal="left" vertical="center" wrapText="1"/>
    </xf>
    <xf numFmtId="0" fontId="0" fillId="0" borderId="3" xfId="0" applyBorder="1" applyAlignment="1">
      <alignment horizontal="left" vertical="center" wrapText="1"/>
    </xf>
    <xf numFmtId="0" fontId="0" fillId="0" borderId="5" xfId="0" applyBorder="1" applyAlignment="1">
      <alignment horizontal="left" vertical="center" wrapText="1"/>
    </xf>
    <xf numFmtId="0" fontId="0" fillId="0" borderId="6" xfId="0" applyBorder="1" applyAlignment="1">
      <alignment horizontal="left"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5" fillId="0" borderId="0" xfId="2" applyAlignment="1">
      <alignment horizontal="left" vertical="top" wrapText="1"/>
    </xf>
    <xf numFmtId="0" fontId="13" fillId="0" borderId="28" xfId="0" applyFont="1" applyBorder="1" applyAlignment="1">
      <alignment horizontal="left" vertical="center"/>
    </xf>
    <xf numFmtId="0" fontId="13" fillId="0" borderId="28" xfId="0" applyFont="1" applyBorder="1" applyAlignment="1">
      <alignment horizontal="left" vertical="top" wrapText="1"/>
    </xf>
    <xf numFmtId="0" fontId="5" fillId="0" borderId="45" xfId="0" applyFont="1" applyBorder="1" applyAlignment="1">
      <alignment horizontal="left" vertical="top" wrapText="1"/>
    </xf>
    <xf numFmtId="0" fontId="5" fillId="0" borderId="0" xfId="0" applyFont="1" applyBorder="1" applyAlignment="1">
      <alignment horizontal="left" vertical="top" wrapText="1"/>
    </xf>
    <xf numFmtId="0" fontId="25" fillId="0" borderId="0" xfId="0" applyFont="1" applyAlignment="1">
      <alignment horizontal="left" vertical="center"/>
    </xf>
    <xf numFmtId="0" fontId="5" fillId="0" borderId="15" xfId="0" applyFont="1" applyBorder="1" applyAlignment="1">
      <alignment horizontal="center" vertical="center"/>
    </xf>
    <xf numFmtId="0" fontId="5" fillId="0" borderId="16" xfId="0" applyFont="1" applyBorder="1" applyAlignment="1">
      <alignment horizontal="center" vertical="center"/>
    </xf>
    <xf numFmtId="0" fontId="5" fillId="0" borderId="15" xfId="0" applyFont="1" applyBorder="1" applyAlignment="1">
      <alignment horizontal="left" vertical="top" wrapText="1"/>
    </xf>
    <xf numFmtId="0" fontId="5" fillId="0" borderId="16" xfId="0" applyFont="1" applyBorder="1" applyAlignment="1">
      <alignment horizontal="left" vertical="top" wrapText="1"/>
    </xf>
    <xf numFmtId="0" fontId="5" fillId="0" borderId="1" xfId="0" applyFont="1" applyBorder="1" applyAlignment="1">
      <alignment horizontal="right" vertical="center"/>
    </xf>
  </cellXfs>
  <cellStyles count="7">
    <cellStyle name="一般" xfId="0" builtinId="0"/>
    <cellStyle name="一般 2" xfId="1"/>
    <cellStyle name="一般 2 2" xfId="2"/>
    <cellStyle name="一般 3" xfId="5"/>
    <cellStyle name="千分位" xfId="4" builtinId="3"/>
    <cellStyle name="百分比" xfId="6" builtinId="5"/>
    <cellStyle name="貨幣 2"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jdy/Dropbox/105&#37329;&#19978;&#37325;&#35380;23-&#35657;&#20132;-&#32645;&#26665;&#20142;&#31561;/&#20107;&#21209;&#23448;-&#23578;&#32752;-&#27284;&#26696;/&#21028;&#27770;&#38468;&#34920;1&#2925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告訴人"/>
      <sheetName val="附表五"/>
      <sheetName val="附表一"/>
      <sheetName val="附表二"/>
      <sheetName val="附表三"/>
      <sheetName val="附表九"/>
      <sheetName val="附表十"/>
      <sheetName val="Sheet1"/>
    </sheetNames>
    <sheetDataSet>
      <sheetData sheetId="0">
        <row r="15">
          <cell r="D15">
            <v>1</v>
          </cell>
          <cell r="E15" t="str">
            <v>刁品緣（附回函）</v>
          </cell>
          <cell r="F15" t="str">
            <v>刁品緣</v>
          </cell>
        </row>
        <row r="16">
          <cell r="D16">
            <v>2</v>
          </cell>
          <cell r="E16" t="str">
            <v>尤伍能（附回函）</v>
          </cell>
          <cell r="F16" t="str">
            <v>尤伍能</v>
          </cell>
        </row>
        <row r="17">
          <cell r="D17">
            <v>3</v>
          </cell>
          <cell r="E17" t="str">
            <v>尤銘德(附回函)</v>
          </cell>
          <cell r="F17" t="str">
            <v>尤銘德</v>
          </cell>
        </row>
        <row r="18">
          <cell r="D18">
            <v>4</v>
          </cell>
          <cell r="E18" t="str">
            <v>王錦盛（附回函）</v>
          </cell>
          <cell r="F18" t="str">
            <v>王錦盛</v>
          </cell>
        </row>
        <row r="19">
          <cell r="D19">
            <v>5</v>
          </cell>
          <cell r="E19" t="str">
            <v>王瑋璉</v>
          </cell>
          <cell r="F19" t="str">
            <v>王瑋璉</v>
          </cell>
        </row>
        <row r="20">
          <cell r="D20">
            <v>6</v>
          </cell>
          <cell r="E20" t="str">
            <v>王宥東（匯款中信城中）</v>
          </cell>
          <cell r="F20" t="str">
            <v>王宥東</v>
          </cell>
        </row>
        <row r="21">
          <cell r="D21">
            <v>7</v>
          </cell>
          <cell r="E21" t="str">
            <v>王裕仁（附回函）</v>
          </cell>
          <cell r="F21" t="str">
            <v>王裕仁</v>
          </cell>
        </row>
        <row r="22">
          <cell r="D22">
            <v>8</v>
          </cell>
          <cell r="E22" t="str">
            <v>王萬華（附回函）</v>
          </cell>
          <cell r="F22" t="str">
            <v>王萬華</v>
          </cell>
        </row>
        <row r="23">
          <cell r="D23">
            <v>9</v>
          </cell>
          <cell r="E23" t="str">
            <v xml:space="preserve"> 王冬立（附回函）</v>
          </cell>
          <cell r="F23" t="str">
            <v>王冬立</v>
          </cell>
        </row>
        <row r="24">
          <cell r="D24">
            <v>10</v>
          </cell>
          <cell r="E24" t="str">
            <v>王美智（附回函）</v>
          </cell>
          <cell r="F24" t="str">
            <v>王美智</v>
          </cell>
        </row>
        <row r="25">
          <cell r="D25">
            <v>11</v>
          </cell>
          <cell r="E25" t="str">
            <v>王禎嫻（匯款中信城中）</v>
          </cell>
          <cell r="F25" t="str">
            <v>王禎嫻</v>
          </cell>
        </row>
        <row r="26">
          <cell r="D26">
            <v>12</v>
          </cell>
          <cell r="E26" t="str">
            <v>王秀珠（附回函）</v>
          </cell>
          <cell r="F26" t="str">
            <v>王秀珠</v>
          </cell>
        </row>
        <row r="27">
          <cell r="D27">
            <v>13</v>
          </cell>
          <cell r="E27" t="str">
            <v>王俊霖</v>
          </cell>
          <cell r="F27" t="str">
            <v>王俊霖</v>
          </cell>
        </row>
        <row r="28">
          <cell r="D28">
            <v>14</v>
          </cell>
          <cell r="E28" t="str">
            <v>王淑玲（附回函）</v>
          </cell>
          <cell r="F28" t="str">
            <v>王淑玲</v>
          </cell>
        </row>
        <row r="29">
          <cell r="D29">
            <v>15</v>
          </cell>
          <cell r="E29" t="str">
            <v>王麗綾（附回函）</v>
          </cell>
          <cell r="F29" t="str">
            <v>王麗綾</v>
          </cell>
        </row>
        <row r="30">
          <cell r="D30">
            <v>16</v>
          </cell>
          <cell r="E30" t="str">
            <v>王定忠（附回函）</v>
          </cell>
          <cell r="F30" t="str">
            <v>王定忠</v>
          </cell>
        </row>
        <row r="31">
          <cell r="D31">
            <v>17</v>
          </cell>
          <cell r="E31" t="str">
            <v>王端美（附回函）</v>
          </cell>
          <cell r="F31" t="str">
            <v>王端美</v>
          </cell>
        </row>
        <row r="32">
          <cell r="D32">
            <v>18</v>
          </cell>
          <cell r="E32" t="str">
            <v>王碧枝（附回函）</v>
          </cell>
          <cell r="F32" t="str">
            <v>王碧枝</v>
          </cell>
        </row>
        <row r="33">
          <cell r="D33">
            <v>19</v>
          </cell>
          <cell r="E33" t="str">
            <v>方燦堂（附回函）</v>
          </cell>
          <cell r="F33" t="str">
            <v>方燦堂</v>
          </cell>
        </row>
        <row r="34">
          <cell r="D34">
            <v>20</v>
          </cell>
          <cell r="E34" t="str">
            <v>方秀娟（附回函）</v>
          </cell>
          <cell r="F34" t="str">
            <v>方秀娟</v>
          </cell>
        </row>
        <row r="35">
          <cell r="D35">
            <v>21</v>
          </cell>
          <cell r="E35" t="str">
            <v>毛學玲（附回函）</v>
          </cell>
          <cell r="F35" t="str">
            <v>毛學玲</v>
          </cell>
        </row>
        <row r="36">
          <cell r="D36">
            <v>22</v>
          </cell>
          <cell r="E36" t="str">
            <v>白靜婷（附回函）</v>
          </cell>
          <cell r="F36" t="str">
            <v>白靜婷</v>
          </cell>
        </row>
        <row r="37">
          <cell r="D37">
            <v>23</v>
          </cell>
          <cell r="E37" t="str">
            <v>伍正康（附回函）</v>
          </cell>
          <cell r="F37" t="str">
            <v>伍正康</v>
          </cell>
        </row>
        <row r="38">
          <cell r="D38">
            <v>24</v>
          </cell>
          <cell r="E38" t="str">
            <v>巫正和（附回函）</v>
          </cell>
          <cell r="F38" t="str">
            <v>巫正和</v>
          </cell>
        </row>
        <row r="39">
          <cell r="D39">
            <v>25</v>
          </cell>
          <cell r="E39" t="str">
            <v>余春財（附回函）</v>
          </cell>
          <cell r="F39" t="str">
            <v>余春財</v>
          </cell>
        </row>
        <row r="40">
          <cell r="D40">
            <v>26</v>
          </cell>
          <cell r="E40" t="str">
            <v>呂坤霖</v>
          </cell>
          <cell r="F40" t="str">
            <v>呂坤霖</v>
          </cell>
        </row>
        <row r="41">
          <cell r="D41">
            <v>27</v>
          </cell>
          <cell r="E41" t="str">
            <v>呂月美（附回函）</v>
          </cell>
          <cell r="F41" t="str">
            <v>呂月美</v>
          </cell>
        </row>
        <row r="42">
          <cell r="D42">
            <v>28</v>
          </cell>
          <cell r="E42" t="str">
            <v>呂繆文</v>
          </cell>
          <cell r="F42" t="str">
            <v>呂繆文</v>
          </cell>
        </row>
        <row r="43">
          <cell r="D43">
            <v>29</v>
          </cell>
          <cell r="E43" t="str">
            <v>吳梅枝</v>
          </cell>
          <cell r="F43" t="str">
            <v>吳梅枝</v>
          </cell>
        </row>
        <row r="44">
          <cell r="D44">
            <v>30</v>
          </cell>
          <cell r="E44" t="str">
            <v>吳堃霖（匯款中信城中）</v>
          </cell>
          <cell r="F44" t="str">
            <v>吳堃霖</v>
          </cell>
        </row>
        <row r="45">
          <cell r="D45">
            <v>31</v>
          </cell>
          <cell r="E45" t="str">
            <v>吳家穎（員工）</v>
          </cell>
          <cell r="F45" t="str">
            <v>吳家穎</v>
          </cell>
        </row>
        <row r="46">
          <cell r="D46">
            <v>32</v>
          </cell>
          <cell r="E46" t="str">
            <v>吳世隆（附回函）</v>
          </cell>
          <cell r="F46" t="str">
            <v>吳世隆</v>
          </cell>
        </row>
        <row r="47">
          <cell r="D47">
            <v>33</v>
          </cell>
          <cell r="E47" t="str">
            <v>吳文祥</v>
          </cell>
          <cell r="F47" t="str">
            <v>吳文祥</v>
          </cell>
        </row>
        <row r="48">
          <cell r="D48">
            <v>34</v>
          </cell>
          <cell r="E48" t="str">
            <v>吳劉素琴（附回函）</v>
          </cell>
          <cell r="F48" t="str">
            <v>吳劉素</v>
          </cell>
        </row>
        <row r="49">
          <cell r="D49">
            <v>35</v>
          </cell>
          <cell r="E49" t="str">
            <v>吳銘展（附回函）</v>
          </cell>
          <cell r="F49" t="str">
            <v>吳銘展</v>
          </cell>
        </row>
        <row r="50">
          <cell r="D50">
            <v>36</v>
          </cell>
          <cell r="E50" t="str">
            <v>吳怡欣（附回函）</v>
          </cell>
          <cell r="F50" t="str">
            <v>吳怡欣</v>
          </cell>
        </row>
        <row r="51">
          <cell r="D51">
            <v>37</v>
          </cell>
          <cell r="E51" t="str">
            <v>吳勝傑（匯款中信城中）</v>
          </cell>
          <cell r="F51" t="str">
            <v>吳勝傑</v>
          </cell>
        </row>
        <row r="52">
          <cell r="D52">
            <v>38</v>
          </cell>
          <cell r="E52" t="str">
            <v>吳景輝（附回函）</v>
          </cell>
          <cell r="F52" t="str">
            <v>吳景輝</v>
          </cell>
        </row>
        <row r="53">
          <cell r="D53">
            <v>39</v>
          </cell>
          <cell r="E53" t="str">
            <v>吳俊宏（附回函）</v>
          </cell>
          <cell r="F53" t="str">
            <v>吳俊宏</v>
          </cell>
        </row>
        <row r="54">
          <cell r="D54">
            <v>40</v>
          </cell>
          <cell r="E54" t="str">
            <v>吳柏羽（匯款中信城中）</v>
          </cell>
          <cell r="F54" t="str">
            <v>吳柏羽</v>
          </cell>
        </row>
        <row r="55">
          <cell r="D55">
            <v>41</v>
          </cell>
          <cell r="E55" t="str">
            <v>吳翠琴（附回函）</v>
          </cell>
          <cell r="F55" t="str">
            <v>吳翠琴</v>
          </cell>
        </row>
        <row r="56">
          <cell r="D56">
            <v>42</v>
          </cell>
          <cell r="E56" t="str">
            <v>李梅芬（匯款中信城中）</v>
          </cell>
          <cell r="F56" t="str">
            <v>李梅芬</v>
          </cell>
        </row>
        <row r="57">
          <cell r="D57">
            <v>43</v>
          </cell>
          <cell r="E57" t="str">
            <v>李如玉（附回函）</v>
          </cell>
          <cell r="F57" t="str">
            <v>李如玉</v>
          </cell>
        </row>
        <row r="58">
          <cell r="D58">
            <v>44</v>
          </cell>
          <cell r="E58" t="str">
            <v>李方淑媛（附回函)</v>
          </cell>
          <cell r="F58" t="str">
            <v>李方淑</v>
          </cell>
        </row>
        <row r="59">
          <cell r="D59">
            <v>45</v>
          </cell>
          <cell r="E59" t="str">
            <v>李淑錦</v>
          </cell>
          <cell r="F59" t="str">
            <v>李淑錦</v>
          </cell>
        </row>
        <row r="60">
          <cell r="D60">
            <v>46</v>
          </cell>
          <cell r="E60" t="str">
            <v>李孟訓（附回函）</v>
          </cell>
          <cell r="F60" t="str">
            <v>李孟訓</v>
          </cell>
        </row>
        <row r="61">
          <cell r="D61">
            <v>47</v>
          </cell>
          <cell r="E61" t="str">
            <v>李純香（匯款中信城中）</v>
          </cell>
          <cell r="F61" t="str">
            <v>李純香</v>
          </cell>
        </row>
        <row r="62">
          <cell r="D62">
            <v>48</v>
          </cell>
          <cell r="E62" t="str">
            <v>李珍妮（附回函)</v>
          </cell>
          <cell r="F62" t="str">
            <v>李珍妮</v>
          </cell>
        </row>
        <row r="63">
          <cell r="D63">
            <v>49</v>
          </cell>
          <cell r="E63" t="str">
            <v>李純綾（附回函）</v>
          </cell>
          <cell r="F63" t="str">
            <v>李純綾</v>
          </cell>
        </row>
        <row r="64">
          <cell r="D64">
            <v>50</v>
          </cell>
          <cell r="E64" t="str">
            <v>李梅枝</v>
          </cell>
          <cell r="F64" t="str">
            <v>李梅枝</v>
          </cell>
        </row>
        <row r="65">
          <cell r="D65">
            <v>51</v>
          </cell>
          <cell r="E65" t="str">
            <v>李慧玲（附回函）</v>
          </cell>
          <cell r="F65" t="str">
            <v>李慧玲</v>
          </cell>
        </row>
        <row r="66">
          <cell r="D66">
            <v>52</v>
          </cell>
          <cell r="E66" t="str">
            <v>李珍儀（附回函）</v>
          </cell>
          <cell r="F66" t="str">
            <v>李珍儀</v>
          </cell>
        </row>
        <row r="67">
          <cell r="D67">
            <v>53</v>
          </cell>
          <cell r="E67" t="str">
            <v>李桂鶯（附回函）</v>
          </cell>
          <cell r="F67" t="str">
            <v>李桂鶯</v>
          </cell>
        </row>
        <row r="68">
          <cell r="D68">
            <v>54</v>
          </cell>
          <cell r="E68" t="str">
            <v>李永澤（附回函）</v>
          </cell>
          <cell r="F68" t="str">
            <v>李永澤</v>
          </cell>
        </row>
        <row r="69">
          <cell r="D69">
            <v>55</v>
          </cell>
          <cell r="E69" t="str">
            <v>李宜蓉（附回函）</v>
          </cell>
          <cell r="F69" t="str">
            <v>李宜蓉</v>
          </cell>
        </row>
        <row r="70">
          <cell r="D70">
            <v>56</v>
          </cell>
          <cell r="E70" t="str">
            <v>李渝倬（附回函）</v>
          </cell>
          <cell r="F70" t="str">
            <v>李渝倬</v>
          </cell>
        </row>
        <row r="71">
          <cell r="D71">
            <v>57</v>
          </cell>
          <cell r="E71" t="str">
            <v>李德昱（附回函)</v>
          </cell>
          <cell r="F71" t="str">
            <v>李德昱</v>
          </cell>
        </row>
        <row r="72">
          <cell r="D72">
            <v>58</v>
          </cell>
          <cell r="E72" t="str">
            <v>沈妙鄉</v>
          </cell>
          <cell r="F72" t="str">
            <v>沈妙鄉</v>
          </cell>
        </row>
        <row r="73">
          <cell r="D73">
            <v>59</v>
          </cell>
          <cell r="E73" t="str">
            <v>杜方竹（匯款中信城中）</v>
          </cell>
          <cell r="F73" t="str">
            <v>杜方竹</v>
          </cell>
        </row>
        <row r="74">
          <cell r="D74">
            <v>60</v>
          </cell>
          <cell r="E74" t="str">
            <v>佘桂芳（匯款中信城中）</v>
          </cell>
          <cell r="F74" t="str">
            <v>佘桂芳</v>
          </cell>
        </row>
        <row r="75">
          <cell r="D75">
            <v>61</v>
          </cell>
          <cell r="E75" t="str">
            <v>何正民</v>
          </cell>
          <cell r="F75" t="str">
            <v>何正民</v>
          </cell>
        </row>
        <row r="76">
          <cell r="D76">
            <v>62</v>
          </cell>
          <cell r="E76" t="str">
            <v>何彩綢（附回函）</v>
          </cell>
          <cell r="F76" t="str">
            <v>何彩綢</v>
          </cell>
        </row>
        <row r="77">
          <cell r="D77">
            <v>63</v>
          </cell>
          <cell r="E77" t="str">
            <v>何漢禹</v>
          </cell>
          <cell r="F77" t="str">
            <v>何漢禹</v>
          </cell>
        </row>
        <row r="78">
          <cell r="D78">
            <v>64</v>
          </cell>
          <cell r="E78" t="str">
            <v>宋愛萍（附回函）</v>
          </cell>
          <cell r="F78" t="str">
            <v>宋愛萍</v>
          </cell>
        </row>
        <row r="79">
          <cell r="D79">
            <v>65</v>
          </cell>
          <cell r="E79" t="str">
            <v>宋正鑫（附回函）</v>
          </cell>
          <cell r="F79" t="str">
            <v>宋正鑫</v>
          </cell>
        </row>
        <row r="80">
          <cell r="D80">
            <v>66</v>
          </cell>
          <cell r="E80" t="str">
            <v>周玉全</v>
          </cell>
          <cell r="F80" t="str">
            <v>周玉全</v>
          </cell>
        </row>
        <row r="81">
          <cell r="D81">
            <v>67</v>
          </cell>
          <cell r="E81" t="str">
            <v>邱綉珍</v>
          </cell>
          <cell r="F81" t="str">
            <v>邱綉珍</v>
          </cell>
        </row>
        <row r="82">
          <cell r="D82">
            <v>68</v>
          </cell>
          <cell r="E82" t="str">
            <v>邱永鎮（附回函）</v>
          </cell>
          <cell r="F82" t="str">
            <v>邱永鎮</v>
          </cell>
        </row>
        <row r="83">
          <cell r="D83">
            <v>69</v>
          </cell>
          <cell r="E83" t="str">
            <v>邱必義（匯款中信城中）</v>
          </cell>
          <cell r="F83" t="str">
            <v>邱必義</v>
          </cell>
        </row>
        <row r="84">
          <cell r="D84">
            <v>70</v>
          </cell>
          <cell r="E84" t="str">
            <v>邱碧芬（附回函）</v>
          </cell>
          <cell r="F84" t="str">
            <v>邱碧芬</v>
          </cell>
        </row>
        <row r="85">
          <cell r="D85">
            <v>71</v>
          </cell>
          <cell r="E85" t="str">
            <v>邵良慧（附回函）</v>
          </cell>
          <cell r="F85" t="str">
            <v>邵良慧</v>
          </cell>
        </row>
        <row r="86">
          <cell r="D86">
            <v>72</v>
          </cell>
          <cell r="E86" t="str">
            <v>卓維煌（匯款中信城中）</v>
          </cell>
          <cell r="F86" t="str">
            <v>卓維煌</v>
          </cell>
        </row>
        <row r="87">
          <cell r="D87">
            <v>73</v>
          </cell>
          <cell r="E87" t="str">
            <v>林素柳</v>
          </cell>
          <cell r="F87" t="str">
            <v>林素柳</v>
          </cell>
        </row>
        <row r="88">
          <cell r="D88">
            <v>74</v>
          </cell>
          <cell r="E88" t="str">
            <v>林智瑝( 附回函)</v>
          </cell>
          <cell r="F88" t="str">
            <v>林智瑝</v>
          </cell>
        </row>
        <row r="89">
          <cell r="D89">
            <v>75</v>
          </cell>
          <cell r="E89" t="str">
            <v>林依潔（匯款中信城中）</v>
          </cell>
          <cell r="F89" t="str">
            <v>林依潔</v>
          </cell>
        </row>
        <row r="90">
          <cell r="D90">
            <v>76</v>
          </cell>
          <cell r="E90" t="str">
            <v>林齊瑞</v>
          </cell>
          <cell r="F90" t="str">
            <v>林齊瑞</v>
          </cell>
        </row>
        <row r="91">
          <cell r="D91">
            <v>77</v>
          </cell>
          <cell r="E91" t="str">
            <v>林佳蒨</v>
          </cell>
          <cell r="F91" t="str">
            <v>林佳蒨</v>
          </cell>
        </row>
        <row r="92">
          <cell r="D92">
            <v>78</v>
          </cell>
          <cell r="E92" t="str">
            <v>林宏軒</v>
          </cell>
          <cell r="F92" t="str">
            <v>林宏軒</v>
          </cell>
        </row>
        <row r="93">
          <cell r="D93">
            <v>79</v>
          </cell>
          <cell r="E93" t="str">
            <v>林須惠（附回函）</v>
          </cell>
          <cell r="F93" t="str">
            <v>林須惠</v>
          </cell>
        </row>
        <row r="94">
          <cell r="D94">
            <v>80</v>
          </cell>
          <cell r="E94" t="str">
            <v>林淑蓉（附回函)</v>
          </cell>
          <cell r="F94" t="str">
            <v>林淑蓉</v>
          </cell>
        </row>
        <row r="95">
          <cell r="D95">
            <v>81</v>
          </cell>
          <cell r="E95" t="str">
            <v>林仁正（E20_p157）</v>
          </cell>
          <cell r="F95" t="str">
            <v>林仁正</v>
          </cell>
        </row>
        <row r="96">
          <cell r="D96">
            <v>82</v>
          </cell>
          <cell r="E96" t="str">
            <v>林淑呅</v>
          </cell>
          <cell r="F96" t="str">
            <v>林淑呅</v>
          </cell>
        </row>
        <row r="97">
          <cell r="D97">
            <v>83</v>
          </cell>
          <cell r="E97" t="str">
            <v>林延鳳（匯款中信城中）</v>
          </cell>
          <cell r="F97" t="str">
            <v>林延鳳</v>
          </cell>
        </row>
        <row r="98">
          <cell r="D98">
            <v>84</v>
          </cell>
          <cell r="E98" t="str">
            <v>林進文</v>
          </cell>
          <cell r="F98" t="str">
            <v>林進文</v>
          </cell>
        </row>
        <row r="99">
          <cell r="D99">
            <v>85</v>
          </cell>
          <cell r="E99" t="str">
            <v>林谷安（附回函）</v>
          </cell>
          <cell r="F99" t="str">
            <v>林谷安</v>
          </cell>
        </row>
        <row r="100">
          <cell r="D100">
            <v>86</v>
          </cell>
          <cell r="E100" t="str">
            <v>林安安(附回函)</v>
          </cell>
          <cell r="F100" t="str">
            <v>林安安</v>
          </cell>
        </row>
        <row r="101">
          <cell r="D101">
            <v>87</v>
          </cell>
          <cell r="E101" t="str">
            <v>林榮茂</v>
          </cell>
          <cell r="F101" t="str">
            <v>林榮茂</v>
          </cell>
        </row>
        <row r="102">
          <cell r="D102">
            <v>88</v>
          </cell>
          <cell r="E102" t="str">
            <v>林文貴</v>
          </cell>
          <cell r="F102" t="str">
            <v>林文貴</v>
          </cell>
        </row>
        <row r="103">
          <cell r="D103">
            <v>89</v>
          </cell>
          <cell r="E103" t="str">
            <v>林孟宗（附回函）</v>
          </cell>
          <cell r="F103" t="str">
            <v>林孟宗</v>
          </cell>
        </row>
        <row r="104">
          <cell r="D104">
            <v>90</v>
          </cell>
          <cell r="E104" t="str">
            <v>林玉綿（附回函）</v>
          </cell>
          <cell r="F104" t="str">
            <v>林玉綿</v>
          </cell>
        </row>
        <row r="105">
          <cell r="D105">
            <v>91</v>
          </cell>
          <cell r="E105" t="str">
            <v>林文香（附回函）</v>
          </cell>
          <cell r="F105" t="str">
            <v>林文香</v>
          </cell>
        </row>
        <row r="106">
          <cell r="D106">
            <v>92</v>
          </cell>
          <cell r="E106" t="str">
            <v>林楷宸（附回函）</v>
          </cell>
          <cell r="F106" t="str">
            <v>林楷宸</v>
          </cell>
        </row>
        <row r="107">
          <cell r="D107">
            <v>93</v>
          </cell>
          <cell r="E107" t="str">
            <v>林錦秀（附回函）</v>
          </cell>
          <cell r="F107" t="str">
            <v>林錦秀</v>
          </cell>
        </row>
        <row r="108">
          <cell r="D108">
            <v>94</v>
          </cell>
          <cell r="E108" t="str">
            <v>林麗雲（附回函）</v>
          </cell>
          <cell r="F108" t="str">
            <v>林麗雲</v>
          </cell>
        </row>
        <row r="109">
          <cell r="D109">
            <v>95</v>
          </cell>
          <cell r="E109" t="str">
            <v>林勳諒</v>
          </cell>
          <cell r="F109" t="str">
            <v>林勳諒</v>
          </cell>
        </row>
        <row r="110">
          <cell r="D110">
            <v>96</v>
          </cell>
          <cell r="E110" t="str">
            <v>林坡顯（附回函）</v>
          </cell>
          <cell r="F110" t="str">
            <v>林坡顯</v>
          </cell>
        </row>
        <row r="111">
          <cell r="D111">
            <v>97</v>
          </cell>
          <cell r="E111" t="str">
            <v>林賜恩</v>
          </cell>
          <cell r="F111" t="str">
            <v>林賜恩</v>
          </cell>
        </row>
        <row r="112">
          <cell r="D112">
            <v>98</v>
          </cell>
          <cell r="E112" t="str">
            <v>林金虎（附回函）</v>
          </cell>
          <cell r="F112" t="str">
            <v>林金虎</v>
          </cell>
        </row>
        <row r="113">
          <cell r="D113">
            <v>99</v>
          </cell>
          <cell r="E113" t="str">
            <v>官裕宗（附回函）</v>
          </cell>
          <cell r="F113" t="str">
            <v>官裕宗</v>
          </cell>
        </row>
        <row r="114">
          <cell r="D114">
            <v>100</v>
          </cell>
          <cell r="E114" t="str">
            <v>洪仁成（匯款中信城中）</v>
          </cell>
          <cell r="F114" t="str">
            <v>洪仁成</v>
          </cell>
        </row>
        <row r="115">
          <cell r="D115">
            <v>101</v>
          </cell>
          <cell r="E115" t="str">
            <v>洪榮森（匯款中信城中）</v>
          </cell>
          <cell r="F115" t="str">
            <v>洪榮森</v>
          </cell>
        </row>
        <row r="116">
          <cell r="D116">
            <v>102</v>
          </cell>
          <cell r="E116" t="str">
            <v>洪康倪</v>
          </cell>
          <cell r="F116" t="str">
            <v>洪康倪</v>
          </cell>
        </row>
        <row r="117">
          <cell r="D117">
            <v>103</v>
          </cell>
          <cell r="E117" t="str">
            <v>洪筱梅（附回函）</v>
          </cell>
          <cell r="F117" t="str">
            <v>洪筱梅</v>
          </cell>
        </row>
        <row r="118">
          <cell r="D118">
            <v>104</v>
          </cell>
          <cell r="E118" t="str">
            <v>侯照純(員工 )</v>
          </cell>
          <cell r="F118" t="str">
            <v>侯照純</v>
          </cell>
        </row>
        <row r="119">
          <cell r="D119">
            <v>105</v>
          </cell>
          <cell r="E119" t="str">
            <v>姚文清（匯款中信城中）</v>
          </cell>
          <cell r="F119" t="str">
            <v>姚文清</v>
          </cell>
        </row>
        <row r="120">
          <cell r="D120">
            <v>106</v>
          </cell>
          <cell r="E120" t="str">
            <v>姚慧珠（附回函）</v>
          </cell>
          <cell r="F120" t="str">
            <v>姚慧珠</v>
          </cell>
        </row>
        <row r="121">
          <cell r="D121">
            <v>107</v>
          </cell>
          <cell r="E121" t="str">
            <v>紀若凡</v>
          </cell>
          <cell r="F121" t="str">
            <v>紀若凡</v>
          </cell>
        </row>
        <row r="122">
          <cell r="D122">
            <v>108</v>
          </cell>
          <cell r="E122" t="str">
            <v>柯重安（府回函）</v>
          </cell>
          <cell r="F122" t="str">
            <v>柯重安</v>
          </cell>
        </row>
        <row r="123">
          <cell r="D123">
            <v>109</v>
          </cell>
          <cell r="E123" t="str">
            <v>胡英俊（附回函）</v>
          </cell>
          <cell r="F123" t="str">
            <v>胡英俊</v>
          </cell>
        </row>
        <row r="124">
          <cell r="D124">
            <v>110</v>
          </cell>
          <cell r="E124" t="str">
            <v>施繼正（匯款中信城中）</v>
          </cell>
          <cell r="F124" t="str">
            <v>施繼正</v>
          </cell>
        </row>
        <row r="125">
          <cell r="D125">
            <v>111</v>
          </cell>
          <cell r="E125" t="str">
            <v>施瑞霖（匯款中信城中）</v>
          </cell>
          <cell r="F125" t="str">
            <v>施瑞霖</v>
          </cell>
        </row>
        <row r="126">
          <cell r="D126">
            <v>112</v>
          </cell>
          <cell r="E126" t="str">
            <v>范登閔（附回函）</v>
          </cell>
          <cell r="F126" t="str">
            <v>范登閔</v>
          </cell>
        </row>
        <row r="127">
          <cell r="D127">
            <v>113</v>
          </cell>
          <cell r="E127" t="str">
            <v>范馨云（匯款中信城中）</v>
          </cell>
          <cell r="F127" t="str">
            <v>范馨云</v>
          </cell>
        </row>
        <row r="128">
          <cell r="D128">
            <v>114</v>
          </cell>
          <cell r="E128" t="str">
            <v>南仲明（附回函）</v>
          </cell>
          <cell r="F128" t="str">
            <v>南仲明</v>
          </cell>
        </row>
        <row r="129">
          <cell r="D129">
            <v>115</v>
          </cell>
          <cell r="E129" t="str">
            <v>俞秋影</v>
          </cell>
          <cell r="F129" t="str">
            <v>俞秋影</v>
          </cell>
        </row>
        <row r="130">
          <cell r="D130">
            <v>116</v>
          </cell>
          <cell r="E130" t="str">
            <v>翁志清（附回函)</v>
          </cell>
          <cell r="F130" t="str">
            <v>翁志清</v>
          </cell>
        </row>
        <row r="131">
          <cell r="D131">
            <v>117</v>
          </cell>
          <cell r="E131" t="str">
            <v>翁明昆</v>
          </cell>
          <cell r="F131" t="str">
            <v>翁明昆</v>
          </cell>
        </row>
        <row r="132">
          <cell r="D132">
            <v>118</v>
          </cell>
          <cell r="E132" t="str">
            <v>徐鳳瑾（附回函）</v>
          </cell>
          <cell r="F132" t="str">
            <v>徐鳳瑾</v>
          </cell>
        </row>
        <row r="133">
          <cell r="D133">
            <v>119</v>
          </cell>
          <cell r="E133" t="str">
            <v>徐正民（附回函)</v>
          </cell>
          <cell r="F133" t="str">
            <v>徐正民</v>
          </cell>
        </row>
        <row r="134">
          <cell r="D134">
            <v>120</v>
          </cell>
          <cell r="E134" t="str">
            <v>徐秀甘（回函）</v>
          </cell>
          <cell r="F134" t="str">
            <v>徐秀甘</v>
          </cell>
        </row>
        <row r="135">
          <cell r="D135">
            <v>121</v>
          </cell>
          <cell r="E135" t="str">
            <v>徐錫瑤（附回函）</v>
          </cell>
          <cell r="F135" t="str">
            <v>徐錫瑤</v>
          </cell>
        </row>
        <row r="136">
          <cell r="D136">
            <v>122</v>
          </cell>
          <cell r="E136" t="str">
            <v>徐弘縣（附回函）</v>
          </cell>
          <cell r="F136" t="str">
            <v>徐弘縣</v>
          </cell>
        </row>
        <row r="137">
          <cell r="D137">
            <v>123</v>
          </cell>
          <cell r="E137" t="str">
            <v>高素雲（附回函)</v>
          </cell>
          <cell r="F137" t="str">
            <v>高素雲</v>
          </cell>
        </row>
        <row r="138">
          <cell r="D138">
            <v>124</v>
          </cell>
          <cell r="E138" t="str">
            <v>高欣瑜(匯款中信城中)</v>
          </cell>
          <cell r="F138" t="str">
            <v>高欣瑜</v>
          </cell>
        </row>
        <row r="139">
          <cell r="D139">
            <v>125</v>
          </cell>
          <cell r="E139" t="str">
            <v>高玉綢（附回函）</v>
          </cell>
          <cell r="F139" t="str">
            <v>高玉綢</v>
          </cell>
        </row>
        <row r="140">
          <cell r="D140">
            <v>126</v>
          </cell>
          <cell r="E140" t="str">
            <v>高光陸（附回函）</v>
          </cell>
          <cell r="F140" t="str">
            <v>高光陸</v>
          </cell>
        </row>
        <row r="141">
          <cell r="D141">
            <v>127</v>
          </cell>
          <cell r="E141" t="str">
            <v>孫秋萍（E21_p16)</v>
          </cell>
          <cell r="F141" t="str">
            <v>孫秋萍</v>
          </cell>
        </row>
        <row r="142">
          <cell r="D142">
            <v>128</v>
          </cell>
          <cell r="E142" t="str">
            <v>康惠循(附回函）</v>
          </cell>
          <cell r="F142" t="str">
            <v>康惠循</v>
          </cell>
        </row>
        <row r="143">
          <cell r="D143">
            <v>129</v>
          </cell>
          <cell r="E143" t="str">
            <v>馬志尚</v>
          </cell>
          <cell r="F143" t="str">
            <v>馬志尚</v>
          </cell>
        </row>
        <row r="144">
          <cell r="D144">
            <v>130</v>
          </cell>
          <cell r="E144" t="str">
            <v>莊美琪（附回函）</v>
          </cell>
          <cell r="F144" t="str">
            <v>莊美琪</v>
          </cell>
        </row>
        <row r="145">
          <cell r="D145">
            <v>131</v>
          </cell>
          <cell r="E145" t="str">
            <v>莊重信（附回函）</v>
          </cell>
          <cell r="F145" t="str">
            <v>莊重信</v>
          </cell>
        </row>
        <row r="146">
          <cell r="D146">
            <v>132</v>
          </cell>
          <cell r="E146" t="str">
            <v>莊鴻洲（附回函）</v>
          </cell>
          <cell r="F146" t="str">
            <v>莊鴻洲</v>
          </cell>
        </row>
        <row r="147">
          <cell r="D147">
            <v>133</v>
          </cell>
          <cell r="E147" t="str">
            <v>莊心然（附回函）</v>
          </cell>
          <cell r="F147" t="str">
            <v>莊心然</v>
          </cell>
        </row>
        <row r="148">
          <cell r="D148">
            <v>134</v>
          </cell>
          <cell r="E148" t="str">
            <v>莊倉江（附回函）</v>
          </cell>
          <cell r="F148" t="str">
            <v>莊倉江</v>
          </cell>
        </row>
        <row r="149">
          <cell r="D149">
            <v>135</v>
          </cell>
          <cell r="E149" t="str">
            <v>曹庭耀（匯款中信城中）</v>
          </cell>
          <cell r="F149" t="str">
            <v>曹庭耀</v>
          </cell>
        </row>
        <row r="150">
          <cell r="D150">
            <v>136</v>
          </cell>
          <cell r="E150" t="str">
            <v>許文錦（附回函）</v>
          </cell>
          <cell r="F150" t="str">
            <v>許文錦</v>
          </cell>
        </row>
        <row r="151">
          <cell r="D151">
            <v>137</v>
          </cell>
          <cell r="E151" t="str">
            <v>許睿彤(員工)</v>
          </cell>
          <cell r="F151" t="str">
            <v>許睿彤</v>
          </cell>
        </row>
        <row r="152">
          <cell r="D152">
            <v>138</v>
          </cell>
          <cell r="E152" t="str">
            <v>許美珠（附回函)</v>
          </cell>
          <cell r="F152" t="str">
            <v>許美珠</v>
          </cell>
        </row>
        <row r="153">
          <cell r="D153">
            <v>139</v>
          </cell>
          <cell r="E153" t="str">
            <v>許嘉凌（匯款中信城中）</v>
          </cell>
          <cell r="F153" t="str">
            <v>許嘉凌</v>
          </cell>
        </row>
        <row r="154">
          <cell r="D154">
            <v>140</v>
          </cell>
          <cell r="E154" t="str">
            <v>許秋霞（附回函）</v>
          </cell>
          <cell r="F154" t="str">
            <v>許秋霞</v>
          </cell>
        </row>
        <row r="155">
          <cell r="D155">
            <v>141</v>
          </cell>
          <cell r="E155" t="str">
            <v>許倩文</v>
          </cell>
          <cell r="F155" t="str">
            <v>許倩文</v>
          </cell>
        </row>
        <row r="156">
          <cell r="D156">
            <v>142</v>
          </cell>
          <cell r="E156" t="str">
            <v>郭金峯(附回函)</v>
          </cell>
          <cell r="F156" t="str">
            <v>郭金峯</v>
          </cell>
        </row>
        <row r="157">
          <cell r="D157">
            <v>143</v>
          </cell>
          <cell r="E157" t="str">
            <v>郭華彥</v>
          </cell>
          <cell r="F157" t="str">
            <v>郭華彥</v>
          </cell>
        </row>
        <row r="158">
          <cell r="D158">
            <v>144</v>
          </cell>
          <cell r="E158" t="str">
            <v>郭如玲（附回函）</v>
          </cell>
          <cell r="F158" t="str">
            <v>郭如玲</v>
          </cell>
        </row>
        <row r="159">
          <cell r="D159">
            <v>145</v>
          </cell>
          <cell r="E159" t="str">
            <v>郭連興（附回函)</v>
          </cell>
          <cell r="F159" t="str">
            <v>郭連興</v>
          </cell>
        </row>
        <row r="160">
          <cell r="D160">
            <v>146</v>
          </cell>
          <cell r="E160" t="str">
            <v>郭斐絢(E21_p120)</v>
          </cell>
          <cell r="F160" t="str">
            <v>郭斐絢</v>
          </cell>
        </row>
        <row r="161">
          <cell r="D161">
            <v>147</v>
          </cell>
          <cell r="E161" t="str">
            <v>郭鳳晴(附回函)</v>
          </cell>
          <cell r="F161" t="str">
            <v>郭鳳晴</v>
          </cell>
        </row>
        <row r="162">
          <cell r="D162">
            <v>148</v>
          </cell>
          <cell r="E162" t="str">
            <v>郭存勝</v>
          </cell>
          <cell r="F162" t="str">
            <v>郭存勝</v>
          </cell>
        </row>
        <row r="163">
          <cell r="D163">
            <v>149</v>
          </cell>
          <cell r="E163" t="str">
            <v>郭炳金（附回函)</v>
          </cell>
          <cell r="F163" t="str">
            <v>郭炳金</v>
          </cell>
        </row>
        <row r="164">
          <cell r="D164">
            <v>150</v>
          </cell>
          <cell r="E164" t="str">
            <v>連捷（附回函）</v>
          </cell>
          <cell r="F164" t="str">
            <v>連捷（</v>
          </cell>
        </row>
        <row r="165">
          <cell r="D165">
            <v>151</v>
          </cell>
          <cell r="E165" t="str">
            <v>梁進勝(附回函)</v>
          </cell>
          <cell r="F165" t="str">
            <v>梁進勝</v>
          </cell>
        </row>
        <row r="166">
          <cell r="D166">
            <v>152</v>
          </cell>
          <cell r="E166" t="str">
            <v>彭詳和（匯款中信城中）</v>
          </cell>
          <cell r="F166" t="str">
            <v>彭詳和</v>
          </cell>
        </row>
        <row r="167">
          <cell r="D167">
            <v>153</v>
          </cell>
          <cell r="E167" t="str">
            <v>彭翊芸（附回函）</v>
          </cell>
          <cell r="F167" t="str">
            <v>彭翊芸</v>
          </cell>
        </row>
        <row r="168">
          <cell r="D168">
            <v>154</v>
          </cell>
          <cell r="E168" t="str">
            <v>彭淑萍（附回函）</v>
          </cell>
          <cell r="F168" t="str">
            <v>彭淑萍</v>
          </cell>
        </row>
        <row r="169">
          <cell r="D169">
            <v>155</v>
          </cell>
          <cell r="E169" t="str">
            <v>彭俊融（附回函）</v>
          </cell>
          <cell r="F169" t="str">
            <v>彭俊融</v>
          </cell>
        </row>
        <row r="170">
          <cell r="D170">
            <v>156</v>
          </cell>
          <cell r="E170" t="str">
            <v>彭志遠</v>
          </cell>
          <cell r="F170" t="str">
            <v>彭志遠</v>
          </cell>
        </row>
        <row r="171">
          <cell r="D171">
            <v>157</v>
          </cell>
          <cell r="E171" t="str">
            <v>張雅惠（附回函）</v>
          </cell>
          <cell r="F171" t="str">
            <v>張雅惠</v>
          </cell>
        </row>
        <row r="172">
          <cell r="D172">
            <v>158</v>
          </cell>
          <cell r="E172" t="str">
            <v>張陳雪玉（附回函）</v>
          </cell>
          <cell r="F172" t="str">
            <v>張陳雪</v>
          </cell>
        </row>
        <row r="173">
          <cell r="D173">
            <v>159</v>
          </cell>
          <cell r="E173" t="str">
            <v>張清波（附回函）</v>
          </cell>
          <cell r="F173" t="str">
            <v>張清波</v>
          </cell>
        </row>
        <row r="174">
          <cell r="D174">
            <v>160</v>
          </cell>
          <cell r="E174" t="str">
            <v>張玉汝</v>
          </cell>
          <cell r="F174" t="str">
            <v>張玉汝</v>
          </cell>
        </row>
        <row r="175">
          <cell r="D175">
            <v>161</v>
          </cell>
          <cell r="E175" t="str">
            <v>張陳麗香(附回函）</v>
          </cell>
          <cell r="F175" t="str">
            <v>張陳麗</v>
          </cell>
        </row>
        <row r="176">
          <cell r="D176">
            <v>162</v>
          </cell>
          <cell r="E176" t="str">
            <v>張潘喜英(附回函）</v>
          </cell>
          <cell r="F176" t="str">
            <v>張潘喜</v>
          </cell>
        </row>
        <row r="177">
          <cell r="D177">
            <v>163</v>
          </cell>
          <cell r="E177" t="str">
            <v>張木生（附回函）</v>
          </cell>
          <cell r="F177" t="str">
            <v>張木生</v>
          </cell>
        </row>
        <row r="178">
          <cell r="D178">
            <v>164</v>
          </cell>
          <cell r="E178" t="str">
            <v>趙國斌</v>
          </cell>
          <cell r="F178" t="str">
            <v>趙國斌</v>
          </cell>
        </row>
        <row r="179">
          <cell r="D179">
            <v>165</v>
          </cell>
          <cell r="E179" t="str">
            <v>張煥洲（匯款中信城中）</v>
          </cell>
          <cell r="F179" t="str">
            <v>張煥洲</v>
          </cell>
        </row>
        <row r="180">
          <cell r="D180">
            <v>166</v>
          </cell>
          <cell r="E180" t="str">
            <v>張榮昌（附回函）</v>
          </cell>
          <cell r="F180" t="str">
            <v>張榮昌</v>
          </cell>
        </row>
        <row r="181">
          <cell r="D181">
            <v>167</v>
          </cell>
          <cell r="E181" t="str">
            <v>張建成</v>
          </cell>
          <cell r="F181" t="str">
            <v>張建成</v>
          </cell>
        </row>
        <row r="182">
          <cell r="D182">
            <v>168</v>
          </cell>
          <cell r="E182" t="str">
            <v>張淑卿（附回函）</v>
          </cell>
          <cell r="F182" t="str">
            <v>張淑卿</v>
          </cell>
        </row>
        <row r="183">
          <cell r="D183">
            <v>169</v>
          </cell>
          <cell r="E183" t="str">
            <v>陳仲卿（匯款中信城中）</v>
          </cell>
          <cell r="F183" t="str">
            <v>陳仲卿</v>
          </cell>
        </row>
        <row r="184">
          <cell r="D184">
            <v>170</v>
          </cell>
          <cell r="E184" t="str">
            <v>陳姷妁（Ｅ21_p222)</v>
          </cell>
          <cell r="F184" t="str">
            <v>陳姷妁</v>
          </cell>
        </row>
        <row r="185">
          <cell r="D185">
            <v>171</v>
          </cell>
          <cell r="E185" t="str">
            <v>陳宏洋（附回函）</v>
          </cell>
          <cell r="F185" t="str">
            <v>陳宏洋</v>
          </cell>
        </row>
        <row r="186">
          <cell r="D186">
            <v>172</v>
          </cell>
          <cell r="E186" t="str">
            <v>陳綠蒂</v>
          </cell>
          <cell r="F186" t="str">
            <v>陳綠蒂</v>
          </cell>
        </row>
        <row r="187">
          <cell r="D187">
            <v>173</v>
          </cell>
          <cell r="E187" t="str">
            <v>陳豐榮（匯款中信城中）</v>
          </cell>
          <cell r="F187" t="str">
            <v>陳豐榮</v>
          </cell>
        </row>
        <row r="188">
          <cell r="D188">
            <v>174</v>
          </cell>
          <cell r="E188" t="str">
            <v>陳玉麗（匯款中信城中）</v>
          </cell>
          <cell r="F188" t="str">
            <v>陳玉麗</v>
          </cell>
        </row>
        <row r="189">
          <cell r="D189">
            <v>175</v>
          </cell>
          <cell r="E189" t="str">
            <v>陳永泰</v>
          </cell>
          <cell r="F189" t="str">
            <v>陳永泰</v>
          </cell>
        </row>
        <row r="190">
          <cell r="D190">
            <v>176</v>
          </cell>
          <cell r="E190" t="str">
            <v>陳美香</v>
          </cell>
          <cell r="F190" t="str">
            <v>陳美香</v>
          </cell>
        </row>
        <row r="191">
          <cell r="D191">
            <v>177</v>
          </cell>
          <cell r="E191" t="str">
            <v>陳淑如</v>
          </cell>
          <cell r="F191" t="str">
            <v>陳淑如</v>
          </cell>
        </row>
        <row r="192">
          <cell r="D192">
            <v>178</v>
          </cell>
          <cell r="E192" t="str">
            <v>陳惠春</v>
          </cell>
          <cell r="F192" t="str">
            <v>陳惠春</v>
          </cell>
        </row>
        <row r="193">
          <cell r="D193">
            <v>179</v>
          </cell>
          <cell r="E193" t="str">
            <v>陳復章（附回函)</v>
          </cell>
          <cell r="F193" t="str">
            <v>陳復章</v>
          </cell>
        </row>
        <row r="194">
          <cell r="D194">
            <v>180</v>
          </cell>
          <cell r="E194" t="str">
            <v>陳已淳(E21_p237)</v>
          </cell>
          <cell r="F194" t="str">
            <v>陳已淳</v>
          </cell>
        </row>
        <row r="195">
          <cell r="D195">
            <v>181</v>
          </cell>
          <cell r="E195" t="str">
            <v>陳玉燕（附回函）</v>
          </cell>
          <cell r="F195" t="str">
            <v>陳玉燕</v>
          </cell>
        </row>
        <row r="196">
          <cell r="D196">
            <v>182</v>
          </cell>
          <cell r="E196" t="str">
            <v>陳怡君（匯款中信城中）</v>
          </cell>
          <cell r="F196" t="str">
            <v>陳怡君</v>
          </cell>
        </row>
        <row r="197">
          <cell r="D197">
            <v>183</v>
          </cell>
          <cell r="E197" t="str">
            <v>陳青萍</v>
          </cell>
          <cell r="F197" t="str">
            <v>陳青萍</v>
          </cell>
        </row>
        <row r="198">
          <cell r="D198">
            <v>184</v>
          </cell>
          <cell r="E198" t="str">
            <v>陳良德（附回函）</v>
          </cell>
          <cell r="F198" t="str">
            <v>陳良德</v>
          </cell>
        </row>
        <row r="199">
          <cell r="D199">
            <v>185</v>
          </cell>
          <cell r="E199" t="str">
            <v>陳易儀（附回函)</v>
          </cell>
          <cell r="F199" t="str">
            <v>陳易儀</v>
          </cell>
        </row>
        <row r="200">
          <cell r="D200">
            <v>186</v>
          </cell>
          <cell r="E200" t="str">
            <v>陳惠君</v>
          </cell>
          <cell r="F200" t="str">
            <v>陳惠君</v>
          </cell>
        </row>
        <row r="201">
          <cell r="D201">
            <v>187</v>
          </cell>
          <cell r="E201" t="str">
            <v>陳信宏（附回函）</v>
          </cell>
          <cell r="F201" t="str">
            <v>陳信宏</v>
          </cell>
        </row>
        <row r="202">
          <cell r="D202">
            <v>188</v>
          </cell>
          <cell r="E202" t="str">
            <v>陳群濠（Ｅ21_p258)</v>
          </cell>
          <cell r="F202" t="str">
            <v>陳群濠</v>
          </cell>
        </row>
        <row r="203">
          <cell r="D203">
            <v>189</v>
          </cell>
          <cell r="E203" t="str">
            <v>陳坤禮（附回函）</v>
          </cell>
          <cell r="F203" t="str">
            <v>陳坤禮</v>
          </cell>
        </row>
        <row r="204">
          <cell r="D204">
            <v>190</v>
          </cell>
          <cell r="E204" t="str">
            <v>陳玟玲(附回函)</v>
          </cell>
          <cell r="F204" t="str">
            <v>陳玟玲</v>
          </cell>
        </row>
        <row r="205">
          <cell r="D205">
            <v>191</v>
          </cell>
          <cell r="E205" t="str">
            <v>陳彥宏</v>
          </cell>
          <cell r="F205" t="str">
            <v>陳彥宏</v>
          </cell>
        </row>
        <row r="206">
          <cell r="D206">
            <v>192</v>
          </cell>
          <cell r="E206" t="str">
            <v>陳啟瀚（附回函）</v>
          </cell>
          <cell r="F206" t="str">
            <v>陳啟瀚</v>
          </cell>
        </row>
        <row r="207">
          <cell r="D207">
            <v>193</v>
          </cell>
          <cell r="E207" t="str">
            <v>陳萍實(E16_p144)</v>
          </cell>
          <cell r="F207" t="str">
            <v>陳萍實</v>
          </cell>
        </row>
        <row r="208">
          <cell r="D208">
            <v>194</v>
          </cell>
          <cell r="E208" t="str">
            <v>陳鄧秀讓</v>
          </cell>
          <cell r="F208" t="str">
            <v>陳鄧秀</v>
          </cell>
        </row>
        <row r="209">
          <cell r="D209">
            <v>195</v>
          </cell>
          <cell r="E209" t="str">
            <v>陳春宏</v>
          </cell>
          <cell r="F209" t="str">
            <v>陳春宏</v>
          </cell>
        </row>
        <row r="210">
          <cell r="D210">
            <v>196</v>
          </cell>
          <cell r="E210" t="str">
            <v>陳萍琳（附回函）</v>
          </cell>
          <cell r="F210" t="str">
            <v>陳萍琳</v>
          </cell>
        </row>
        <row r="211">
          <cell r="D211">
            <v>197</v>
          </cell>
          <cell r="E211" t="str">
            <v>陳麗卿（張煥洲太太）</v>
          </cell>
          <cell r="F211" t="str">
            <v>陳麗卿</v>
          </cell>
        </row>
        <row r="212">
          <cell r="D212">
            <v>198</v>
          </cell>
          <cell r="E212" t="str">
            <v>陳俞男</v>
          </cell>
          <cell r="F212" t="str">
            <v>陳俞男</v>
          </cell>
        </row>
        <row r="213">
          <cell r="D213">
            <v>199</v>
          </cell>
          <cell r="E213" t="str">
            <v>陳沅池（附回函）</v>
          </cell>
          <cell r="F213" t="str">
            <v>陳沅池</v>
          </cell>
        </row>
        <row r="214">
          <cell r="D214">
            <v>200</v>
          </cell>
          <cell r="E214" t="str">
            <v>陳綉凰（附回函)</v>
          </cell>
          <cell r="F214" t="str">
            <v>陳綉凰</v>
          </cell>
        </row>
        <row r="215">
          <cell r="D215">
            <v>201</v>
          </cell>
          <cell r="E215" t="str">
            <v>陳仰山（附回函）</v>
          </cell>
          <cell r="F215" t="str">
            <v>陳仰山</v>
          </cell>
        </row>
        <row r="216">
          <cell r="D216">
            <v>202</v>
          </cell>
          <cell r="E216" t="str">
            <v>陳金瑤（附回函)</v>
          </cell>
          <cell r="F216" t="str">
            <v>陳金瑤</v>
          </cell>
        </row>
        <row r="217">
          <cell r="D217">
            <v>203</v>
          </cell>
          <cell r="E217" t="str">
            <v>陳藝文</v>
          </cell>
          <cell r="F217" t="str">
            <v>陳藝文</v>
          </cell>
        </row>
        <row r="218">
          <cell r="D218">
            <v>204</v>
          </cell>
          <cell r="E218" t="str">
            <v>陳美蓮</v>
          </cell>
          <cell r="F218" t="str">
            <v>陳美蓮</v>
          </cell>
        </row>
        <row r="219">
          <cell r="D219">
            <v>205</v>
          </cell>
          <cell r="E219" t="str">
            <v>陳坤龍（匯款中信城中）</v>
          </cell>
          <cell r="F219" t="str">
            <v>陳坤龍</v>
          </cell>
        </row>
        <row r="220">
          <cell r="D220">
            <v>206</v>
          </cell>
          <cell r="E220" t="str">
            <v>陳玉花（匯款中信城中）</v>
          </cell>
          <cell r="F220" t="str">
            <v>陳玉花</v>
          </cell>
        </row>
        <row r="221">
          <cell r="D221">
            <v>207</v>
          </cell>
          <cell r="E221" t="str">
            <v>陳麗雲（附回函）</v>
          </cell>
          <cell r="F221" t="str">
            <v>陳麗雲</v>
          </cell>
        </row>
        <row r="222">
          <cell r="D222">
            <v>208</v>
          </cell>
          <cell r="E222" t="str">
            <v>陳鈞裕（附回函）</v>
          </cell>
          <cell r="F222" t="str">
            <v>陳鈞裕</v>
          </cell>
        </row>
        <row r="223">
          <cell r="D223">
            <v>209</v>
          </cell>
          <cell r="E223" t="str">
            <v>陳秀絨</v>
          </cell>
          <cell r="F223" t="str">
            <v>陳秀絨</v>
          </cell>
        </row>
        <row r="224">
          <cell r="D224">
            <v>210</v>
          </cell>
          <cell r="E224" t="str">
            <v>陳素蓁(附回函)</v>
          </cell>
          <cell r="F224" t="str">
            <v>陳素蓁</v>
          </cell>
        </row>
        <row r="225">
          <cell r="D225">
            <v>211</v>
          </cell>
          <cell r="E225" t="str">
            <v>麥仁和（匯款中信城中）</v>
          </cell>
          <cell r="F225" t="str">
            <v>麥仁和</v>
          </cell>
        </row>
        <row r="226">
          <cell r="D226">
            <v>212</v>
          </cell>
          <cell r="E226" t="str">
            <v>章寶貴（附回函）</v>
          </cell>
          <cell r="F226" t="str">
            <v>章寶貴</v>
          </cell>
        </row>
        <row r="227">
          <cell r="D227">
            <v>213</v>
          </cell>
          <cell r="E227" t="str">
            <v>傅應龍（附回函）</v>
          </cell>
          <cell r="F227" t="str">
            <v>傅應龍</v>
          </cell>
        </row>
        <row r="228">
          <cell r="D228">
            <v>214</v>
          </cell>
          <cell r="E228" t="str">
            <v>曾喜樑（匯款中信城中）</v>
          </cell>
          <cell r="F228" t="str">
            <v>曾喜樑</v>
          </cell>
        </row>
        <row r="229">
          <cell r="D229">
            <v>215</v>
          </cell>
          <cell r="E229" t="str">
            <v>曾穩銘（附回函）</v>
          </cell>
          <cell r="F229" t="str">
            <v>曾穩銘</v>
          </cell>
        </row>
        <row r="230">
          <cell r="D230">
            <v>216</v>
          </cell>
          <cell r="E230" t="str">
            <v>曾文清（附回函）</v>
          </cell>
          <cell r="F230" t="str">
            <v>曾文清</v>
          </cell>
        </row>
        <row r="231">
          <cell r="D231">
            <v>217</v>
          </cell>
          <cell r="E231" t="str">
            <v>曾榮鑾（匯款中信城中）</v>
          </cell>
          <cell r="F231" t="str">
            <v>曾榮鑾</v>
          </cell>
        </row>
        <row r="232">
          <cell r="D232">
            <v>218</v>
          </cell>
          <cell r="E232" t="str">
            <v>曾淑妃（附回函）</v>
          </cell>
          <cell r="F232" t="str">
            <v>曾淑妃</v>
          </cell>
        </row>
        <row r="233">
          <cell r="D233">
            <v>219</v>
          </cell>
          <cell r="E233" t="str">
            <v>葉振輝</v>
          </cell>
          <cell r="F233" t="str">
            <v>葉振輝</v>
          </cell>
        </row>
        <row r="234">
          <cell r="D234">
            <v>220</v>
          </cell>
          <cell r="E234" t="str">
            <v>葉金光(附回函)</v>
          </cell>
          <cell r="F234" t="str">
            <v>葉金光</v>
          </cell>
        </row>
        <row r="235">
          <cell r="D235">
            <v>221</v>
          </cell>
          <cell r="E235" t="str">
            <v>葉逢春（附回函）</v>
          </cell>
          <cell r="F235" t="str">
            <v>葉逢春</v>
          </cell>
        </row>
        <row r="236">
          <cell r="D236">
            <v>222</v>
          </cell>
          <cell r="E236" t="str">
            <v>葉梅蘭</v>
          </cell>
          <cell r="F236" t="str">
            <v>葉梅蘭</v>
          </cell>
        </row>
        <row r="237">
          <cell r="D237">
            <v>223</v>
          </cell>
          <cell r="E237" t="str">
            <v>葉秀欽</v>
          </cell>
          <cell r="F237" t="str">
            <v>葉秀欽</v>
          </cell>
        </row>
        <row r="238">
          <cell r="D238">
            <v>224</v>
          </cell>
          <cell r="E238" t="str">
            <v>游閔暉（附回函)</v>
          </cell>
          <cell r="F238" t="str">
            <v>游閔暉</v>
          </cell>
        </row>
        <row r="239">
          <cell r="D239">
            <v>225</v>
          </cell>
          <cell r="E239" t="str">
            <v>游玫芳（附回函）</v>
          </cell>
          <cell r="F239" t="str">
            <v>游玫芳</v>
          </cell>
        </row>
        <row r="240">
          <cell r="D240">
            <v>226</v>
          </cell>
          <cell r="E240" t="str">
            <v>游永金（附回函）</v>
          </cell>
          <cell r="F240" t="str">
            <v>游永金</v>
          </cell>
        </row>
        <row r="241">
          <cell r="D241">
            <v>227</v>
          </cell>
          <cell r="E241" t="str">
            <v>游秀玉（附回函）</v>
          </cell>
          <cell r="F241" t="str">
            <v>游秀玉</v>
          </cell>
        </row>
        <row r="242">
          <cell r="D242">
            <v>228</v>
          </cell>
          <cell r="E242" t="str">
            <v>楊秋惠(E22_p63)</v>
          </cell>
          <cell r="F242" t="str">
            <v>楊秋惠</v>
          </cell>
        </row>
        <row r="243">
          <cell r="D243">
            <v>229</v>
          </cell>
          <cell r="E243" t="str">
            <v>楊曼玲(附回函)</v>
          </cell>
          <cell r="F243" t="str">
            <v>楊曼玲</v>
          </cell>
        </row>
        <row r="244">
          <cell r="D244">
            <v>230</v>
          </cell>
          <cell r="E244" t="str">
            <v>楊曉芬</v>
          </cell>
          <cell r="F244" t="str">
            <v>楊曉芬</v>
          </cell>
        </row>
        <row r="245">
          <cell r="D245">
            <v>231</v>
          </cell>
          <cell r="E245" t="str">
            <v>楊靜芬（附回函）</v>
          </cell>
          <cell r="F245" t="str">
            <v>楊靜芬</v>
          </cell>
        </row>
        <row r="246">
          <cell r="D246">
            <v>232</v>
          </cell>
          <cell r="E246" t="str">
            <v>楊小宜（附回函）</v>
          </cell>
          <cell r="F246" t="str">
            <v>楊小宜</v>
          </cell>
        </row>
        <row r="247">
          <cell r="D247">
            <v>233</v>
          </cell>
          <cell r="E247" t="str">
            <v>楊錫勛( 附回函)</v>
          </cell>
          <cell r="F247" t="str">
            <v>楊錫勛</v>
          </cell>
        </row>
        <row r="248">
          <cell r="D248">
            <v>234</v>
          </cell>
          <cell r="E248" t="str">
            <v>楊正傑（附回函）</v>
          </cell>
          <cell r="F248" t="str">
            <v>楊正傑</v>
          </cell>
        </row>
        <row r="249">
          <cell r="D249">
            <v>235</v>
          </cell>
          <cell r="E249" t="str">
            <v>楊清森(E22_p91)</v>
          </cell>
          <cell r="F249" t="str">
            <v>楊清森</v>
          </cell>
        </row>
        <row r="250">
          <cell r="D250">
            <v>236</v>
          </cell>
          <cell r="E250" t="str">
            <v>楊善宇</v>
          </cell>
          <cell r="F250" t="str">
            <v>楊善宇</v>
          </cell>
        </row>
        <row r="251">
          <cell r="D251">
            <v>237</v>
          </cell>
          <cell r="E251" t="str">
            <v>黃靜英( 附回函)</v>
          </cell>
          <cell r="F251" t="str">
            <v>黃靜英</v>
          </cell>
        </row>
        <row r="252">
          <cell r="D252">
            <v>238</v>
          </cell>
          <cell r="E252" t="str">
            <v>黃明智（附回函）</v>
          </cell>
          <cell r="F252" t="str">
            <v>黃明智</v>
          </cell>
        </row>
        <row r="253">
          <cell r="D253">
            <v>239</v>
          </cell>
          <cell r="E253" t="str">
            <v>黃秋珍（附回函）</v>
          </cell>
          <cell r="F253" t="str">
            <v>黃秋珍</v>
          </cell>
        </row>
        <row r="254">
          <cell r="D254">
            <v>240</v>
          </cell>
          <cell r="E254" t="str">
            <v>黃瑞萍</v>
          </cell>
          <cell r="F254" t="str">
            <v>黃瑞萍</v>
          </cell>
        </row>
        <row r="255">
          <cell r="D255">
            <v>241</v>
          </cell>
          <cell r="E255" t="str">
            <v>黃詩婷（員工）</v>
          </cell>
          <cell r="F255" t="str">
            <v>黃詩婷</v>
          </cell>
        </row>
        <row r="256">
          <cell r="D256">
            <v>242</v>
          </cell>
          <cell r="E256" t="str">
            <v>黃曉萍( 附回函)</v>
          </cell>
          <cell r="F256" t="str">
            <v>黃曉萍</v>
          </cell>
        </row>
        <row r="257">
          <cell r="D257">
            <v>243</v>
          </cell>
          <cell r="E257" t="str">
            <v>黃治元（附回函）</v>
          </cell>
          <cell r="F257" t="str">
            <v>黃治元</v>
          </cell>
        </row>
        <row r="258">
          <cell r="D258">
            <v>244</v>
          </cell>
          <cell r="E258" t="str">
            <v>黃慧娥（附回函）</v>
          </cell>
          <cell r="F258" t="str">
            <v>黃慧娥</v>
          </cell>
        </row>
        <row r="259">
          <cell r="D259">
            <v>245</v>
          </cell>
          <cell r="E259" t="str">
            <v>黃阿勤( 附回函)</v>
          </cell>
          <cell r="F259" t="str">
            <v>黃阿勤</v>
          </cell>
        </row>
        <row r="260">
          <cell r="D260">
            <v>246</v>
          </cell>
          <cell r="E260" t="str">
            <v>黃秀芬（附回函）</v>
          </cell>
          <cell r="F260" t="str">
            <v>黃秀芬</v>
          </cell>
        </row>
        <row r="261">
          <cell r="D261">
            <v>247</v>
          </cell>
          <cell r="E261" t="str">
            <v>黃羿堯（附回函)</v>
          </cell>
          <cell r="F261" t="str">
            <v>黃羿堯</v>
          </cell>
        </row>
        <row r="262">
          <cell r="D262">
            <v>248</v>
          </cell>
          <cell r="E262" t="str">
            <v>黃順良（附回函）</v>
          </cell>
          <cell r="F262" t="str">
            <v>黃順良</v>
          </cell>
        </row>
        <row r="263">
          <cell r="D263">
            <v>249</v>
          </cell>
          <cell r="E263" t="str">
            <v>黃明松</v>
          </cell>
          <cell r="F263" t="str">
            <v>黃明松</v>
          </cell>
        </row>
        <row r="264">
          <cell r="D264">
            <v>250</v>
          </cell>
          <cell r="E264" t="str">
            <v>黃俊仁( 附回函)</v>
          </cell>
          <cell r="F264" t="str">
            <v>黃俊仁</v>
          </cell>
        </row>
        <row r="265">
          <cell r="D265">
            <v>251</v>
          </cell>
          <cell r="E265" t="str">
            <v>黃惠娟</v>
          </cell>
          <cell r="F265" t="str">
            <v>黃惠娟</v>
          </cell>
        </row>
        <row r="266">
          <cell r="D266">
            <v>252</v>
          </cell>
          <cell r="E266" t="str">
            <v>黃逢妹（附回函）</v>
          </cell>
          <cell r="F266" t="str">
            <v>黃逢妹</v>
          </cell>
        </row>
        <row r="267">
          <cell r="D267">
            <v>253</v>
          </cell>
          <cell r="E267" t="str">
            <v>黃助妹（附回函）</v>
          </cell>
          <cell r="F267" t="str">
            <v>黃助妹</v>
          </cell>
        </row>
        <row r="268">
          <cell r="D268">
            <v>254</v>
          </cell>
          <cell r="E268" t="str">
            <v>黃昶芳( 附回函)</v>
          </cell>
          <cell r="F268" t="str">
            <v>黃昶芳</v>
          </cell>
        </row>
        <row r="269">
          <cell r="D269">
            <v>255</v>
          </cell>
          <cell r="E269" t="str">
            <v>黃桂芬（附回函）</v>
          </cell>
          <cell r="F269" t="str">
            <v>黃桂芬</v>
          </cell>
        </row>
        <row r="270">
          <cell r="D270">
            <v>256</v>
          </cell>
          <cell r="E270" t="str">
            <v>黃人信</v>
          </cell>
          <cell r="F270" t="str">
            <v>黃人信</v>
          </cell>
        </row>
        <row r="271">
          <cell r="D271">
            <v>257</v>
          </cell>
          <cell r="E271" t="str">
            <v>黃士峰（附回函）</v>
          </cell>
          <cell r="F271" t="str">
            <v>黃士峰</v>
          </cell>
        </row>
        <row r="272">
          <cell r="D272">
            <v>258</v>
          </cell>
          <cell r="E272" t="str">
            <v>黃亭瑄（員工）</v>
          </cell>
          <cell r="F272" t="str">
            <v>黃亭瑄</v>
          </cell>
        </row>
        <row r="273">
          <cell r="D273">
            <v>259</v>
          </cell>
          <cell r="E273" t="str">
            <v>湯美珍（附回函)</v>
          </cell>
          <cell r="F273" t="str">
            <v>湯美珍</v>
          </cell>
        </row>
        <row r="274">
          <cell r="D274">
            <v>260</v>
          </cell>
          <cell r="E274" t="str">
            <v>程美玉（附回函）</v>
          </cell>
          <cell r="F274" t="str">
            <v>程美玉</v>
          </cell>
        </row>
        <row r="275">
          <cell r="D275">
            <v>261</v>
          </cell>
          <cell r="E275" t="str">
            <v>詹欣頤（員工）</v>
          </cell>
          <cell r="F275" t="str">
            <v>詹欣頤</v>
          </cell>
        </row>
        <row r="276">
          <cell r="D276">
            <v>262</v>
          </cell>
          <cell r="E276" t="str">
            <v>詹榮泉（附回函）</v>
          </cell>
          <cell r="F276" t="str">
            <v>詹榮泉</v>
          </cell>
        </row>
        <row r="277">
          <cell r="D277">
            <v>263</v>
          </cell>
          <cell r="E277" t="str">
            <v>董國勝( 附回函)</v>
          </cell>
          <cell r="F277" t="str">
            <v>董國勝</v>
          </cell>
        </row>
        <row r="278">
          <cell r="D278">
            <v>264</v>
          </cell>
          <cell r="E278" t="str">
            <v>廖森雲（附回函）</v>
          </cell>
          <cell r="F278" t="str">
            <v>廖森雲</v>
          </cell>
        </row>
        <row r="279">
          <cell r="D279">
            <v>265</v>
          </cell>
          <cell r="E279" t="str">
            <v>廖芳藝（附回函）</v>
          </cell>
          <cell r="F279" t="str">
            <v>廖芳藝</v>
          </cell>
        </row>
        <row r="280">
          <cell r="D280">
            <v>266</v>
          </cell>
          <cell r="E280" t="str">
            <v>廖繼仕（附回函）</v>
          </cell>
          <cell r="F280" t="str">
            <v>廖繼仕</v>
          </cell>
        </row>
        <row r="281">
          <cell r="D281">
            <v>267</v>
          </cell>
          <cell r="E281" t="str">
            <v>廖良習</v>
          </cell>
          <cell r="F281" t="str">
            <v>廖良習</v>
          </cell>
        </row>
        <row r="282">
          <cell r="D282">
            <v>268</v>
          </cell>
          <cell r="E282" t="str">
            <v>趙國斌（附回函）</v>
          </cell>
          <cell r="F282" t="str">
            <v>趙國斌</v>
          </cell>
        </row>
        <row r="283">
          <cell r="D283">
            <v>269</v>
          </cell>
          <cell r="E283" t="str">
            <v>蔡宛芬（Ｅ17_p207）</v>
          </cell>
          <cell r="F283" t="str">
            <v>蔡宛芬</v>
          </cell>
        </row>
        <row r="284">
          <cell r="D284">
            <v>270</v>
          </cell>
          <cell r="E284" t="str">
            <v>蔡佳秀（附回函）</v>
          </cell>
          <cell r="F284" t="str">
            <v>蔡佳秀</v>
          </cell>
        </row>
        <row r="285">
          <cell r="D285">
            <v>271</v>
          </cell>
          <cell r="E285" t="str">
            <v>蔡信健( 附回函)</v>
          </cell>
          <cell r="F285" t="str">
            <v>蔡信健</v>
          </cell>
        </row>
        <row r="286">
          <cell r="D286">
            <v>272</v>
          </cell>
          <cell r="E286" t="str">
            <v>蔡長霖（附回函)</v>
          </cell>
          <cell r="F286" t="str">
            <v>蔡長霖</v>
          </cell>
        </row>
        <row r="287">
          <cell r="D287">
            <v>273</v>
          </cell>
          <cell r="E287" t="str">
            <v>蔡佩蓉( 附回函)</v>
          </cell>
          <cell r="F287" t="str">
            <v>蔡佩蓉</v>
          </cell>
        </row>
        <row r="288">
          <cell r="D288">
            <v>274</v>
          </cell>
          <cell r="E288" t="str">
            <v>蔡文益（附回函）</v>
          </cell>
          <cell r="F288" t="str">
            <v>蔡文益</v>
          </cell>
        </row>
        <row r="289">
          <cell r="D289">
            <v>275</v>
          </cell>
          <cell r="E289" t="str">
            <v>蔡妤炘（匯款中信城中）</v>
          </cell>
          <cell r="F289" t="str">
            <v>蔡妤炘</v>
          </cell>
        </row>
        <row r="290">
          <cell r="D290">
            <v>276</v>
          </cell>
          <cell r="E290" t="str">
            <v>蔡青坪(附回函)</v>
          </cell>
          <cell r="F290" t="str">
            <v>蔡青坪</v>
          </cell>
        </row>
        <row r="291">
          <cell r="D291">
            <v>277</v>
          </cell>
          <cell r="E291" t="str">
            <v>劉文虎(E23-p3)</v>
          </cell>
          <cell r="F291" t="str">
            <v>劉文虎</v>
          </cell>
        </row>
        <row r="292">
          <cell r="D292">
            <v>278</v>
          </cell>
          <cell r="E292" t="str">
            <v>劉子鵬( 附回函)</v>
          </cell>
          <cell r="F292" t="str">
            <v>劉子鵬</v>
          </cell>
        </row>
        <row r="293">
          <cell r="D293">
            <v>279</v>
          </cell>
          <cell r="E293" t="str">
            <v>劉鳳美( 附回函)</v>
          </cell>
          <cell r="F293" t="str">
            <v>劉鳳美</v>
          </cell>
        </row>
        <row r="294">
          <cell r="D294">
            <v>280</v>
          </cell>
          <cell r="E294" t="str">
            <v>劉建良（附回函）</v>
          </cell>
          <cell r="F294" t="str">
            <v>劉建良</v>
          </cell>
        </row>
        <row r="295">
          <cell r="D295">
            <v>281</v>
          </cell>
          <cell r="E295" t="str">
            <v>劉聰杰( 附回函)</v>
          </cell>
          <cell r="F295" t="str">
            <v>劉聰杰</v>
          </cell>
        </row>
        <row r="296">
          <cell r="D296">
            <v>282</v>
          </cell>
          <cell r="E296" t="str">
            <v>劉素芬</v>
          </cell>
          <cell r="F296" t="str">
            <v>劉素芬</v>
          </cell>
        </row>
        <row r="297">
          <cell r="D297">
            <v>283</v>
          </cell>
          <cell r="E297" t="str">
            <v>劉秀麗( 李珍妮友)</v>
          </cell>
          <cell r="F297" t="str">
            <v>劉秀麗</v>
          </cell>
        </row>
        <row r="298">
          <cell r="D298">
            <v>284</v>
          </cell>
          <cell r="E298" t="str">
            <v>劉炳貴（附回函）</v>
          </cell>
          <cell r="F298" t="str">
            <v>劉炳貴</v>
          </cell>
        </row>
        <row r="299">
          <cell r="D299">
            <v>285</v>
          </cell>
          <cell r="E299" t="str">
            <v>劉美玲 ( 附回函)</v>
          </cell>
          <cell r="F299" t="str">
            <v>劉美玲</v>
          </cell>
        </row>
        <row r="300">
          <cell r="D300">
            <v>286</v>
          </cell>
          <cell r="E300" t="str">
            <v>潘梅桂（匯款中信城中）</v>
          </cell>
          <cell r="F300" t="str">
            <v>潘梅桂</v>
          </cell>
        </row>
        <row r="301">
          <cell r="D301">
            <v>287</v>
          </cell>
          <cell r="E301" t="str">
            <v>潘建盛（附回函)</v>
          </cell>
          <cell r="F301" t="str">
            <v>潘建盛</v>
          </cell>
        </row>
        <row r="302">
          <cell r="D302">
            <v>288</v>
          </cell>
          <cell r="E302" t="str">
            <v>潘錫樹</v>
          </cell>
          <cell r="F302" t="str">
            <v>潘錫樹</v>
          </cell>
        </row>
        <row r="303">
          <cell r="D303">
            <v>289</v>
          </cell>
          <cell r="E303" t="str">
            <v>鄭國中（附回函）</v>
          </cell>
          <cell r="F303" t="str">
            <v>鄭國中</v>
          </cell>
        </row>
        <row r="304">
          <cell r="D304">
            <v>290</v>
          </cell>
          <cell r="E304" t="str">
            <v>鄭素萍(附回函)</v>
          </cell>
          <cell r="F304" t="str">
            <v>鄭素萍</v>
          </cell>
        </row>
        <row r="305">
          <cell r="D305">
            <v>291</v>
          </cell>
          <cell r="E305" t="str">
            <v>鄭瑞千（匯款中信城中）</v>
          </cell>
          <cell r="F305" t="str">
            <v>鄭瑞千</v>
          </cell>
        </row>
        <row r="306">
          <cell r="D306">
            <v>292</v>
          </cell>
          <cell r="E306" t="str">
            <v>鄭明華（附回函）</v>
          </cell>
          <cell r="F306" t="str">
            <v>鄭明華</v>
          </cell>
        </row>
        <row r="307">
          <cell r="D307">
            <v>293</v>
          </cell>
          <cell r="E307" t="str">
            <v>鄭彩惠( 附回函)</v>
          </cell>
          <cell r="F307" t="str">
            <v>鄭彩惠</v>
          </cell>
        </row>
        <row r="308">
          <cell r="D308">
            <v>294</v>
          </cell>
          <cell r="E308" t="str">
            <v>歐俊龍</v>
          </cell>
          <cell r="F308" t="str">
            <v>歐俊龍</v>
          </cell>
        </row>
        <row r="309">
          <cell r="D309">
            <v>295</v>
          </cell>
          <cell r="E309" t="str">
            <v>賴美珍（附回函）</v>
          </cell>
          <cell r="F309" t="str">
            <v>賴美珍</v>
          </cell>
        </row>
        <row r="310">
          <cell r="D310">
            <v>296</v>
          </cell>
          <cell r="E310" t="str">
            <v>賴秀英（附回函）</v>
          </cell>
          <cell r="F310" t="str">
            <v>賴秀英</v>
          </cell>
        </row>
        <row r="311">
          <cell r="D311">
            <v>297</v>
          </cell>
          <cell r="E311" t="str">
            <v>賴宥材</v>
          </cell>
          <cell r="F311" t="str">
            <v>賴宥材</v>
          </cell>
        </row>
        <row r="312">
          <cell r="D312">
            <v>298</v>
          </cell>
          <cell r="E312" t="str">
            <v>駱詠潔（附回函）</v>
          </cell>
          <cell r="F312" t="str">
            <v>駱詠潔</v>
          </cell>
        </row>
        <row r="313">
          <cell r="D313">
            <v>299</v>
          </cell>
          <cell r="E313" t="str">
            <v>駱沛婕（附回函）</v>
          </cell>
          <cell r="F313" t="str">
            <v>駱沛婕</v>
          </cell>
        </row>
        <row r="314">
          <cell r="D314">
            <v>300</v>
          </cell>
          <cell r="E314" t="str">
            <v>蕭筱屏（附回函）</v>
          </cell>
          <cell r="F314" t="str">
            <v>蕭筱屏</v>
          </cell>
        </row>
        <row r="315">
          <cell r="D315">
            <v>301</v>
          </cell>
          <cell r="E315" t="str">
            <v>鍾有金（附回函）</v>
          </cell>
          <cell r="F315" t="str">
            <v>鍾有金</v>
          </cell>
        </row>
        <row r="316">
          <cell r="D316">
            <v>302</v>
          </cell>
          <cell r="E316" t="str">
            <v>鍾美玉</v>
          </cell>
          <cell r="F316" t="str">
            <v>鍾美玉</v>
          </cell>
        </row>
        <row r="317">
          <cell r="D317">
            <v>303</v>
          </cell>
          <cell r="E317" t="str">
            <v>鍾國文( 附回函)</v>
          </cell>
          <cell r="F317" t="str">
            <v>鍾國文</v>
          </cell>
        </row>
        <row r="318">
          <cell r="D318">
            <v>304</v>
          </cell>
          <cell r="E318" t="str">
            <v>鍾毓珊（附回函）</v>
          </cell>
          <cell r="F318" t="str">
            <v>鍾毓珊</v>
          </cell>
        </row>
        <row r="319">
          <cell r="D319">
            <v>305</v>
          </cell>
          <cell r="E319" t="str">
            <v>鍾安如（附回函）</v>
          </cell>
          <cell r="F319" t="str">
            <v>鍾安如</v>
          </cell>
        </row>
        <row r="320">
          <cell r="D320">
            <v>306</v>
          </cell>
          <cell r="E320" t="str">
            <v>鍾心芸（附回函）</v>
          </cell>
          <cell r="F320" t="str">
            <v>鍾心芸</v>
          </cell>
        </row>
        <row r="321">
          <cell r="D321">
            <v>307</v>
          </cell>
          <cell r="E321" t="str">
            <v>鍾月嬌</v>
          </cell>
          <cell r="F321" t="str">
            <v>鍾月嬌</v>
          </cell>
        </row>
        <row r="322">
          <cell r="D322">
            <v>308</v>
          </cell>
          <cell r="E322" t="str">
            <v>韓蘇彩柳（匯款中信城中）</v>
          </cell>
          <cell r="F322" t="str">
            <v>韓蘇彩</v>
          </cell>
        </row>
        <row r="323">
          <cell r="D323">
            <v>309</v>
          </cell>
          <cell r="E323" t="str">
            <v>韓寶玲（附回函）</v>
          </cell>
          <cell r="F323" t="str">
            <v>韓寶玲</v>
          </cell>
        </row>
        <row r="324">
          <cell r="D324">
            <v>310</v>
          </cell>
          <cell r="E324" t="str">
            <v>簡淑華（Ｅ36_p50)</v>
          </cell>
          <cell r="F324" t="str">
            <v>簡淑華</v>
          </cell>
        </row>
        <row r="325">
          <cell r="D325">
            <v>311</v>
          </cell>
          <cell r="E325" t="str">
            <v>簡月真（附回函)</v>
          </cell>
          <cell r="F325" t="str">
            <v>簡月真</v>
          </cell>
        </row>
        <row r="326">
          <cell r="D326">
            <v>312</v>
          </cell>
          <cell r="E326" t="str">
            <v>謝玄昭</v>
          </cell>
          <cell r="F326" t="str">
            <v>謝玄昭</v>
          </cell>
        </row>
        <row r="327">
          <cell r="D327">
            <v>313</v>
          </cell>
          <cell r="E327" t="str">
            <v>謝宗雄（匯款中信城中）</v>
          </cell>
          <cell r="F327" t="str">
            <v>謝宗雄</v>
          </cell>
        </row>
        <row r="328">
          <cell r="D328">
            <v>314</v>
          </cell>
          <cell r="E328" t="str">
            <v>謝美玲（附回函）</v>
          </cell>
          <cell r="F328" t="str">
            <v>謝美玲</v>
          </cell>
        </row>
        <row r="329">
          <cell r="D329">
            <v>315</v>
          </cell>
          <cell r="E329" t="str">
            <v>謝美秋</v>
          </cell>
          <cell r="F329" t="str">
            <v>謝美秋</v>
          </cell>
        </row>
        <row r="330">
          <cell r="D330">
            <v>316</v>
          </cell>
          <cell r="E330" t="str">
            <v>謝美真</v>
          </cell>
          <cell r="F330" t="str">
            <v>謝美真</v>
          </cell>
        </row>
        <row r="331">
          <cell r="D331">
            <v>317</v>
          </cell>
          <cell r="E331" t="str">
            <v>謝秋琴（附回函）</v>
          </cell>
          <cell r="F331" t="str">
            <v>謝秋琴</v>
          </cell>
        </row>
        <row r="332">
          <cell r="D332">
            <v>318</v>
          </cell>
          <cell r="E332" t="str">
            <v>謝修瑩</v>
          </cell>
          <cell r="F332" t="str">
            <v>謝修瑩</v>
          </cell>
        </row>
        <row r="333">
          <cell r="D333">
            <v>319</v>
          </cell>
          <cell r="E333" t="str">
            <v>謝秀菊（附回函)</v>
          </cell>
          <cell r="F333" t="str">
            <v>謝秀菊</v>
          </cell>
        </row>
        <row r="334">
          <cell r="D334">
            <v>320</v>
          </cell>
          <cell r="E334" t="str">
            <v>謝博仁（附回函）</v>
          </cell>
          <cell r="F334" t="str">
            <v>謝博仁</v>
          </cell>
        </row>
        <row r="335">
          <cell r="D335">
            <v>321</v>
          </cell>
          <cell r="E335" t="str">
            <v>謝瀅諭</v>
          </cell>
          <cell r="F335" t="str">
            <v>謝瀅諭</v>
          </cell>
        </row>
        <row r="336">
          <cell r="D336">
            <v>322</v>
          </cell>
          <cell r="E336" t="str">
            <v>戴亦均（匯款中信城中）</v>
          </cell>
          <cell r="F336" t="str">
            <v>戴亦均</v>
          </cell>
        </row>
        <row r="337">
          <cell r="D337">
            <v>323</v>
          </cell>
          <cell r="E337" t="str">
            <v>顏淑娟(E23_p204)</v>
          </cell>
          <cell r="F337" t="str">
            <v>顏淑娟</v>
          </cell>
        </row>
        <row r="338">
          <cell r="D338">
            <v>324</v>
          </cell>
          <cell r="E338" t="str">
            <v>顏春花（匯款中信城中）</v>
          </cell>
          <cell r="F338" t="str">
            <v>顏春花</v>
          </cell>
        </row>
        <row r="339">
          <cell r="D339">
            <v>325</v>
          </cell>
          <cell r="E339" t="str">
            <v>魏哲云（附回函）</v>
          </cell>
          <cell r="F339" t="str">
            <v>魏哲云</v>
          </cell>
        </row>
        <row r="340">
          <cell r="D340">
            <v>326</v>
          </cell>
          <cell r="E340" t="str">
            <v>羅誘貽(E23_p233)</v>
          </cell>
          <cell r="F340" t="str">
            <v>羅誘貽</v>
          </cell>
        </row>
        <row r="341">
          <cell r="D341">
            <v>327</v>
          </cell>
          <cell r="E341" t="str">
            <v>羅家炎（附回函）</v>
          </cell>
          <cell r="F341" t="str">
            <v>羅家炎</v>
          </cell>
        </row>
        <row r="342">
          <cell r="D342">
            <v>328</v>
          </cell>
          <cell r="E342" t="str">
            <v>羅文峰（附回函）</v>
          </cell>
          <cell r="F342" t="str">
            <v>羅文峰</v>
          </cell>
        </row>
        <row r="343">
          <cell r="D343">
            <v>329</v>
          </cell>
          <cell r="E343" t="str">
            <v>羅吉谷( 附回函)</v>
          </cell>
          <cell r="F343" t="str">
            <v>羅吉谷</v>
          </cell>
        </row>
        <row r="344">
          <cell r="D344">
            <v>330</v>
          </cell>
          <cell r="E344" t="str">
            <v>羅順嬌(附回函)</v>
          </cell>
          <cell r="F344" t="str">
            <v>羅順嬌</v>
          </cell>
        </row>
        <row r="345">
          <cell r="D345">
            <v>331</v>
          </cell>
          <cell r="E345" t="str">
            <v>薛柏林（附回函）</v>
          </cell>
          <cell r="F345" t="str">
            <v>薛柏林</v>
          </cell>
        </row>
        <row r="346">
          <cell r="D346">
            <v>332</v>
          </cell>
          <cell r="E346" t="str">
            <v>蘇姿美（匯款中信城中）</v>
          </cell>
          <cell r="F346" t="str">
            <v>蘇姿美</v>
          </cell>
        </row>
        <row r="347">
          <cell r="D347">
            <v>333</v>
          </cell>
          <cell r="E347" t="str">
            <v>蘇介亮（附回函)</v>
          </cell>
          <cell r="F347" t="str">
            <v>蘇介亮</v>
          </cell>
        </row>
        <row r="348">
          <cell r="D348">
            <v>334</v>
          </cell>
          <cell r="E348" t="str">
            <v>龔家平( 附回函)</v>
          </cell>
          <cell r="F348" t="str">
            <v>龔家平</v>
          </cell>
        </row>
        <row r="349">
          <cell r="D349">
            <v>335</v>
          </cell>
          <cell r="E349" t="str">
            <v>龔麗芬(E18_p20)</v>
          </cell>
          <cell r="F349" t="str">
            <v>龔麗芬</v>
          </cell>
        </row>
        <row r="350">
          <cell r="D350">
            <v>336</v>
          </cell>
          <cell r="E350" t="str">
            <v>龔洢波(附回函)</v>
          </cell>
          <cell r="F350" t="str">
            <v>龔洢波</v>
          </cell>
        </row>
        <row r="351">
          <cell r="D351">
            <v>337</v>
          </cell>
          <cell r="E351" t="str">
            <v>李宛蓉</v>
          </cell>
          <cell r="F351" t="str">
            <v>李宛蓉</v>
          </cell>
        </row>
        <row r="352">
          <cell r="D352">
            <v>338</v>
          </cell>
          <cell r="E352" t="str">
            <v>陳德榮（附回函）</v>
          </cell>
          <cell r="F352" t="str">
            <v>陳德榮</v>
          </cell>
        </row>
        <row r="353">
          <cell r="D353">
            <v>339</v>
          </cell>
          <cell r="E353" t="str">
            <v>陳柏如</v>
          </cell>
          <cell r="F353" t="str">
            <v>陳柏如</v>
          </cell>
        </row>
        <row r="354">
          <cell r="D354">
            <v>340</v>
          </cell>
          <cell r="E354" t="str">
            <v>姜學英（附回函）</v>
          </cell>
          <cell r="F354" t="str">
            <v>姜學英</v>
          </cell>
        </row>
        <row r="355">
          <cell r="D355">
            <v>341</v>
          </cell>
          <cell r="E355" t="str">
            <v>劉石振（附回函）</v>
          </cell>
          <cell r="F355" t="str">
            <v>劉石振</v>
          </cell>
        </row>
        <row r="356">
          <cell r="D356">
            <v>342</v>
          </cell>
          <cell r="E356" t="str">
            <v>高雅蘭（附回函）</v>
          </cell>
          <cell r="F356" t="str">
            <v>高雅蘭</v>
          </cell>
        </row>
        <row r="357">
          <cell r="D357">
            <v>343</v>
          </cell>
          <cell r="E357" t="str">
            <v>李慶一</v>
          </cell>
          <cell r="F357" t="str">
            <v>李慶一</v>
          </cell>
        </row>
        <row r="358">
          <cell r="D358">
            <v>344</v>
          </cell>
          <cell r="E358" t="str">
            <v>謝美秋</v>
          </cell>
          <cell r="F358" t="str">
            <v>謝美秋</v>
          </cell>
        </row>
        <row r="359">
          <cell r="D359">
            <v>345</v>
          </cell>
          <cell r="E359" t="str">
            <v>蘇沛晨（匯款中信城中）</v>
          </cell>
          <cell r="F359" t="str">
            <v>蘇沛晨</v>
          </cell>
        </row>
        <row r="360">
          <cell r="D360">
            <v>346</v>
          </cell>
          <cell r="E360" t="str">
            <v>許正義（Ｅ36_p129)</v>
          </cell>
          <cell r="F360" t="str">
            <v>許正義</v>
          </cell>
        </row>
        <row r="361">
          <cell r="D361">
            <v>347</v>
          </cell>
          <cell r="E361" t="str">
            <v>廖德銓（Ｅ26_p13)</v>
          </cell>
          <cell r="F361" t="str">
            <v>廖德銓</v>
          </cell>
        </row>
        <row r="362">
          <cell r="D362">
            <v>348</v>
          </cell>
          <cell r="E362" t="str">
            <v>張良輔（Ｅ31_p3)</v>
          </cell>
          <cell r="F362" t="str">
            <v>張良輔</v>
          </cell>
        </row>
        <row r="363">
          <cell r="D363">
            <v>349</v>
          </cell>
          <cell r="E363" t="str">
            <v>薛文楨（Ｅ30_p3)</v>
          </cell>
          <cell r="F363" t="str">
            <v>薛文楨</v>
          </cell>
        </row>
        <row r="364">
          <cell r="D364">
            <v>350</v>
          </cell>
          <cell r="E364" t="str">
            <v>李瓊雲（Ｅ28_p3)</v>
          </cell>
          <cell r="F364" t="str">
            <v>李瓊雲</v>
          </cell>
        </row>
        <row r="365">
          <cell r="D365">
            <v>351</v>
          </cell>
          <cell r="E365" t="str">
            <v>王茂雄(E24_p2)</v>
          </cell>
          <cell r="F365" t="str">
            <v>王茂雄</v>
          </cell>
        </row>
        <row r="366">
          <cell r="D366">
            <v>352</v>
          </cell>
          <cell r="E366" t="str">
            <v>王素如 (E13_p68)</v>
          </cell>
          <cell r="F366" t="str">
            <v>王素如</v>
          </cell>
        </row>
        <row r="367">
          <cell r="D367">
            <v>353</v>
          </cell>
          <cell r="E367" t="str">
            <v>李佩芳（E13_p65 )</v>
          </cell>
          <cell r="F367" t="str">
            <v>李佩芳</v>
          </cell>
        </row>
        <row r="368">
          <cell r="D368">
            <v>354</v>
          </cell>
          <cell r="E368" t="str">
            <v>陳嘉澤（Ｅ13_p65 )</v>
          </cell>
          <cell r="F368" t="str">
            <v>陳嘉澤</v>
          </cell>
        </row>
        <row r="369">
          <cell r="D369">
            <v>355</v>
          </cell>
          <cell r="E369" t="str">
            <v>柯佑在（E13_p22)</v>
          </cell>
          <cell r="F369" t="str">
            <v>柯佑在</v>
          </cell>
        </row>
        <row r="370">
          <cell r="D370">
            <v>356</v>
          </cell>
          <cell r="E370" t="str">
            <v>許鈴妙（E13_p9）</v>
          </cell>
          <cell r="F370" t="str">
            <v>許鈴妙</v>
          </cell>
        </row>
        <row r="371">
          <cell r="D371">
            <v>357</v>
          </cell>
          <cell r="E371" t="str">
            <v>游怡文（E13_p22)</v>
          </cell>
          <cell r="F371" t="str">
            <v>游怡文</v>
          </cell>
        </row>
        <row r="372">
          <cell r="D372">
            <v>358</v>
          </cell>
          <cell r="E372" t="str">
            <v>陳德溎（Ｅ18_p77)</v>
          </cell>
          <cell r="F372" t="str">
            <v>陳德溎</v>
          </cell>
        </row>
      </sheetData>
      <sheetData sheetId="1"/>
      <sheetData sheetId="2"/>
      <sheetData sheetId="3"/>
      <sheetData sheetId="4"/>
      <sheetData sheetId="5"/>
      <sheetData sheetId="6"/>
      <sheetData sheetId="7"/>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3"/>
  <sheetViews>
    <sheetView view="pageBreakPreview" zoomScale="110" zoomScaleSheetLayoutView="110" workbookViewId="0">
      <pane ySplit="2" topLeftCell="A91" activePane="bottomLeft" state="frozen"/>
      <selection pane="bottomLeft" activeCell="A94" sqref="A94:XFD100"/>
    </sheetView>
  </sheetViews>
  <sheetFormatPr defaultRowHeight="17"/>
  <cols>
    <col min="1" max="1" width="6.81640625" style="246" customWidth="1"/>
    <col min="2" max="2" width="15.453125" style="245" customWidth="1"/>
    <col min="3" max="3" width="8.08984375" style="235" customWidth="1"/>
    <col min="4" max="4" width="9.90625" style="236" customWidth="1"/>
    <col min="5" max="5" width="29.08984375" style="237" customWidth="1"/>
    <col min="6" max="6" width="17.6328125" style="237" customWidth="1"/>
  </cols>
  <sheetData>
    <row r="1" spans="1:6" ht="25.5" customHeight="1">
      <c r="B1" s="353" t="s">
        <v>2511</v>
      </c>
      <c r="C1" s="353"/>
      <c r="D1" s="353"/>
      <c r="E1" s="353"/>
      <c r="F1" s="240"/>
    </row>
    <row r="2" spans="1:6" s="31" customFormat="1">
      <c r="A2" s="247" t="s">
        <v>16</v>
      </c>
      <c r="B2" s="244" t="s">
        <v>2512</v>
      </c>
      <c r="C2" s="230" t="s">
        <v>2513</v>
      </c>
      <c r="D2" s="231" t="s">
        <v>2514</v>
      </c>
      <c r="E2" s="232" t="s">
        <v>2515</v>
      </c>
      <c r="F2" s="232" t="s">
        <v>1589</v>
      </c>
    </row>
    <row r="3" spans="1:6" ht="84" customHeight="1">
      <c r="A3" s="248">
        <v>1</v>
      </c>
      <c r="B3" s="238" t="s">
        <v>2516</v>
      </c>
      <c r="C3" s="233" t="s">
        <v>2517</v>
      </c>
      <c r="D3" s="234">
        <v>138000</v>
      </c>
      <c r="E3" s="229" t="s">
        <v>2518</v>
      </c>
      <c r="F3" s="229" t="s">
        <v>2748</v>
      </c>
    </row>
    <row r="4" spans="1:6" ht="101.25" customHeight="1">
      <c r="A4" s="249">
        <v>2</v>
      </c>
      <c r="B4" s="238" t="s">
        <v>2519</v>
      </c>
      <c r="C4" s="233" t="s">
        <v>2520</v>
      </c>
      <c r="D4" s="234">
        <v>184000</v>
      </c>
      <c r="E4" s="229" t="s">
        <v>2521</v>
      </c>
      <c r="F4" s="229" t="s">
        <v>2710</v>
      </c>
    </row>
    <row r="5" spans="1:6" ht="70.5" customHeight="1">
      <c r="A5" s="248">
        <v>3</v>
      </c>
      <c r="B5" s="238" t="s">
        <v>2522</v>
      </c>
      <c r="C5" s="233" t="s">
        <v>1703</v>
      </c>
      <c r="D5" s="234">
        <v>69000</v>
      </c>
      <c r="E5" s="229" t="s">
        <v>2523</v>
      </c>
      <c r="F5" s="229" t="s">
        <v>2723</v>
      </c>
    </row>
    <row r="6" spans="1:6" ht="75" customHeight="1">
      <c r="A6" s="248">
        <v>4</v>
      </c>
      <c r="B6" s="238" t="s">
        <v>2524</v>
      </c>
      <c r="C6" s="233" t="s">
        <v>2801</v>
      </c>
      <c r="D6" s="234">
        <v>510000</v>
      </c>
      <c r="E6" s="229" t="s">
        <v>2721</v>
      </c>
      <c r="F6" s="229" t="s">
        <v>2720</v>
      </c>
    </row>
    <row r="7" spans="1:6" ht="99" customHeight="1">
      <c r="A7" s="248">
        <v>5</v>
      </c>
      <c r="B7" s="238" t="s">
        <v>2525</v>
      </c>
      <c r="C7" s="233" t="s">
        <v>2526</v>
      </c>
      <c r="D7" s="234">
        <v>670000</v>
      </c>
      <c r="E7" s="229" t="s">
        <v>2527</v>
      </c>
      <c r="F7" s="229" t="s">
        <v>2757</v>
      </c>
    </row>
    <row r="8" spans="1:6" ht="117" customHeight="1">
      <c r="A8" s="248">
        <v>6</v>
      </c>
      <c r="B8" s="238" t="s">
        <v>2528</v>
      </c>
      <c r="C8" s="233" t="s">
        <v>2529</v>
      </c>
      <c r="D8" s="234">
        <v>460000</v>
      </c>
      <c r="E8" s="229" t="s">
        <v>2530</v>
      </c>
      <c r="F8" s="229" t="s">
        <v>2765</v>
      </c>
    </row>
    <row r="9" spans="1:6" ht="108" customHeight="1">
      <c r="A9" s="248">
        <v>7</v>
      </c>
      <c r="B9" s="238" t="s">
        <v>2531</v>
      </c>
      <c r="C9" s="233" t="s">
        <v>1891</v>
      </c>
      <c r="D9" s="234">
        <v>460000</v>
      </c>
      <c r="E9" s="229" t="s">
        <v>2711</v>
      </c>
      <c r="F9" s="229" t="s">
        <v>2712</v>
      </c>
    </row>
    <row r="10" spans="1:6" ht="89.25" customHeight="1">
      <c r="A10" s="248">
        <v>8</v>
      </c>
      <c r="B10" s="238" t="s">
        <v>2532</v>
      </c>
      <c r="C10" s="233" t="s">
        <v>2517</v>
      </c>
      <c r="D10" s="234">
        <v>138000</v>
      </c>
      <c r="E10" s="229" t="s">
        <v>2518</v>
      </c>
      <c r="F10" s="229" t="s">
        <v>2748</v>
      </c>
    </row>
    <row r="11" spans="1:6" ht="89.25" customHeight="1">
      <c r="A11" s="248">
        <v>9</v>
      </c>
      <c r="B11" s="238" t="s">
        <v>2533</v>
      </c>
      <c r="C11" s="233" t="s">
        <v>1650</v>
      </c>
      <c r="D11" s="234">
        <v>134000</v>
      </c>
      <c r="E11" s="229" t="s">
        <v>2747</v>
      </c>
      <c r="F11" s="229" t="s">
        <v>2648</v>
      </c>
    </row>
    <row r="12" spans="1:6" ht="120" customHeight="1">
      <c r="A12" s="248">
        <v>10</v>
      </c>
      <c r="B12" s="238" t="s">
        <v>2534</v>
      </c>
      <c r="C12" s="233" t="s">
        <v>2535</v>
      </c>
      <c r="D12" s="234">
        <v>134000</v>
      </c>
      <c r="E12" s="229" t="s">
        <v>2740</v>
      </c>
      <c r="F12" s="229" t="s">
        <v>2741</v>
      </c>
    </row>
    <row r="13" spans="1:6" ht="123" customHeight="1">
      <c r="A13" s="248">
        <v>11</v>
      </c>
      <c r="B13" s="238" t="s">
        <v>2536</v>
      </c>
      <c r="C13" s="233" t="s">
        <v>2537</v>
      </c>
      <c r="D13" s="234">
        <v>468000</v>
      </c>
      <c r="E13" s="229" t="s">
        <v>2813</v>
      </c>
      <c r="F13" s="229" t="s">
        <v>2749</v>
      </c>
    </row>
    <row r="14" spans="1:6" ht="87.75" customHeight="1">
      <c r="A14" s="248">
        <v>12</v>
      </c>
      <c r="B14" s="238" t="s">
        <v>2538</v>
      </c>
      <c r="C14" s="233" t="s">
        <v>2539</v>
      </c>
      <c r="D14" s="234">
        <v>134000</v>
      </c>
      <c r="E14" s="229" t="s">
        <v>2785</v>
      </c>
      <c r="F14" s="229" t="s">
        <v>2786</v>
      </c>
    </row>
    <row r="15" spans="1:6" ht="120.75" customHeight="1">
      <c r="A15" s="249">
        <v>13</v>
      </c>
      <c r="B15" s="238" t="s">
        <v>2540</v>
      </c>
      <c r="C15" s="233" t="s">
        <v>2541</v>
      </c>
      <c r="D15" s="234">
        <v>564000</v>
      </c>
      <c r="E15" s="229" t="s">
        <v>2542</v>
      </c>
      <c r="F15" s="229" t="s">
        <v>2780</v>
      </c>
    </row>
    <row r="16" spans="1:6" ht="117" customHeight="1">
      <c r="A16" s="249">
        <v>14</v>
      </c>
      <c r="B16" s="238" t="s">
        <v>2543</v>
      </c>
      <c r="C16" s="233" t="s">
        <v>2541</v>
      </c>
      <c r="D16" s="234">
        <v>564000</v>
      </c>
      <c r="E16" s="229" t="s">
        <v>2542</v>
      </c>
      <c r="F16" s="229" t="s">
        <v>2780</v>
      </c>
    </row>
    <row r="17" spans="1:6" ht="78" customHeight="1">
      <c r="A17" s="248">
        <v>15</v>
      </c>
      <c r="B17" s="238" t="s">
        <v>2544</v>
      </c>
      <c r="C17" s="233" t="s">
        <v>2517</v>
      </c>
      <c r="D17" s="234">
        <v>138000</v>
      </c>
      <c r="E17" s="229" t="s">
        <v>2518</v>
      </c>
      <c r="F17" s="229" t="s">
        <v>2748</v>
      </c>
    </row>
    <row r="18" spans="1:6" ht="83.25" customHeight="1">
      <c r="A18" s="248">
        <v>16</v>
      </c>
      <c r="B18" s="238" t="s">
        <v>2545</v>
      </c>
      <c r="C18" s="233" t="s">
        <v>2517</v>
      </c>
      <c r="D18" s="234">
        <v>138000</v>
      </c>
      <c r="E18" s="229" t="s">
        <v>2518</v>
      </c>
      <c r="F18" s="229" t="s">
        <v>2748</v>
      </c>
    </row>
    <row r="19" spans="1:6" ht="90.75" customHeight="1">
      <c r="A19" s="248">
        <v>17</v>
      </c>
      <c r="B19" s="238" t="s">
        <v>2546</v>
      </c>
      <c r="C19" s="233" t="s">
        <v>2517</v>
      </c>
      <c r="D19" s="234">
        <v>138000</v>
      </c>
      <c r="E19" s="229" t="s">
        <v>2518</v>
      </c>
      <c r="F19" s="229" t="s">
        <v>2748</v>
      </c>
    </row>
    <row r="20" spans="1:6" ht="120.75" customHeight="1">
      <c r="A20" s="249">
        <v>18</v>
      </c>
      <c r="B20" s="238" t="s">
        <v>2547</v>
      </c>
      <c r="C20" s="233" t="s">
        <v>2574</v>
      </c>
      <c r="D20" s="234">
        <v>460000</v>
      </c>
      <c r="E20" s="229" t="s">
        <v>2575</v>
      </c>
      <c r="F20" s="229" t="s">
        <v>2762</v>
      </c>
    </row>
    <row r="21" spans="1:6" ht="141" customHeight="1">
      <c r="A21" s="248">
        <v>19</v>
      </c>
      <c r="B21" s="238" t="s">
        <v>2576</v>
      </c>
      <c r="C21" s="233" t="s">
        <v>2577</v>
      </c>
      <c r="D21" s="234">
        <v>468000</v>
      </c>
      <c r="E21" s="229" t="s">
        <v>2814</v>
      </c>
      <c r="F21" s="229" t="s">
        <v>2751</v>
      </c>
    </row>
    <row r="22" spans="1:6" ht="125.25" customHeight="1">
      <c r="A22" s="248">
        <v>20</v>
      </c>
      <c r="B22" s="238" t="s">
        <v>2578</v>
      </c>
      <c r="C22" s="233" t="s">
        <v>2579</v>
      </c>
      <c r="D22" s="234">
        <v>184000</v>
      </c>
      <c r="E22" s="229" t="s">
        <v>2716</v>
      </c>
      <c r="F22" s="229" t="s">
        <v>2717</v>
      </c>
    </row>
    <row r="23" spans="1:6" ht="115.5" customHeight="1">
      <c r="A23" s="248">
        <v>21</v>
      </c>
      <c r="B23" s="238" t="s">
        <v>2580</v>
      </c>
      <c r="C23" s="233" t="s">
        <v>2581</v>
      </c>
      <c r="D23" s="234">
        <v>376000</v>
      </c>
      <c r="E23" s="229" t="s">
        <v>2770</v>
      </c>
      <c r="F23" s="229" t="s">
        <v>2769</v>
      </c>
    </row>
    <row r="24" spans="1:6" ht="87.75" customHeight="1">
      <c r="A24" s="248">
        <v>22</v>
      </c>
      <c r="B24" s="238" t="s">
        <v>2548</v>
      </c>
      <c r="C24" s="233" t="s">
        <v>2582</v>
      </c>
      <c r="D24" s="234">
        <v>138000</v>
      </c>
      <c r="E24" s="229" t="s">
        <v>2638</v>
      </c>
      <c r="F24" s="229" t="s">
        <v>2648</v>
      </c>
    </row>
    <row r="25" spans="1:6" ht="69.75" customHeight="1">
      <c r="A25" s="248">
        <v>23</v>
      </c>
      <c r="B25" s="238" t="s">
        <v>2549</v>
      </c>
      <c r="C25" s="233" t="s">
        <v>2550</v>
      </c>
      <c r="D25" s="234">
        <v>201000</v>
      </c>
      <c r="E25" s="229" t="s">
        <v>2773</v>
      </c>
      <c r="F25" s="229" t="s">
        <v>2772</v>
      </c>
    </row>
    <row r="26" spans="1:6" ht="109.5" customHeight="1">
      <c r="A26" s="248">
        <v>24</v>
      </c>
      <c r="B26" s="238" t="s">
        <v>2583</v>
      </c>
      <c r="C26" s="233" t="s">
        <v>1082</v>
      </c>
      <c r="D26" s="234">
        <v>198000</v>
      </c>
      <c r="E26" s="229" t="s">
        <v>2714</v>
      </c>
      <c r="F26" s="229" t="s">
        <v>2715</v>
      </c>
    </row>
    <row r="27" spans="1:6" ht="144" customHeight="1">
      <c r="A27" s="248">
        <v>25</v>
      </c>
      <c r="B27" s="238" t="s">
        <v>2584</v>
      </c>
      <c r="C27" s="233" t="s">
        <v>2585</v>
      </c>
      <c r="D27" s="234">
        <v>282000</v>
      </c>
      <c r="E27" s="229" t="s">
        <v>2752</v>
      </c>
      <c r="F27" s="229" t="s">
        <v>2753</v>
      </c>
    </row>
    <row r="28" spans="1:6" ht="137.25" customHeight="1">
      <c r="A28" s="248">
        <v>26</v>
      </c>
      <c r="B28" s="238" t="s">
        <v>2586</v>
      </c>
      <c r="C28" s="233" t="s">
        <v>2587</v>
      </c>
      <c r="D28" s="234">
        <v>468000</v>
      </c>
      <c r="E28" s="229" t="s">
        <v>2815</v>
      </c>
      <c r="F28" s="229" t="s">
        <v>2750</v>
      </c>
    </row>
    <row r="29" spans="1:6" ht="154.5" customHeight="1">
      <c r="A29" s="248">
        <v>27</v>
      </c>
      <c r="B29" s="238" t="s">
        <v>2588</v>
      </c>
      <c r="C29" s="233" t="s">
        <v>2589</v>
      </c>
      <c r="D29" s="234">
        <v>219000</v>
      </c>
      <c r="E29" s="229" t="s">
        <v>2590</v>
      </c>
      <c r="F29" s="229" t="s">
        <v>2798</v>
      </c>
    </row>
    <row r="30" spans="1:6" ht="63.75" customHeight="1">
      <c r="A30" s="248">
        <v>28</v>
      </c>
      <c r="B30" s="238" t="s">
        <v>2591</v>
      </c>
      <c r="C30" s="233" t="s">
        <v>2592</v>
      </c>
      <c r="D30" s="234">
        <v>276000</v>
      </c>
      <c r="E30" s="229" t="s">
        <v>2551</v>
      </c>
      <c r="F30" s="229" t="s">
        <v>2736</v>
      </c>
    </row>
    <row r="31" spans="1:6" ht="76.650000000000006" customHeight="1">
      <c r="A31" s="248">
        <v>29</v>
      </c>
      <c r="B31" s="238" t="s">
        <v>2593</v>
      </c>
      <c r="C31" s="233" t="s">
        <v>2467</v>
      </c>
      <c r="D31" s="234">
        <v>142000</v>
      </c>
      <c r="E31" s="229" t="s">
        <v>2594</v>
      </c>
      <c r="F31" s="229" t="s">
        <v>2737</v>
      </c>
    </row>
    <row r="32" spans="1:6" ht="96.75" customHeight="1">
      <c r="A32" s="249">
        <v>30</v>
      </c>
      <c r="B32" s="238" t="s">
        <v>2595</v>
      </c>
      <c r="C32" s="233" t="s">
        <v>2596</v>
      </c>
      <c r="D32" s="234">
        <v>67000</v>
      </c>
      <c r="E32" s="229" t="s">
        <v>2597</v>
      </c>
      <c r="F32" s="229" t="s">
        <v>2746</v>
      </c>
    </row>
    <row r="33" spans="1:6" ht="104.25" customHeight="1">
      <c r="A33" s="248">
        <v>31</v>
      </c>
      <c r="B33" s="238" t="s">
        <v>2552</v>
      </c>
      <c r="C33" s="233" t="s">
        <v>2598</v>
      </c>
      <c r="D33" s="234">
        <v>2300000</v>
      </c>
      <c r="E33" s="229" t="s">
        <v>2599</v>
      </c>
      <c r="F33" s="229" t="s">
        <v>2797</v>
      </c>
    </row>
    <row r="34" spans="1:6" ht="65.25" customHeight="1">
      <c r="A34" s="248">
        <v>32</v>
      </c>
      <c r="B34" s="238" t="s">
        <v>2600</v>
      </c>
      <c r="C34" s="233" t="s">
        <v>2526</v>
      </c>
      <c r="D34" s="234">
        <v>760000</v>
      </c>
      <c r="E34" s="229" t="s">
        <v>2553</v>
      </c>
      <c r="F34" s="229" t="s">
        <v>2739</v>
      </c>
    </row>
    <row r="35" spans="1:6" ht="158.25" customHeight="1">
      <c r="A35" s="248">
        <v>33</v>
      </c>
      <c r="B35" s="238" t="s">
        <v>2601</v>
      </c>
      <c r="C35" s="233" t="s">
        <v>2602</v>
      </c>
      <c r="D35" s="234">
        <v>644000</v>
      </c>
      <c r="E35" s="229" t="s">
        <v>2844</v>
      </c>
      <c r="F35" s="229" t="s">
        <v>2845</v>
      </c>
    </row>
    <row r="36" spans="1:6" ht="237.75" customHeight="1">
      <c r="A36" s="248">
        <v>34</v>
      </c>
      <c r="B36" s="238" t="s">
        <v>2603</v>
      </c>
      <c r="C36" s="229" t="s">
        <v>2554</v>
      </c>
      <c r="D36" s="234">
        <v>885000</v>
      </c>
      <c r="E36" s="229" t="s">
        <v>2788</v>
      </c>
      <c r="F36" s="229" t="s">
        <v>2787</v>
      </c>
    </row>
    <row r="37" spans="1:6" ht="117" customHeight="1">
      <c r="A37" s="248">
        <v>35</v>
      </c>
      <c r="B37" s="238" t="s">
        <v>2500</v>
      </c>
      <c r="C37" s="233" t="s">
        <v>2604</v>
      </c>
      <c r="D37" s="234">
        <v>282000</v>
      </c>
      <c r="E37" s="229" t="s">
        <v>2605</v>
      </c>
      <c r="F37" s="229" t="s">
        <v>2847</v>
      </c>
    </row>
    <row r="38" spans="1:6" ht="158.25" customHeight="1">
      <c r="A38" s="248">
        <v>36</v>
      </c>
      <c r="B38" s="238" t="s">
        <v>2505</v>
      </c>
      <c r="C38" s="233" t="s">
        <v>2606</v>
      </c>
      <c r="D38" s="234">
        <v>460000</v>
      </c>
      <c r="E38" s="229" t="s">
        <v>2742</v>
      </c>
      <c r="F38" s="229" t="s">
        <v>2744</v>
      </c>
    </row>
    <row r="39" spans="1:6" ht="136.5" customHeight="1">
      <c r="A39" s="248">
        <v>37</v>
      </c>
      <c r="B39" s="238" t="s">
        <v>2555</v>
      </c>
      <c r="C39" s="233" t="s">
        <v>2471</v>
      </c>
      <c r="D39" s="234">
        <v>335000</v>
      </c>
      <c r="E39" s="229" t="s">
        <v>2783</v>
      </c>
      <c r="F39" s="229" t="s">
        <v>2784</v>
      </c>
    </row>
    <row r="40" spans="1:6" ht="190.5" customHeight="1">
      <c r="A40" s="351">
        <v>38</v>
      </c>
      <c r="B40" s="352" t="s">
        <v>2556</v>
      </c>
      <c r="C40" s="233" t="s">
        <v>2468</v>
      </c>
      <c r="D40" s="234">
        <v>758000</v>
      </c>
      <c r="E40" s="229" t="s">
        <v>2816</v>
      </c>
      <c r="F40" s="229" t="s">
        <v>2789</v>
      </c>
    </row>
    <row r="41" spans="1:6" ht="66" customHeight="1">
      <c r="A41" s="351"/>
      <c r="B41" s="352"/>
      <c r="C41" s="233" t="s">
        <v>2557</v>
      </c>
      <c r="D41" s="234">
        <v>207000</v>
      </c>
      <c r="E41" s="229" t="s">
        <v>2607</v>
      </c>
      <c r="F41" s="229" t="s">
        <v>2791</v>
      </c>
    </row>
    <row r="42" spans="1:6" ht="64.5" customHeight="1">
      <c r="A42" s="351"/>
      <c r="B42" s="352"/>
      <c r="C42" s="233" t="s">
        <v>2608</v>
      </c>
      <c r="D42" s="234">
        <v>134000</v>
      </c>
      <c r="E42" s="229" t="s">
        <v>2609</v>
      </c>
      <c r="F42" s="229" t="s">
        <v>2790</v>
      </c>
    </row>
    <row r="43" spans="1:6" ht="119.25" customHeight="1">
      <c r="A43" s="351"/>
      <c r="B43" s="352"/>
      <c r="C43" s="233" t="s">
        <v>2558</v>
      </c>
      <c r="D43" s="234">
        <v>470000</v>
      </c>
      <c r="E43" s="229" t="s">
        <v>2610</v>
      </c>
      <c r="F43" s="229" t="s">
        <v>2792</v>
      </c>
    </row>
    <row r="44" spans="1:6" ht="130.65" customHeight="1">
      <c r="A44" s="351"/>
      <c r="B44" s="352"/>
      <c r="C44" s="233" t="s">
        <v>2559</v>
      </c>
      <c r="D44" s="234">
        <v>470000</v>
      </c>
      <c r="E44" s="229" t="s">
        <v>2560</v>
      </c>
      <c r="F44" s="229" t="s">
        <v>2795</v>
      </c>
    </row>
    <row r="45" spans="1:6" ht="119">
      <c r="A45" s="248">
        <v>39</v>
      </c>
      <c r="B45" s="238" t="s">
        <v>2611</v>
      </c>
      <c r="C45" s="233" t="s">
        <v>2612</v>
      </c>
      <c r="D45" s="234">
        <v>2444000</v>
      </c>
      <c r="E45" s="229" t="s">
        <v>2817</v>
      </c>
      <c r="F45" s="229" t="s">
        <v>2756</v>
      </c>
    </row>
    <row r="46" spans="1:6" ht="118.5" customHeight="1">
      <c r="A46" s="248">
        <v>40</v>
      </c>
      <c r="B46" s="238" t="s">
        <v>2561</v>
      </c>
      <c r="C46" s="233" t="s">
        <v>2613</v>
      </c>
      <c r="D46" s="234">
        <v>470000</v>
      </c>
      <c r="E46" s="229" t="s">
        <v>2614</v>
      </c>
      <c r="F46" s="229" t="s">
        <v>2767</v>
      </c>
    </row>
    <row r="47" spans="1:6" ht="60.75" customHeight="1">
      <c r="A47" s="248">
        <v>41</v>
      </c>
      <c r="B47" s="238" t="s">
        <v>2615</v>
      </c>
      <c r="C47" s="233" t="s">
        <v>2557</v>
      </c>
      <c r="D47" s="234">
        <v>207000</v>
      </c>
      <c r="E47" s="229" t="s">
        <v>2607</v>
      </c>
      <c r="F47" s="229" t="s">
        <v>2758</v>
      </c>
    </row>
    <row r="48" spans="1:6" ht="129.75" customHeight="1">
      <c r="A48" s="248">
        <v>42</v>
      </c>
      <c r="B48" s="238" t="s">
        <v>2616</v>
      </c>
      <c r="C48" s="233" t="s">
        <v>2617</v>
      </c>
      <c r="D48" s="234">
        <v>94000</v>
      </c>
      <c r="E48" s="229" t="s">
        <v>2818</v>
      </c>
      <c r="F48" s="229" t="s">
        <v>2754</v>
      </c>
    </row>
    <row r="49" spans="1:6" ht="185.25" customHeight="1">
      <c r="A49" s="248">
        <v>43</v>
      </c>
      <c r="B49" s="238" t="s">
        <v>2562</v>
      </c>
      <c r="C49" s="233" t="s">
        <v>2468</v>
      </c>
      <c r="D49" s="234">
        <v>758000</v>
      </c>
      <c r="E49" s="229" t="s">
        <v>2816</v>
      </c>
      <c r="F49" s="229" t="s">
        <v>2760</v>
      </c>
    </row>
    <row r="50" spans="1:6" ht="159" customHeight="1">
      <c r="A50" s="351">
        <v>44</v>
      </c>
      <c r="B50" s="352" t="s">
        <v>2618</v>
      </c>
      <c r="C50" s="233" t="s">
        <v>1080</v>
      </c>
      <c r="D50" s="234">
        <v>4784000</v>
      </c>
      <c r="E50" s="229" t="s">
        <v>2782</v>
      </c>
      <c r="F50" s="229" t="s">
        <v>2775</v>
      </c>
    </row>
    <row r="51" spans="1:6" ht="135" customHeight="1">
      <c r="A51" s="351"/>
      <c r="B51" s="352"/>
      <c r="C51" s="233" t="s">
        <v>2777</v>
      </c>
      <c r="D51" s="234">
        <v>1100400</v>
      </c>
      <c r="E51" s="229" t="s">
        <v>2563</v>
      </c>
      <c r="F51" s="229" t="s">
        <v>2776</v>
      </c>
    </row>
    <row r="52" spans="1:6" ht="72.75" customHeight="1">
      <c r="A52" s="351"/>
      <c r="B52" s="352"/>
      <c r="C52" s="233" t="s">
        <v>2619</v>
      </c>
      <c r="D52" s="234">
        <v>134000</v>
      </c>
      <c r="E52" s="229" t="s">
        <v>2620</v>
      </c>
      <c r="F52" s="229" t="s">
        <v>2779</v>
      </c>
    </row>
    <row r="53" spans="1:6" ht="116.25" customHeight="1">
      <c r="A53" s="248">
        <v>45</v>
      </c>
      <c r="B53" s="238" t="s">
        <v>2621</v>
      </c>
      <c r="C53" s="233" t="s">
        <v>2622</v>
      </c>
      <c r="D53" s="234">
        <v>94000</v>
      </c>
      <c r="E53" s="229" t="s">
        <v>2564</v>
      </c>
      <c r="F53" s="229" t="s">
        <v>2761</v>
      </c>
    </row>
    <row r="54" spans="1:6" ht="86.25" customHeight="1">
      <c r="A54" s="351">
        <v>46</v>
      </c>
      <c r="B54" s="352" t="s">
        <v>2623</v>
      </c>
      <c r="C54" s="233" t="s">
        <v>2624</v>
      </c>
      <c r="D54" s="234">
        <v>736000</v>
      </c>
      <c r="E54" s="229" t="s">
        <v>2625</v>
      </c>
      <c r="F54" s="229" t="s">
        <v>2728</v>
      </c>
    </row>
    <row r="55" spans="1:6" ht="115.5" customHeight="1">
      <c r="A55" s="351"/>
      <c r="B55" s="352"/>
      <c r="C55" s="233" t="s">
        <v>2565</v>
      </c>
      <c r="D55" s="234">
        <v>276000</v>
      </c>
      <c r="E55" s="229" t="s">
        <v>2819</v>
      </c>
      <c r="F55" s="229" t="s">
        <v>2729</v>
      </c>
    </row>
    <row r="56" spans="1:6" ht="223.5" customHeight="1">
      <c r="A56" s="351"/>
      <c r="B56" s="352"/>
      <c r="C56" s="233" t="s">
        <v>2566</v>
      </c>
      <c r="D56" s="234">
        <v>460000</v>
      </c>
      <c r="E56" s="229" t="s">
        <v>2820</v>
      </c>
      <c r="F56" s="229" t="s">
        <v>2733</v>
      </c>
    </row>
    <row r="57" spans="1:6" ht="118.5" customHeight="1">
      <c r="A57" s="351"/>
      <c r="B57" s="352"/>
      <c r="C57" s="233" t="s">
        <v>2626</v>
      </c>
      <c r="D57" s="234">
        <v>1932000</v>
      </c>
      <c r="E57" s="229" t="s">
        <v>2730</v>
      </c>
      <c r="F57" s="229" t="s">
        <v>2731</v>
      </c>
    </row>
    <row r="58" spans="1:6" ht="120.75" customHeight="1">
      <c r="A58" s="351"/>
      <c r="B58" s="352"/>
      <c r="C58" s="233" t="s">
        <v>2567</v>
      </c>
      <c r="D58" s="234">
        <v>276000</v>
      </c>
      <c r="E58" s="229" t="s">
        <v>2732</v>
      </c>
      <c r="F58" s="229" t="s">
        <v>2806</v>
      </c>
    </row>
    <row r="59" spans="1:6" ht="82.5" customHeight="1">
      <c r="A59" s="351"/>
      <c r="B59" s="352"/>
      <c r="C59" s="233" t="s">
        <v>2627</v>
      </c>
      <c r="D59" s="234">
        <v>276000</v>
      </c>
      <c r="E59" s="229" t="s">
        <v>2568</v>
      </c>
      <c r="F59" s="229" t="s">
        <v>2734</v>
      </c>
    </row>
    <row r="60" spans="1:6" ht="96" customHeight="1">
      <c r="A60" s="351"/>
      <c r="B60" s="352"/>
      <c r="C60" s="233" t="s">
        <v>2628</v>
      </c>
      <c r="D60" s="234">
        <v>1380000</v>
      </c>
      <c r="E60" s="229" t="s">
        <v>2735</v>
      </c>
      <c r="F60" s="229" t="s">
        <v>2648</v>
      </c>
    </row>
    <row r="61" spans="1:6" ht="129.75" customHeight="1">
      <c r="A61" s="248">
        <v>47</v>
      </c>
      <c r="B61" s="238" t="s">
        <v>2629</v>
      </c>
      <c r="C61" s="233" t="s">
        <v>2630</v>
      </c>
      <c r="D61" s="234">
        <v>184000</v>
      </c>
      <c r="E61" s="229" t="s">
        <v>2724</v>
      </c>
      <c r="F61" s="229" t="s">
        <v>2725</v>
      </c>
    </row>
    <row r="62" spans="1:6" ht="148.65" customHeight="1">
      <c r="A62" s="248">
        <v>48</v>
      </c>
      <c r="B62" s="238" t="s">
        <v>2631</v>
      </c>
      <c r="C62" s="233" t="s">
        <v>2630</v>
      </c>
      <c r="D62" s="234">
        <v>184000</v>
      </c>
      <c r="E62" s="229" t="s">
        <v>2569</v>
      </c>
      <c r="F62" s="229" t="s">
        <v>2726</v>
      </c>
    </row>
    <row r="63" spans="1:6" ht="99.75" customHeight="1">
      <c r="A63" s="248">
        <v>49</v>
      </c>
      <c r="B63" s="238" t="s">
        <v>2632</v>
      </c>
      <c r="C63" s="233" t="s">
        <v>2633</v>
      </c>
      <c r="D63" s="234">
        <v>46000</v>
      </c>
      <c r="E63" s="229" t="s">
        <v>2821</v>
      </c>
      <c r="F63" s="229" t="s">
        <v>2803</v>
      </c>
    </row>
    <row r="64" spans="1:6" ht="90.75" customHeight="1">
      <c r="A64" s="248">
        <v>50</v>
      </c>
      <c r="B64" s="238" t="s">
        <v>2570</v>
      </c>
      <c r="C64" s="233" t="s">
        <v>2801</v>
      </c>
      <c r="D64" s="234">
        <v>510000</v>
      </c>
      <c r="E64" s="229" t="s">
        <v>2719</v>
      </c>
      <c r="F64" s="229" t="s">
        <v>2722</v>
      </c>
    </row>
    <row r="65" spans="1:6" ht="90" customHeight="1">
      <c r="A65" s="248">
        <v>51</v>
      </c>
      <c r="B65" s="238" t="s">
        <v>2634</v>
      </c>
      <c r="C65" s="233" t="s">
        <v>2539</v>
      </c>
      <c r="D65" s="234">
        <v>134000</v>
      </c>
      <c r="E65" s="229" t="s">
        <v>2785</v>
      </c>
      <c r="F65" s="229" t="s">
        <v>2786</v>
      </c>
    </row>
    <row r="66" spans="1:6" ht="125.25" customHeight="1">
      <c r="A66" s="250">
        <v>52</v>
      </c>
      <c r="B66" s="238" t="s">
        <v>2635</v>
      </c>
      <c r="C66" s="233" t="s">
        <v>2636</v>
      </c>
      <c r="D66" s="234">
        <v>92000</v>
      </c>
      <c r="E66" s="229" t="s">
        <v>2822</v>
      </c>
      <c r="F66" s="229" t="s">
        <v>2804</v>
      </c>
    </row>
    <row r="67" spans="1:6" ht="93.75" customHeight="1">
      <c r="A67" s="248">
        <v>53</v>
      </c>
      <c r="B67" s="238" t="s">
        <v>2571</v>
      </c>
      <c r="C67" s="233" t="s">
        <v>2572</v>
      </c>
      <c r="D67" s="234">
        <v>94000</v>
      </c>
      <c r="E67" s="238" t="s">
        <v>2823</v>
      </c>
      <c r="F67" s="229" t="s">
        <v>2573</v>
      </c>
    </row>
    <row r="68" spans="1:6" ht="81.75" customHeight="1">
      <c r="A68" s="248">
        <v>54</v>
      </c>
      <c r="B68" s="238" t="s">
        <v>2637</v>
      </c>
      <c r="C68" s="233" t="s">
        <v>2582</v>
      </c>
      <c r="D68" s="234">
        <v>138000</v>
      </c>
      <c r="E68" s="229" t="s">
        <v>2638</v>
      </c>
      <c r="F68" s="229" t="s">
        <v>2648</v>
      </c>
    </row>
    <row r="69" spans="1:6" ht="81" customHeight="1">
      <c r="A69" s="248">
        <v>55</v>
      </c>
      <c r="B69" s="238" t="s">
        <v>2639</v>
      </c>
      <c r="C69" s="233" t="s">
        <v>2640</v>
      </c>
      <c r="D69" s="234">
        <v>92000</v>
      </c>
      <c r="E69" s="229" t="s">
        <v>2824</v>
      </c>
      <c r="F69" s="229" t="s">
        <v>2643</v>
      </c>
    </row>
    <row r="70" spans="1:6" ht="156" customHeight="1">
      <c r="A70" s="248">
        <v>56</v>
      </c>
      <c r="B70" s="238" t="s">
        <v>2641</v>
      </c>
      <c r="C70" s="233" t="s">
        <v>2642</v>
      </c>
      <c r="D70" s="234">
        <v>552000</v>
      </c>
      <c r="E70" s="229" t="s">
        <v>2825</v>
      </c>
      <c r="F70" s="229" t="s">
        <v>2644</v>
      </c>
    </row>
    <row r="71" spans="1:6" ht="114.75" customHeight="1">
      <c r="A71" s="248">
        <v>57</v>
      </c>
      <c r="B71" s="238" t="s">
        <v>2646</v>
      </c>
      <c r="C71" s="233" t="s">
        <v>2647</v>
      </c>
      <c r="D71" s="234">
        <v>184000</v>
      </c>
      <c r="E71" s="229" t="s">
        <v>2826</v>
      </c>
      <c r="F71" s="229" t="s">
        <v>2648</v>
      </c>
    </row>
    <row r="72" spans="1:6" ht="117" customHeight="1">
      <c r="A72" s="248">
        <v>58</v>
      </c>
      <c r="B72" s="238" t="s">
        <v>2650</v>
      </c>
      <c r="C72" s="233" t="s">
        <v>2651</v>
      </c>
      <c r="D72" s="234">
        <v>87000</v>
      </c>
      <c r="E72" s="229" t="s">
        <v>2827</v>
      </c>
      <c r="F72" s="229" t="s">
        <v>2652</v>
      </c>
    </row>
    <row r="73" spans="1:6" ht="103.65" customHeight="1">
      <c r="A73" s="248">
        <v>59</v>
      </c>
      <c r="B73" s="238" t="s">
        <v>2654</v>
      </c>
      <c r="C73" s="233" t="s">
        <v>2655</v>
      </c>
      <c r="D73" s="234">
        <v>251000</v>
      </c>
      <c r="E73" s="229" t="s">
        <v>2828</v>
      </c>
      <c r="F73" s="229" t="s">
        <v>2648</v>
      </c>
    </row>
    <row r="74" spans="1:6" ht="108" customHeight="1">
      <c r="A74" s="248">
        <v>60</v>
      </c>
      <c r="B74" s="238" t="s">
        <v>2656</v>
      </c>
      <c r="C74" s="233" t="s">
        <v>2657</v>
      </c>
      <c r="D74" s="234">
        <v>94000</v>
      </c>
      <c r="E74" s="229" t="s">
        <v>2829</v>
      </c>
      <c r="F74" s="229" t="s">
        <v>2648</v>
      </c>
    </row>
    <row r="75" spans="1:6" ht="83.25" customHeight="1">
      <c r="A75" s="248">
        <v>61</v>
      </c>
      <c r="B75" s="238" t="s">
        <v>2658</v>
      </c>
      <c r="C75" s="233" t="s">
        <v>2659</v>
      </c>
      <c r="D75" s="234">
        <v>136000</v>
      </c>
      <c r="E75" s="229" t="s">
        <v>2660</v>
      </c>
      <c r="F75" s="229" t="s">
        <v>2661</v>
      </c>
    </row>
    <row r="76" spans="1:6" ht="113.25" customHeight="1">
      <c r="A76" s="248">
        <v>62</v>
      </c>
      <c r="B76" s="238" t="s">
        <v>2662</v>
      </c>
      <c r="C76" s="233" t="s">
        <v>2663</v>
      </c>
      <c r="D76" s="234">
        <v>368000</v>
      </c>
      <c r="E76" s="229" t="s">
        <v>2830</v>
      </c>
      <c r="F76" s="229" t="s">
        <v>2648</v>
      </c>
    </row>
    <row r="77" spans="1:6" ht="107.25" customHeight="1">
      <c r="A77" s="248">
        <v>63</v>
      </c>
      <c r="B77" s="238" t="s">
        <v>2664</v>
      </c>
      <c r="C77" s="233" t="s">
        <v>2665</v>
      </c>
      <c r="D77" s="234">
        <v>282000</v>
      </c>
      <c r="E77" s="229" t="s">
        <v>2831</v>
      </c>
      <c r="F77" s="229" t="s">
        <v>2666</v>
      </c>
    </row>
    <row r="78" spans="1:6" ht="129" customHeight="1">
      <c r="A78" s="248">
        <v>64</v>
      </c>
      <c r="B78" s="238" t="s">
        <v>2669</v>
      </c>
      <c r="C78" s="233" t="s">
        <v>2670</v>
      </c>
      <c r="D78" s="234">
        <v>920000</v>
      </c>
      <c r="E78" s="229" t="s">
        <v>2832</v>
      </c>
      <c r="F78" s="229" t="s">
        <v>2648</v>
      </c>
    </row>
    <row r="79" spans="1:6" ht="113.25" customHeight="1">
      <c r="A79" s="248">
        <v>65</v>
      </c>
      <c r="B79" s="238" t="s">
        <v>2671</v>
      </c>
      <c r="C79" s="233" t="s">
        <v>1891</v>
      </c>
      <c r="D79" s="234">
        <v>460000</v>
      </c>
      <c r="E79" s="229" t="s">
        <v>2833</v>
      </c>
      <c r="F79" s="229" t="s">
        <v>2712</v>
      </c>
    </row>
    <row r="80" spans="1:6" ht="135" customHeight="1">
      <c r="A80" s="248">
        <v>66</v>
      </c>
      <c r="B80" s="238" t="s">
        <v>2673</v>
      </c>
      <c r="C80" s="233" t="s">
        <v>2674</v>
      </c>
      <c r="D80" s="234">
        <v>732000</v>
      </c>
      <c r="E80" s="229" t="s">
        <v>2834</v>
      </c>
      <c r="F80" s="229" t="s">
        <v>2648</v>
      </c>
    </row>
    <row r="81" spans="1:6" ht="86.25" customHeight="1">
      <c r="A81" s="248">
        <v>67</v>
      </c>
      <c r="B81" s="238" t="s">
        <v>2676</v>
      </c>
      <c r="C81" s="233" t="s">
        <v>2677</v>
      </c>
      <c r="D81" s="234">
        <v>67000</v>
      </c>
      <c r="E81" s="229" t="s">
        <v>2678</v>
      </c>
      <c r="F81" s="229" t="s">
        <v>2648</v>
      </c>
    </row>
    <row r="82" spans="1:6" ht="123.75" customHeight="1">
      <c r="A82" s="248">
        <v>68</v>
      </c>
      <c r="B82" s="238" t="s">
        <v>2679</v>
      </c>
      <c r="C82" s="233" t="s">
        <v>2680</v>
      </c>
      <c r="D82" s="234">
        <v>410000</v>
      </c>
      <c r="E82" s="229" t="s">
        <v>2835</v>
      </c>
      <c r="F82" s="229" t="s">
        <v>2648</v>
      </c>
    </row>
    <row r="83" spans="1:6" ht="106.5" customHeight="1">
      <c r="A83" s="248">
        <v>69</v>
      </c>
      <c r="B83" s="238" t="s">
        <v>2681</v>
      </c>
      <c r="C83" s="233" t="s">
        <v>2682</v>
      </c>
      <c r="D83" s="234">
        <v>335000</v>
      </c>
      <c r="E83" s="229" t="s">
        <v>2836</v>
      </c>
      <c r="F83" s="229" t="s">
        <v>2648</v>
      </c>
    </row>
    <row r="84" spans="1:6" ht="132.75" customHeight="1">
      <c r="A84" s="248">
        <v>70</v>
      </c>
      <c r="B84" s="238" t="s">
        <v>2684</v>
      </c>
      <c r="C84" s="233" t="s">
        <v>2685</v>
      </c>
      <c r="D84" s="234">
        <v>276000</v>
      </c>
      <c r="E84" s="229" t="s">
        <v>2837</v>
      </c>
      <c r="F84" s="229" t="s">
        <v>2809</v>
      </c>
    </row>
    <row r="85" spans="1:6" ht="106.5" customHeight="1">
      <c r="A85" s="248">
        <v>71</v>
      </c>
      <c r="B85" s="238" t="s">
        <v>2686</v>
      </c>
      <c r="C85" s="233" t="s">
        <v>2687</v>
      </c>
      <c r="D85" s="234">
        <v>92000</v>
      </c>
      <c r="E85" s="229" t="s">
        <v>2824</v>
      </c>
      <c r="F85" s="229" t="s">
        <v>2812</v>
      </c>
    </row>
    <row r="86" spans="1:6" ht="105.75" customHeight="1">
      <c r="A86" s="248">
        <v>72</v>
      </c>
      <c r="B86" s="238" t="s">
        <v>2688</v>
      </c>
      <c r="C86" s="233" t="s">
        <v>2689</v>
      </c>
      <c r="D86" s="234">
        <v>402000</v>
      </c>
      <c r="E86" s="229" t="s">
        <v>2838</v>
      </c>
      <c r="F86" s="229" t="s">
        <v>2807</v>
      </c>
    </row>
    <row r="87" spans="1:6" ht="120" customHeight="1">
      <c r="A87" s="248">
        <v>73</v>
      </c>
      <c r="B87" s="238" t="s">
        <v>2690</v>
      </c>
      <c r="C87" s="233" t="s">
        <v>2691</v>
      </c>
      <c r="D87" s="234">
        <v>340000</v>
      </c>
      <c r="E87" s="229" t="s">
        <v>2849</v>
      </c>
      <c r="F87" s="229" t="s">
        <v>2851</v>
      </c>
    </row>
    <row r="88" spans="1:6" ht="112.65" customHeight="1">
      <c r="A88" s="248">
        <v>74</v>
      </c>
      <c r="B88" s="238" t="s">
        <v>2692</v>
      </c>
      <c r="C88" s="233" t="s">
        <v>2693</v>
      </c>
      <c r="D88" s="234">
        <v>184000</v>
      </c>
      <c r="E88" s="229" t="s">
        <v>2839</v>
      </c>
      <c r="F88" s="229" t="s">
        <v>2694</v>
      </c>
    </row>
    <row r="89" spans="1:6" ht="144.75" customHeight="1">
      <c r="A89" s="248">
        <v>75</v>
      </c>
      <c r="B89" s="238" t="s">
        <v>2696</v>
      </c>
      <c r="C89" s="233" t="s">
        <v>2697</v>
      </c>
      <c r="D89" s="234">
        <v>460000</v>
      </c>
      <c r="E89" s="229" t="s">
        <v>2840</v>
      </c>
      <c r="F89" s="229" t="s">
        <v>2648</v>
      </c>
    </row>
    <row r="90" spans="1:6" ht="153" customHeight="1">
      <c r="A90" s="248">
        <v>76</v>
      </c>
      <c r="B90" s="238" t="s">
        <v>2700</v>
      </c>
      <c r="C90" s="233" t="s">
        <v>2701</v>
      </c>
      <c r="D90" s="234">
        <v>644000</v>
      </c>
      <c r="E90" s="229" t="s">
        <v>2844</v>
      </c>
      <c r="F90" s="229" t="s">
        <v>2845</v>
      </c>
    </row>
    <row r="91" spans="1:6" ht="102.75" customHeight="1">
      <c r="A91" s="248">
        <v>77</v>
      </c>
      <c r="B91" s="238" t="s">
        <v>2702</v>
      </c>
      <c r="C91" s="233" t="s">
        <v>2703</v>
      </c>
      <c r="D91" s="234">
        <v>190000</v>
      </c>
      <c r="E91" s="229" t="s">
        <v>2841</v>
      </c>
      <c r="F91" s="229" t="s">
        <v>2802</v>
      </c>
    </row>
    <row r="92" spans="1:6" ht="123" customHeight="1">
      <c r="A92" s="248">
        <v>78</v>
      </c>
      <c r="B92" s="238" t="s">
        <v>2704</v>
      </c>
      <c r="C92" s="233" t="s">
        <v>2705</v>
      </c>
      <c r="D92" s="234">
        <v>188000</v>
      </c>
      <c r="E92" s="229" t="s">
        <v>2842</v>
      </c>
      <c r="F92" s="229" t="s">
        <v>2810</v>
      </c>
    </row>
    <row r="93" spans="1:6" ht="113.25" customHeight="1">
      <c r="A93" s="248">
        <v>79</v>
      </c>
      <c r="B93" s="238" t="s">
        <v>2706</v>
      </c>
      <c r="C93" s="233" t="s">
        <v>2707</v>
      </c>
      <c r="D93" s="234">
        <v>234000</v>
      </c>
      <c r="E93" s="229" t="s">
        <v>2843</v>
      </c>
      <c r="F93" s="229" t="s">
        <v>2708</v>
      </c>
    </row>
  </sheetData>
  <mergeCells count="7">
    <mergeCell ref="A54:A60"/>
    <mergeCell ref="B54:B60"/>
    <mergeCell ref="B1:E1"/>
    <mergeCell ref="A40:A44"/>
    <mergeCell ref="B40:B44"/>
    <mergeCell ref="A50:A52"/>
    <mergeCell ref="B50:B52"/>
  </mergeCells>
  <phoneticPr fontId="1" type="noConversion"/>
  <pageMargins left="0.70866141732283472" right="0.70866141732283472" top="0.74803149606299213" bottom="0.74803149606299213" header="0.31496062992125984" footer="0.31496062992125984"/>
  <pageSetup paperSize="9" orientation="portrait" horizontalDpi="200" verticalDpi="200" r:id="rId1"/>
  <headerFooter>
    <oddFooter>第 &amp;P 頁</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372"/>
  <sheetViews>
    <sheetView view="pageBreakPreview" topLeftCell="C1" zoomScaleNormal="85" zoomScaleSheetLayoutView="100" workbookViewId="0">
      <pane ySplit="14" topLeftCell="A18" activePane="bottomLeft" state="frozen"/>
      <selection activeCell="H679" sqref="H679:H680"/>
      <selection pane="bottomLeft" activeCell="D21" sqref="D21:M24"/>
    </sheetView>
  </sheetViews>
  <sheetFormatPr defaultColWidth="8.90625" defaultRowHeight="17"/>
  <cols>
    <col min="1" max="1" width="10" style="113" customWidth="1"/>
    <col min="2" max="2" width="6.81640625" style="113" customWidth="1"/>
    <col min="3" max="3" width="8.6328125" style="113" customWidth="1"/>
    <col min="4" max="4" width="4.81640625" style="113" customWidth="1"/>
    <col min="5" max="6" width="9" style="113" customWidth="1"/>
    <col min="7" max="7" width="5.6328125" style="113" customWidth="1"/>
    <col min="8" max="8" width="10.36328125" style="113" customWidth="1"/>
    <col min="9" max="9" width="10.36328125" style="117" customWidth="1"/>
    <col min="10" max="10" width="8.6328125" style="113" customWidth="1"/>
    <col min="11" max="11" width="14.90625" style="116" customWidth="1"/>
    <col min="12" max="12" width="15.81640625" style="116" customWidth="1"/>
    <col min="13" max="13" width="16.453125" style="116" customWidth="1"/>
    <col min="14" max="14" width="7.08984375" style="113" customWidth="1"/>
    <col min="15" max="15" width="12.90625" style="113" bestFit="1" customWidth="1"/>
    <col min="16" max="16" width="11" style="113" customWidth="1"/>
    <col min="17" max="17" width="12.90625" style="113" bestFit="1" customWidth="1"/>
    <col min="18" max="18" width="6" style="113" bestFit="1" customWidth="1"/>
    <col min="19" max="19" width="12.90625" style="113" bestFit="1" customWidth="1"/>
    <col min="20" max="20" width="6" style="113" bestFit="1" customWidth="1"/>
    <col min="21" max="21" width="12.90625" style="113" bestFit="1" customWidth="1"/>
    <col min="22" max="256" width="8.90625" style="113"/>
    <col min="257" max="257" width="10" style="113" customWidth="1"/>
    <col min="258" max="258" width="6.81640625" style="113" customWidth="1"/>
    <col min="259" max="259" width="8.6328125" style="113" customWidth="1"/>
    <col min="260" max="260" width="4.81640625" style="113" customWidth="1"/>
    <col min="261" max="261" width="7.90625" style="113" customWidth="1"/>
    <col min="262" max="262" width="8" style="113" customWidth="1"/>
    <col min="263" max="263" width="5.6328125" style="113" customWidth="1"/>
    <col min="264" max="265" width="10.36328125" style="113" customWidth="1"/>
    <col min="266" max="266" width="8.6328125" style="113" customWidth="1"/>
    <col min="267" max="267" width="14.90625" style="113" customWidth="1"/>
    <col min="268" max="268" width="15.81640625" style="113" customWidth="1"/>
    <col min="269" max="269" width="16.453125" style="113" customWidth="1"/>
    <col min="270" max="270" width="7.08984375" style="113" customWidth="1"/>
    <col min="271" max="271" width="12.90625" style="113" bestFit="1" customWidth="1"/>
    <col min="272" max="272" width="11" style="113" customWidth="1"/>
    <col min="273" max="273" width="12.90625" style="113" bestFit="1" customWidth="1"/>
    <col min="274" max="274" width="6" style="113" bestFit="1" customWidth="1"/>
    <col min="275" max="275" width="12.90625" style="113" bestFit="1" customWidth="1"/>
    <col min="276" max="276" width="6" style="113" bestFit="1" customWidth="1"/>
    <col min="277" max="277" width="12.90625" style="113" bestFit="1" customWidth="1"/>
    <col min="278" max="512" width="8.90625" style="113"/>
    <col min="513" max="513" width="10" style="113" customWidth="1"/>
    <col min="514" max="514" width="6.81640625" style="113" customWidth="1"/>
    <col min="515" max="515" width="8.6328125" style="113" customWidth="1"/>
    <col min="516" max="516" width="4.81640625" style="113" customWidth="1"/>
    <col min="517" max="517" width="7.90625" style="113" customWidth="1"/>
    <col min="518" max="518" width="8" style="113" customWidth="1"/>
    <col min="519" max="519" width="5.6328125" style="113" customWidth="1"/>
    <col min="520" max="521" width="10.36328125" style="113" customWidth="1"/>
    <col min="522" max="522" width="8.6328125" style="113" customWidth="1"/>
    <col min="523" max="523" width="14.90625" style="113" customWidth="1"/>
    <col min="524" max="524" width="15.81640625" style="113" customWidth="1"/>
    <col min="525" max="525" width="16.453125" style="113" customWidth="1"/>
    <col min="526" max="526" width="7.08984375" style="113" customWidth="1"/>
    <col min="527" max="527" width="12.90625" style="113" bestFit="1" customWidth="1"/>
    <col min="528" max="528" width="11" style="113" customWidth="1"/>
    <col min="529" max="529" width="12.90625" style="113" bestFit="1" customWidth="1"/>
    <col min="530" max="530" width="6" style="113" bestFit="1" customWidth="1"/>
    <col min="531" max="531" width="12.90625" style="113" bestFit="1" customWidth="1"/>
    <col min="532" max="532" width="6" style="113" bestFit="1" customWidth="1"/>
    <col min="533" max="533" width="12.90625" style="113" bestFit="1" customWidth="1"/>
    <col min="534" max="768" width="8.90625" style="113"/>
    <col min="769" max="769" width="10" style="113" customWidth="1"/>
    <col min="770" max="770" width="6.81640625" style="113" customWidth="1"/>
    <col min="771" max="771" width="8.6328125" style="113" customWidth="1"/>
    <col min="772" max="772" width="4.81640625" style="113" customWidth="1"/>
    <col min="773" max="773" width="7.90625" style="113" customWidth="1"/>
    <col min="774" max="774" width="8" style="113" customWidth="1"/>
    <col min="775" max="775" width="5.6328125" style="113" customWidth="1"/>
    <col min="776" max="777" width="10.36328125" style="113" customWidth="1"/>
    <col min="778" max="778" width="8.6328125" style="113" customWidth="1"/>
    <col min="779" max="779" width="14.90625" style="113" customWidth="1"/>
    <col min="780" max="780" width="15.81640625" style="113" customWidth="1"/>
    <col min="781" max="781" width="16.453125" style="113" customWidth="1"/>
    <col min="782" max="782" width="7.08984375" style="113" customWidth="1"/>
    <col min="783" max="783" width="12.90625" style="113" bestFit="1" customWidth="1"/>
    <col min="784" max="784" width="11" style="113" customWidth="1"/>
    <col min="785" max="785" width="12.90625" style="113" bestFit="1" customWidth="1"/>
    <col min="786" max="786" width="6" style="113" bestFit="1" customWidth="1"/>
    <col min="787" max="787" width="12.90625" style="113" bestFit="1" customWidth="1"/>
    <col min="788" max="788" width="6" style="113" bestFit="1" customWidth="1"/>
    <col min="789" max="789" width="12.90625" style="113" bestFit="1" customWidth="1"/>
    <col min="790" max="1024" width="8.90625" style="113"/>
    <col min="1025" max="1025" width="10" style="113" customWidth="1"/>
    <col min="1026" max="1026" width="6.81640625" style="113" customWidth="1"/>
    <col min="1027" max="1027" width="8.6328125" style="113" customWidth="1"/>
    <col min="1028" max="1028" width="4.81640625" style="113" customWidth="1"/>
    <col min="1029" max="1029" width="7.90625" style="113" customWidth="1"/>
    <col min="1030" max="1030" width="8" style="113" customWidth="1"/>
    <col min="1031" max="1031" width="5.6328125" style="113" customWidth="1"/>
    <col min="1032" max="1033" width="10.36328125" style="113" customWidth="1"/>
    <col min="1034" max="1034" width="8.6328125" style="113" customWidth="1"/>
    <col min="1035" max="1035" width="14.90625" style="113" customWidth="1"/>
    <col min="1036" max="1036" width="15.81640625" style="113" customWidth="1"/>
    <col min="1037" max="1037" width="16.453125" style="113" customWidth="1"/>
    <col min="1038" max="1038" width="7.08984375" style="113" customWidth="1"/>
    <col min="1039" max="1039" width="12.90625" style="113" bestFit="1" customWidth="1"/>
    <col min="1040" max="1040" width="11" style="113" customWidth="1"/>
    <col min="1041" max="1041" width="12.90625" style="113" bestFit="1" customWidth="1"/>
    <col min="1042" max="1042" width="6" style="113" bestFit="1" customWidth="1"/>
    <col min="1043" max="1043" width="12.90625" style="113" bestFit="1" customWidth="1"/>
    <col min="1044" max="1044" width="6" style="113" bestFit="1" customWidth="1"/>
    <col min="1045" max="1045" width="12.90625" style="113" bestFit="1" customWidth="1"/>
    <col min="1046" max="1280" width="8.90625" style="113"/>
    <col min="1281" max="1281" width="10" style="113" customWidth="1"/>
    <col min="1282" max="1282" width="6.81640625" style="113" customWidth="1"/>
    <col min="1283" max="1283" width="8.6328125" style="113" customWidth="1"/>
    <col min="1284" max="1284" width="4.81640625" style="113" customWidth="1"/>
    <col min="1285" max="1285" width="7.90625" style="113" customWidth="1"/>
    <col min="1286" max="1286" width="8" style="113" customWidth="1"/>
    <col min="1287" max="1287" width="5.6328125" style="113" customWidth="1"/>
    <col min="1288" max="1289" width="10.36328125" style="113" customWidth="1"/>
    <col min="1290" max="1290" width="8.6328125" style="113" customWidth="1"/>
    <col min="1291" max="1291" width="14.90625" style="113" customWidth="1"/>
    <col min="1292" max="1292" width="15.81640625" style="113" customWidth="1"/>
    <col min="1293" max="1293" width="16.453125" style="113" customWidth="1"/>
    <col min="1294" max="1294" width="7.08984375" style="113" customWidth="1"/>
    <col min="1295" max="1295" width="12.90625" style="113" bestFit="1" customWidth="1"/>
    <col min="1296" max="1296" width="11" style="113" customWidth="1"/>
    <col min="1297" max="1297" width="12.90625" style="113" bestFit="1" customWidth="1"/>
    <col min="1298" max="1298" width="6" style="113" bestFit="1" customWidth="1"/>
    <col min="1299" max="1299" width="12.90625" style="113" bestFit="1" customWidth="1"/>
    <col min="1300" max="1300" width="6" style="113" bestFit="1" customWidth="1"/>
    <col min="1301" max="1301" width="12.90625" style="113" bestFit="1" customWidth="1"/>
    <col min="1302" max="1536" width="8.90625" style="113"/>
    <col min="1537" max="1537" width="10" style="113" customWidth="1"/>
    <col min="1538" max="1538" width="6.81640625" style="113" customWidth="1"/>
    <col min="1539" max="1539" width="8.6328125" style="113" customWidth="1"/>
    <col min="1540" max="1540" width="4.81640625" style="113" customWidth="1"/>
    <col min="1541" max="1541" width="7.90625" style="113" customWidth="1"/>
    <col min="1542" max="1542" width="8" style="113" customWidth="1"/>
    <col min="1543" max="1543" width="5.6328125" style="113" customWidth="1"/>
    <col min="1544" max="1545" width="10.36328125" style="113" customWidth="1"/>
    <col min="1546" max="1546" width="8.6328125" style="113" customWidth="1"/>
    <col min="1547" max="1547" width="14.90625" style="113" customWidth="1"/>
    <col min="1548" max="1548" width="15.81640625" style="113" customWidth="1"/>
    <col min="1549" max="1549" width="16.453125" style="113" customWidth="1"/>
    <col min="1550" max="1550" width="7.08984375" style="113" customWidth="1"/>
    <col min="1551" max="1551" width="12.90625" style="113" bestFit="1" customWidth="1"/>
    <col min="1552" max="1552" width="11" style="113" customWidth="1"/>
    <col min="1553" max="1553" width="12.90625" style="113" bestFit="1" customWidth="1"/>
    <col min="1554" max="1554" width="6" style="113" bestFit="1" customWidth="1"/>
    <col min="1555" max="1555" width="12.90625" style="113" bestFit="1" customWidth="1"/>
    <col min="1556" max="1556" width="6" style="113" bestFit="1" customWidth="1"/>
    <col min="1557" max="1557" width="12.90625" style="113" bestFit="1" customWidth="1"/>
    <col min="1558" max="1792" width="8.90625" style="113"/>
    <col min="1793" max="1793" width="10" style="113" customWidth="1"/>
    <col min="1794" max="1794" width="6.81640625" style="113" customWidth="1"/>
    <col min="1795" max="1795" width="8.6328125" style="113" customWidth="1"/>
    <col min="1796" max="1796" width="4.81640625" style="113" customWidth="1"/>
    <col min="1797" max="1797" width="7.90625" style="113" customWidth="1"/>
    <col min="1798" max="1798" width="8" style="113" customWidth="1"/>
    <col min="1799" max="1799" width="5.6328125" style="113" customWidth="1"/>
    <col min="1800" max="1801" width="10.36328125" style="113" customWidth="1"/>
    <col min="1802" max="1802" width="8.6328125" style="113" customWidth="1"/>
    <col min="1803" max="1803" width="14.90625" style="113" customWidth="1"/>
    <col min="1804" max="1804" width="15.81640625" style="113" customWidth="1"/>
    <col min="1805" max="1805" width="16.453125" style="113" customWidth="1"/>
    <col min="1806" max="1806" width="7.08984375" style="113" customWidth="1"/>
    <col min="1807" max="1807" width="12.90625" style="113" bestFit="1" customWidth="1"/>
    <col min="1808" max="1808" width="11" style="113" customWidth="1"/>
    <col min="1809" max="1809" width="12.90625" style="113" bestFit="1" customWidth="1"/>
    <col min="1810" max="1810" width="6" style="113" bestFit="1" customWidth="1"/>
    <col min="1811" max="1811" width="12.90625" style="113" bestFit="1" customWidth="1"/>
    <col min="1812" max="1812" width="6" style="113" bestFit="1" customWidth="1"/>
    <col min="1813" max="1813" width="12.90625" style="113" bestFit="1" customWidth="1"/>
    <col min="1814" max="2048" width="8.90625" style="113"/>
    <col min="2049" max="2049" width="10" style="113" customWidth="1"/>
    <col min="2050" max="2050" width="6.81640625" style="113" customWidth="1"/>
    <col min="2051" max="2051" width="8.6328125" style="113" customWidth="1"/>
    <col min="2052" max="2052" width="4.81640625" style="113" customWidth="1"/>
    <col min="2053" max="2053" width="7.90625" style="113" customWidth="1"/>
    <col min="2054" max="2054" width="8" style="113" customWidth="1"/>
    <col min="2055" max="2055" width="5.6328125" style="113" customWidth="1"/>
    <col min="2056" max="2057" width="10.36328125" style="113" customWidth="1"/>
    <col min="2058" max="2058" width="8.6328125" style="113" customWidth="1"/>
    <col min="2059" max="2059" width="14.90625" style="113" customWidth="1"/>
    <col min="2060" max="2060" width="15.81640625" style="113" customWidth="1"/>
    <col min="2061" max="2061" width="16.453125" style="113" customWidth="1"/>
    <col min="2062" max="2062" width="7.08984375" style="113" customWidth="1"/>
    <col min="2063" max="2063" width="12.90625" style="113" bestFit="1" customWidth="1"/>
    <col min="2064" max="2064" width="11" style="113" customWidth="1"/>
    <col min="2065" max="2065" width="12.90625" style="113" bestFit="1" customWidth="1"/>
    <col min="2066" max="2066" width="6" style="113" bestFit="1" customWidth="1"/>
    <col min="2067" max="2067" width="12.90625" style="113" bestFit="1" customWidth="1"/>
    <col min="2068" max="2068" width="6" style="113" bestFit="1" customWidth="1"/>
    <col min="2069" max="2069" width="12.90625" style="113" bestFit="1" customWidth="1"/>
    <col min="2070" max="2304" width="8.90625" style="113"/>
    <col min="2305" max="2305" width="10" style="113" customWidth="1"/>
    <col min="2306" max="2306" width="6.81640625" style="113" customWidth="1"/>
    <col min="2307" max="2307" width="8.6328125" style="113" customWidth="1"/>
    <col min="2308" max="2308" width="4.81640625" style="113" customWidth="1"/>
    <col min="2309" max="2309" width="7.90625" style="113" customWidth="1"/>
    <col min="2310" max="2310" width="8" style="113" customWidth="1"/>
    <col min="2311" max="2311" width="5.6328125" style="113" customWidth="1"/>
    <col min="2312" max="2313" width="10.36328125" style="113" customWidth="1"/>
    <col min="2314" max="2314" width="8.6328125" style="113" customWidth="1"/>
    <col min="2315" max="2315" width="14.90625" style="113" customWidth="1"/>
    <col min="2316" max="2316" width="15.81640625" style="113" customWidth="1"/>
    <col min="2317" max="2317" width="16.453125" style="113" customWidth="1"/>
    <col min="2318" max="2318" width="7.08984375" style="113" customWidth="1"/>
    <col min="2319" max="2319" width="12.90625" style="113" bestFit="1" customWidth="1"/>
    <col min="2320" max="2320" width="11" style="113" customWidth="1"/>
    <col min="2321" max="2321" width="12.90625" style="113" bestFit="1" customWidth="1"/>
    <col min="2322" max="2322" width="6" style="113" bestFit="1" customWidth="1"/>
    <col min="2323" max="2323" width="12.90625" style="113" bestFit="1" customWidth="1"/>
    <col min="2324" max="2324" width="6" style="113" bestFit="1" customWidth="1"/>
    <col min="2325" max="2325" width="12.90625" style="113" bestFit="1" customWidth="1"/>
    <col min="2326" max="2560" width="8.90625" style="113"/>
    <col min="2561" max="2561" width="10" style="113" customWidth="1"/>
    <col min="2562" max="2562" width="6.81640625" style="113" customWidth="1"/>
    <col min="2563" max="2563" width="8.6328125" style="113" customWidth="1"/>
    <col min="2564" max="2564" width="4.81640625" style="113" customWidth="1"/>
    <col min="2565" max="2565" width="7.90625" style="113" customWidth="1"/>
    <col min="2566" max="2566" width="8" style="113" customWidth="1"/>
    <col min="2567" max="2567" width="5.6328125" style="113" customWidth="1"/>
    <col min="2568" max="2569" width="10.36328125" style="113" customWidth="1"/>
    <col min="2570" max="2570" width="8.6328125" style="113" customWidth="1"/>
    <col min="2571" max="2571" width="14.90625" style="113" customWidth="1"/>
    <col min="2572" max="2572" width="15.81640625" style="113" customWidth="1"/>
    <col min="2573" max="2573" width="16.453125" style="113" customWidth="1"/>
    <col min="2574" max="2574" width="7.08984375" style="113" customWidth="1"/>
    <col min="2575" max="2575" width="12.90625" style="113" bestFit="1" customWidth="1"/>
    <col min="2576" max="2576" width="11" style="113" customWidth="1"/>
    <col min="2577" max="2577" width="12.90625" style="113" bestFit="1" customWidth="1"/>
    <col min="2578" max="2578" width="6" style="113" bestFit="1" customWidth="1"/>
    <col min="2579" max="2579" width="12.90625" style="113" bestFit="1" customWidth="1"/>
    <col min="2580" max="2580" width="6" style="113" bestFit="1" customWidth="1"/>
    <col min="2581" max="2581" width="12.90625" style="113" bestFit="1" customWidth="1"/>
    <col min="2582" max="2816" width="8.90625" style="113"/>
    <col min="2817" max="2817" width="10" style="113" customWidth="1"/>
    <col min="2818" max="2818" width="6.81640625" style="113" customWidth="1"/>
    <col min="2819" max="2819" width="8.6328125" style="113" customWidth="1"/>
    <col min="2820" max="2820" width="4.81640625" style="113" customWidth="1"/>
    <col min="2821" max="2821" width="7.90625" style="113" customWidth="1"/>
    <col min="2822" max="2822" width="8" style="113" customWidth="1"/>
    <col min="2823" max="2823" width="5.6328125" style="113" customWidth="1"/>
    <col min="2824" max="2825" width="10.36328125" style="113" customWidth="1"/>
    <col min="2826" max="2826" width="8.6328125" style="113" customWidth="1"/>
    <col min="2827" max="2827" width="14.90625" style="113" customWidth="1"/>
    <col min="2828" max="2828" width="15.81640625" style="113" customWidth="1"/>
    <col min="2829" max="2829" width="16.453125" style="113" customWidth="1"/>
    <col min="2830" max="2830" width="7.08984375" style="113" customWidth="1"/>
    <col min="2831" max="2831" width="12.90625" style="113" bestFit="1" customWidth="1"/>
    <col min="2832" max="2832" width="11" style="113" customWidth="1"/>
    <col min="2833" max="2833" width="12.90625" style="113" bestFit="1" customWidth="1"/>
    <col min="2834" max="2834" width="6" style="113" bestFit="1" customWidth="1"/>
    <col min="2835" max="2835" width="12.90625" style="113" bestFit="1" customWidth="1"/>
    <col min="2836" max="2836" width="6" style="113" bestFit="1" customWidth="1"/>
    <col min="2837" max="2837" width="12.90625" style="113" bestFit="1" customWidth="1"/>
    <col min="2838" max="3072" width="8.90625" style="113"/>
    <col min="3073" max="3073" width="10" style="113" customWidth="1"/>
    <col min="3074" max="3074" width="6.81640625" style="113" customWidth="1"/>
    <col min="3075" max="3075" width="8.6328125" style="113" customWidth="1"/>
    <col min="3076" max="3076" width="4.81640625" style="113" customWidth="1"/>
    <col min="3077" max="3077" width="7.90625" style="113" customWidth="1"/>
    <col min="3078" max="3078" width="8" style="113" customWidth="1"/>
    <col min="3079" max="3079" width="5.6328125" style="113" customWidth="1"/>
    <col min="3080" max="3081" width="10.36328125" style="113" customWidth="1"/>
    <col min="3082" max="3082" width="8.6328125" style="113" customWidth="1"/>
    <col min="3083" max="3083" width="14.90625" style="113" customWidth="1"/>
    <col min="3084" max="3084" width="15.81640625" style="113" customWidth="1"/>
    <col min="3085" max="3085" width="16.453125" style="113" customWidth="1"/>
    <col min="3086" max="3086" width="7.08984375" style="113" customWidth="1"/>
    <col min="3087" max="3087" width="12.90625" style="113" bestFit="1" customWidth="1"/>
    <col min="3088" max="3088" width="11" style="113" customWidth="1"/>
    <col min="3089" max="3089" width="12.90625" style="113" bestFit="1" customWidth="1"/>
    <col min="3090" max="3090" width="6" style="113" bestFit="1" customWidth="1"/>
    <col min="3091" max="3091" width="12.90625" style="113" bestFit="1" customWidth="1"/>
    <col min="3092" max="3092" width="6" style="113" bestFit="1" customWidth="1"/>
    <col min="3093" max="3093" width="12.90625" style="113" bestFit="1" customWidth="1"/>
    <col min="3094" max="3328" width="8.90625" style="113"/>
    <col min="3329" max="3329" width="10" style="113" customWidth="1"/>
    <col min="3330" max="3330" width="6.81640625" style="113" customWidth="1"/>
    <col min="3331" max="3331" width="8.6328125" style="113" customWidth="1"/>
    <col min="3332" max="3332" width="4.81640625" style="113" customWidth="1"/>
    <col min="3333" max="3333" width="7.90625" style="113" customWidth="1"/>
    <col min="3334" max="3334" width="8" style="113" customWidth="1"/>
    <col min="3335" max="3335" width="5.6328125" style="113" customWidth="1"/>
    <col min="3336" max="3337" width="10.36328125" style="113" customWidth="1"/>
    <col min="3338" max="3338" width="8.6328125" style="113" customWidth="1"/>
    <col min="3339" max="3339" width="14.90625" style="113" customWidth="1"/>
    <col min="3340" max="3340" width="15.81640625" style="113" customWidth="1"/>
    <col min="3341" max="3341" width="16.453125" style="113" customWidth="1"/>
    <col min="3342" max="3342" width="7.08984375" style="113" customWidth="1"/>
    <col min="3343" max="3343" width="12.90625" style="113" bestFit="1" customWidth="1"/>
    <col min="3344" max="3344" width="11" style="113" customWidth="1"/>
    <col min="3345" max="3345" width="12.90625" style="113" bestFit="1" customWidth="1"/>
    <col min="3346" max="3346" width="6" style="113" bestFit="1" customWidth="1"/>
    <col min="3347" max="3347" width="12.90625" style="113" bestFit="1" customWidth="1"/>
    <col min="3348" max="3348" width="6" style="113" bestFit="1" customWidth="1"/>
    <col min="3349" max="3349" width="12.90625" style="113" bestFit="1" customWidth="1"/>
    <col min="3350" max="3584" width="8.90625" style="113"/>
    <col min="3585" max="3585" width="10" style="113" customWidth="1"/>
    <col min="3586" max="3586" width="6.81640625" style="113" customWidth="1"/>
    <col min="3587" max="3587" width="8.6328125" style="113" customWidth="1"/>
    <col min="3588" max="3588" width="4.81640625" style="113" customWidth="1"/>
    <col min="3589" max="3589" width="7.90625" style="113" customWidth="1"/>
    <col min="3590" max="3590" width="8" style="113" customWidth="1"/>
    <col min="3591" max="3591" width="5.6328125" style="113" customWidth="1"/>
    <col min="3592" max="3593" width="10.36328125" style="113" customWidth="1"/>
    <col min="3594" max="3594" width="8.6328125" style="113" customWidth="1"/>
    <col min="3595" max="3595" width="14.90625" style="113" customWidth="1"/>
    <col min="3596" max="3596" width="15.81640625" style="113" customWidth="1"/>
    <col min="3597" max="3597" width="16.453125" style="113" customWidth="1"/>
    <col min="3598" max="3598" width="7.08984375" style="113" customWidth="1"/>
    <col min="3599" max="3599" width="12.90625" style="113" bestFit="1" customWidth="1"/>
    <col min="3600" max="3600" width="11" style="113" customWidth="1"/>
    <col min="3601" max="3601" width="12.90625" style="113" bestFit="1" customWidth="1"/>
    <col min="3602" max="3602" width="6" style="113" bestFit="1" customWidth="1"/>
    <col min="3603" max="3603" width="12.90625" style="113" bestFit="1" customWidth="1"/>
    <col min="3604" max="3604" width="6" style="113" bestFit="1" customWidth="1"/>
    <col min="3605" max="3605" width="12.90625" style="113" bestFit="1" customWidth="1"/>
    <col min="3606" max="3840" width="8.90625" style="113"/>
    <col min="3841" max="3841" width="10" style="113" customWidth="1"/>
    <col min="3842" max="3842" width="6.81640625" style="113" customWidth="1"/>
    <col min="3843" max="3843" width="8.6328125" style="113" customWidth="1"/>
    <col min="3844" max="3844" width="4.81640625" style="113" customWidth="1"/>
    <col min="3845" max="3845" width="7.90625" style="113" customWidth="1"/>
    <col min="3846" max="3846" width="8" style="113" customWidth="1"/>
    <col min="3847" max="3847" width="5.6328125" style="113" customWidth="1"/>
    <col min="3848" max="3849" width="10.36328125" style="113" customWidth="1"/>
    <col min="3850" max="3850" width="8.6328125" style="113" customWidth="1"/>
    <col min="3851" max="3851" width="14.90625" style="113" customWidth="1"/>
    <col min="3852" max="3852" width="15.81640625" style="113" customWidth="1"/>
    <col min="3853" max="3853" width="16.453125" style="113" customWidth="1"/>
    <col min="3854" max="3854" width="7.08984375" style="113" customWidth="1"/>
    <col min="3855" max="3855" width="12.90625" style="113" bestFit="1" customWidth="1"/>
    <col min="3856" max="3856" width="11" style="113" customWidth="1"/>
    <col min="3857" max="3857" width="12.90625" style="113" bestFit="1" customWidth="1"/>
    <col min="3858" max="3858" width="6" style="113" bestFit="1" customWidth="1"/>
    <col min="3859" max="3859" width="12.90625" style="113" bestFit="1" customWidth="1"/>
    <col min="3860" max="3860" width="6" style="113" bestFit="1" customWidth="1"/>
    <col min="3861" max="3861" width="12.90625" style="113" bestFit="1" customWidth="1"/>
    <col min="3862" max="4096" width="8.90625" style="113"/>
    <col min="4097" max="4097" width="10" style="113" customWidth="1"/>
    <col min="4098" max="4098" width="6.81640625" style="113" customWidth="1"/>
    <col min="4099" max="4099" width="8.6328125" style="113" customWidth="1"/>
    <col min="4100" max="4100" width="4.81640625" style="113" customWidth="1"/>
    <col min="4101" max="4101" width="7.90625" style="113" customWidth="1"/>
    <col min="4102" max="4102" width="8" style="113" customWidth="1"/>
    <col min="4103" max="4103" width="5.6328125" style="113" customWidth="1"/>
    <col min="4104" max="4105" width="10.36328125" style="113" customWidth="1"/>
    <col min="4106" max="4106" width="8.6328125" style="113" customWidth="1"/>
    <col min="4107" max="4107" width="14.90625" style="113" customWidth="1"/>
    <col min="4108" max="4108" width="15.81640625" style="113" customWidth="1"/>
    <col min="4109" max="4109" width="16.453125" style="113" customWidth="1"/>
    <col min="4110" max="4110" width="7.08984375" style="113" customWidth="1"/>
    <col min="4111" max="4111" width="12.90625" style="113" bestFit="1" customWidth="1"/>
    <col min="4112" max="4112" width="11" style="113" customWidth="1"/>
    <col min="4113" max="4113" width="12.90625" style="113" bestFit="1" customWidth="1"/>
    <col min="4114" max="4114" width="6" style="113" bestFit="1" customWidth="1"/>
    <col min="4115" max="4115" width="12.90625" style="113" bestFit="1" customWidth="1"/>
    <col min="4116" max="4116" width="6" style="113" bestFit="1" customWidth="1"/>
    <col min="4117" max="4117" width="12.90625" style="113" bestFit="1" customWidth="1"/>
    <col min="4118" max="4352" width="8.90625" style="113"/>
    <col min="4353" max="4353" width="10" style="113" customWidth="1"/>
    <col min="4354" max="4354" width="6.81640625" style="113" customWidth="1"/>
    <col min="4355" max="4355" width="8.6328125" style="113" customWidth="1"/>
    <col min="4356" max="4356" width="4.81640625" style="113" customWidth="1"/>
    <col min="4357" max="4357" width="7.90625" style="113" customWidth="1"/>
    <col min="4358" max="4358" width="8" style="113" customWidth="1"/>
    <col min="4359" max="4359" width="5.6328125" style="113" customWidth="1"/>
    <col min="4360" max="4361" width="10.36328125" style="113" customWidth="1"/>
    <col min="4362" max="4362" width="8.6328125" style="113" customWidth="1"/>
    <col min="4363" max="4363" width="14.90625" style="113" customWidth="1"/>
    <col min="4364" max="4364" width="15.81640625" style="113" customWidth="1"/>
    <col min="4365" max="4365" width="16.453125" style="113" customWidth="1"/>
    <col min="4366" max="4366" width="7.08984375" style="113" customWidth="1"/>
    <col min="4367" max="4367" width="12.90625" style="113" bestFit="1" customWidth="1"/>
    <col min="4368" max="4368" width="11" style="113" customWidth="1"/>
    <col min="4369" max="4369" width="12.90625" style="113" bestFit="1" customWidth="1"/>
    <col min="4370" max="4370" width="6" style="113" bestFit="1" customWidth="1"/>
    <col min="4371" max="4371" width="12.90625" style="113" bestFit="1" customWidth="1"/>
    <col min="4372" max="4372" width="6" style="113" bestFit="1" customWidth="1"/>
    <col min="4373" max="4373" width="12.90625" style="113" bestFit="1" customWidth="1"/>
    <col min="4374" max="4608" width="8.90625" style="113"/>
    <col min="4609" max="4609" width="10" style="113" customWidth="1"/>
    <col min="4610" max="4610" width="6.81640625" style="113" customWidth="1"/>
    <col min="4611" max="4611" width="8.6328125" style="113" customWidth="1"/>
    <col min="4612" max="4612" width="4.81640625" style="113" customWidth="1"/>
    <col min="4613" max="4613" width="7.90625" style="113" customWidth="1"/>
    <col min="4614" max="4614" width="8" style="113" customWidth="1"/>
    <col min="4615" max="4615" width="5.6328125" style="113" customWidth="1"/>
    <col min="4616" max="4617" width="10.36328125" style="113" customWidth="1"/>
    <col min="4618" max="4618" width="8.6328125" style="113" customWidth="1"/>
    <col min="4619" max="4619" width="14.90625" style="113" customWidth="1"/>
    <col min="4620" max="4620" width="15.81640625" style="113" customWidth="1"/>
    <col min="4621" max="4621" width="16.453125" style="113" customWidth="1"/>
    <col min="4622" max="4622" width="7.08984375" style="113" customWidth="1"/>
    <col min="4623" max="4623" width="12.90625" style="113" bestFit="1" customWidth="1"/>
    <col min="4624" max="4624" width="11" style="113" customWidth="1"/>
    <col min="4625" max="4625" width="12.90625" style="113" bestFit="1" customWidth="1"/>
    <col min="4626" max="4626" width="6" style="113" bestFit="1" customWidth="1"/>
    <col min="4627" max="4627" width="12.90625" style="113" bestFit="1" customWidth="1"/>
    <col min="4628" max="4628" width="6" style="113" bestFit="1" customWidth="1"/>
    <col min="4629" max="4629" width="12.90625" style="113" bestFit="1" customWidth="1"/>
    <col min="4630" max="4864" width="8.90625" style="113"/>
    <col min="4865" max="4865" width="10" style="113" customWidth="1"/>
    <col min="4866" max="4866" width="6.81640625" style="113" customWidth="1"/>
    <col min="4867" max="4867" width="8.6328125" style="113" customWidth="1"/>
    <col min="4868" max="4868" width="4.81640625" style="113" customWidth="1"/>
    <col min="4869" max="4869" width="7.90625" style="113" customWidth="1"/>
    <col min="4870" max="4870" width="8" style="113" customWidth="1"/>
    <col min="4871" max="4871" width="5.6328125" style="113" customWidth="1"/>
    <col min="4872" max="4873" width="10.36328125" style="113" customWidth="1"/>
    <col min="4874" max="4874" width="8.6328125" style="113" customWidth="1"/>
    <col min="4875" max="4875" width="14.90625" style="113" customWidth="1"/>
    <col min="4876" max="4876" width="15.81640625" style="113" customWidth="1"/>
    <col min="4877" max="4877" width="16.453125" style="113" customWidth="1"/>
    <col min="4878" max="4878" width="7.08984375" style="113" customWidth="1"/>
    <col min="4879" max="4879" width="12.90625" style="113" bestFit="1" customWidth="1"/>
    <col min="4880" max="4880" width="11" style="113" customWidth="1"/>
    <col min="4881" max="4881" width="12.90625" style="113" bestFit="1" customWidth="1"/>
    <col min="4882" max="4882" width="6" style="113" bestFit="1" customWidth="1"/>
    <col min="4883" max="4883" width="12.90625" style="113" bestFit="1" customWidth="1"/>
    <col min="4884" max="4884" width="6" style="113" bestFit="1" customWidth="1"/>
    <col min="4885" max="4885" width="12.90625" style="113" bestFit="1" customWidth="1"/>
    <col min="4886" max="5120" width="8.90625" style="113"/>
    <col min="5121" max="5121" width="10" style="113" customWidth="1"/>
    <col min="5122" max="5122" width="6.81640625" style="113" customWidth="1"/>
    <col min="5123" max="5123" width="8.6328125" style="113" customWidth="1"/>
    <col min="5124" max="5124" width="4.81640625" style="113" customWidth="1"/>
    <col min="5125" max="5125" width="7.90625" style="113" customWidth="1"/>
    <col min="5126" max="5126" width="8" style="113" customWidth="1"/>
    <col min="5127" max="5127" width="5.6328125" style="113" customWidth="1"/>
    <col min="5128" max="5129" width="10.36328125" style="113" customWidth="1"/>
    <col min="5130" max="5130" width="8.6328125" style="113" customWidth="1"/>
    <col min="5131" max="5131" width="14.90625" style="113" customWidth="1"/>
    <col min="5132" max="5132" width="15.81640625" style="113" customWidth="1"/>
    <col min="5133" max="5133" width="16.453125" style="113" customWidth="1"/>
    <col min="5134" max="5134" width="7.08984375" style="113" customWidth="1"/>
    <col min="5135" max="5135" width="12.90625" style="113" bestFit="1" customWidth="1"/>
    <col min="5136" max="5136" width="11" style="113" customWidth="1"/>
    <col min="5137" max="5137" width="12.90625" style="113" bestFit="1" customWidth="1"/>
    <col min="5138" max="5138" width="6" style="113" bestFit="1" customWidth="1"/>
    <col min="5139" max="5139" width="12.90625" style="113" bestFit="1" customWidth="1"/>
    <col min="5140" max="5140" width="6" style="113" bestFit="1" customWidth="1"/>
    <col min="5141" max="5141" width="12.90625" style="113" bestFit="1" customWidth="1"/>
    <col min="5142" max="5376" width="8.90625" style="113"/>
    <col min="5377" max="5377" width="10" style="113" customWidth="1"/>
    <col min="5378" max="5378" width="6.81640625" style="113" customWidth="1"/>
    <col min="5379" max="5379" width="8.6328125" style="113" customWidth="1"/>
    <col min="5380" max="5380" width="4.81640625" style="113" customWidth="1"/>
    <col min="5381" max="5381" width="7.90625" style="113" customWidth="1"/>
    <col min="5382" max="5382" width="8" style="113" customWidth="1"/>
    <col min="5383" max="5383" width="5.6328125" style="113" customWidth="1"/>
    <col min="5384" max="5385" width="10.36328125" style="113" customWidth="1"/>
    <col min="5386" max="5386" width="8.6328125" style="113" customWidth="1"/>
    <col min="5387" max="5387" width="14.90625" style="113" customWidth="1"/>
    <col min="5388" max="5388" width="15.81640625" style="113" customWidth="1"/>
    <col min="5389" max="5389" width="16.453125" style="113" customWidth="1"/>
    <col min="5390" max="5390" width="7.08984375" style="113" customWidth="1"/>
    <col min="5391" max="5391" width="12.90625" style="113" bestFit="1" customWidth="1"/>
    <col min="5392" max="5392" width="11" style="113" customWidth="1"/>
    <col min="5393" max="5393" width="12.90625" style="113" bestFit="1" customWidth="1"/>
    <col min="5394" max="5394" width="6" style="113" bestFit="1" customWidth="1"/>
    <col min="5395" max="5395" width="12.90625" style="113" bestFit="1" customWidth="1"/>
    <col min="5396" max="5396" width="6" style="113" bestFit="1" customWidth="1"/>
    <col min="5397" max="5397" width="12.90625" style="113" bestFit="1" customWidth="1"/>
    <col min="5398" max="5632" width="8.90625" style="113"/>
    <col min="5633" max="5633" width="10" style="113" customWidth="1"/>
    <col min="5634" max="5634" width="6.81640625" style="113" customWidth="1"/>
    <col min="5635" max="5635" width="8.6328125" style="113" customWidth="1"/>
    <col min="5636" max="5636" width="4.81640625" style="113" customWidth="1"/>
    <col min="5637" max="5637" width="7.90625" style="113" customWidth="1"/>
    <col min="5638" max="5638" width="8" style="113" customWidth="1"/>
    <col min="5639" max="5639" width="5.6328125" style="113" customWidth="1"/>
    <col min="5640" max="5641" width="10.36328125" style="113" customWidth="1"/>
    <col min="5642" max="5642" width="8.6328125" style="113" customWidth="1"/>
    <col min="5643" max="5643" width="14.90625" style="113" customWidth="1"/>
    <col min="5644" max="5644" width="15.81640625" style="113" customWidth="1"/>
    <col min="5645" max="5645" width="16.453125" style="113" customWidth="1"/>
    <col min="5646" max="5646" width="7.08984375" style="113" customWidth="1"/>
    <col min="5647" max="5647" width="12.90625" style="113" bestFit="1" customWidth="1"/>
    <col min="5648" max="5648" width="11" style="113" customWidth="1"/>
    <col min="5649" max="5649" width="12.90625" style="113" bestFit="1" customWidth="1"/>
    <col min="5650" max="5650" width="6" style="113" bestFit="1" customWidth="1"/>
    <col min="5651" max="5651" width="12.90625" style="113" bestFit="1" customWidth="1"/>
    <col min="5652" max="5652" width="6" style="113" bestFit="1" customWidth="1"/>
    <col min="5653" max="5653" width="12.90625" style="113" bestFit="1" customWidth="1"/>
    <col min="5654" max="5888" width="8.90625" style="113"/>
    <col min="5889" max="5889" width="10" style="113" customWidth="1"/>
    <col min="5890" max="5890" width="6.81640625" style="113" customWidth="1"/>
    <col min="5891" max="5891" width="8.6328125" style="113" customWidth="1"/>
    <col min="5892" max="5892" width="4.81640625" style="113" customWidth="1"/>
    <col min="5893" max="5893" width="7.90625" style="113" customWidth="1"/>
    <col min="5894" max="5894" width="8" style="113" customWidth="1"/>
    <col min="5895" max="5895" width="5.6328125" style="113" customWidth="1"/>
    <col min="5896" max="5897" width="10.36328125" style="113" customWidth="1"/>
    <col min="5898" max="5898" width="8.6328125" style="113" customWidth="1"/>
    <col min="5899" max="5899" width="14.90625" style="113" customWidth="1"/>
    <col min="5900" max="5900" width="15.81640625" style="113" customWidth="1"/>
    <col min="5901" max="5901" width="16.453125" style="113" customWidth="1"/>
    <col min="5902" max="5902" width="7.08984375" style="113" customWidth="1"/>
    <col min="5903" max="5903" width="12.90625" style="113" bestFit="1" customWidth="1"/>
    <col min="5904" max="5904" width="11" style="113" customWidth="1"/>
    <col min="5905" max="5905" width="12.90625" style="113" bestFit="1" customWidth="1"/>
    <col min="5906" max="5906" width="6" style="113" bestFit="1" customWidth="1"/>
    <col min="5907" max="5907" width="12.90625" style="113" bestFit="1" customWidth="1"/>
    <col min="5908" max="5908" width="6" style="113" bestFit="1" customWidth="1"/>
    <col min="5909" max="5909" width="12.90625" style="113" bestFit="1" customWidth="1"/>
    <col min="5910" max="6144" width="8.90625" style="113"/>
    <col min="6145" max="6145" width="10" style="113" customWidth="1"/>
    <col min="6146" max="6146" width="6.81640625" style="113" customWidth="1"/>
    <col min="6147" max="6147" width="8.6328125" style="113" customWidth="1"/>
    <col min="6148" max="6148" width="4.81640625" style="113" customWidth="1"/>
    <col min="6149" max="6149" width="7.90625" style="113" customWidth="1"/>
    <col min="6150" max="6150" width="8" style="113" customWidth="1"/>
    <col min="6151" max="6151" width="5.6328125" style="113" customWidth="1"/>
    <col min="6152" max="6153" width="10.36328125" style="113" customWidth="1"/>
    <col min="6154" max="6154" width="8.6328125" style="113" customWidth="1"/>
    <col min="6155" max="6155" width="14.90625" style="113" customWidth="1"/>
    <col min="6156" max="6156" width="15.81640625" style="113" customWidth="1"/>
    <col min="6157" max="6157" width="16.453125" style="113" customWidth="1"/>
    <col min="6158" max="6158" width="7.08984375" style="113" customWidth="1"/>
    <col min="6159" max="6159" width="12.90625" style="113" bestFit="1" customWidth="1"/>
    <col min="6160" max="6160" width="11" style="113" customWidth="1"/>
    <col min="6161" max="6161" width="12.90625" style="113" bestFit="1" customWidth="1"/>
    <col min="6162" max="6162" width="6" style="113" bestFit="1" customWidth="1"/>
    <col min="6163" max="6163" width="12.90625" style="113" bestFit="1" customWidth="1"/>
    <col min="6164" max="6164" width="6" style="113" bestFit="1" customWidth="1"/>
    <col min="6165" max="6165" width="12.90625" style="113" bestFit="1" customWidth="1"/>
    <col min="6166" max="6400" width="8.90625" style="113"/>
    <col min="6401" max="6401" width="10" style="113" customWidth="1"/>
    <col min="6402" max="6402" width="6.81640625" style="113" customWidth="1"/>
    <col min="6403" max="6403" width="8.6328125" style="113" customWidth="1"/>
    <col min="6404" max="6404" width="4.81640625" style="113" customWidth="1"/>
    <col min="6405" max="6405" width="7.90625" style="113" customWidth="1"/>
    <col min="6406" max="6406" width="8" style="113" customWidth="1"/>
    <col min="6407" max="6407" width="5.6328125" style="113" customWidth="1"/>
    <col min="6408" max="6409" width="10.36328125" style="113" customWidth="1"/>
    <col min="6410" max="6410" width="8.6328125" style="113" customWidth="1"/>
    <col min="6411" max="6411" width="14.90625" style="113" customWidth="1"/>
    <col min="6412" max="6412" width="15.81640625" style="113" customWidth="1"/>
    <col min="6413" max="6413" width="16.453125" style="113" customWidth="1"/>
    <col min="6414" max="6414" width="7.08984375" style="113" customWidth="1"/>
    <col min="6415" max="6415" width="12.90625" style="113" bestFit="1" customWidth="1"/>
    <col min="6416" max="6416" width="11" style="113" customWidth="1"/>
    <col min="6417" max="6417" width="12.90625" style="113" bestFit="1" customWidth="1"/>
    <col min="6418" max="6418" width="6" style="113" bestFit="1" customWidth="1"/>
    <col min="6419" max="6419" width="12.90625" style="113" bestFit="1" customWidth="1"/>
    <col min="6420" max="6420" width="6" style="113" bestFit="1" customWidth="1"/>
    <col min="6421" max="6421" width="12.90625" style="113" bestFit="1" customWidth="1"/>
    <col min="6422" max="6656" width="8.90625" style="113"/>
    <col min="6657" max="6657" width="10" style="113" customWidth="1"/>
    <col min="6658" max="6658" width="6.81640625" style="113" customWidth="1"/>
    <col min="6659" max="6659" width="8.6328125" style="113" customWidth="1"/>
    <col min="6660" max="6660" width="4.81640625" style="113" customWidth="1"/>
    <col min="6661" max="6661" width="7.90625" style="113" customWidth="1"/>
    <col min="6662" max="6662" width="8" style="113" customWidth="1"/>
    <col min="6663" max="6663" width="5.6328125" style="113" customWidth="1"/>
    <col min="6664" max="6665" width="10.36328125" style="113" customWidth="1"/>
    <col min="6666" max="6666" width="8.6328125" style="113" customWidth="1"/>
    <col min="6667" max="6667" width="14.90625" style="113" customWidth="1"/>
    <col min="6668" max="6668" width="15.81640625" style="113" customWidth="1"/>
    <col min="6669" max="6669" width="16.453125" style="113" customWidth="1"/>
    <col min="6670" max="6670" width="7.08984375" style="113" customWidth="1"/>
    <col min="6671" max="6671" width="12.90625" style="113" bestFit="1" customWidth="1"/>
    <col min="6672" max="6672" width="11" style="113" customWidth="1"/>
    <col min="6673" max="6673" width="12.90625" style="113" bestFit="1" customWidth="1"/>
    <col min="6674" max="6674" width="6" style="113" bestFit="1" customWidth="1"/>
    <col min="6675" max="6675" width="12.90625" style="113" bestFit="1" customWidth="1"/>
    <col min="6676" max="6676" width="6" style="113" bestFit="1" customWidth="1"/>
    <col min="6677" max="6677" width="12.90625" style="113" bestFit="1" customWidth="1"/>
    <col min="6678" max="6912" width="8.90625" style="113"/>
    <col min="6913" max="6913" width="10" style="113" customWidth="1"/>
    <col min="6914" max="6914" width="6.81640625" style="113" customWidth="1"/>
    <col min="6915" max="6915" width="8.6328125" style="113" customWidth="1"/>
    <col min="6916" max="6916" width="4.81640625" style="113" customWidth="1"/>
    <col min="6917" max="6917" width="7.90625" style="113" customWidth="1"/>
    <col min="6918" max="6918" width="8" style="113" customWidth="1"/>
    <col min="6919" max="6919" width="5.6328125" style="113" customWidth="1"/>
    <col min="6920" max="6921" width="10.36328125" style="113" customWidth="1"/>
    <col min="6922" max="6922" width="8.6328125" style="113" customWidth="1"/>
    <col min="6923" max="6923" width="14.90625" style="113" customWidth="1"/>
    <col min="6924" max="6924" width="15.81640625" style="113" customWidth="1"/>
    <col min="6925" max="6925" width="16.453125" style="113" customWidth="1"/>
    <col min="6926" max="6926" width="7.08984375" style="113" customWidth="1"/>
    <col min="6927" max="6927" width="12.90625" style="113" bestFit="1" customWidth="1"/>
    <col min="6928" max="6928" width="11" style="113" customWidth="1"/>
    <col min="6929" max="6929" width="12.90625" style="113" bestFit="1" customWidth="1"/>
    <col min="6930" max="6930" width="6" style="113" bestFit="1" customWidth="1"/>
    <col min="6931" max="6931" width="12.90625" style="113" bestFit="1" customWidth="1"/>
    <col min="6932" max="6932" width="6" style="113" bestFit="1" customWidth="1"/>
    <col min="6933" max="6933" width="12.90625" style="113" bestFit="1" customWidth="1"/>
    <col min="6934" max="7168" width="8.90625" style="113"/>
    <col min="7169" max="7169" width="10" style="113" customWidth="1"/>
    <col min="7170" max="7170" width="6.81640625" style="113" customWidth="1"/>
    <col min="7171" max="7171" width="8.6328125" style="113" customWidth="1"/>
    <col min="7172" max="7172" width="4.81640625" style="113" customWidth="1"/>
    <col min="7173" max="7173" width="7.90625" style="113" customWidth="1"/>
    <col min="7174" max="7174" width="8" style="113" customWidth="1"/>
    <col min="7175" max="7175" width="5.6328125" style="113" customWidth="1"/>
    <col min="7176" max="7177" width="10.36328125" style="113" customWidth="1"/>
    <col min="7178" max="7178" width="8.6328125" style="113" customWidth="1"/>
    <col min="7179" max="7179" width="14.90625" style="113" customWidth="1"/>
    <col min="7180" max="7180" width="15.81640625" style="113" customWidth="1"/>
    <col min="7181" max="7181" width="16.453125" style="113" customWidth="1"/>
    <col min="7182" max="7182" width="7.08984375" style="113" customWidth="1"/>
    <col min="7183" max="7183" width="12.90625" style="113" bestFit="1" customWidth="1"/>
    <col min="7184" max="7184" width="11" style="113" customWidth="1"/>
    <col min="7185" max="7185" width="12.90625" style="113" bestFit="1" customWidth="1"/>
    <col min="7186" max="7186" width="6" style="113" bestFit="1" customWidth="1"/>
    <col min="7187" max="7187" width="12.90625" style="113" bestFit="1" customWidth="1"/>
    <col min="7188" max="7188" width="6" style="113" bestFit="1" customWidth="1"/>
    <col min="7189" max="7189" width="12.90625" style="113" bestFit="1" customWidth="1"/>
    <col min="7190" max="7424" width="8.90625" style="113"/>
    <col min="7425" max="7425" width="10" style="113" customWidth="1"/>
    <col min="7426" max="7426" width="6.81640625" style="113" customWidth="1"/>
    <col min="7427" max="7427" width="8.6328125" style="113" customWidth="1"/>
    <col min="7428" max="7428" width="4.81640625" style="113" customWidth="1"/>
    <col min="7429" max="7429" width="7.90625" style="113" customWidth="1"/>
    <col min="7430" max="7430" width="8" style="113" customWidth="1"/>
    <col min="7431" max="7431" width="5.6328125" style="113" customWidth="1"/>
    <col min="7432" max="7433" width="10.36328125" style="113" customWidth="1"/>
    <col min="7434" max="7434" width="8.6328125" style="113" customWidth="1"/>
    <col min="7435" max="7435" width="14.90625" style="113" customWidth="1"/>
    <col min="7436" max="7436" width="15.81640625" style="113" customWidth="1"/>
    <col min="7437" max="7437" width="16.453125" style="113" customWidth="1"/>
    <col min="7438" max="7438" width="7.08984375" style="113" customWidth="1"/>
    <col min="7439" max="7439" width="12.90625" style="113" bestFit="1" customWidth="1"/>
    <col min="7440" max="7440" width="11" style="113" customWidth="1"/>
    <col min="7441" max="7441" width="12.90625" style="113" bestFit="1" customWidth="1"/>
    <col min="7442" max="7442" width="6" style="113" bestFit="1" customWidth="1"/>
    <col min="7443" max="7443" width="12.90625" style="113" bestFit="1" customWidth="1"/>
    <col min="7444" max="7444" width="6" style="113" bestFit="1" customWidth="1"/>
    <col min="7445" max="7445" width="12.90625" style="113" bestFit="1" customWidth="1"/>
    <col min="7446" max="7680" width="8.90625" style="113"/>
    <col min="7681" max="7681" width="10" style="113" customWidth="1"/>
    <col min="7682" max="7682" width="6.81640625" style="113" customWidth="1"/>
    <col min="7683" max="7683" width="8.6328125" style="113" customWidth="1"/>
    <col min="7684" max="7684" width="4.81640625" style="113" customWidth="1"/>
    <col min="7685" max="7685" width="7.90625" style="113" customWidth="1"/>
    <col min="7686" max="7686" width="8" style="113" customWidth="1"/>
    <col min="7687" max="7687" width="5.6328125" style="113" customWidth="1"/>
    <col min="7688" max="7689" width="10.36328125" style="113" customWidth="1"/>
    <col min="7690" max="7690" width="8.6328125" style="113" customWidth="1"/>
    <col min="7691" max="7691" width="14.90625" style="113" customWidth="1"/>
    <col min="7692" max="7692" width="15.81640625" style="113" customWidth="1"/>
    <col min="7693" max="7693" width="16.453125" style="113" customWidth="1"/>
    <col min="7694" max="7694" width="7.08984375" style="113" customWidth="1"/>
    <col min="7695" max="7695" width="12.90625" style="113" bestFit="1" customWidth="1"/>
    <col min="7696" max="7696" width="11" style="113" customWidth="1"/>
    <col min="7697" max="7697" width="12.90625" style="113" bestFit="1" customWidth="1"/>
    <col min="7698" max="7698" width="6" style="113" bestFit="1" customWidth="1"/>
    <col min="7699" max="7699" width="12.90625" style="113" bestFit="1" customWidth="1"/>
    <col min="7700" max="7700" width="6" style="113" bestFit="1" customWidth="1"/>
    <col min="7701" max="7701" width="12.90625" style="113" bestFit="1" customWidth="1"/>
    <col min="7702" max="7936" width="8.90625" style="113"/>
    <col min="7937" max="7937" width="10" style="113" customWidth="1"/>
    <col min="7938" max="7938" width="6.81640625" style="113" customWidth="1"/>
    <col min="7939" max="7939" width="8.6328125" style="113" customWidth="1"/>
    <col min="7940" max="7940" width="4.81640625" style="113" customWidth="1"/>
    <col min="7941" max="7941" width="7.90625" style="113" customWidth="1"/>
    <col min="7942" max="7942" width="8" style="113" customWidth="1"/>
    <col min="7943" max="7943" width="5.6328125" style="113" customWidth="1"/>
    <col min="7944" max="7945" width="10.36328125" style="113" customWidth="1"/>
    <col min="7946" max="7946" width="8.6328125" style="113" customWidth="1"/>
    <col min="7947" max="7947" width="14.90625" style="113" customWidth="1"/>
    <col min="7948" max="7948" width="15.81640625" style="113" customWidth="1"/>
    <col min="7949" max="7949" width="16.453125" style="113" customWidth="1"/>
    <col min="7950" max="7950" width="7.08984375" style="113" customWidth="1"/>
    <col min="7951" max="7951" width="12.90625" style="113" bestFit="1" customWidth="1"/>
    <col min="7952" max="7952" width="11" style="113" customWidth="1"/>
    <col min="7953" max="7953" width="12.90625" style="113" bestFit="1" customWidth="1"/>
    <col min="7954" max="7954" width="6" style="113" bestFit="1" customWidth="1"/>
    <col min="7955" max="7955" width="12.90625" style="113" bestFit="1" customWidth="1"/>
    <col min="7956" max="7956" width="6" style="113" bestFit="1" customWidth="1"/>
    <col min="7957" max="7957" width="12.90625" style="113" bestFit="1" customWidth="1"/>
    <col min="7958" max="8192" width="8.90625" style="113"/>
    <col min="8193" max="8193" width="10" style="113" customWidth="1"/>
    <col min="8194" max="8194" width="6.81640625" style="113" customWidth="1"/>
    <col min="8195" max="8195" width="8.6328125" style="113" customWidth="1"/>
    <col min="8196" max="8196" width="4.81640625" style="113" customWidth="1"/>
    <col min="8197" max="8197" width="7.90625" style="113" customWidth="1"/>
    <col min="8198" max="8198" width="8" style="113" customWidth="1"/>
    <col min="8199" max="8199" width="5.6328125" style="113" customWidth="1"/>
    <col min="8200" max="8201" width="10.36328125" style="113" customWidth="1"/>
    <col min="8202" max="8202" width="8.6328125" style="113" customWidth="1"/>
    <col min="8203" max="8203" width="14.90625" style="113" customWidth="1"/>
    <col min="8204" max="8204" width="15.81640625" style="113" customWidth="1"/>
    <col min="8205" max="8205" width="16.453125" style="113" customWidth="1"/>
    <col min="8206" max="8206" width="7.08984375" style="113" customWidth="1"/>
    <col min="8207" max="8207" width="12.90625" style="113" bestFit="1" customWidth="1"/>
    <col min="8208" max="8208" width="11" style="113" customWidth="1"/>
    <col min="8209" max="8209" width="12.90625" style="113" bestFit="1" customWidth="1"/>
    <col min="8210" max="8210" width="6" style="113" bestFit="1" customWidth="1"/>
    <col min="8211" max="8211" width="12.90625" style="113" bestFit="1" customWidth="1"/>
    <col min="8212" max="8212" width="6" style="113" bestFit="1" customWidth="1"/>
    <col min="8213" max="8213" width="12.90625" style="113" bestFit="1" customWidth="1"/>
    <col min="8214" max="8448" width="8.90625" style="113"/>
    <col min="8449" max="8449" width="10" style="113" customWidth="1"/>
    <col min="8450" max="8450" width="6.81640625" style="113" customWidth="1"/>
    <col min="8451" max="8451" width="8.6328125" style="113" customWidth="1"/>
    <col min="8452" max="8452" width="4.81640625" style="113" customWidth="1"/>
    <col min="8453" max="8453" width="7.90625" style="113" customWidth="1"/>
    <col min="8454" max="8454" width="8" style="113" customWidth="1"/>
    <col min="8455" max="8455" width="5.6328125" style="113" customWidth="1"/>
    <col min="8456" max="8457" width="10.36328125" style="113" customWidth="1"/>
    <col min="8458" max="8458" width="8.6328125" style="113" customWidth="1"/>
    <col min="8459" max="8459" width="14.90625" style="113" customWidth="1"/>
    <col min="8460" max="8460" width="15.81640625" style="113" customWidth="1"/>
    <col min="8461" max="8461" width="16.453125" style="113" customWidth="1"/>
    <col min="8462" max="8462" width="7.08984375" style="113" customWidth="1"/>
    <col min="8463" max="8463" width="12.90625" style="113" bestFit="1" customWidth="1"/>
    <col min="8464" max="8464" width="11" style="113" customWidth="1"/>
    <col min="8465" max="8465" width="12.90625" style="113" bestFit="1" customWidth="1"/>
    <col min="8466" max="8466" width="6" style="113" bestFit="1" customWidth="1"/>
    <col min="8467" max="8467" width="12.90625" style="113" bestFit="1" customWidth="1"/>
    <col min="8468" max="8468" width="6" style="113" bestFit="1" customWidth="1"/>
    <col min="8469" max="8469" width="12.90625" style="113" bestFit="1" customWidth="1"/>
    <col min="8470" max="8704" width="8.90625" style="113"/>
    <col min="8705" max="8705" width="10" style="113" customWidth="1"/>
    <col min="8706" max="8706" width="6.81640625" style="113" customWidth="1"/>
    <col min="8707" max="8707" width="8.6328125" style="113" customWidth="1"/>
    <col min="8708" max="8708" width="4.81640625" style="113" customWidth="1"/>
    <col min="8709" max="8709" width="7.90625" style="113" customWidth="1"/>
    <col min="8710" max="8710" width="8" style="113" customWidth="1"/>
    <col min="8711" max="8711" width="5.6328125" style="113" customWidth="1"/>
    <col min="8712" max="8713" width="10.36328125" style="113" customWidth="1"/>
    <col min="8714" max="8714" width="8.6328125" style="113" customWidth="1"/>
    <col min="8715" max="8715" width="14.90625" style="113" customWidth="1"/>
    <col min="8716" max="8716" width="15.81640625" style="113" customWidth="1"/>
    <col min="8717" max="8717" width="16.453125" style="113" customWidth="1"/>
    <col min="8718" max="8718" width="7.08984375" style="113" customWidth="1"/>
    <col min="8719" max="8719" width="12.90625" style="113" bestFit="1" customWidth="1"/>
    <col min="8720" max="8720" width="11" style="113" customWidth="1"/>
    <col min="8721" max="8721" width="12.90625" style="113" bestFit="1" customWidth="1"/>
    <col min="8722" max="8722" width="6" style="113" bestFit="1" customWidth="1"/>
    <col min="8723" max="8723" width="12.90625" style="113" bestFit="1" customWidth="1"/>
    <col min="8724" max="8724" width="6" style="113" bestFit="1" customWidth="1"/>
    <col min="8725" max="8725" width="12.90625" style="113" bestFit="1" customWidth="1"/>
    <col min="8726" max="8960" width="8.90625" style="113"/>
    <col min="8961" max="8961" width="10" style="113" customWidth="1"/>
    <col min="8962" max="8962" width="6.81640625" style="113" customWidth="1"/>
    <col min="8963" max="8963" width="8.6328125" style="113" customWidth="1"/>
    <col min="8964" max="8964" width="4.81640625" style="113" customWidth="1"/>
    <col min="8965" max="8965" width="7.90625" style="113" customWidth="1"/>
    <col min="8966" max="8966" width="8" style="113" customWidth="1"/>
    <col min="8967" max="8967" width="5.6328125" style="113" customWidth="1"/>
    <col min="8968" max="8969" width="10.36328125" style="113" customWidth="1"/>
    <col min="8970" max="8970" width="8.6328125" style="113" customWidth="1"/>
    <col min="8971" max="8971" width="14.90625" style="113" customWidth="1"/>
    <col min="8972" max="8972" width="15.81640625" style="113" customWidth="1"/>
    <col min="8973" max="8973" width="16.453125" style="113" customWidth="1"/>
    <col min="8974" max="8974" width="7.08984375" style="113" customWidth="1"/>
    <col min="8975" max="8975" width="12.90625" style="113" bestFit="1" customWidth="1"/>
    <col min="8976" max="8976" width="11" style="113" customWidth="1"/>
    <col min="8977" max="8977" width="12.90625" style="113" bestFit="1" customWidth="1"/>
    <col min="8978" max="8978" width="6" style="113" bestFit="1" customWidth="1"/>
    <col min="8979" max="8979" width="12.90625" style="113" bestFit="1" customWidth="1"/>
    <col min="8980" max="8980" width="6" style="113" bestFit="1" customWidth="1"/>
    <col min="8981" max="8981" width="12.90625" style="113" bestFit="1" customWidth="1"/>
    <col min="8982" max="9216" width="8.90625" style="113"/>
    <col min="9217" max="9217" width="10" style="113" customWidth="1"/>
    <col min="9218" max="9218" width="6.81640625" style="113" customWidth="1"/>
    <col min="9219" max="9219" width="8.6328125" style="113" customWidth="1"/>
    <col min="9220" max="9220" width="4.81640625" style="113" customWidth="1"/>
    <col min="9221" max="9221" width="7.90625" style="113" customWidth="1"/>
    <col min="9222" max="9222" width="8" style="113" customWidth="1"/>
    <col min="9223" max="9223" width="5.6328125" style="113" customWidth="1"/>
    <col min="9224" max="9225" width="10.36328125" style="113" customWidth="1"/>
    <col min="9226" max="9226" width="8.6328125" style="113" customWidth="1"/>
    <col min="9227" max="9227" width="14.90625" style="113" customWidth="1"/>
    <col min="9228" max="9228" width="15.81640625" style="113" customWidth="1"/>
    <col min="9229" max="9229" width="16.453125" style="113" customWidth="1"/>
    <col min="9230" max="9230" width="7.08984375" style="113" customWidth="1"/>
    <col min="9231" max="9231" width="12.90625" style="113" bestFit="1" customWidth="1"/>
    <col min="9232" max="9232" width="11" style="113" customWidth="1"/>
    <col min="9233" max="9233" width="12.90625" style="113" bestFit="1" customWidth="1"/>
    <col min="9234" max="9234" width="6" style="113" bestFit="1" customWidth="1"/>
    <col min="9235" max="9235" width="12.90625" style="113" bestFit="1" customWidth="1"/>
    <col min="9236" max="9236" width="6" style="113" bestFit="1" customWidth="1"/>
    <col min="9237" max="9237" width="12.90625" style="113" bestFit="1" customWidth="1"/>
    <col min="9238" max="9472" width="8.90625" style="113"/>
    <col min="9473" max="9473" width="10" style="113" customWidth="1"/>
    <col min="9474" max="9474" width="6.81640625" style="113" customWidth="1"/>
    <col min="9475" max="9475" width="8.6328125" style="113" customWidth="1"/>
    <col min="9476" max="9476" width="4.81640625" style="113" customWidth="1"/>
    <col min="9477" max="9477" width="7.90625" style="113" customWidth="1"/>
    <col min="9478" max="9478" width="8" style="113" customWidth="1"/>
    <col min="9479" max="9479" width="5.6328125" style="113" customWidth="1"/>
    <col min="9480" max="9481" width="10.36328125" style="113" customWidth="1"/>
    <col min="9482" max="9482" width="8.6328125" style="113" customWidth="1"/>
    <col min="9483" max="9483" width="14.90625" style="113" customWidth="1"/>
    <col min="9484" max="9484" width="15.81640625" style="113" customWidth="1"/>
    <col min="9485" max="9485" width="16.453125" style="113" customWidth="1"/>
    <col min="9486" max="9486" width="7.08984375" style="113" customWidth="1"/>
    <col min="9487" max="9487" width="12.90625" style="113" bestFit="1" customWidth="1"/>
    <col min="9488" max="9488" width="11" style="113" customWidth="1"/>
    <col min="9489" max="9489" width="12.90625" style="113" bestFit="1" customWidth="1"/>
    <col min="9490" max="9490" width="6" style="113" bestFit="1" customWidth="1"/>
    <col min="9491" max="9491" width="12.90625" style="113" bestFit="1" customWidth="1"/>
    <col min="9492" max="9492" width="6" style="113" bestFit="1" customWidth="1"/>
    <col min="9493" max="9493" width="12.90625" style="113" bestFit="1" customWidth="1"/>
    <col min="9494" max="9728" width="8.90625" style="113"/>
    <col min="9729" max="9729" width="10" style="113" customWidth="1"/>
    <col min="9730" max="9730" width="6.81640625" style="113" customWidth="1"/>
    <col min="9731" max="9731" width="8.6328125" style="113" customWidth="1"/>
    <col min="9732" max="9732" width="4.81640625" style="113" customWidth="1"/>
    <col min="9733" max="9733" width="7.90625" style="113" customWidth="1"/>
    <col min="9734" max="9734" width="8" style="113" customWidth="1"/>
    <col min="9735" max="9735" width="5.6328125" style="113" customWidth="1"/>
    <col min="9736" max="9737" width="10.36328125" style="113" customWidth="1"/>
    <col min="9738" max="9738" width="8.6328125" style="113" customWidth="1"/>
    <col min="9739" max="9739" width="14.90625" style="113" customWidth="1"/>
    <col min="9740" max="9740" width="15.81640625" style="113" customWidth="1"/>
    <col min="9741" max="9741" width="16.453125" style="113" customWidth="1"/>
    <col min="9742" max="9742" width="7.08984375" style="113" customWidth="1"/>
    <col min="9743" max="9743" width="12.90625" style="113" bestFit="1" customWidth="1"/>
    <col min="9744" max="9744" width="11" style="113" customWidth="1"/>
    <col min="9745" max="9745" width="12.90625" style="113" bestFit="1" customWidth="1"/>
    <col min="9746" max="9746" width="6" style="113" bestFit="1" customWidth="1"/>
    <col min="9747" max="9747" width="12.90625" style="113" bestFit="1" customWidth="1"/>
    <col min="9748" max="9748" width="6" style="113" bestFit="1" customWidth="1"/>
    <col min="9749" max="9749" width="12.90625" style="113" bestFit="1" customWidth="1"/>
    <col min="9750" max="9984" width="8.90625" style="113"/>
    <col min="9985" max="9985" width="10" style="113" customWidth="1"/>
    <col min="9986" max="9986" width="6.81640625" style="113" customWidth="1"/>
    <col min="9987" max="9987" width="8.6328125" style="113" customWidth="1"/>
    <col min="9988" max="9988" width="4.81640625" style="113" customWidth="1"/>
    <col min="9989" max="9989" width="7.90625" style="113" customWidth="1"/>
    <col min="9990" max="9990" width="8" style="113" customWidth="1"/>
    <col min="9991" max="9991" width="5.6328125" style="113" customWidth="1"/>
    <col min="9992" max="9993" width="10.36328125" style="113" customWidth="1"/>
    <col min="9994" max="9994" width="8.6328125" style="113" customWidth="1"/>
    <col min="9995" max="9995" width="14.90625" style="113" customWidth="1"/>
    <col min="9996" max="9996" width="15.81640625" style="113" customWidth="1"/>
    <col min="9997" max="9997" width="16.453125" style="113" customWidth="1"/>
    <col min="9998" max="9998" width="7.08984375" style="113" customWidth="1"/>
    <col min="9999" max="9999" width="12.90625" style="113" bestFit="1" customWidth="1"/>
    <col min="10000" max="10000" width="11" style="113" customWidth="1"/>
    <col min="10001" max="10001" width="12.90625" style="113" bestFit="1" customWidth="1"/>
    <col min="10002" max="10002" width="6" style="113" bestFit="1" customWidth="1"/>
    <col min="10003" max="10003" width="12.90625" style="113" bestFit="1" customWidth="1"/>
    <col min="10004" max="10004" width="6" style="113" bestFit="1" customWidth="1"/>
    <col min="10005" max="10005" width="12.90625" style="113" bestFit="1" customWidth="1"/>
    <col min="10006" max="10240" width="8.90625" style="113"/>
    <col min="10241" max="10241" width="10" style="113" customWidth="1"/>
    <col min="10242" max="10242" width="6.81640625" style="113" customWidth="1"/>
    <col min="10243" max="10243" width="8.6328125" style="113" customWidth="1"/>
    <col min="10244" max="10244" width="4.81640625" style="113" customWidth="1"/>
    <col min="10245" max="10245" width="7.90625" style="113" customWidth="1"/>
    <col min="10246" max="10246" width="8" style="113" customWidth="1"/>
    <col min="10247" max="10247" width="5.6328125" style="113" customWidth="1"/>
    <col min="10248" max="10249" width="10.36328125" style="113" customWidth="1"/>
    <col min="10250" max="10250" width="8.6328125" style="113" customWidth="1"/>
    <col min="10251" max="10251" width="14.90625" style="113" customWidth="1"/>
    <col min="10252" max="10252" width="15.81640625" style="113" customWidth="1"/>
    <col min="10253" max="10253" width="16.453125" style="113" customWidth="1"/>
    <col min="10254" max="10254" width="7.08984375" style="113" customWidth="1"/>
    <col min="10255" max="10255" width="12.90625" style="113" bestFit="1" customWidth="1"/>
    <col min="10256" max="10256" width="11" style="113" customWidth="1"/>
    <col min="10257" max="10257" width="12.90625" style="113" bestFit="1" customWidth="1"/>
    <col min="10258" max="10258" width="6" style="113" bestFit="1" customWidth="1"/>
    <col min="10259" max="10259" width="12.90625" style="113" bestFit="1" customWidth="1"/>
    <col min="10260" max="10260" width="6" style="113" bestFit="1" customWidth="1"/>
    <col min="10261" max="10261" width="12.90625" style="113" bestFit="1" customWidth="1"/>
    <col min="10262" max="10496" width="8.90625" style="113"/>
    <col min="10497" max="10497" width="10" style="113" customWidth="1"/>
    <col min="10498" max="10498" width="6.81640625" style="113" customWidth="1"/>
    <col min="10499" max="10499" width="8.6328125" style="113" customWidth="1"/>
    <col min="10500" max="10500" width="4.81640625" style="113" customWidth="1"/>
    <col min="10501" max="10501" width="7.90625" style="113" customWidth="1"/>
    <col min="10502" max="10502" width="8" style="113" customWidth="1"/>
    <col min="10503" max="10503" width="5.6328125" style="113" customWidth="1"/>
    <col min="10504" max="10505" width="10.36328125" style="113" customWidth="1"/>
    <col min="10506" max="10506" width="8.6328125" style="113" customWidth="1"/>
    <col min="10507" max="10507" width="14.90625" style="113" customWidth="1"/>
    <col min="10508" max="10508" width="15.81640625" style="113" customWidth="1"/>
    <col min="10509" max="10509" width="16.453125" style="113" customWidth="1"/>
    <col min="10510" max="10510" width="7.08984375" style="113" customWidth="1"/>
    <col min="10511" max="10511" width="12.90625" style="113" bestFit="1" customWidth="1"/>
    <col min="10512" max="10512" width="11" style="113" customWidth="1"/>
    <col min="10513" max="10513" width="12.90625" style="113" bestFit="1" customWidth="1"/>
    <col min="10514" max="10514" width="6" style="113" bestFit="1" customWidth="1"/>
    <col min="10515" max="10515" width="12.90625" style="113" bestFit="1" customWidth="1"/>
    <col min="10516" max="10516" width="6" style="113" bestFit="1" customWidth="1"/>
    <col min="10517" max="10517" width="12.90625" style="113" bestFit="1" customWidth="1"/>
    <col min="10518" max="10752" width="8.90625" style="113"/>
    <col min="10753" max="10753" width="10" style="113" customWidth="1"/>
    <col min="10754" max="10754" width="6.81640625" style="113" customWidth="1"/>
    <col min="10755" max="10755" width="8.6328125" style="113" customWidth="1"/>
    <col min="10756" max="10756" width="4.81640625" style="113" customWidth="1"/>
    <col min="10757" max="10757" width="7.90625" style="113" customWidth="1"/>
    <col min="10758" max="10758" width="8" style="113" customWidth="1"/>
    <col min="10759" max="10759" width="5.6328125" style="113" customWidth="1"/>
    <col min="10760" max="10761" width="10.36328125" style="113" customWidth="1"/>
    <col min="10762" max="10762" width="8.6328125" style="113" customWidth="1"/>
    <col min="10763" max="10763" width="14.90625" style="113" customWidth="1"/>
    <col min="10764" max="10764" width="15.81640625" style="113" customWidth="1"/>
    <col min="10765" max="10765" width="16.453125" style="113" customWidth="1"/>
    <col min="10766" max="10766" width="7.08984375" style="113" customWidth="1"/>
    <col min="10767" max="10767" width="12.90625" style="113" bestFit="1" customWidth="1"/>
    <col min="10768" max="10768" width="11" style="113" customWidth="1"/>
    <col min="10769" max="10769" width="12.90625" style="113" bestFit="1" customWidth="1"/>
    <col min="10770" max="10770" width="6" style="113" bestFit="1" customWidth="1"/>
    <col min="10771" max="10771" width="12.90625" style="113" bestFit="1" customWidth="1"/>
    <col min="10772" max="10772" width="6" style="113" bestFit="1" customWidth="1"/>
    <col min="10773" max="10773" width="12.90625" style="113" bestFit="1" customWidth="1"/>
    <col min="10774" max="11008" width="8.90625" style="113"/>
    <col min="11009" max="11009" width="10" style="113" customWidth="1"/>
    <col min="11010" max="11010" width="6.81640625" style="113" customWidth="1"/>
    <col min="11011" max="11011" width="8.6328125" style="113" customWidth="1"/>
    <col min="11012" max="11012" width="4.81640625" style="113" customWidth="1"/>
    <col min="11013" max="11013" width="7.90625" style="113" customWidth="1"/>
    <col min="11014" max="11014" width="8" style="113" customWidth="1"/>
    <col min="11015" max="11015" width="5.6328125" style="113" customWidth="1"/>
    <col min="11016" max="11017" width="10.36328125" style="113" customWidth="1"/>
    <col min="11018" max="11018" width="8.6328125" style="113" customWidth="1"/>
    <col min="11019" max="11019" width="14.90625" style="113" customWidth="1"/>
    <col min="11020" max="11020" width="15.81640625" style="113" customWidth="1"/>
    <col min="11021" max="11021" width="16.453125" style="113" customWidth="1"/>
    <col min="11022" max="11022" width="7.08984375" style="113" customWidth="1"/>
    <col min="11023" max="11023" width="12.90625" style="113" bestFit="1" customWidth="1"/>
    <col min="11024" max="11024" width="11" style="113" customWidth="1"/>
    <col min="11025" max="11025" width="12.90625" style="113" bestFit="1" customWidth="1"/>
    <col min="11026" max="11026" width="6" style="113" bestFit="1" customWidth="1"/>
    <col min="11027" max="11027" width="12.90625" style="113" bestFit="1" customWidth="1"/>
    <col min="11028" max="11028" width="6" style="113" bestFit="1" customWidth="1"/>
    <col min="11029" max="11029" width="12.90625" style="113" bestFit="1" customWidth="1"/>
    <col min="11030" max="11264" width="8.90625" style="113"/>
    <col min="11265" max="11265" width="10" style="113" customWidth="1"/>
    <col min="11266" max="11266" width="6.81640625" style="113" customWidth="1"/>
    <col min="11267" max="11267" width="8.6328125" style="113" customWidth="1"/>
    <col min="11268" max="11268" width="4.81640625" style="113" customWidth="1"/>
    <col min="11269" max="11269" width="7.90625" style="113" customWidth="1"/>
    <col min="11270" max="11270" width="8" style="113" customWidth="1"/>
    <col min="11271" max="11271" width="5.6328125" style="113" customWidth="1"/>
    <col min="11272" max="11273" width="10.36328125" style="113" customWidth="1"/>
    <col min="11274" max="11274" width="8.6328125" style="113" customWidth="1"/>
    <col min="11275" max="11275" width="14.90625" style="113" customWidth="1"/>
    <col min="11276" max="11276" width="15.81640625" style="113" customWidth="1"/>
    <col min="11277" max="11277" width="16.453125" style="113" customWidth="1"/>
    <col min="11278" max="11278" width="7.08984375" style="113" customWidth="1"/>
    <col min="11279" max="11279" width="12.90625" style="113" bestFit="1" customWidth="1"/>
    <col min="11280" max="11280" width="11" style="113" customWidth="1"/>
    <col min="11281" max="11281" width="12.90625" style="113" bestFit="1" customWidth="1"/>
    <col min="11282" max="11282" width="6" style="113" bestFit="1" customWidth="1"/>
    <col min="11283" max="11283" width="12.90625" style="113" bestFit="1" customWidth="1"/>
    <col min="11284" max="11284" width="6" style="113" bestFit="1" customWidth="1"/>
    <col min="11285" max="11285" width="12.90625" style="113" bestFit="1" customWidth="1"/>
    <col min="11286" max="11520" width="8.90625" style="113"/>
    <col min="11521" max="11521" width="10" style="113" customWidth="1"/>
    <col min="11522" max="11522" width="6.81640625" style="113" customWidth="1"/>
    <col min="11523" max="11523" width="8.6328125" style="113" customWidth="1"/>
    <col min="11524" max="11524" width="4.81640625" style="113" customWidth="1"/>
    <col min="11525" max="11525" width="7.90625" style="113" customWidth="1"/>
    <col min="11526" max="11526" width="8" style="113" customWidth="1"/>
    <col min="11527" max="11527" width="5.6328125" style="113" customWidth="1"/>
    <col min="11528" max="11529" width="10.36328125" style="113" customWidth="1"/>
    <col min="11530" max="11530" width="8.6328125" style="113" customWidth="1"/>
    <col min="11531" max="11531" width="14.90625" style="113" customWidth="1"/>
    <col min="11532" max="11532" width="15.81640625" style="113" customWidth="1"/>
    <col min="11533" max="11533" width="16.453125" style="113" customWidth="1"/>
    <col min="11534" max="11534" width="7.08984375" style="113" customWidth="1"/>
    <col min="11535" max="11535" width="12.90625" style="113" bestFit="1" customWidth="1"/>
    <col min="11536" max="11536" width="11" style="113" customWidth="1"/>
    <col min="11537" max="11537" width="12.90625" style="113" bestFit="1" customWidth="1"/>
    <col min="11538" max="11538" width="6" style="113" bestFit="1" customWidth="1"/>
    <col min="11539" max="11539" width="12.90625" style="113" bestFit="1" customWidth="1"/>
    <col min="11540" max="11540" width="6" style="113" bestFit="1" customWidth="1"/>
    <col min="11541" max="11541" width="12.90625" style="113" bestFit="1" customWidth="1"/>
    <col min="11542" max="11776" width="8.90625" style="113"/>
    <col min="11777" max="11777" width="10" style="113" customWidth="1"/>
    <col min="11778" max="11778" width="6.81640625" style="113" customWidth="1"/>
    <col min="11779" max="11779" width="8.6328125" style="113" customWidth="1"/>
    <col min="11780" max="11780" width="4.81640625" style="113" customWidth="1"/>
    <col min="11781" max="11781" width="7.90625" style="113" customWidth="1"/>
    <col min="11782" max="11782" width="8" style="113" customWidth="1"/>
    <col min="11783" max="11783" width="5.6328125" style="113" customWidth="1"/>
    <col min="11784" max="11785" width="10.36328125" style="113" customWidth="1"/>
    <col min="11786" max="11786" width="8.6328125" style="113" customWidth="1"/>
    <col min="11787" max="11787" width="14.90625" style="113" customWidth="1"/>
    <col min="11788" max="11788" width="15.81640625" style="113" customWidth="1"/>
    <col min="11789" max="11789" width="16.453125" style="113" customWidth="1"/>
    <col min="11790" max="11790" width="7.08984375" style="113" customWidth="1"/>
    <col min="11791" max="11791" width="12.90625" style="113" bestFit="1" customWidth="1"/>
    <col min="11792" max="11792" width="11" style="113" customWidth="1"/>
    <col min="11793" max="11793" width="12.90625" style="113" bestFit="1" customWidth="1"/>
    <col min="11794" max="11794" width="6" style="113" bestFit="1" customWidth="1"/>
    <col min="11795" max="11795" width="12.90625" style="113" bestFit="1" customWidth="1"/>
    <col min="11796" max="11796" width="6" style="113" bestFit="1" customWidth="1"/>
    <col min="11797" max="11797" width="12.90625" style="113" bestFit="1" customWidth="1"/>
    <col min="11798" max="12032" width="8.90625" style="113"/>
    <col min="12033" max="12033" width="10" style="113" customWidth="1"/>
    <col min="12034" max="12034" width="6.81640625" style="113" customWidth="1"/>
    <col min="12035" max="12035" width="8.6328125" style="113" customWidth="1"/>
    <col min="12036" max="12036" width="4.81640625" style="113" customWidth="1"/>
    <col min="12037" max="12037" width="7.90625" style="113" customWidth="1"/>
    <col min="12038" max="12038" width="8" style="113" customWidth="1"/>
    <col min="12039" max="12039" width="5.6328125" style="113" customWidth="1"/>
    <col min="12040" max="12041" width="10.36328125" style="113" customWidth="1"/>
    <col min="12042" max="12042" width="8.6328125" style="113" customWidth="1"/>
    <col min="12043" max="12043" width="14.90625" style="113" customWidth="1"/>
    <col min="12044" max="12044" width="15.81640625" style="113" customWidth="1"/>
    <col min="12045" max="12045" width="16.453125" style="113" customWidth="1"/>
    <col min="12046" max="12046" width="7.08984375" style="113" customWidth="1"/>
    <col min="12047" max="12047" width="12.90625" style="113" bestFit="1" customWidth="1"/>
    <col min="12048" max="12048" width="11" style="113" customWidth="1"/>
    <col min="12049" max="12049" width="12.90625" style="113" bestFit="1" customWidth="1"/>
    <col min="12050" max="12050" width="6" style="113" bestFit="1" customWidth="1"/>
    <col min="12051" max="12051" width="12.90625" style="113" bestFit="1" customWidth="1"/>
    <col min="12052" max="12052" width="6" style="113" bestFit="1" customWidth="1"/>
    <col min="12053" max="12053" width="12.90625" style="113" bestFit="1" customWidth="1"/>
    <col min="12054" max="12288" width="8.90625" style="113"/>
    <col min="12289" max="12289" width="10" style="113" customWidth="1"/>
    <col min="12290" max="12290" width="6.81640625" style="113" customWidth="1"/>
    <col min="12291" max="12291" width="8.6328125" style="113" customWidth="1"/>
    <col min="12292" max="12292" width="4.81640625" style="113" customWidth="1"/>
    <col min="12293" max="12293" width="7.90625" style="113" customWidth="1"/>
    <col min="12294" max="12294" width="8" style="113" customWidth="1"/>
    <col min="12295" max="12295" width="5.6328125" style="113" customWidth="1"/>
    <col min="12296" max="12297" width="10.36328125" style="113" customWidth="1"/>
    <col min="12298" max="12298" width="8.6328125" style="113" customWidth="1"/>
    <col min="12299" max="12299" width="14.90625" style="113" customWidth="1"/>
    <col min="12300" max="12300" width="15.81640625" style="113" customWidth="1"/>
    <col min="12301" max="12301" width="16.453125" style="113" customWidth="1"/>
    <col min="12302" max="12302" width="7.08984375" style="113" customWidth="1"/>
    <col min="12303" max="12303" width="12.90625" style="113" bestFit="1" customWidth="1"/>
    <col min="12304" max="12304" width="11" style="113" customWidth="1"/>
    <col min="12305" max="12305" width="12.90625" style="113" bestFit="1" customWidth="1"/>
    <col min="12306" max="12306" width="6" style="113" bestFit="1" customWidth="1"/>
    <col min="12307" max="12307" width="12.90625" style="113" bestFit="1" customWidth="1"/>
    <col min="12308" max="12308" width="6" style="113" bestFit="1" customWidth="1"/>
    <col min="12309" max="12309" width="12.90625" style="113" bestFit="1" customWidth="1"/>
    <col min="12310" max="12544" width="8.90625" style="113"/>
    <col min="12545" max="12545" width="10" style="113" customWidth="1"/>
    <col min="12546" max="12546" width="6.81640625" style="113" customWidth="1"/>
    <col min="12547" max="12547" width="8.6328125" style="113" customWidth="1"/>
    <col min="12548" max="12548" width="4.81640625" style="113" customWidth="1"/>
    <col min="12549" max="12549" width="7.90625" style="113" customWidth="1"/>
    <col min="12550" max="12550" width="8" style="113" customWidth="1"/>
    <col min="12551" max="12551" width="5.6328125" style="113" customWidth="1"/>
    <col min="12552" max="12553" width="10.36328125" style="113" customWidth="1"/>
    <col min="12554" max="12554" width="8.6328125" style="113" customWidth="1"/>
    <col min="12555" max="12555" width="14.90625" style="113" customWidth="1"/>
    <col min="12556" max="12556" width="15.81640625" style="113" customWidth="1"/>
    <col min="12557" max="12557" width="16.453125" style="113" customWidth="1"/>
    <col min="12558" max="12558" width="7.08984375" style="113" customWidth="1"/>
    <col min="12559" max="12559" width="12.90625" style="113" bestFit="1" customWidth="1"/>
    <col min="12560" max="12560" width="11" style="113" customWidth="1"/>
    <col min="12561" max="12561" width="12.90625" style="113" bestFit="1" customWidth="1"/>
    <col min="12562" max="12562" width="6" style="113" bestFit="1" customWidth="1"/>
    <col min="12563" max="12563" width="12.90625" style="113" bestFit="1" customWidth="1"/>
    <col min="12564" max="12564" width="6" style="113" bestFit="1" customWidth="1"/>
    <col min="12565" max="12565" width="12.90625" style="113" bestFit="1" customWidth="1"/>
    <col min="12566" max="12800" width="8.90625" style="113"/>
    <col min="12801" max="12801" width="10" style="113" customWidth="1"/>
    <col min="12802" max="12802" width="6.81640625" style="113" customWidth="1"/>
    <col min="12803" max="12803" width="8.6328125" style="113" customWidth="1"/>
    <col min="12804" max="12804" width="4.81640625" style="113" customWidth="1"/>
    <col min="12805" max="12805" width="7.90625" style="113" customWidth="1"/>
    <col min="12806" max="12806" width="8" style="113" customWidth="1"/>
    <col min="12807" max="12807" width="5.6328125" style="113" customWidth="1"/>
    <col min="12808" max="12809" width="10.36328125" style="113" customWidth="1"/>
    <col min="12810" max="12810" width="8.6328125" style="113" customWidth="1"/>
    <col min="12811" max="12811" width="14.90625" style="113" customWidth="1"/>
    <col min="12812" max="12812" width="15.81640625" style="113" customWidth="1"/>
    <col min="12813" max="12813" width="16.453125" style="113" customWidth="1"/>
    <col min="12814" max="12814" width="7.08984375" style="113" customWidth="1"/>
    <col min="12815" max="12815" width="12.90625" style="113" bestFit="1" customWidth="1"/>
    <col min="12816" max="12816" width="11" style="113" customWidth="1"/>
    <col min="12817" max="12817" width="12.90625" style="113" bestFit="1" customWidth="1"/>
    <col min="12818" max="12818" width="6" style="113" bestFit="1" customWidth="1"/>
    <col min="12819" max="12819" width="12.90625" style="113" bestFit="1" customWidth="1"/>
    <col min="12820" max="12820" width="6" style="113" bestFit="1" customWidth="1"/>
    <col min="12821" max="12821" width="12.90625" style="113" bestFit="1" customWidth="1"/>
    <col min="12822" max="13056" width="8.90625" style="113"/>
    <col min="13057" max="13057" width="10" style="113" customWidth="1"/>
    <col min="13058" max="13058" width="6.81640625" style="113" customWidth="1"/>
    <col min="13059" max="13059" width="8.6328125" style="113" customWidth="1"/>
    <col min="13060" max="13060" width="4.81640625" style="113" customWidth="1"/>
    <col min="13061" max="13061" width="7.90625" style="113" customWidth="1"/>
    <col min="13062" max="13062" width="8" style="113" customWidth="1"/>
    <col min="13063" max="13063" width="5.6328125" style="113" customWidth="1"/>
    <col min="13064" max="13065" width="10.36328125" style="113" customWidth="1"/>
    <col min="13066" max="13066" width="8.6328125" style="113" customWidth="1"/>
    <col min="13067" max="13067" width="14.90625" style="113" customWidth="1"/>
    <col min="13068" max="13068" width="15.81640625" style="113" customWidth="1"/>
    <col min="13069" max="13069" width="16.453125" style="113" customWidth="1"/>
    <col min="13070" max="13070" width="7.08984375" style="113" customWidth="1"/>
    <col min="13071" max="13071" width="12.90625" style="113" bestFit="1" customWidth="1"/>
    <col min="13072" max="13072" width="11" style="113" customWidth="1"/>
    <col min="13073" max="13073" width="12.90625" style="113" bestFit="1" customWidth="1"/>
    <col min="13074" max="13074" width="6" style="113" bestFit="1" customWidth="1"/>
    <col min="13075" max="13075" width="12.90625" style="113" bestFit="1" customWidth="1"/>
    <col min="13076" max="13076" width="6" style="113" bestFit="1" customWidth="1"/>
    <col min="13077" max="13077" width="12.90625" style="113" bestFit="1" customWidth="1"/>
    <col min="13078" max="13312" width="8.90625" style="113"/>
    <col min="13313" max="13313" width="10" style="113" customWidth="1"/>
    <col min="13314" max="13314" width="6.81640625" style="113" customWidth="1"/>
    <col min="13315" max="13315" width="8.6328125" style="113" customWidth="1"/>
    <col min="13316" max="13316" width="4.81640625" style="113" customWidth="1"/>
    <col min="13317" max="13317" width="7.90625" style="113" customWidth="1"/>
    <col min="13318" max="13318" width="8" style="113" customWidth="1"/>
    <col min="13319" max="13319" width="5.6328125" style="113" customWidth="1"/>
    <col min="13320" max="13321" width="10.36328125" style="113" customWidth="1"/>
    <col min="13322" max="13322" width="8.6328125" style="113" customWidth="1"/>
    <col min="13323" max="13323" width="14.90625" style="113" customWidth="1"/>
    <col min="13324" max="13324" width="15.81640625" style="113" customWidth="1"/>
    <col min="13325" max="13325" width="16.453125" style="113" customWidth="1"/>
    <col min="13326" max="13326" width="7.08984375" style="113" customWidth="1"/>
    <col min="13327" max="13327" width="12.90625" style="113" bestFit="1" customWidth="1"/>
    <col min="13328" max="13328" width="11" style="113" customWidth="1"/>
    <col min="13329" max="13329" width="12.90625" style="113" bestFit="1" customWidth="1"/>
    <col min="13330" max="13330" width="6" style="113" bestFit="1" customWidth="1"/>
    <col min="13331" max="13331" width="12.90625" style="113" bestFit="1" customWidth="1"/>
    <col min="13332" max="13332" width="6" style="113" bestFit="1" customWidth="1"/>
    <col min="13333" max="13333" width="12.90625" style="113" bestFit="1" customWidth="1"/>
    <col min="13334" max="13568" width="8.90625" style="113"/>
    <col min="13569" max="13569" width="10" style="113" customWidth="1"/>
    <col min="13570" max="13570" width="6.81640625" style="113" customWidth="1"/>
    <col min="13571" max="13571" width="8.6328125" style="113" customWidth="1"/>
    <col min="13572" max="13572" width="4.81640625" style="113" customWidth="1"/>
    <col min="13573" max="13573" width="7.90625" style="113" customWidth="1"/>
    <col min="13574" max="13574" width="8" style="113" customWidth="1"/>
    <col min="13575" max="13575" width="5.6328125" style="113" customWidth="1"/>
    <col min="13576" max="13577" width="10.36328125" style="113" customWidth="1"/>
    <col min="13578" max="13578" width="8.6328125" style="113" customWidth="1"/>
    <col min="13579" max="13579" width="14.90625" style="113" customWidth="1"/>
    <col min="13580" max="13580" width="15.81640625" style="113" customWidth="1"/>
    <col min="13581" max="13581" width="16.453125" style="113" customWidth="1"/>
    <col min="13582" max="13582" width="7.08984375" style="113" customWidth="1"/>
    <col min="13583" max="13583" width="12.90625" style="113" bestFit="1" customWidth="1"/>
    <col min="13584" max="13584" width="11" style="113" customWidth="1"/>
    <col min="13585" max="13585" width="12.90625" style="113" bestFit="1" customWidth="1"/>
    <col min="13586" max="13586" width="6" style="113" bestFit="1" customWidth="1"/>
    <col min="13587" max="13587" width="12.90625" style="113" bestFit="1" customWidth="1"/>
    <col min="13588" max="13588" width="6" style="113" bestFit="1" customWidth="1"/>
    <col min="13589" max="13589" width="12.90625" style="113" bestFit="1" customWidth="1"/>
    <col min="13590" max="13824" width="8.90625" style="113"/>
    <col min="13825" max="13825" width="10" style="113" customWidth="1"/>
    <col min="13826" max="13826" width="6.81640625" style="113" customWidth="1"/>
    <col min="13827" max="13827" width="8.6328125" style="113" customWidth="1"/>
    <col min="13828" max="13828" width="4.81640625" style="113" customWidth="1"/>
    <col min="13829" max="13829" width="7.90625" style="113" customWidth="1"/>
    <col min="13830" max="13830" width="8" style="113" customWidth="1"/>
    <col min="13831" max="13831" width="5.6328125" style="113" customWidth="1"/>
    <col min="13832" max="13833" width="10.36328125" style="113" customWidth="1"/>
    <col min="13834" max="13834" width="8.6328125" style="113" customWidth="1"/>
    <col min="13835" max="13835" width="14.90625" style="113" customWidth="1"/>
    <col min="13836" max="13836" width="15.81640625" style="113" customWidth="1"/>
    <col min="13837" max="13837" width="16.453125" style="113" customWidth="1"/>
    <col min="13838" max="13838" width="7.08984375" style="113" customWidth="1"/>
    <col min="13839" max="13839" width="12.90625" style="113" bestFit="1" customWidth="1"/>
    <col min="13840" max="13840" width="11" style="113" customWidth="1"/>
    <col min="13841" max="13841" width="12.90625" style="113" bestFit="1" customWidth="1"/>
    <col min="13842" max="13842" width="6" style="113" bestFit="1" customWidth="1"/>
    <col min="13843" max="13843" width="12.90625" style="113" bestFit="1" customWidth="1"/>
    <col min="13844" max="13844" width="6" style="113" bestFit="1" customWidth="1"/>
    <col min="13845" max="13845" width="12.90625" style="113" bestFit="1" customWidth="1"/>
    <col min="13846" max="14080" width="8.90625" style="113"/>
    <col min="14081" max="14081" width="10" style="113" customWidth="1"/>
    <col min="14082" max="14082" width="6.81640625" style="113" customWidth="1"/>
    <col min="14083" max="14083" width="8.6328125" style="113" customWidth="1"/>
    <col min="14084" max="14084" width="4.81640625" style="113" customWidth="1"/>
    <col min="14085" max="14085" width="7.90625" style="113" customWidth="1"/>
    <col min="14086" max="14086" width="8" style="113" customWidth="1"/>
    <col min="14087" max="14087" width="5.6328125" style="113" customWidth="1"/>
    <col min="14088" max="14089" width="10.36328125" style="113" customWidth="1"/>
    <col min="14090" max="14090" width="8.6328125" style="113" customWidth="1"/>
    <col min="14091" max="14091" width="14.90625" style="113" customWidth="1"/>
    <col min="14092" max="14092" width="15.81640625" style="113" customWidth="1"/>
    <col min="14093" max="14093" width="16.453125" style="113" customWidth="1"/>
    <col min="14094" max="14094" width="7.08984375" style="113" customWidth="1"/>
    <col min="14095" max="14095" width="12.90625" style="113" bestFit="1" customWidth="1"/>
    <col min="14096" max="14096" width="11" style="113" customWidth="1"/>
    <col min="14097" max="14097" width="12.90625" style="113" bestFit="1" customWidth="1"/>
    <col min="14098" max="14098" width="6" style="113" bestFit="1" customWidth="1"/>
    <col min="14099" max="14099" width="12.90625" style="113" bestFit="1" customWidth="1"/>
    <col min="14100" max="14100" width="6" style="113" bestFit="1" customWidth="1"/>
    <col min="14101" max="14101" width="12.90625" style="113" bestFit="1" customWidth="1"/>
    <col min="14102" max="14336" width="8.90625" style="113"/>
    <col min="14337" max="14337" width="10" style="113" customWidth="1"/>
    <col min="14338" max="14338" width="6.81640625" style="113" customWidth="1"/>
    <col min="14339" max="14339" width="8.6328125" style="113" customWidth="1"/>
    <col min="14340" max="14340" width="4.81640625" style="113" customWidth="1"/>
    <col min="14341" max="14341" width="7.90625" style="113" customWidth="1"/>
    <col min="14342" max="14342" width="8" style="113" customWidth="1"/>
    <col min="14343" max="14343" width="5.6328125" style="113" customWidth="1"/>
    <col min="14344" max="14345" width="10.36328125" style="113" customWidth="1"/>
    <col min="14346" max="14346" width="8.6328125" style="113" customWidth="1"/>
    <col min="14347" max="14347" width="14.90625" style="113" customWidth="1"/>
    <col min="14348" max="14348" width="15.81640625" style="113" customWidth="1"/>
    <col min="14349" max="14349" width="16.453125" style="113" customWidth="1"/>
    <col min="14350" max="14350" width="7.08984375" style="113" customWidth="1"/>
    <col min="14351" max="14351" width="12.90625" style="113" bestFit="1" customWidth="1"/>
    <col min="14352" max="14352" width="11" style="113" customWidth="1"/>
    <col min="14353" max="14353" width="12.90625" style="113" bestFit="1" customWidth="1"/>
    <col min="14354" max="14354" width="6" style="113" bestFit="1" customWidth="1"/>
    <col min="14355" max="14355" width="12.90625" style="113" bestFit="1" customWidth="1"/>
    <col min="14356" max="14356" width="6" style="113" bestFit="1" customWidth="1"/>
    <col min="14357" max="14357" width="12.90625" style="113" bestFit="1" customWidth="1"/>
    <col min="14358" max="14592" width="8.90625" style="113"/>
    <col min="14593" max="14593" width="10" style="113" customWidth="1"/>
    <col min="14594" max="14594" width="6.81640625" style="113" customWidth="1"/>
    <col min="14595" max="14595" width="8.6328125" style="113" customWidth="1"/>
    <col min="14596" max="14596" width="4.81640625" style="113" customWidth="1"/>
    <col min="14597" max="14597" width="7.90625" style="113" customWidth="1"/>
    <col min="14598" max="14598" width="8" style="113" customWidth="1"/>
    <col min="14599" max="14599" width="5.6328125" style="113" customWidth="1"/>
    <col min="14600" max="14601" width="10.36328125" style="113" customWidth="1"/>
    <col min="14602" max="14602" width="8.6328125" style="113" customWidth="1"/>
    <col min="14603" max="14603" width="14.90625" style="113" customWidth="1"/>
    <col min="14604" max="14604" width="15.81640625" style="113" customWidth="1"/>
    <col min="14605" max="14605" width="16.453125" style="113" customWidth="1"/>
    <col min="14606" max="14606" width="7.08984375" style="113" customWidth="1"/>
    <col min="14607" max="14607" width="12.90625" style="113" bestFit="1" customWidth="1"/>
    <col min="14608" max="14608" width="11" style="113" customWidth="1"/>
    <col min="14609" max="14609" width="12.90625" style="113" bestFit="1" customWidth="1"/>
    <col min="14610" max="14610" width="6" style="113" bestFit="1" customWidth="1"/>
    <col min="14611" max="14611" width="12.90625" style="113" bestFit="1" customWidth="1"/>
    <col min="14612" max="14612" width="6" style="113" bestFit="1" customWidth="1"/>
    <col min="14613" max="14613" width="12.90625" style="113" bestFit="1" customWidth="1"/>
    <col min="14614" max="14848" width="8.90625" style="113"/>
    <col min="14849" max="14849" width="10" style="113" customWidth="1"/>
    <col min="14850" max="14850" width="6.81640625" style="113" customWidth="1"/>
    <col min="14851" max="14851" width="8.6328125" style="113" customWidth="1"/>
    <col min="14852" max="14852" width="4.81640625" style="113" customWidth="1"/>
    <col min="14853" max="14853" width="7.90625" style="113" customWidth="1"/>
    <col min="14854" max="14854" width="8" style="113" customWidth="1"/>
    <col min="14855" max="14855" width="5.6328125" style="113" customWidth="1"/>
    <col min="14856" max="14857" width="10.36328125" style="113" customWidth="1"/>
    <col min="14858" max="14858" width="8.6328125" style="113" customWidth="1"/>
    <col min="14859" max="14859" width="14.90625" style="113" customWidth="1"/>
    <col min="14860" max="14860" width="15.81640625" style="113" customWidth="1"/>
    <col min="14861" max="14861" width="16.453125" style="113" customWidth="1"/>
    <col min="14862" max="14862" width="7.08984375" style="113" customWidth="1"/>
    <col min="14863" max="14863" width="12.90625" style="113" bestFit="1" customWidth="1"/>
    <col min="14864" max="14864" width="11" style="113" customWidth="1"/>
    <col min="14865" max="14865" width="12.90625" style="113" bestFit="1" customWidth="1"/>
    <col min="14866" max="14866" width="6" style="113" bestFit="1" customWidth="1"/>
    <col min="14867" max="14867" width="12.90625" style="113" bestFit="1" customWidth="1"/>
    <col min="14868" max="14868" width="6" style="113" bestFit="1" customWidth="1"/>
    <col min="14869" max="14869" width="12.90625" style="113" bestFit="1" customWidth="1"/>
    <col min="14870" max="15104" width="8.90625" style="113"/>
    <col min="15105" max="15105" width="10" style="113" customWidth="1"/>
    <col min="15106" max="15106" width="6.81640625" style="113" customWidth="1"/>
    <col min="15107" max="15107" width="8.6328125" style="113" customWidth="1"/>
    <col min="15108" max="15108" width="4.81640625" style="113" customWidth="1"/>
    <col min="15109" max="15109" width="7.90625" style="113" customWidth="1"/>
    <col min="15110" max="15110" width="8" style="113" customWidth="1"/>
    <col min="15111" max="15111" width="5.6328125" style="113" customWidth="1"/>
    <col min="15112" max="15113" width="10.36328125" style="113" customWidth="1"/>
    <col min="15114" max="15114" width="8.6328125" style="113" customWidth="1"/>
    <col min="15115" max="15115" width="14.90625" style="113" customWidth="1"/>
    <col min="15116" max="15116" width="15.81640625" style="113" customWidth="1"/>
    <col min="15117" max="15117" width="16.453125" style="113" customWidth="1"/>
    <col min="15118" max="15118" width="7.08984375" style="113" customWidth="1"/>
    <col min="15119" max="15119" width="12.90625" style="113" bestFit="1" customWidth="1"/>
    <col min="15120" max="15120" width="11" style="113" customWidth="1"/>
    <col min="15121" max="15121" width="12.90625" style="113" bestFit="1" customWidth="1"/>
    <col min="15122" max="15122" width="6" style="113" bestFit="1" customWidth="1"/>
    <col min="15123" max="15123" width="12.90625" style="113" bestFit="1" customWidth="1"/>
    <col min="15124" max="15124" width="6" style="113" bestFit="1" customWidth="1"/>
    <col min="15125" max="15125" width="12.90625" style="113" bestFit="1" customWidth="1"/>
    <col min="15126" max="15360" width="8.90625" style="113"/>
    <col min="15361" max="15361" width="10" style="113" customWidth="1"/>
    <col min="15362" max="15362" width="6.81640625" style="113" customWidth="1"/>
    <col min="15363" max="15363" width="8.6328125" style="113" customWidth="1"/>
    <col min="15364" max="15364" width="4.81640625" style="113" customWidth="1"/>
    <col min="15365" max="15365" width="7.90625" style="113" customWidth="1"/>
    <col min="15366" max="15366" width="8" style="113" customWidth="1"/>
    <col min="15367" max="15367" width="5.6328125" style="113" customWidth="1"/>
    <col min="15368" max="15369" width="10.36328125" style="113" customWidth="1"/>
    <col min="15370" max="15370" width="8.6328125" style="113" customWidth="1"/>
    <col min="15371" max="15371" width="14.90625" style="113" customWidth="1"/>
    <col min="15372" max="15372" width="15.81640625" style="113" customWidth="1"/>
    <col min="15373" max="15373" width="16.453125" style="113" customWidth="1"/>
    <col min="15374" max="15374" width="7.08984375" style="113" customWidth="1"/>
    <col min="15375" max="15375" width="12.90625" style="113" bestFit="1" customWidth="1"/>
    <col min="15376" max="15376" width="11" style="113" customWidth="1"/>
    <col min="15377" max="15377" width="12.90625" style="113" bestFit="1" customWidth="1"/>
    <col min="15378" max="15378" width="6" style="113" bestFit="1" customWidth="1"/>
    <col min="15379" max="15379" width="12.90625" style="113" bestFit="1" customWidth="1"/>
    <col min="15380" max="15380" width="6" style="113" bestFit="1" customWidth="1"/>
    <col min="15381" max="15381" width="12.90625" style="113" bestFit="1" customWidth="1"/>
    <col min="15382" max="15616" width="8.90625" style="113"/>
    <col min="15617" max="15617" width="10" style="113" customWidth="1"/>
    <col min="15618" max="15618" width="6.81640625" style="113" customWidth="1"/>
    <col min="15619" max="15619" width="8.6328125" style="113" customWidth="1"/>
    <col min="15620" max="15620" width="4.81640625" style="113" customWidth="1"/>
    <col min="15621" max="15621" width="7.90625" style="113" customWidth="1"/>
    <col min="15622" max="15622" width="8" style="113" customWidth="1"/>
    <col min="15623" max="15623" width="5.6328125" style="113" customWidth="1"/>
    <col min="15624" max="15625" width="10.36328125" style="113" customWidth="1"/>
    <col min="15626" max="15626" width="8.6328125" style="113" customWidth="1"/>
    <col min="15627" max="15627" width="14.90625" style="113" customWidth="1"/>
    <col min="15628" max="15628" width="15.81640625" style="113" customWidth="1"/>
    <col min="15629" max="15629" width="16.453125" style="113" customWidth="1"/>
    <col min="15630" max="15630" width="7.08984375" style="113" customWidth="1"/>
    <col min="15631" max="15631" width="12.90625" style="113" bestFit="1" customWidth="1"/>
    <col min="15632" max="15632" width="11" style="113" customWidth="1"/>
    <col min="15633" max="15633" width="12.90625" style="113" bestFit="1" customWidth="1"/>
    <col min="15634" max="15634" width="6" style="113" bestFit="1" customWidth="1"/>
    <col min="15635" max="15635" width="12.90625" style="113" bestFit="1" customWidth="1"/>
    <col min="15636" max="15636" width="6" style="113" bestFit="1" customWidth="1"/>
    <col min="15637" max="15637" width="12.90625" style="113" bestFit="1" customWidth="1"/>
    <col min="15638" max="15872" width="8.90625" style="113"/>
    <col min="15873" max="15873" width="10" style="113" customWidth="1"/>
    <col min="15874" max="15874" width="6.81640625" style="113" customWidth="1"/>
    <col min="15875" max="15875" width="8.6328125" style="113" customWidth="1"/>
    <col min="15876" max="15876" width="4.81640625" style="113" customWidth="1"/>
    <col min="15877" max="15877" width="7.90625" style="113" customWidth="1"/>
    <col min="15878" max="15878" width="8" style="113" customWidth="1"/>
    <col min="15879" max="15879" width="5.6328125" style="113" customWidth="1"/>
    <col min="15880" max="15881" width="10.36328125" style="113" customWidth="1"/>
    <col min="15882" max="15882" width="8.6328125" style="113" customWidth="1"/>
    <col min="15883" max="15883" width="14.90625" style="113" customWidth="1"/>
    <col min="15884" max="15884" width="15.81640625" style="113" customWidth="1"/>
    <col min="15885" max="15885" width="16.453125" style="113" customWidth="1"/>
    <col min="15886" max="15886" width="7.08984375" style="113" customWidth="1"/>
    <col min="15887" max="15887" width="12.90625" style="113" bestFit="1" customWidth="1"/>
    <col min="15888" max="15888" width="11" style="113" customWidth="1"/>
    <col min="15889" max="15889" width="12.90625" style="113" bestFit="1" customWidth="1"/>
    <col min="15890" max="15890" width="6" style="113" bestFit="1" customWidth="1"/>
    <col min="15891" max="15891" width="12.90625" style="113" bestFit="1" customWidth="1"/>
    <col min="15892" max="15892" width="6" style="113" bestFit="1" customWidth="1"/>
    <col min="15893" max="15893" width="12.90625" style="113" bestFit="1" customWidth="1"/>
    <col min="15894" max="16128" width="8.90625" style="113"/>
    <col min="16129" max="16129" width="10" style="113" customWidth="1"/>
    <col min="16130" max="16130" width="6.81640625" style="113" customWidth="1"/>
    <col min="16131" max="16131" width="8.6328125" style="113" customWidth="1"/>
    <col min="16132" max="16132" width="4.81640625" style="113" customWidth="1"/>
    <col min="16133" max="16133" width="7.90625" style="113" customWidth="1"/>
    <col min="16134" max="16134" width="8" style="113" customWidth="1"/>
    <col min="16135" max="16135" width="5.6328125" style="113" customWidth="1"/>
    <col min="16136" max="16137" width="10.36328125" style="113" customWidth="1"/>
    <col min="16138" max="16138" width="8.6328125" style="113" customWidth="1"/>
    <col min="16139" max="16139" width="14.90625" style="113" customWidth="1"/>
    <col min="16140" max="16140" width="15.81640625" style="113" customWidth="1"/>
    <col min="16141" max="16141" width="16.453125" style="113" customWidth="1"/>
    <col min="16142" max="16142" width="7.08984375" style="113" customWidth="1"/>
    <col min="16143" max="16143" width="12.90625" style="113" bestFit="1" customWidth="1"/>
    <col min="16144" max="16144" width="11" style="113" customWidth="1"/>
    <col min="16145" max="16145" width="12.90625" style="113" bestFit="1" customWidth="1"/>
    <col min="16146" max="16146" width="6" style="113" bestFit="1" customWidth="1"/>
    <col min="16147" max="16147" width="12.90625" style="113" bestFit="1" customWidth="1"/>
    <col min="16148" max="16148" width="6" style="113" bestFit="1" customWidth="1"/>
    <col min="16149" max="16149" width="12.90625" style="113" bestFit="1" customWidth="1"/>
    <col min="16150" max="16384" width="8.90625" style="113"/>
  </cols>
  <sheetData>
    <row r="2" spans="1:14" ht="24" customHeight="1">
      <c r="D2" s="114" t="s">
        <v>1567</v>
      </c>
      <c r="E2" s="114"/>
      <c r="F2" s="114"/>
      <c r="G2" s="114"/>
      <c r="H2" s="114"/>
      <c r="I2" s="115"/>
      <c r="J2" s="114"/>
    </row>
    <row r="3" spans="1:14" hidden="1"/>
    <row r="4" spans="1:14" hidden="1"/>
    <row r="5" spans="1:14" ht="23.15" hidden="1" customHeight="1">
      <c r="E5" s="118"/>
      <c r="F5" s="119" t="s">
        <v>1568</v>
      </c>
      <c r="G5" s="119" t="s">
        <v>1569</v>
      </c>
      <c r="H5" s="119"/>
      <c r="J5" s="120" t="s">
        <v>1570</v>
      </c>
    </row>
    <row r="6" spans="1:14" ht="23.15" hidden="1" customHeight="1">
      <c r="E6" s="121"/>
      <c r="F6" s="122" t="s">
        <v>1571</v>
      </c>
      <c r="G6" s="122" t="s">
        <v>1572</v>
      </c>
      <c r="H6" s="122"/>
      <c r="I6" s="123"/>
      <c r="J6" s="122" t="s">
        <v>1573</v>
      </c>
    </row>
    <row r="7" spans="1:14" ht="8.25" hidden="1" customHeight="1">
      <c r="E7" s="124"/>
      <c r="F7" s="113" t="s">
        <v>1574</v>
      </c>
      <c r="G7" s="122" t="s">
        <v>1575</v>
      </c>
      <c r="H7" s="122"/>
      <c r="I7" s="123"/>
      <c r="J7" s="122" t="s">
        <v>1576</v>
      </c>
    </row>
    <row r="8" spans="1:14" ht="8.25" hidden="1" customHeight="1">
      <c r="E8" s="125"/>
      <c r="F8" s="113" t="s">
        <v>1577</v>
      </c>
      <c r="G8" s="122" t="s">
        <v>1578</v>
      </c>
      <c r="H8" s="122"/>
      <c r="I8" s="123"/>
    </row>
    <row r="9" spans="1:14" ht="8.25" hidden="1" customHeight="1">
      <c r="E9" s="126"/>
      <c r="F9" s="113" t="s">
        <v>1579</v>
      </c>
      <c r="K9" s="127"/>
    </row>
    <row r="10" spans="1:14" ht="8.25" hidden="1" customHeight="1">
      <c r="E10" s="128"/>
      <c r="F10" s="113" t="s">
        <v>1580</v>
      </c>
    </row>
    <row r="11" spans="1:14" ht="8.25" hidden="1" customHeight="1">
      <c r="E11" s="129"/>
      <c r="F11" s="130" t="s">
        <v>1581</v>
      </c>
    </row>
    <row r="12" spans="1:14" ht="8.25" hidden="1" customHeight="1"/>
    <row r="13" spans="1:14" ht="18" customHeight="1">
      <c r="D13" s="119"/>
    </row>
    <row r="14" spans="1:14" ht="57" customHeight="1">
      <c r="A14" s="131" t="s">
        <v>1582</v>
      </c>
      <c r="B14" s="131" t="s">
        <v>1583</v>
      </c>
      <c r="C14" s="131" t="s">
        <v>1584</v>
      </c>
      <c r="D14" s="132" t="s">
        <v>1585</v>
      </c>
      <c r="E14" s="354" t="s">
        <v>1586</v>
      </c>
      <c r="F14" s="355"/>
      <c r="G14" s="132" t="s">
        <v>1587</v>
      </c>
      <c r="H14" s="132" t="s">
        <v>1588</v>
      </c>
      <c r="I14" s="133" t="s">
        <v>787</v>
      </c>
      <c r="J14" s="132" t="s">
        <v>1590</v>
      </c>
      <c r="K14" s="131" t="s">
        <v>1591</v>
      </c>
      <c r="L14" s="131" t="s">
        <v>1592</v>
      </c>
      <c r="M14" s="131" t="s">
        <v>1593</v>
      </c>
      <c r="N14" s="113" t="s">
        <v>1594</v>
      </c>
    </row>
    <row r="15" spans="1:14" ht="27.9" customHeight="1">
      <c r="A15" s="132" t="s">
        <v>1595</v>
      </c>
      <c r="B15" s="132" t="e">
        <f t="array" ref="B15">IF(OR(F15=#REF!),"重疊","")</f>
        <v>#REF!</v>
      </c>
      <c r="C15" s="132" t="s">
        <v>1595</v>
      </c>
      <c r="D15" s="134">
        <v>1</v>
      </c>
      <c r="E15" s="135" t="s">
        <v>1596</v>
      </c>
      <c r="F15" s="132" t="s">
        <v>1597</v>
      </c>
      <c r="G15" s="132"/>
      <c r="H15" s="132"/>
      <c r="I15" s="133"/>
      <c r="J15" s="132" t="s">
        <v>1598</v>
      </c>
      <c r="K15" s="131" t="s">
        <v>1599</v>
      </c>
      <c r="L15" s="136" t="s">
        <v>1600</v>
      </c>
      <c r="M15" s="131"/>
    </row>
    <row r="16" spans="1:14" ht="39" customHeight="1">
      <c r="A16" s="132" t="s">
        <v>1595</v>
      </c>
      <c r="B16" s="132" t="e">
        <f t="array" ref="B16">IF(OR(F16=#REF!),"重疊","")</f>
        <v>#REF!</v>
      </c>
      <c r="C16" s="132"/>
      <c r="D16" s="137">
        <v>2</v>
      </c>
      <c r="E16" s="138" t="s">
        <v>1601</v>
      </c>
      <c r="F16" s="132" t="s">
        <v>1106</v>
      </c>
      <c r="G16" s="132"/>
      <c r="H16" s="132"/>
      <c r="I16" s="133"/>
      <c r="J16" s="132" t="s">
        <v>1602</v>
      </c>
      <c r="K16" s="131" t="s">
        <v>1603</v>
      </c>
      <c r="L16" s="136" t="s">
        <v>1604</v>
      </c>
      <c r="M16" s="131"/>
    </row>
    <row r="17" spans="1:13" ht="27.9" customHeight="1">
      <c r="A17" s="132"/>
      <c r="B17" s="132" t="e">
        <f t="array" ref="B17">IF(OR(F17=#REF!),"重疊","")</f>
        <v>#REF!</v>
      </c>
      <c r="C17" s="132"/>
      <c r="D17" s="142">
        <v>5</v>
      </c>
      <c r="E17" s="143" t="s">
        <v>550</v>
      </c>
      <c r="F17" s="132" t="s">
        <v>550</v>
      </c>
      <c r="G17" s="132"/>
      <c r="H17" s="132"/>
      <c r="I17" s="133"/>
      <c r="J17" s="132"/>
      <c r="K17" s="131"/>
      <c r="L17" s="131"/>
      <c r="M17" s="131"/>
    </row>
    <row r="18" spans="1:13" ht="27.9" customHeight="1">
      <c r="A18" s="132" t="s">
        <v>1595</v>
      </c>
      <c r="B18" s="132" t="e">
        <f t="array" ref="B18">IF(OR(F18=#REF!),"重疊","")</f>
        <v>#REF!</v>
      </c>
      <c r="C18" s="132" t="s">
        <v>1595</v>
      </c>
      <c r="D18" s="141">
        <v>6</v>
      </c>
      <c r="E18" s="135" t="s">
        <v>1620</v>
      </c>
      <c r="F18" s="132" t="s">
        <v>707</v>
      </c>
      <c r="G18" s="132"/>
      <c r="H18" s="132"/>
      <c r="I18" s="133"/>
      <c r="J18" s="132"/>
      <c r="K18" s="131"/>
      <c r="L18" s="131"/>
      <c r="M18" s="131"/>
    </row>
    <row r="19" spans="1:13" ht="27.9" customHeight="1">
      <c r="A19" s="132" t="s">
        <v>1595</v>
      </c>
      <c r="B19" s="132" t="e">
        <f t="array" ref="B19">IF(OR(F19=#REF!),"重疊","")</f>
        <v>#REF!</v>
      </c>
      <c r="C19" s="132" t="s">
        <v>1595</v>
      </c>
      <c r="D19" s="141">
        <v>7</v>
      </c>
      <c r="E19" s="135" t="s">
        <v>1621</v>
      </c>
      <c r="F19" s="132" t="s">
        <v>1509</v>
      </c>
      <c r="G19" s="132"/>
      <c r="H19" s="132"/>
      <c r="I19" s="133"/>
      <c r="J19" s="132" t="s">
        <v>1622</v>
      </c>
      <c r="K19" s="131" t="s">
        <v>1623</v>
      </c>
      <c r="L19" s="136" t="s">
        <v>1624</v>
      </c>
      <c r="M19" s="131"/>
    </row>
    <row r="20" spans="1:13" ht="27.9" customHeight="1">
      <c r="A20" s="132" t="s">
        <v>1595</v>
      </c>
      <c r="B20" s="132" t="e">
        <f t="array" ref="B20">IF(OR(F20=#REF!),"重疊","")</f>
        <v>#REF!</v>
      </c>
      <c r="C20" s="132" t="s">
        <v>1595</v>
      </c>
      <c r="D20" s="141">
        <v>8</v>
      </c>
      <c r="E20" s="135" t="s">
        <v>1625</v>
      </c>
      <c r="F20" s="132" t="s">
        <v>697</v>
      </c>
      <c r="G20" s="132"/>
      <c r="H20" s="132"/>
      <c r="I20" s="133"/>
      <c r="J20" s="132"/>
      <c r="K20" s="131"/>
      <c r="L20" s="131"/>
      <c r="M20" s="131"/>
    </row>
    <row r="21" spans="1:13" ht="67.650000000000006" customHeight="1">
      <c r="A21" s="132" t="s">
        <v>1595</v>
      </c>
      <c r="B21" s="132" t="e">
        <f t="array" ref="B21">IF(OR(F21=#REF!),"重疊","")</f>
        <v>#REF!</v>
      </c>
      <c r="C21" s="132"/>
      <c r="D21" s="139">
        <v>3</v>
      </c>
      <c r="E21" s="140" t="s">
        <v>1605</v>
      </c>
      <c r="F21" s="132" t="s">
        <v>279</v>
      </c>
      <c r="G21" s="132" t="s">
        <v>1606</v>
      </c>
      <c r="H21" s="132" t="s">
        <v>1607</v>
      </c>
      <c r="I21" s="133" t="s">
        <v>1608</v>
      </c>
      <c r="J21" s="132" t="s">
        <v>1609</v>
      </c>
      <c r="K21" s="131" t="s">
        <v>1610</v>
      </c>
      <c r="L21" s="136" t="s">
        <v>1611</v>
      </c>
      <c r="M21" s="131" t="s">
        <v>1612</v>
      </c>
    </row>
    <row r="22" spans="1:13" ht="27.9" customHeight="1">
      <c r="A22" s="132" t="s">
        <v>1595</v>
      </c>
      <c r="B22" s="132" t="e">
        <f t="array" ref="B22">IF(OR(F22=#REF!),"重疊","")</f>
        <v>#REF!</v>
      </c>
      <c r="C22" s="132" t="s">
        <v>1595</v>
      </c>
      <c r="D22" s="141">
        <v>4</v>
      </c>
      <c r="E22" s="135" t="s">
        <v>1613</v>
      </c>
      <c r="F22" s="132" t="s">
        <v>690</v>
      </c>
      <c r="G22" s="132" t="s">
        <v>1606</v>
      </c>
      <c r="H22" s="132" t="s">
        <v>1614</v>
      </c>
      <c r="I22" s="133" t="s">
        <v>1615</v>
      </c>
      <c r="J22" s="132" t="s">
        <v>1616</v>
      </c>
      <c r="K22" s="131" t="s">
        <v>1617</v>
      </c>
      <c r="L22" s="136" t="s">
        <v>1618</v>
      </c>
      <c r="M22" s="131" t="s">
        <v>1619</v>
      </c>
    </row>
    <row r="23" spans="1:13" ht="32.4" customHeight="1">
      <c r="A23" s="132" t="s">
        <v>1595</v>
      </c>
      <c r="B23" s="132" t="e">
        <f t="array" ref="B23">IF(OR(F23=#REF!),"重疊","")</f>
        <v>#REF!</v>
      </c>
      <c r="C23" s="132" t="s">
        <v>1595</v>
      </c>
      <c r="D23" s="141">
        <v>9</v>
      </c>
      <c r="E23" s="135" t="s">
        <v>1626</v>
      </c>
      <c r="F23" s="144" t="s">
        <v>1627</v>
      </c>
      <c r="G23" s="132" t="s">
        <v>1628</v>
      </c>
      <c r="H23" s="132" t="s">
        <v>1629</v>
      </c>
      <c r="I23" s="133" t="s">
        <v>1630</v>
      </c>
      <c r="J23" s="132" t="s">
        <v>1631</v>
      </c>
      <c r="K23" s="131" t="s">
        <v>1632</v>
      </c>
      <c r="L23" s="136" t="s">
        <v>1633</v>
      </c>
      <c r="M23" s="131" t="s">
        <v>1634</v>
      </c>
    </row>
    <row r="24" spans="1:13" ht="49.25" customHeight="1">
      <c r="A24" s="132" t="s">
        <v>1595</v>
      </c>
      <c r="B24" s="132" t="e">
        <f t="array" ref="B24">IF(OR(F24=#REF!),"重疊","")</f>
        <v>#REF!</v>
      </c>
      <c r="C24" s="132"/>
      <c r="D24" s="139">
        <v>10</v>
      </c>
      <c r="E24" s="140" t="s">
        <v>1635</v>
      </c>
      <c r="F24" s="132" t="s">
        <v>225</v>
      </c>
      <c r="G24" s="132" t="s">
        <v>1636</v>
      </c>
      <c r="H24" s="132" t="s">
        <v>1637</v>
      </c>
      <c r="I24" s="133" t="s">
        <v>1638</v>
      </c>
      <c r="J24" s="132" t="s">
        <v>1639</v>
      </c>
      <c r="K24" s="131" t="s">
        <v>1640</v>
      </c>
      <c r="L24" s="136" t="s">
        <v>1641</v>
      </c>
      <c r="M24" s="131" t="s">
        <v>1642</v>
      </c>
    </row>
    <row r="25" spans="1:13" ht="27.9" customHeight="1">
      <c r="A25" s="132"/>
      <c r="B25" s="132" t="e">
        <f t="array" ref="B25">IF(OR(F25=#REF!),"重疊","")</f>
        <v>#REF!</v>
      </c>
      <c r="C25" s="132" t="s">
        <v>1595</v>
      </c>
      <c r="D25" s="141">
        <v>11</v>
      </c>
      <c r="E25" s="135" t="s">
        <v>1643</v>
      </c>
      <c r="F25" s="132" t="s">
        <v>689</v>
      </c>
      <c r="G25" s="132" t="s">
        <v>1628</v>
      </c>
      <c r="H25" s="132" t="s">
        <v>1644</v>
      </c>
      <c r="I25" s="133" t="s">
        <v>1645</v>
      </c>
      <c r="J25" s="132" t="s">
        <v>1631</v>
      </c>
      <c r="K25" s="131" t="s">
        <v>1646</v>
      </c>
      <c r="L25" s="131"/>
      <c r="M25" s="131"/>
    </row>
    <row r="26" spans="1:13" ht="27.9" customHeight="1">
      <c r="A26" s="132" t="s">
        <v>1595</v>
      </c>
      <c r="B26" s="132" t="e">
        <f t="array" ref="B26">IF(OR(F26=#REF!),"重疊","")</f>
        <v>#REF!</v>
      </c>
      <c r="C26" s="132" t="s">
        <v>1595</v>
      </c>
      <c r="D26" s="141">
        <v>12</v>
      </c>
      <c r="E26" s="135" t="s">
        <v>1647</v>
      </c>
      <c r="F26" s="132" t="s">
        <v>29</v>
      </c>
      <c r="G26" s="132" t="s">
        <v>1628</v>
      </c>
      <c r="H26" s="132" t="s">
        <v>1648</v>
      </c>
      <c r="I26" s="133" t="s">
        <v>1649</v>
      </c>
      <c r="J26" s="132" t="s">
        <v>1631</v>
      </c>
      <c r="K26" s="131"/>
      <c r="L26" s="131"/>
      <c r="M26" s="131"/>
    </row>
    <row r="27" spans="1:13" ht="27.9" customHeight="1">
      <c r="A27" s="132"/>
      <c r="B27" s="132" t="e">
        <f t="array" ref="B27">IF(OR(F27=#REF!),"重疊","")</f>
        <v>#REF!</v>
      </c>
      <c r="C27" s="132"/>
      <c r="D27" s="142">
        <v>13</v>
      </c>
      <c r="E27" s="143" t="s">
        <v>1651</v>
      </c>
      <c r="F27" s="132" t="s">
        <v>400</v>
      </c>
      <c r="G27" s="132"/>
      <c r="H27" s="132"/>
      <c r="I27" s="133"/>
      <c r="J27" s="132"/>
      <c r="K27" s="131"/>
      <c r="L27" s="131"/>
      <c r="M27" s="131"/>
    </row>
    <row r="28" spans="1:13" ht="27.9" customHeight="1">
      <c r="A28" s="132" t="s">
        <v>1595</v>
      </c>
      <c r="B28" s="132" t="e">
        <f t="array" ref="B28">IF(OR(F28=#REF!),"重疊","")</f>
        <v>#REF!</v>
      </c>
      <c r="C28" s="132"/>
      <c r="D28" s="145">
        <v>14</v>
      </c>
      <c r="E28" s="146" t="s">
        <v>1652</v>
      </c>
      <c r="F28" s="132" t="s">
        <v>491</v>
      </c>
      <c r="G28" s="132" t="s">
        <v>1653</v>
      </c>
      <c r="H28" s="132" t="s">
        <v>1654</v>
      </c>
      <c r="I28" s="133"/>
      <c r="J28" s="132" t="s">
        <v>1655</v>
      </c>
      <c r="K28" s="131" t="s">
        <v>1656</v>
      </c>
      <c r="L28" s="136" t="s">
        <v>1657</v>
      </c>
      <c r="M28" s="131" t="s">
        <v>1658</v>
      </c>
    </row>
    <row r="29" spans="1:13" ht="27.9" customHeight="1">
      <c r="A29" s="132" t="s">
        <v>1595</v>
      </c>
      <c r="B29" s="132" t="e">
        <f t="array" ref="B29">IF(OR(F29=#REF!),"重疊","")</f>
        <v>#REF!</v>
      </c>
      <c r="C29" s="132"/>
      <c r="D29" s="137">
        <v>15</v>
      </c>
      <c r="E29" s="138" t="s">
        <v>1659</v>
      </c>
      <c r="F29" s="132" t="s">
        <v>424</v>
      </c>
      <c r="G29" s="132" t="s">
        <v>1660</v>
      </c>
      <c r="H29" s="132" t="s">
        <v>1654</v>
      </c>
      <c r="I29" s="133" t="s">
        <v>1661</v>
      </c>
      <c r="J29" s="132" t="s">
        <v>1662</v>
      </c>
      <c r="K29" s="131" t="s">
        <v>1656</v>
      </c>
      <c r="L29" s="136" t="s">
        <v>1657</v>
      </c>
      <c r="M29" s="131"/>
    </row>
    <row r="30" spans="1:13" ht="55.5" customHeight="1">
      <c r="A30" s="132" t="s">
        <v>1595</v>
      </c>
      <c r="B30" s="132" t="e">
        <f t="array" ref="B30">IF(OR(F30=#REF!),"重疊","")</f>
        <v>#REF!</v>
      </c>
      <c r="C30" s="132"/>
      <c r="D30" s="137">
        <v>16</v>
      </c>
      <c r="E30" s="138" t="s">
        <v>1663</v>
      </c>
      <c r="F30" s="132" t="s">
        <v>332</v>
      </c>
      <c r="G30" s="132" t="s">
        <v>1660</v>
      </c>
      <c r="H30" s="132" t="s">
        <v>1654</v>
      </c>
      <c r="I30" s="133" t="s">
        <v>1664</v>
      </c>
      <c r="J30" s="132" t="s">
        <v>1665</v>
      </c>
      <c r="K30" s="131" t="s">
        <v>1666</v>
      </c>
      <c r="L30" s="136" t="s">
        <v>1667</v>
      </c>
      <c r="M30" s="131" t="s">
        <v>1668</v>
      </c>
    </row>
    <row r="31" spans="1:13" ht="43.5" customHeight="1">
      <c r="A31" s="132" t="s">
        <v>1595</v>
      </c>
      <c r="B31" s="132" t="e">
        <f t="array" ref="B31">IF(OR(F31=#REF!),"重疊","")</f>
        <v>#REF!</v>
      </c>
      <c r="C31" s="132"/>
      <c r="D31" s="137">
        <v>17</v>
      </c>
      <c r="E31" s="138" t="s">
        <v>1669</v>
      </c>
      <c r="F31" s="132" t="s">
        <v>423</v>
      </c>
      <c r="G31" s="132" t="s">
        <v>1660</v>
      </c>
      <c r="H31" s="132" t="s">
        <v>1654</v>
      </c>
      <c r="I31" s="133"/>
      <c r="J31" s="132" t="s">
        <v>1670</v>
      </c>
      <c r="K31" s="131" t="s">
        <v>1671</v>
      </c>
      <c r="L31" s="136" t="s">
        <v>1672</v>
      </c>
      <c r="M31" s="131" t="s">
        <v>1673</v>
      </c>
    </row>
    <row r="32" spans="1:13" ht="27.9" customHeight="1">
      <c r="A32" s="132" t="s">
        <v>1595</v>
      </c>
      <c r="B32" s="132" t="e">
        <f t="array" ref="B32">IF(OR(F32=#REF!),"重疊","")</f>
        <v>#REF!</v>
      </c>
      <c r="C32" s="132" t="s">
        <v>1595</v>
      </c>
      <c r="D32" s="141">
        <v>18</v>
      </c>
      <c r="E32" s="135" t="s">
        <v>1674</v>
      </c>
      <c r="F32" s="132" t="s">
        <v>671</v>
      </c>
      <c r="G32" s="132"/>
      <c r="H32" s="132"/>
      <c r="I32" s="133"/>
      <c r="J32" s="132"/>
      <c r="K32" s="131"/>
      <c r="L32" s="131"/>
      <c r="M32" s="131"/>
    </row>
    <row r="33" spans="1:13" ht="27.9" customHeight="1">
      <c r="A33" s="132" t="s">
        <v>1595</v>
      </c>
      <c r="B33" s="132" t="e">
        <f t="array" ref="B33">IF(OR(F33=#REF!),"重疊","")</f>
        <v>#REF!</v>
      </c>
      <c r="C33" s="132" t="s">
        <v>1595</v>
      </c>
      <c r="D33" s="141">
        <v>19</v>
      </c>
      <c r="E33" s="135" t="s">
        <v>1675</v>
      </c>
      <c r="F33" s="132" t="s">
        <v>1511</v>
      </c>
      <c r="G33" s="132"/>
      <c r="H33" s="132"/>
      <c r="I33" s="133"/>
      <c r="J33" s="132" t="s">
        <v>1676</v>
      </c>
      <c r="K33" s="131" t="s">
        <v>1632</v>
      </c>
      <c r="L33" s="136" t="s">
        <v>1633</v>
      </c>
      <c r="M33" s="131" t="s">
        <v>1677</v>
      </c>
    </row>
    <row r="34" spans="1:13" ht="27.9" customHeight="1">
      <c r="A34" s="132" t="s">
        <v>1595</v>
      </c>
      <c r="B34" s="132" t="e">
        <f t="array" ref="B34">IF(OR(F34=#REF!),"重疊","")</f>
        <v>#REF!</v>
      </c>
      <c r="C34" s="132" t="s">
        <v>1595</v>
      </c>
      <c r="D34" s="141">
        <v>20</v>
      </c>
      <c r="E34" s="135" t="s">
        <v>1678</v>
      </c>
      <c r="F34" s="132" t="s">
        <v>640</v>
      </c>
      <c r="G34" s="132"/>
      <c r="H34" s="132"/>
      <c r="I34" s="133"/>
      <c r="J34" s="132"/>
      <c r="K34" s="131"/>
      <c r="L34" s="131"/>
      <c r="M34" s="131"/>
    </row>
    <row r="35" spans="1:13" ht="27.9" customHeight="1">
      <c r="A35" s="132" t="s">
        <v>1595</v>
      </c>
      <c r="B35" s="132" t="e">
        <f t="array" ref="B35">IF(OR(F35=#REF!),"重疊","")</f>
        <v>#REF!</v>
      </c>
      <c r="C35" s="132" t="s">
        <v>1595</v>
      </c>
      <c r="D35" s="141">
        <v>21</v>
      </c>
      <c r="E35" s="135" t="s">
        <v>1679</v>
      </c>
      <c r="F35" s="132" t="s">
        <v>1512</v>
      </c>
      <c r="G35" s="132" t="s">
        <v>1628</v>
      </c>
      <c r="H35" s="132" t="s">
        <v>1680</v>
      </c>
      <c r="I35" s="133" t="s">
        <v>1681</v>
      </c>
      <c r="J35" s="132" t="s">
        <v>1682</v>
      </c>
      <c r="K35" s="131"/>
      <c r="L35" s="131"/>
      <c r="M35" s="131"/>
    </row>
    <row r="36" spans="1:13" ht="27.9" customHeight="1">
      <c r="A36" s="132" t="s">
        <v>1595</v>
      </c>
      <c r="B36" s="132" t="e">
        <f t="array" ref="B36">IF(OR(F36=#REF!),"重疊","")</f>
        <v>#REF!</v>
      </c>
      <c r="C36" s="132" t="s">
        <v>1595</v>
      </c>
      <c r="D36" s="141">
        <v>22</v>
      </c>
      <c r="E36" s="135" t="s">
        <v>1683</v>
      </c>
      <c r="F36" s="132" t="s">
        <v>648</v>
      </c>
      <c r="G36" s="132"/>
      <c r="H36" s="132"/>
      <c r="I36" s="133"/>
      <c r="J36" s="132"/>
      <c r="K36" s="131"/>
      <c r="L36" s="131"/>
      <c r="M36" s="131"/>
    </row>
    <row r="37" spans="1:13" ht="57" customHeight="1">
      <c r="A37" s="132" t="s">
        <v>1595</v>
      </c>
      <c r="B37" s="132" t="e">
        <f t="array" ref="B37">IF(OR(F37=#REF!),"重疊","")</f>
        <v>#REF!</v>
      </c>
      <c r="C37" s="132" t="s">
        <v>1595</v>
      </c>
      <c r="D37" s="141">
        <v>23</v>
      </c>
      <c r="E37" s="135" t="s">
        <v>1684</v>
      </c>
      <c r="F37" s="132" t="s">
        <v>683</v>
      </c>
      <c r="G37" s="132" t="s">
        <v>1628</v>
      </c>
      <c r="H37" s="132" t="s">
        <v>1685</v>
      </c>
      <c r="I37" s="133" t="s">
        <v>1686</v>
      </c>
      <c r="J37" s="132" t="s">
        <v>1682</v>
      </c>
      <c r="K37" s="131" t="s">
        <v>1687</v>
      </c>
      <c r="L37" s="136" t="s">
        <v>1688</v>
      </c>
      <c r="M37" s="131" t="s">
        <v>1689</v>
      </c>
    </row>
    <row r="38" spans="1:13" ht="27.9" customHeight="1">
      <c r="A38" s="132" t="s">
        <v>1595</v>
      </c>
      <c r="B38" s="132" t="e">
        <f t="array" ref="B38">IF(OR(F38=#REF!),"重疊","")</f>
        <v>#REF!</v>
      </c>
      <c r="C38" s="132"/>
      <c r="D38" s="147">
        <v>24</v>
      </c>
      <c r="E38" s="148" t="s">
        <v>1690</v>
      </c>
      <c r="F38" s="132" t="s">
        <v>259</v>
      </c>
      <c r="G38" s="132" t="s">
        <v>1691</v>
      </c>
      <c r="H38" s="132" t="s">
        <v>1692</v>
      </c>
      <c r="I38" s="133">
        <v>103.12</v>
      </c>
      <c r="J38" s="132" t="s">
        <v>1693</v>
      </c>
      <c r="K38" s="131" t="s">
        <v>1656</v>
      </c>
      <c r="L38" s="136" t="s">
        <v>1657</v>
      </c>
      <c r="M38" s="131"/>
    </row>
    <row r="39" spans="1:13" ht="27.9" customHeight="1">
      <c r="A39" s="132" t="s">
        <v>1595</v>
      </c>
      <c r="B39" s="132" t="e">
        <f t="array" ref="B39">IF(OR(F39=#REF!),"重疊","")</f>
        <v>#REF!</v>
      </c>
      <c r="C39" s="132" t="s">
        <v>1595</v>
      </c>
      <c r="D39" s="141">
        <v>25</v>
      </c>
      <c r="E39" s="135" t="s">
        <v>1694</v>
      </c>
      <c r="F39" s="132" t="s">
        <v>236</v>
      </c>
      <c r="G39" s="132" t="s">
        <v>1695</v>
      </c>
      <c r="H39" s="132" t="s">
        <v>1696</v>
      </c>
      <c r="I39" s="133" t="s">
        <v>1697</v>
      </c>
      <c r="J39" s="132" t="s">
        <v>1682</v>
      </c>
      <c r="K39" s="131"/>
      <c r="L39" s="131"/>
      <c r="M39" s="131"/>
    </row>
    <row r="40" spans="1:13" ht="27.9" customHeight="1">
      <c r="A40" s="132"/>
      <c r="B40" s="132" t="e">
        <f t="array" ref="B40">IF(OR(F40=#REF!),"重疊","")</f>
        <v>#REF!</v>
      </c>
      <c r="C40" s="132"/>
      <c r="D40" s="142">
        <v>26</v>
      </c>
      <c r="E40" s="143" t="s">
        <v>216</v>
      </c>
      <c r="F40" s="132" t="s">
        <v>216</v>
      </c>
      <c r="G40" s="132"/>
      <c r="H40" s="132"/>
      <c r="I40" s="133"/>
      <c r="J40" s="132"/>
      <c r="K40" s="131"/>
      <c r="L40" s="131"/>
      <c r="M40" s="131"/>
    </row>
    <row r="41" spans="1:13" ht="27.9" customHeight="1">
      <c r="A41" s="132" t="s">
        <v>1595</v>
      </c>
      <c r="B41" s="132" t="e">
        <f t="array" ref="B41">IF(OR(F41=#REF!),"重疊","")</f>
        <v>#REF!</v>
      </c>
      <c r="C41" s="132"/>
      <c r="D41" s="139">
        <v>27</v>
      </c>
      <c r="E41" s="140" t="s">
        <v>1698</v>
      </c>
      <c r="F41" s="132" t="s">
        <v>221</v>
      </c>
      <c r="G41" s="132" t="s">
        <v>1628</v>
      </c>
      <c r="H41" s="132" t="s">
        <v>1699</v>
      </c>
      <c r="I41" s="133" t="s">
        <v>1700</v>
      </c>
      <c r="J41" s="132" t="s">
        <v>1701</v>
      </c>
      <c r="K41" s="131" t="s">
        <v>1640</v>
      </c>
      <c r="L41" s="136" t="s">
        <v>1641</v>
      </c>
      <c r="M41" s="131" t="s">
        <v>1702</v>
      </c>
    </row>
    <row r="42" spans="1:13" ht="27.9" customHeight="1">
      <c r="A42" s="132"/>
      <c r="B42" s="132" t="e">
        <f t="array" ref="B42">IF(OR(F42=#REF!),"重疊","")</f>
        <v>#REF!</v>
      </c>
      <c r="C42" s="132"/>
      <c r="D42" s="142">
        <v>28</v>
      </c>
      <c r="E42" s="143" t="s">
        <v>1704</v>
      </c>
      <c r="F42" s="132" t="s">
        <v>570</v>
      </c>
      <c r="G42" s="132"/>
      <c r="H42" s="132"/>
      <c r="I42" s="133"/>
      <c r="J42" s="132"/>
      <c r="K42" s="131"/>
      <c r="L42" s="131"/>
      <c r="M42" s="131"/>
    </row>
    <row r="43" spans="1:13" ht="27.9" customHeight="1">
      <c r="A43" s="132"/>
      <c r="B43" s="132" t="e">
        <f t="array" ref="B43">IF(OR(F43=#REF!),"重疊","")</f>
        <v>#REF!</v>
      </c>
      <c r="C43" s="132"/>
      <c r="D43" s="142">
        <v>29</v>
      </c>
      <c r="E43" s="143" t="s">
        <v>1705</v>
      </c>
      <c r="F43" s="132" t="s">
        <v>255</v>
      </c>
      <c r="G43" s="132"/>
      <c r="H43" s="132"/>
      <c r="I43" s="133"/>
      <c r="J43" s="132"/>
      <c r="K43" s="131"/>
      <c r="L43" s="131"/>
      <c r="M43" s="131"/>
    </row>
    <row r="44" spans="1:13" ht="27.9" customHeight="1">
      <c r="A44" s="132"/>
      <c r="B44" s="132" t="e">
        <f t="array" ref="B44">IF(OR(F44=#REF!),"重疊","")</f>
        <v>#REF!</v>
      </c>
      <c r="C44" s="132" t="s">
        <v>1595</v>
      </c>
      <c r="D44" s="141">
        <v>30</v>
      </c>
      <c r="E44" s="135" t="s">
        <v>1706</v>
      </c>
      <c r="F44" s="132" t="s">
        <v>1707</v>
      </c>
      <c r="G44" s="132"/>
      <c r="H44" s="132"/>
      <c r="I44" s="133"/>
      <c r="J44" s="132"/>
      <c r="K44" s="131"/>
      <c r="L44" s="131"/>
      <c r="M44" s="131"/>
    </row>
    <row r="45" spans="1:13" ht="27.9" customHeight="1">
      <c r="A45" s="132"/>
      <c r="B45" s="132" t="e">
        <f t="array" ref="B45">IF(OR(F45=#REF!),"重疊","")</f>
        <v>#REF!</v>
      </c>
      <c r="C45" s="132" t="s">
        <v>1595</v>
      </c>
      <c r="D45" s="141">
        <v>31</v>
      </c>
      <c r="E45" s="135" t="s">
        <v>1708</v>
      </c>
      <c r="F45" s="132" t="s">
        <v>270</v>
      </c>
      <c r="G45" s="132"/>
      <c r="H45" s="132"/>
      <c r="I45" s="133"/>
      <c r="J45" s="132"/>
      <c r="K45" s="131"/>
      <c r="L45" s="131"/>
      <c r="M45" s="131"/>
    </row>
    <row r="46" spans="1:13" ht="27.9" customHeight="1">
      <c r="A46" s="132" t="s">
        <v>1595</v>
      </c>
      <c r="B46" s="132" t="e">
        <f t="array" ref="B46">IF(OR(F46=#REF!),"重疊","")</f>
        <v>#REF!</v>
      </c>
      <c r="C46" s="132" t="s">
        <v>1595</v>
      </c>
      <c r="D46" s="141">
        <v>32</v>
      </c>
      <c r="E46" s="135" t="s">
        <v>1709</v>
      </c>
      <c r="F46" s="132" t="s">
        <v>616</v>
      </c>
      <c r="G46" s="132"/>
      <c r="H46" s="132"/>
      <c r="I46" s="133"/>
      <c r="J46" s="132"/>
      <c r="K46" s="131"/>
      <c r="L46" s="131"/>
      <c r="M46" s="131"/>
    </row>
    <row r="47" spans="1:13" ht="27.9" customHeight="1">
      <c r="A47" s="132"/>
      <c r="B47" s="132" t="e">
        <f t="array" ref="B47">IF(OR(F47=#REF!),"重疊","")</f>
        <v>#REF!</v>
      </c>
      <c r="C47" s="132"/>
      <c r="D47" s="142">
        <v>33</v>
      </c>
      <c r="E47" s="143" t="s">
        <v>292</v>
      </c>
      <c r="F47" s="132" t="s">
        <v>292</v>
      </c>
      <c r="G47" s="132"/>
      <c r="H47" s="132"/>
      <c r="I47" s="133"/>
      <c r="J47" s="132"/>
      <c r="K47" s="131"/>
      <c r="L47" s="131"/>
      <c r="M47" s="131"/>
    </row>
    <row r="48" spans="1:13" ht="27.9" customHeight="1">
      <c r="A48" s="132" t="s">
        <v>1595</v>
      </c>
      <c r="B48" s="132" t="e">
        <f t="array" ref="B48">IF(OR(F48=#REF!),"重疊","")</f>
        <v>#REF!</v>
      </c>
      <c r="C48" s="132" t="s">
        <v>1595</v>
      </c>
      <c r="D48" s="141">
        <v>34</v>
      </c>
      <c r="E48" s="135" t="s">
        <v>1710</v>
      </c>
      <c r="F48" s="132" t="s">
        <v>1711</v>
      </c>
      <c r="G48" s="132"/>
      <c r="H48" s="132"/>
      <c r="I48" s="133"/>
      <c r="J48" s="132"/>
      <c r="K48" s="131"/>
      <c r="L48" s="131"/>
      <c r="M48" s="131"/>
    </row>
    <row r="49" spans="1:13" ht="27.9" customHeight="1">
      <c r="A49" s="132" t="s">
        <v>1595</v>
      </c>
      <c r="B49" s="132" t="e">
        <f t="array" ref="B49">IF(OR(F49=#REF!),"重疊","")</f>
        <v>#REF!</v>
      </c>
      <c r="C49" s="132" t="s">
        <v>1595</v>
      </c>
      <c r="D49" s="141">
        <v>35</v>
      </c>
      <c r="E49" s="135" t="s">
        <v>1712</v>
      </c>
      <c r="F49" s="132" t="s">
        <v>156</v>
      </c>
      <c r="G49" s="132"/>
      <c r="H49" s="132"/>
      <c r="I49" s="133"/>
      <c r="J49" s="132"/>
      <c r="K49" s="131"/>
      <c r="L49" s="131"/>
      <c r="M49" s="131"/>
    </row>
    <row r="50" spans="1:13" ht="27.9" customHeight="1">
      <c r="A50" s="132" t="s">
        <v>1595</v>
      </c>
      <c r="B50" s="132" t="e">
        <f t="array" ref="B50">IF(OR(F50=#REF!),"重疊","")</f>
        <v>#REF!</v>
      </c>
      <c r="C50" s="132" t="s">
        <v>1595</v>
      </c>
      <c r="D50" s="141">
        <v>36</v>
      </c>
      <c r="E50" s="135" t="s">
        <v>1713</v>
      </c>
      <c r="F50" s="132" t="s">
        <v>724</v>
      </c>
      <c r="G50" s="132" t="s">
        <v>1628</v>
      </c>
      <c r="H50" s="132" t="s">
        <v>1714</v>
      </c>
      <c r="I50" s="133">
        <v>103.05</v>
      </c>
      <c r="J50" s="132" t="s">
        <v>1682</v>
      </c>
      <c r="K50" s="131" t="s">
        <v>1715</v>
      </c>
      <c r="L50" s="136" t="s">
        <v>1716</v>
      </c>
      <c r="M50" s="131" t="s">
        <v>1717</v>
      </c>
    </row>
    <row r="51" spans="1:13" ht="27.9" customHeight="1">
      <c r="A51" s="132"/>
      <c r="B51" s="132" t="e">
        <f t="array" ref="B51">IF(OR(F51=#REF!),"重疊","")</f>
        <v>#REF!</v>
      </c>
      <c r="C51" s="132" t="s">
        <v>1595</v>
      </c>
      <c r="D51" s="141">
        <v>37</v>
      </c>
      <c r="E51" s="135" t="s">
        <v>1718</v>
      </c>
      <c r="F51" s="132" t="s">
        <v>1513</v>
      </c>
      <c r="G51" s="132"/>
      <c r="H51" s="132"/>
      <c r="I51" s="133"/>
      <c r="J51" s="132"/>
      <c r="K51" s="131"/>
      <c r="L51" s="131"/>
      <c r="M51" s="131"/>
    </row>
    <row r="52" spans="1:13" ht="27.9" customHeight="1">
      <c r="A52" s="132" t="s">
        <v>1595</v>
      </c>
      <c r="B52" s="132" t="e">
        <f t="array" ref="B52">IF(OR(F52=#REF!),"重疊","")</f>
        <v>#REF!</v>
      </c>
      <c r="C52" s="132" t="s">
        <v>1595</v>
      </c>
      <c r="D52" s="141">
        <v>38</v>
      </c>
      <c r="E52" s="135" t="s">
        <v>1719</v>
      </c>
      <c r="F52" s="132" t="s">
        <v>1514</v>
      </c>
      <c r="G52" s="132"/>
      <c r="H52" s="132"/>
      <c r="I52" s="133"/>
      <c r="J52" s="132"/>
      <c r="K52" s="131"/>
      <c r="L52" s="131"/>
      <c r="M52" s="131"/>
    </row>
    <row r="53" spans="1:13" ht="27.9" customHeight="1">
      <c r="A53" s="132" t="s">
        <v>1595</v>
      </c>
      <c r="B53" s="132" t="e">
        <f t="array" ref="B53">IF(OR(F53=#REF!),"重疊","")</f>
        <v>#REF!</v>
      </c>
      <c r="C53" s="132"/>
      <c r="D53" s="145">
        <v>39</v>
      </c>
      <c r="E53" s="146" t="s">
        <v>1720</v>
      </c>
      <c r="F53" s="132" t="s">
        <v>1515</v>
      </c>
      <c r="G53" s="132" t="s">
        <v>1653</v>
      </c>
      <c r="H53" s="132" t="s">
        <v>1721</v>
      </c>
      <c r="I53" s="133" t="s">
        <v>1722</v>
      </c>
      <c r="J53" s="132" t="s">
        <v>1723</v>
      </c>
      <c r="K53" s="131" t="s">
        <v>1724</v>
      </c>
      <c r="L53" s="136" t="s">
        <v>1633</v>
      </c>
      <c r="M53" s="131" t="s">
        <v>1725</v>
      </c>
    </row>
    <row r="54" spans="1:13" ht="27.9" customHeight="1">
      <c r="A54" s="132"/>
      <c r="B54" s="132" t="e">
        <f t="array" ref="B54">IF(OR(F54=#REF!),"重疊","")</f>
        <v>#REF!</v>
      </c>
      <c r="C54" s="132" t="s">
        <v>1595</v>
      </c>
      <c r="D54" s="141">
        <v>40</v>
      </c>
      <c r="E54" s="135" t="s">
        <v>1726</v>
      </c>
      <c r="F54" s="132" t="s">
        <v>354</v>
      </c>
      <c r="G54" s="132"/>
      <c r="H54" s="132"/>
      <c r="I54" s="133"/>
      <c r="J54" s="132"/>
      <c r="K54" s="131"/>
      <c r="L54" s="131"/>
      <c r="M54" s="131"/>
    </row>
    <row r="55" spans="1:13" ht="27.9" customHeight="1">
      <c r="A55" s="132" t="s">
        <v>1595</v>
      </c>
      <c r="B55" s="132" t="e">
        <f t="array" ref="B55">IF(OR(F55=#REF!),"重疊","")</f>
        <v>#REF!</v>
      </c>
      <c r="C55" s="132" t="s">
        <v>1595</v>
      </c>
      <c r="D55" s="141">
        <v>41</v>
      </c>
      <c r="E55" s="135" t="s">
        <v>1727</v>
      </c>
      <c r="F55" s="132" t="s">
        <v>1516</v>
      </c>
      <c r="G55" s="132"/>
      <c r="H55" s="132"/>
      <c r="I55" s="133"/>
      <c r="J55" s="132"/>
      <c r="K55" s="131"/>
      <c r="L55" s="131"/>
      <c r="M55" s="131"/>
    </row>
    <row r="56" spans="1:13" ht="27.9" customHeight="1">
      <c r="A56" s="132"/>
      <c r="B56" s="132" t="e">
        <f t="array" ref="B56">IF(OR(F56=#REF!),"重疊","")</f>
        <v>#REF!</v>
      </c>
      <c r="C56" s="132" t="s">
        <v>1595</v>
      </c>
      <c r="D56" s="141">
        <v>42</v>
      </c>
      <c r="E56" s="135" t="s">
        <v>1728</v>
      </c>
      <c r="F56" s="132" t="s">
        <v>641</v>
      </c>
      <c r="G56" s="132"/>
      <c r="H56" s="132"/>
      <c r="I56" s="133"/>
      <c r="J56" s="132"/>
      <c r="K56" s="131"/>
      <c r="L56" s="131"/>
      <c r="M56" s="131"/>
    </row>
    <row r="57" spans="1:13" ht="38.25" customHeight="1">
      <c r="A57" s="132" t="s">
        <v>1595</v>
      </c>
      <c r="B57" s="132" t="e">
        <f t="array" ref="B57">IF(OR(F57=#REF!),"重疊","")</f>
        <v>#REF!</v>
      </c>
      <c r="C57" s="132" t="s">
        <v>1595</v>
      </c>
      <c r="D57" s="141">
        <v>43</v>
      </c>
      <c r="E57" s="135" t="s">
        <v>1729</v>
      </c>
      <c r="F57" s="132" t="s">
        <v>647</v>
      </c>
      <c r="G57" s="132" t="s">
        <v>1628</v>
      </c>
      <c r="H57" s="132" t="s">
        <v>1730</v>
      </c>
      <c r="I57" s="133" t="s">
        <v>1731</v>
      </c>
      <c r="J57" s="132" t="s">
        <v>1732</v>
      </c>
      <c r="K57" s="131" t="s">
        <v>1724</v>
      </c>
      <c r="L57" s="136" t="s">
        <v>1633</v>
      </c>
      <c r="M57" s="131" t="s">
        <v>1733</v>
      </c>
    </row>
    <row r="58" spans="1:13" ht="27.9" customHeight="1">
      <c r="A58" s="132" t="s">
        <v>1595</v>
      </c>
      <c r="B58" s="132" t="e">
        <f t="array" ref="B58">IF(OR(F58=#REF!),"重疊","")</f>
        <v>#REF!</v>
      </c>
      <c r="C58" s="132" t="s">
        <v>1595</v>
      </c>
      <c r="D58" s="141">
        <v>44</v>
      </c>
      <c r="E58" s="135" t="s">
        <v>1734</v>
      </c>
      <c r="F58" s="132" t="s">
        <v>1735</v>
      </c>
      <c r="G58" s="132" t="s">
        <v>1628</v>
      </c>
      <c r="H58" s="132" t="s">
        <v>1736</v>
      </c>
      <c r="I58" s="133" t="s">
        <v>1737</v>
      </c>
      <c r="J58" s="132" t="s">
        <v>1738</v>
      </c>
      <c r="K58" s="131" t="s">
        <v>1715</v>
      </c>
      <c r="L58" s="131"/>
      <c r="M58" s="131"/>
    </row>
    <row r="59" spans="1:13" ht="27.9" customHeight="1">
      <c r="A59" s="132"/>
      <c r="B59" s="132" t="e">
        <f t="array" ref="B59">IF(OR(F59=#REF!),"重疊","")</f>
        <v>#REF!</v>
      </c>
      <c r="C59" s="132"/>
      <c r="D59" s="142">
        <v>45</v>
      </c>
      <c r="E59" s="143" t="s">
        <v>588</v>
      </c>
      <c r="F59" s="132" t="s">
        <v>588</v>
      </c>
      <c r="G59" s="132"/>
      <c r="H59" s="132"/>
      <c r="I59" s="133"/>
      <c r="J59" s="132"/>
      <c r="K59" s="131"/>
      <c r="L59" s="131"/>
      <c r="M59" s="131"/>
    </row>
    <row r="60" spans="1:13" ht="39.75" customHeight="1">
      <c r="A60" s="132" t="s">
        <v>1595</v>
      </c>
      <c r="B60" s="132" t="e">
        <f t="array" ref="B60">IF(OR(F60=#REF!),"重疊","")</f>
        <v>#REF!</v>
      </c>
      <c r="C60" s="132" t="s">
        <v>1595</v>
      </c>
      <c r="D60" s="141">
        <v>46</v>
      </c>
      <c r="E60" s="135" t="s">
        <v>1739</v>
      </c>
      <c r="F60" s="132" t="s">
        <v>688</v>
      </c>
      <c r="G60" s="132" t="s">
        <v>1628</v>
      </c>
      <c r="H60" s="132" t="s">
        <v>1736</v>
      </c>
      <c r="I60" s="133" t="s">
        <v>1740</v>
      </c>
      <c r="J60" s="132" t="s">
        <v>1741</v>
      </c>
      <c r="K60" s="131" t="s">
        <v>1724</v>
      </c>
      <c r="L60" s="136" t="s">
        <v>1633</v>
      </c>
      <c r="M60" s="131" t="s">
        <v>1742</v>
      </c>
    </row>
    <row r="61" spans="1:13" ht="27.9" customHeight="1">
      <c r="A61" s="132" t="s">
        <v>1595</v>
      </c>
      <c r="B61" s="132" t="e">
        <f t="array" ref="B61">IF(OR(F61=#REF!),"重疊","")</f>
        <v>#REF!</v>
      </c>
      <c r="C61" s="132" t="s">
        <v>1595</v>
      </c>
      <c r="D61" s="141">
        <v>47</v>
      </c>
      <c r="E61" s="135" t="s">
        <v>1743</v>
      </c>
      <c r="F61" s="132" t="s">
        <v>649</v>
      </c>
      <c r="G61" s="132"/>
      <c r="H61" s="132"/>
      <c r="I61" s="133"/>
      <c r="J61" s="132"/>
      <c r="K61" s="131"/>
      <c r="L61" s="131"/>
      <c r="M61" s="131"/>
    </row>
    <row r="62" spans="1:13" ht="27.9" customHeight="1">
      <c r="A62" s="132" t="s">
        <v>1595</v>
      </c>
      <c r="B62" s="132" t="e">
        <f t="array" ref="B62">IF(OR(F62=#REF!),"重疊","")</f>
        <v>#REF!</v>
      </c>
      <c r="C62" s="132"/>
      <c r="D62" s="139">
        <v>48</v>
      </c>
      <c r="E62" s="140" t="s">
        <v>1744</v>
      </c>
      <c r="F62" s="132" t="s">
        <v>137</v>
      </c>
      <c r="G62" s="132" t="s">
        <v>1628</v>
      </c>
      <c r="H62" s="132" t="s">
        <v>1637</v>
      </c>
      <c r="I62" s="133">
        <v>103.08</v>
      </c>
      <c r="J62" s="132" t="s">
        <v>1745</v>
      </c>
      <c r="K62" s="131" t="s">
        <v>1640</v>
      </c>
      <c r="L62" s="136" t="s">
        <v>1641</v>
      </c>
      <c r="M62" s="131" t="s">
        <v>1746</v>
      </c>
    </row>
    <row r="63" spans="1:13" ht="39.75" customHeight="1">
      <c r="A63" s="132" t="s">
        <v>1595</v>
      </c>
      <c r="B63" s="132" t="e">
        <f t="array" ref="B63">IF(OR(F63=#REF!),"重疊","")</f>
        <v>#REF!</v>
      </c>
      <c r="C63" s="132" t="s">
        <v>1595</v>
      </c>
      <c r="D63" s="141">
        <v>49</v>
      </c>
      <c r="E63" s="135" t="s">
        <v>1747</v>
      </c>
      <c r="F63" s="132" t="s">
        <v>1517</v>
      </c>
      <c r="G63" s="132" t="s">
        <v>1628</v>
      </c>
      <c r="H63" s="132"/>
      <c r="I63" s="133" t="s">
        <v>1748</v>
      </c>
      <c r="J63" s="132" t="s">
        <v>1749</v>
      </c>
      <c r="K63" s="131" t="s">
        <v>1750</v>
      </c>
      <c r="L63" s="136" t="s">
        <v>1751</v>
      </c>
      <c r="M63" s="131" t="s">
        <v>1752</v>
      </c>
    </row>
    <row r="64" spans="1:13" ht="27.9" customHeight="1">
      <c r="A64" s="132"/>
      <c r="B64" s="132" t="e">
        <f t="array" ref="B64">IF(OR(F64=#REF!),"重疊","")</f>
        <v>#REF!</v>
      </c>
      <c r="C64" s="132"/>
      <c r="D64" s="142">
        <v>50</v>
      </c>
      <c r="E64" s="143" t="s">
        <v>1753</v>
      </c>
      <c r="F64" s="132" t="s">
        <v>143</v>
      </c>
      <c r="G64" s="132"/>
      <c r="H64" s="132"/>
      <c r="I64" s="133"/>
      <c r="J64" s="132"/>
      <c r="K64" s="131"/>
      <c r="L64" s="131"/>
      <c r="M64" s="131"/>
    </row>
    <row r="65" spans="1:14" ht="27.9" customHeight="1">
      <c r="A65" s="132" t="s">
        <v>1595</v>
      </c>
      <c r="B65" s="132" t="e">
        <f t="array" ref="B65">IF(OR(F65=#REF!),"重疊","")</f>
        <v>#REF!</v>
      </c>
      <c r="C65" s="132"/>
      <c r="D65" s="137">
        <v>51</v>
      </c>
      <c r="E65" s="138" t="s">
        <v>1754</v>
      </c>
      <c r="F65" s="132" t="s">
        <v>1099</v>
      </c>
      <c r="G65" s="132"/>
      <c r="H65" s="132"/>
      <c r="I65" s="133"/>
      <c r="J65" s="132"/>
      <c r="K65" s="131" t="s">
        <v>1755</v>
      </c>
      <c r="L65" s="136" t="s">
        <v>1756</v>
      </c>
      <c r="M65" s="131" t="s">
        <v>1757</v>
      </c>
      <c r="N65" s="113" t="s">
        <v>1758</v>
      </c>
    </row>
    <row r="66" spans="1:14" ht="27.9" customHeight="1">
      <c r="A66" s="132" t="s">
        <v>1595</v>
      </c>
      <c r="B66" s="132" t="e">
        <f t="array" ref="B66">IF(OR(F66=#REF!),"重疊","")</f>
        <v>#REF!</v>
      </c>
      <c r="C66" s="132"/>
      <c r="D66" s="142">
        <v>52</v>
      </c>
      <c r="E66" s="143" t="s">
        <v>1759</v>
      </c>
      <c r="F66" s="132" t="s">
        <v>387</v>
      </c>
      <c r="G66" s="132"/>
      <c r="H66" s="132" t="s">
        <v>1760</v>
      </c>
      <c r="I66" s="133">
        <v>103.12</v>
      </c>
      <c r="J66" s="132" t="s">
        <v>1761</v>
      </c>
      <c r="K66" s="131" t="s">
        <v>1762</v>
      </c>
      <c r="L66" s="131"/>
      <c r="M66" s="131"/>
    </row>
    <row r="67" spans="1:14" ht="27.9" customHeight="1">
      <c r="A67" s="132" t="s">
        <v>1595</v>
      </c>
      <c r="B67" s="132" t="e">
        <f t="array" ref="B67">IF(OR(F67=#REF!),"重疊","")</f>
        <v>#REF!</v>
      </c>
      <c r="C67" s="132"/>
      <c r="D67" s="137">
        <v>53</v>
      </c>
      <c r="E67" s="138" t="s">
        <v>1763</v>
      </c>
      <c r="F67" s="132" t="s">
        <v>1105</v>
      </c>
      <c r="G67" s="132"/>
      <c r="H67" s="132"/>
      <c r="I67" s="133"/>
      <c r="J67" s="132"/>
      <c r="K67" s="131"/>
      <c r="L67" s="131"/>
      <c r="M67" s="131"/>
    </row>
    <row r="68" spans="1:14" ht="32.25" customHeight="1">
      <c r="A68" s="132" t="s">
        <v>1595</v>
      </c>
      <c r="B68" s="132" t="e">
        <f t="array" ref="B68">IF(OR(F68=#REF!),"重疊","")</f>
        <v>#REF!</v>
      </c>
      <c r="C68" s="132"/>
      <c r="D68" s="137">
        <v>54</v>
      </c>
      <c r="E68" s="138" t="s">
        <v>1764</v>
      </c>
      <c r="F68" s="132" t="s">
        <v>188</v>
      </c>
      <c r="G68" s="132" t="s">
        <v>1765</v>
      </c>
      <c r="H68" s="132" t="s">
        <v>1766</v>
      </c>
      <c r="I68" s="133" t="s">
        <v>1767</v>
      </c>
      <c r="J68" s="132" t="s">
        <v>1768</v>
      </c>
      <c r="K68" s="131" t="s">
        <v>1762</v>
      </c>
      <c r="L68" s="136" t="s">
        <v>1769</v>
      </c>
      <c r="M68" s="131"/>
    </row>
    <row r="69" spans="1:14" ht="27.9" customHeight="1">
      <c r="A69" s="132" t="s">
        <v>1595</v>
      </c>
      <c r="B69" s="132" t="e">
        <f t="array" ref="B69">IF(OR(F69=#REF!),"重疊","")</f>
        <v>#REF!</v>
      </c>
      <c r="C69" s="132"/>
      <c r="D69" s="137">
        <v>55</v>
      </c>
      <c r="E69" s="138" t="s">
        <v>1770</v>
      </c>
      <c r="F69" s="132" t="s">
        <v>161</v>
      </c>
      <c r="G69" s="132" t="s">
        <v>1771</v>
      </c>
      <c r="H69" s="132" t="s">
        <v>1772</v>
      </c>
      <c r="I69" s="133" t="s">
        <v>1773</v>
      </c>
      <c r="J69" s="132" t="s">
        <v>1774</v>
      </c>
      <c r="K69" s="131" t="s">
        <v>1762</v>
      </c>
      <c r="L69" s="136" t="s">
        <v>1769</v>
      </c>
      <c r="M69" s="131" t="s">
        <v>1775</v>
      </c>
    </row>
    <row r="70" spans="1:14" ht="27.9" customHeight="1">
      <c r="A70" s="132" t="s">
        <v>1595</v>
      </c>
      <c r="B70" s="132" t="e">
        <f t="array" ref="B70">IF(OR(F70=#REF!),"重疊","")</f>
        <v>#REF!</v>
      </c>
      <c r="C70" s="132" t="s">
        <v>1595</v>
      </c>
      <c r="D70" s="141">
        <v>56</v>
      </c>
      <c r="E70" s="135" t="s">
        <v>1776</v>
      </c>
      <c r="F70" s="132" t="s">
        <v>1518</v>
      </c>
      <c r="G70" s="132"/>
      <c r="H70" s="132"/>
      <c r="I70" s="133"/>
      <c r="J70" s="132"/>
      <c r="K70" s="131" t="s">
        <v>1777</v>
      </c>
      <c r="L70" s="136" t="s">
        <v>1624</v>
      </c>
      <c r="M70" s="131" t="s">
        <v>1778</v>
      </c>
    </row>
    <row r="71" spans="1:14" ht="27.9" customHeight="1">
      <c r="A71" s="132"/>
      <c r="B71" s="132" t="e">
        <f t="array" ref="B71">IF(OR(F71=#REF!),"重疊","")</f>
        <v>#REF!</v>
      </c>
      <c r="C71" s="132"/>
      <c r="D71" s="142">
        <v>57</v>
      </c>
      <c r="E71" s="143" t="s">
        <v>1779</v>
      </c>
      <c r="F71" s="132" t="s">
        <v>684</v>
      </c>
      <c r="G71" s="132" t="s">
        <v>1780</v>
      </c>
      <c r="H71" s="132" t="s">
        <v>1781</v>
      </c>
      <c r="I71" s="133" t="s">
        <v>1782</v>
      </c>
      <c r="J71" s="132" t="s">
        <v>1783</v>
      </c>
      <c r="K71" s="131" t="s">
        <v>1623</v>
      </c>
      <c r="L71" s="136" t="s">
        <v>1624</v>
      </c>
      <c r="M71" s="131"/>
    </row>
    <row r="72" spans="1:14" ht="27.9" customHeight="1">
      <c r="A72" s="132"/>
      <c r="B72" s="132" t="e">
        <f t="array" ref="B72">IF(OR(F72=#REF!),"重疊","")</f>
        <v>#REF!</v>
      </c>
      <c r="C72" s="132"/>
      <c r="D72" s="142">
        <v>58</v>
      </c>
      <c r="E72" s="143" t="s">
        <v>268</v>
      </c>
      <c r="F72" s="132" t="s">
        <v>268</v>
      </c>
      <c r="G72" s="132"/>
      <c r="H72" s="132"/>
      <c r="I72" s="133"/>
      <c r="J72" s="132"/>
      <c r="K72" s="131"/>
      <c r="L72" s="131"/>
      <c r="M72" s="131"/>
    </row>
    <row r="73" spans="1:14" ht="27.9" customHeight="1">
      <c r="A73" s="132"/>
      <c r="B73" s="132" t="e">
        <f t="array" ref="B73">IF(OR(F73=#REF!),"重疊","")</f>
        <v>#REF!</v>
      </c>
      <c r="C73" s="132" t="s">
        <v>1595</v>
      </c>
      <c r="D73" s="141">
        <v>59</v>
      </c>
      <c r="E73" s="135" t="s">
        <v>1784</v>
      </c>
      <c r="F73" s="132" t="s">
        <v>693</v>
      </c>
      <c r="G73" s="132" t="s">
        <v>1780</v>
      </c>
      <c r="H73" s="132" t="s">
        <v>1785</v>
      </c>
      <c r="I73" s="133">
        <v>103.05</v>
      </c>
      <c r="J73" s="132" t="s">
        <v>1786</v>
      </c>
      <c r="K73" s="131"/>
      <c r="L73" s="131"/>
      <c r="M73" s="131"/>
    </row>
    <row r="74" spans="1:14" ht="42.75" customHeight="1">
      <c r="A74" s="132"/>
      <c r="B74" s="132" t="e">
        <f t="array" ref="B74">IF(OR(F74=#REF!),"重疊","")</f>
        <v>#REF!</v>
      </c>
      <c r="C74" s="132" t="s">
        <v>1595</v>
      </c>
      <c r="D74" s="141">
        <v>60</v>
      </c>
      <c r="E74" s="135" t="s">
        <v>1787</v>
      </c>
      <c r="F74" s="132" t="s">
        <v>625</v>
      </c>
      <c r="G74" s="132" t="s">
        <v>1780</v>
      </c>
      <c r="H74" s="132" t="s">
        <v>1788</v>
      </c>
      <c r="I74" s="133" t="s">
        <v>1789</v>
      </c>
      <c r="J74" s="132" t="s">
        <v>1790</v>
      </c>
      <c r="K74" s="131"/>
      <c r="L74" s="131"/>
      <c r="M74" s="131"/>
    </row>
    <row r="75" spans="1:14" ht="27.9" customHeight="1">
      <c r="A75" s="132"/>
      <c r="B75" s="132" t="e">
        <f t="array" ref="B75">IF(OR(F75=#REF!),"重疊","")</f>
        <v>#REF!</v>
      </c>
      <c r="C75" s="132"/>
      <c r="D75" s="142">
        <v>61</v>
      </c>
      <c r="E75" s="143" t="s">
        <v>393</v>
      </c>
      <c r="F75" s="132" t="s">
        <v>393</v>
      </c>
      <c r="G75" s="132"/>
      <c r="H75" s="132"/>
      <c r="I75" s="133"/>
      <c r="J75" s="132"/>
      <c r="K75" s="131"/>
      <c r="L75" s="131"/>
      <c r="M75" s="131"/>
    </row>
    <row r="76" spans="1:14" ht="27.9" customHeight="1">
      <c r="A76" s="132" t="s">
        <v>1595</v>
      </c>
      <c r="B76" s="132" t="e">
        <f t="array" ref="B76">IF(OR(F76=#REF!),"重疊","")</f>
        <v>#REF!</v>
      </c>
      <c r="C76" s="132" t="s">
        <v>1595</v>
      </c>
      <c r="D76" s="141">
        <v>62</v>
      </c>
      <c r="E76" s="135" t="s">
        <v>1791</v>
      </c>
      <c r="F76" s="132" t="s">
        <v>296</v>
      </c>
      <c r="G76" s="132"/>
      <c r="H76" s="132"/>
      <c r="I76" s="133"/>
      <c r="J76" s="132"/>
      <c r="K76" s="131"/>
      <c r="L76" s="131"/>
      <c r="M76" s="131"/>
    </row>
    <row r="77" spans="1:14" ht="27.9" customHeight="1">
      <c r="A77" s="132"/>
      <c r="B77" s="132" t="e">
        <f t="array" ref="B77">IF(OR(F77=#REF!),"重疊","")</f>
        <v>#REF!</v>
      </c>
      <c r="C77" s="132"/>
      <c r="D77" s="142">
        <v>63</v>
      </c>
      <c r="E77" s="143" t="s">
        <v>1792</v>
      </c>
      <c r="F77" s="132" t="s">
        <v>325</v>
      </c>
      <c r="G77" s="132" t="s">
        <v>1780</v>
      </c>
      <c r="H77" s="132" t="s">
        <v>1793</v>
      </c>
      <c r="I77" s="133"/>
      <c r="J77" s="132" t="s">
        <v>1794</v>
      </c>
      <c r="K77" s="131"/>
      <c r="L77" s="131"/>
      <c r="M77" s="131"/>
    </row>
    <row r="78" spans="1:14" ht="43.5" customHeight="1">
      <c r="A78" s="132" t="s">
        <v>1595</v>
      </c>
      <c r="B78" s="132" t="e">
        <f t="array" ref="B78">IF(OR(F78=#REF!),"重疊","")</f>
        <v>#REF!</v>
      </c>
      <c r="C78" s="132" t="s">
        <v>1595</v>
      </c>
      <c r="D78" s="141">
        <v>64</v>
      </c>
      <c r="E78" s="135" t="s">
        <v>1795</v>
      </c>
      <c r="F78" s="132" t="s">
        <v>421</v>
      </c>
      <c r="G78" s="132" t="s">
        <v>1780</v>
      </c>
      <c r="H78" s="132" t="s">
        <v>1793</v>
      </c>
      <c r="I78" s="133" t="s">
        <v>1796</v>
      </c>
      <c r="J78" s="132" t="s">
        <v>1797</v>
      </c>
      <c r="K78" s="131" t="s">
        <v>1777</v>
      </c>
      <c r="L78" s="131">
        <v>29210028883</v>
      </c>
      <c r="M78" s="131" t="s">
        <v>1798</v>
      </c>
    </row>
    <row r="79" spans="1:14" ht="27.9" customHeight="1">
      <c r="A79" s="132" t="s">
        <v>1595</v>
      </c>
      <c r="B79" s="132" t="e">
        <f t="array" ref="B79">IF(OR(F79=#REF!),"重疊","")</f>
        <v>#REF!</v>
      </c>
      <c r="C79" s="132"/>
      <c r="D79" s="145">
        <v>65</v>
      </c>
      <c r="E79" s="146" t="s">
        <v>1799</v>
      </c>
      <c r="F79" s="132" t="s">
        <v>415</v>
      </c>
      <c r="G79" s="132" t="s">
        <v>1800</v>
      </c>
      <c r="H79" s="132" t="s">
        <v>1801</v>
      </c>
      <c r="I79" s="133" t="s">
        <v>1802</v>
      </c>
      <c r="J79" s="132" t="s">
        <v>1803</v>
      </c>
      <c r="K79" s="131" t="s">
        <v>1762</v>
      </c>
      <c r="L79" s="136" t="s">
        <v>1769</v>
      </c>
      <c r="M79" s="131" t="s">
        <v>1804</v>
      </c>
    </row>
    <row r="80" spans="1:14" ht="27.9" customHeight="1">
      <c r="A80" s="132"/>
      <c r="B80" s="132" t="e">
        <f t="array" ref="B80">IF(OR(F80=#REF!),"重疊","")</f>
        <v>#REF!</v>
      </c>
      <c r="C80" s="132"/>
      <c r="D80" s="142">
        <v>66</v>
      </c>
      <c r="E80" s="143" t="s">
        <v>343</v>
      </c>
      <c r="F80" s="132" t="s">
        <v>343</v>
      </c>
      <c r="G80" s="132" t="s">
        <v>1805</v>
      </c>
      <c r="H80" s="132" t="s">
        <v>1806</v>
      </c>
      <c r="I80" s="133" t="s">
        <v>1807</v>
      </c>
      <c r="J80" s="132" t="s">
        <v>1797</v>
      </c>
      <c r="K80" s="131" t="s">
        <v>1808</v>
      </c>
      <c r="L80" s="136" t="s">
        <v>1809</v>
      </c>
      <c r="M80" s="131" t="s">
        <v>1810</v>
      </c>
    </row>
    <row r="81" spans="1:14" ht="27.9" customHeight="1">
      <c r="A81" s="132"/>
      <c r="B81" s="132" t="e">
        <f t="array" ref="B81">IF(OR(F81=#REF!),"重疊","")</f>
        <v>#REF!</v>
      </c>
      <c r="C81" s="132"/>
      <c r="D81" s="142">
        <v>67</v>
      </c>
      <c r="E81" s="143" t="s">
        <v>1811</v>
      </c>
      <c r="F81" s="132" t="s">
        <v>1812</v>
      </c>
      <c r="G81" s="132"/>
      <c r="H81" s="132"/>
      <c r="I81" s="133"/>
      <c r="J81" s="132"/>
      <c r="K81" s="131"/>
      <c r="L81" s="131"/>
      <c r="M81" s="131"/>
    </row>
    <row r="82" spans="1:14" ht="27.9" customHeight="1">
      <c r="A82" s="132" t="s">
        <v>1595</v>
      </c>
      <c r="B82" s="132" t="e">
        <f t="array" ref="B82">IF(OR(F82=#REF!),"重疊","")</f>
        <v>#REF!</v>
      </c>
      <c r="C82" s="132" t="s">
        <v>1595</v>
      </c>
      <c r="D82" s="141">
        <v>68</v>
      </c>
      <c r="E82" s="135" t="s">
        <v>1813</v>
      </c>
      <c r="F82" s="132" t="s">
        <v>613</v>
      </c>
      <c r="G82" s="132"/>
      <c r="H82" s="132"/>
      <c r="I82" s="133"/>
      <c r="J82" s="132"/>
      <c r="K82" s="131"/>
      <c r="L82" s="131"/>
      <c r="M82" s="131"/>
    </row>
    <row r="83" spans="1:14" ht="27.9" customHeight="1">
      <c r="A83" s="132"/>
      <c r="B83" s="132" t="e">
        <f t="array" ref="B83">IF(OR(F83=#REF!),"重疊","")</f>
        <v>#REF!</v>
      </c>
      <c r="C83" s="132" t="s">
        <v>1595</v>
      </c>
      <c r="D83" s="141">
        <v>69</v>
      </c>
      <c r="E83" s="135" t="s">
        <v>1814</v>
      </c>
      <c r="F83" s="132" t="s">
        <v>705</v>
      </c>
      <c r="G83" s="132"/>
      <c r="H83" s="132"/>
      <c r="I83" s="133"/>
      <c r="J83" s="132"/>
      <c r="K83" s="131"/>
      <c r="L83" s="131"/>
      <c r="M83" s="131"/>
    </row>
    <row r="84" spans="1:14" ht="33" customHeight="1">
      <c r="A84" s="132" t="s">
        <v>1595</v>
      </c>
      <c r="B84" s="132" t="e">
        <f t="array" ref="B84">IF(OR(F84=#REF!),"重疊","")</f>
        <v>#REF!</v>
      </c>
      <c r="C84" s="132"/>
      <c r="D84" s="145">
        <v>70</v>
      </c>
      <c r="E84" s="146" t="s">
        <v>1815</v>
      </c>
      <c r="F84" s="132" t="s">
        <v>460</v>
      </c>
      <c r="G84" s="132" t="s">
        <v>1800</v>
      </c>
      <c r="H84" s="132" t="s">
        <v>1801</v>
      </c>
      <c r="I84" s="133" t="s">
        <v>1816</v>
      </c>
      <c r="J84" s="132" t="s">
        <v>1817</v>
      </c>
      <c r="K84" s="131" t="s">
        <v>1762</v>
      </c>
      <c r="L84" s="136" t="s">
        <v>1769</v>
      </c>
      <c r="M84" s="131"/>
    </row>
    <row r="85" spans="1:14" ht="27.9" customHeight="1">
      <c r="A85" s="132" t="s">
        <v>1595</v>
      </c>
      <c r="B85" s="132" t="e">
        <f t="array" ref="B85">IF(OR(F85=#REF!),"重疊","")</f>
        <v>#REF!</v>
      </c>
      <c r="C85" s="132" t="s">
        <v>1595</v>
      </c>
      <c r="D85" s="141">
        <v>71</v>
      </c>
      <c r="E85" s="135" t="s">
        <v>1818</v>
      </c>
      <c r="F85" s="132" t="s">
        <v>144</v>
      </c>
      <c r="G85" s="132" t="s">
        <v>1819</v>
      </c>
      <c r="H85" s="132" t="s">
        <v>1820</v>
      </c>
      <c r="I85" s="133">
        <v>103.11</v>
      </c>
      <c r="J85" s="132" t="s">
        <v>1821</v>
      </c>
      <c r="K85" s="131"/>
      <c r="L85" s="131"/>
      <c r="M85" s="131"/>
    </row>
    <row r="86" spans="1:14" ht="27.9" customHeight="1">
      <c r="A86" s="132"/>
      <c r="B86" s="132" t="e">
        <f t="array" ref="B86">IF(OR(F86=#REF!),"重疊","")</f>
        <v>#REF!</v>
      </c>
      <c r="C86" s="132" t="s">
        <v>1595</v>
      </c>
      <c r="D86" s="141">
        <v>72</v>
      </c>
      <c r="E86" s="135" t="s">
        <v>1822</v>
      </c>
      <c r="F86" s="132" t="s">
        <v>703</v>
      </c>
      <c r="G86" s="132"/>
      <c r="H86" s="132"/>
      <c r="I86" s="133"/>
      <c r="J86" s="132"/>
      <c r="K86" s="131"/>
      <c r="L86" s="131"/>
      <c r="M86" s="131"/>
    </row>
    <row r="87" spans="1:14" ht="27.9" customHeight="1">
      <c r="A87" s="132" t="s">
        <v>1595</v>
      </c>
      <c r="B87" s="132" t="e">
        <f t="array" ref="B87">IF(OR(F87=#REF!),"重疊","")</f>
        <v>#REF!</v>
      </c>
      <c r="C87" s="132"/>
      <c r="D87" s="142">
        <v>73</v>
      </c>
      <c r="E87" s="143" t="s">
        <v>1823</v>
      </c>
      <c r="F87" s="132" t="s">
        <v>208</v>
      </c>
      <c r="G87" s="132" t="s">
        <v>1780</v>
      </c>
      <c r="H87" s="132" t="s">
        <v>1824</v>
      </c>
      <c r="I87" s="133">
        <v>103.08</v>
      </c>
      <c r="J87" s="132" t="s">
        <v>1825</v>
      </c>
      <c r="K87" s="131" t="s">
        <v>1826</v>
      </c>
      <c r="L87" s="136" t="s">
        <v>1827</v>
      </c>
      <c r="M87" s="131" t="s">
        <v>1828</v>
      </c>
    </row>
    <row r="88" spans="1:14" ht="39.75" customHeight="1">
      <c r="A88" s="132" t="s">
        <v>1595</v>
      </c>
      <c r="B88" s="132" t="e">
        <f t="array" ref="B88">IF(OR(F88=#REF!),"重疊","")</f>
        <v>#REF!</v>
      </c>
      <c r="C88" s="132" t="s">
        <v>1595</v>
      </c>
      <c r="D88" s="141">
        <v>74</v>
      </c>
      <c r="E88" s="135" t="s">
        <v>1829</v>
      </c>
      <c r="F88" s="132" t="s">
        <v>1830</v>
      </c>
      <c r="G88" s="132" t="s">
        <v>1780</v>
      </c>
      <c r="H88" s="132" t="s">
        <v>1785</v>
      </c>
      <c r="I88" s="133" t="s">
        <v>1831</v>
      </c>
      <c r="J88" s="132" t="s">
        <v>1797</v>
      </c>
      <c r="K88" s="131" t="s">
        <v>1826</v>
      </c>
      <c r="L88" s="136" t="s">
        <v>1832</v>
      </c>
      <c r="M88" s="131"/>
    </row>
    <row r="89" spans="1:14" ht="27.9" customHeight="1">
      <c r="A89" s="132"/>
      <c r="B89" s="132" t="e">
        <f t="array" ref="B89">IF(OR(F89=#REF!),"重疊","")</f>
        <v>#REF!</v>
      </c>
      <c r="C89" s="132" t="s">
        <v>1595</v>
      </c>
      <c r="D89" s="141">
        <v>75</v>
      </c>
      <c r="E89" s="135" t="s">
        <v>1833</v>
      </c>
      <c r="F89" s="132" t="s">
        <v>624</v>
      </c>
      <c r="G89" s="132"/>
      <c r="H89" s="132"/>
      <c r="I89" s="133"/>
      <c r="J89" s="132"/>
      <c r="K89" s="131"/>
      <c r="L89" s="131"/>
      <c r="M89" s="131"/>
    </row>
    <row r="90" spans="1:14" ht="27.9" customHeight="1">
      <c r="A90" s="132"/>
      <c r="B90" s="132" t="e">
        <f t="array" ref="B90">IF(OR(F90=#REF!),"重疊","")</f>
        <v>#REF!</v>
      </c>
      <c r="C90" s="132"/>
      <c r="D90" s="142">
        <v>76</v>
      </c>
      <c r="E90" s="143" t="s">
        <v>215</v>
      </c>
      <c r="F90" s="132" t="s">
        <v>215</v>
      </c>
      <c r="G90" s="132"/>
      <c r="H90" s="132"/>
      <c r="I90" s="133"/>
      <c r="J90" s="132"/>
      <c r="K90" s="131"/>
      <c r="L90" s="131"/>
      <c r="M90" s="131"/>
    </row>
    <row r="91" spans="1:14" ht="27.9" customHeight="1">
      <c r="A91" s="132"/>
      <c r="B91" s="132" t="e">
        <f t="array" ref="B91">IF(OR(F91=#REF!),"重疊","")</f>
        <v>#REF!</v>
      </c>
      <c r="C91" s="132"/>
      <c r="D91" s="142">
        <v>77</v>
      </c>
      <c r="E91" s="143" t="s">
        <v>367</v>
      </c>
      <c r="F91" s="132" t="s">
        <v>367</v>
      </c>
      <c r="G91" s="132"/>
      <c r="H91" s="132"/>
      <c r="I91" s="133"/>
      <c r="J91" s="132"/>
      <c r="K91" s="131"/>
      <c r="L91" s="131"/>
      <c r="M91" s="131"/>
    </row>
    <row r="92" spans="1:14" ht="27.9" customHeight="1">
      <c r="A92" s="132"/>
      <c r="B92" s="132" t="e">
        <f t="array" ref="B92">IF(OR(F92=#REF!),"重疊","")</f>
        <v>#REF!</v>
      </c>
      <c r="C92" s="132"/>
      <c r="D92" s="142">
        <v>78</v>
      </c>
      <c r="E92" s="143" t="s">
        <v>355</v>
      </c>
      <c r="F92" s="132" t="s">
        <v>355</v>
      </c>
      <c r="G92" s="132"/>
      <c r="H92" s="132"/>
      <c r="I92" s="133"/>
      <c r="J92" s="132"/>
      <c r="K92" s="131"/>
      <c r="L92" s="131"/>
      <c r="M92" s="131"/>
    </row>
    <row r="93" spans="1:14" ht="27.9" customHeight="1">
      <c r="A93" s="132" t="s">
        <v>1595</v>
      </c>
      <c r="B93" s="132" t="e">
        <f t="array" ref="B93">IF(OR(F93=#REF!),"重疊","")</f>
        <v>#REF!</v>
      </c>
      <c r="C93" s="132" t="s">
        <v>1595</v>
      </c>
      <c r="D93" s="141">
        <v>79</v>
      </c>
      <c r="E93" s="135" t="s">
        <v>1834</v>
      </c>
      <c r="F93" s="132" t="s">
        <v>294</v>
      </c>
      <c r="G93" s="132"/>
      <c r="H93" s="132"/>
      <c r="I93" s="133"/>
      <c r="J93" s="132"/>
      <c r="K93" s="131"/>
      <c r="L93" s="131"/>
      <c r="M93" s="131"/>
    </row>
    <row r="94" spans="1:14" ht="27.9" customHeight="1">
      <c r="A94" s="132" t="s">
        <v>1595</v>
      </c>
      <c r="B94" s="132" t="e">
        <f t="array" ref="B94">IF(OR(F94=#REF!),"重疊","")</f>
        <v>#REF!</v>
      </c>
      <c r="C94" s="132" t="s">
        <v>1595</v>
      </c>
      <c r="D94" s="141">
        <v>80</v>
      </c>
      <c r="E94" s="135" t="s">
        <v>1835</v>
      </c>
      <c r="F94" s="132" t="s">
        <v>267</v>
      </c>
      <c r="G94" s="132" t="s">
        <v>1819</v>
      </c>
      <c r="H94" s="132" t="s">
        <v>1788</v>
      </c>
      <c r="I94" s="133" t="s">
        <v>1836</v>
      </c>
      <c r="J94" s="132" t="s">
        <v>1837</v>
      </c>
      <c r="K94" s="131"/>
      <c r="L94" s="131"/>
      <c r="M94" s="131"/>
    </row>
    <row r="95" spans="1:14" ht="27.9" customHeight="1">
      <c r="A95" s="132"/>
      <c r="B95" s="132" t="e">
        <f t="array" ref="B95">IF(OR(F95=#REF!),"重疊","")</f>
        <v>#REF!</v>
      </c>
      <c r="C95" s="132"/>
      <c r="D95" s="139">
        <v>81</v>
      </c>
      <c r="E95" s="140" t="s">
        <v>1838</v>
      </c>
      <c r="F95" s="132" t="s">
        <v>494</v>
      </c>
      <c r="G95" s="132" t="s">
        <v>1839</v>
      </c>
      <c r="H95" s="132" t="s">
        <v>1840</v>
      </c>
      <c r="I95" s="133" t="s">
        <v>1836</v>
      </c>
      <c r="J95" s="132" t="s">
        <v>1841</v>
      </c>
      <c r="K95" s="133" t="s">
        <v>1842</v>
      </c>
      <c r="L95" s="136" t="s">
        <v>1843</v>
      </c>
      <c r="M95" s="131" t="s">
        <v>1841</v>
      </c>
      <c r="N95" s="113" t="s">
        <v>1844</v>
      </c>
    </row>
    <row r="96" spans="1:14" ht="27.9" customHeight="1">
      <c r="A96" s="132"/>
      <c r="B96" s="132" t="e">
        <f t="array" ref="B96">IF(OR(F96=#REF!),"重疊","")</f>
        <v>#REF!</v>
      </c>
      <c r="C96" s="132"/>
      <c r="D96" s="142">
        <v>82</v>
      </c>
      <c r="E96" s="143" t="s">
        <v>193</v>
      </c>
      <c r="F96" s="132" t="s">
        <v>193</v>
      </c>
      <c r="G96" s="132"/>
      <c r="H96" s="132"/>
      <c r="I96" s="133"/>
      <c r="J96" s="132"/>
      <c r="K96" s="131"/>
      <c r="L96" s="131"/>
      <c r="M96" s="131"/>
    </row>
    <row r="97" spans="1:13" ht="35.25" customHeight="1">
      <c r="A97" s="132"/>
      <c r="B97" s="132" t="e">
        <f t="array" ref="B97">IF(OR(F97=#REF!),"重疊","")</f>
        <v>#REF!</v>
      </c>
      <c r="C97" s="132" t="s">
        <v>1595</v>
      </c>
      <c r="D97" s="141">
        <v>83</v>
      </c>
      <c r="E97" s="135" t="s">
        <v>1845</v>
      </c>
      <c r="F97" s="132" t="s">
        <v>313</v>
      </c>
      <c r="G97" s="132" t="s">
        <v>1780</v>
      </c>
      <c r="H97" s="132" t="s">
        <v>1846</v>
      </c>
      <c r="I97" s="133" t="s">
        <v>1847</v>
      </c>
      <c r="J97" s="132" t="s">
        <v>1848</v>
      </c>
      <c r="K97" s="131"/>
      <c r="L97" s="131"/>
      <c r="M97" s="131"/>
    </row>
    <row r="98" spans="1:13" ht="36" customHeight="1">
      <c r="A98" s="132"/>
      <c r="B98" s="132" t="e">
        <f t="array" ref="B98">IF(OR(F98=#REF!),"重疊","")</f>
        <v>#REF!</v>
      </c>
      <c r="C98" s="132"/>
      <c r="D98" s="142">
        <v>84</v>
      </c>
      <c r="E98" s="143" t="s">
        <v>1849</v>
      </c>
      <c r="F98" s="132" t="s">
        <v>288</v>
      </c>
      <c r="G98" s="132" t="s">
        <v>1780</v>
      </c>
      <c r="H98" s="132" t="s">
        <v>1806</v>
      </c>
      <c r="I98" s="133" t="s">
        <v>1850</v>
      </c>
      <c r="J98" s="132" t="s">
        <v>1851</v>
      </c>
      <c r="K98" s="131"/>
      <c r="L98" s="131"/>
      <c r="M98" s="131"/>
    </row>
    <row r="99" spans="1:13" ht="27.9" customHeight="1">
      <c r="A99" s="132" t="s">
        <v>1595</v>
      </c>
      <c r="B99" s="132" t="e">
        <f t="array" ref="B99">IF(OR(F99=#REF!),"重疊","")</f>
        <v>#REF!</v>
      </c>
      <c r="C99" s="132" t="s">
        <v>1595</v>
      </c>
      <c r="D99" s="141">
        <v>85</v>
      </c>
      <c r="E99" s="135" t="s">
        <v>1852</v>
      </c>
      <c r="F99" s="132" t="s">
        <v>722</v>
      </c>
      <c r="G99" s="132"/>
      <c r="H99" s="132"/>
      <c r="I99" s="133"/>
      <c r="J99" s="132"/>
      <c r="K99" s="131"/>
      <c r="L99" s="131"/>
      <c r="M99" s="131"/>
    </row>
    <row r="100" spans="1:13" ht="27.9" customHeight="1">
      <c r="A100" s="132" t="s">
        <v>1595</v>
      </c>
      <c r="B100" s="132" t="e">
        <f t="array" ref="B100">IF(OR(F100=#REF!),"重疊","")</f>
        <v>#REF!</v>
      </c>
      <c r="C100" s="132"/>
      <c r="D100" s="142">
        <v>86</v>
      </c>
      <c r="E100" s="143" t="s">
        <v>1853</v>
      </c>
      <c r="F100" s="132" t="s">
        <v>589</v>
      </c>
      <c r="G100" s="132" t="s">
        <v>1780</v>
      </c>
      <c r="H100" s="132" t="s">
        <v>1854</v>
      </c>
      <c r="I100" s="133" t="s">
        <v>1855</v>
      </c>
      <c r="J100" s="132" t="s">
        <v>1856</v>
      </c>
      <c r="K100" s="131"/>
      <c r="L100" s="131"/>
      <c r="M100" s="131"/>
    </row>
    <row r="101" spans="1:13" ht="27.9" customHeight="1">
      <c r="A101" s="132"/>
      <c r="B101" s="132" t="e">
        <f t="array" ref="B101">IF(OR(F101=#REF!),"重疊","")</f>
        <v>#REF!</v>
      </c>
      <c r="C101" s="132"/>
      <c r="D101" s="142">
        <v>87</v>
      </c>
      <c r="E101" s="143" t="s">
        <v>1857</v>
      </c>
      <c r="F101" s="132" t="s">
        <v>410</v>
      </c>
      <c r="G101" s="132"/>
      <c r="H101" s="132"/>
      <c r="I101" s="133"/>
      <c r="J101" s="132"/>
      <c r="K101" s="131"/>
      <c r="L101" s="131"/>
      <c r="M101" s="131"/>
    </row>
    <row r="102" spans="1:13" ht="27.9" customHeight="1">
      <c r="A102" s="132"/>
      <c r="B102" s="132" t="e">
        <f t="array" ref="B102">IF(OR(F102=#REF!),"重疊","")</f>
        <v>#REF!</v>
      </c>
      <c r="C102" s="132"/>
      <c r="D102" s="142">
        <v>88</v>
      </c>
      <c r="E102" s="143" t="s">
        <v>287</v>
      </c>
      <c r="F102" s="132" t="s">
        <v>287</v>
      </c>
      <c r="G102" s="132"/>
      <c r="H102" s="132"/>
      <c r="I102" s="133"/>
      <c r="J102" s="132"/>
      <c r="K102" s="131"/>
      <c r="L102" s="149"/>
      <c r="M102" s="149"/>
    </row>
    <row r="103" spans="1:13" ht="27.9" customHeight="1">
      <c r="A103" s="132" t="s">
        <v>1595</v>
      </c>
      <c r="B103" s="132" t="e">
        <f t="array" ref="B103">IF(OR(F103=#REF!),"重疊","")</f>
        <v>#REF!</v>
      </c>
      <c r="C103" s="132"/>
      <c r="D103" s="145">
        <v>89</v>
      </c>
      <c r="E103" s="146" t="s">
        <v>1858</v>
      </c>
      <c r="F103" s="132" t="s">
        <v>475</v>
      </c>
      <c r="G103" s="132"/>
      <c r="H103" s="132" t="s">
        <v>1766</v>
      </c>
      <c r="I103" s="133" t="s">
        <v>1859</v>
      </c>
      <c r="J103" s="132" t="s">
        <v>1837</v>
      </c>
      <c r="K103" s="131" t="s">
        <v>1860</v>
      </c>
      <c r="L103" s="150" t="s">
        <v>1769</v>
      </c>
      <c r="M103" s="149" t="s">
        <v>1861</v>
      </c>
    </row>
    <row r="104" spans="1:13" ht="27.9" customHeight="1">
      <c r="A104" s="132" t="s">
        <v>1595</v>
      </c>
      <c r="B104" s="132" t="e">
        <f t="array" ref="B104">IF(OR(F104=#REF!),"重疊","")</f>
        <v>#REF!</v>
      </c>
      <c r="C104" s="132" t="s">
        <v>1595</v>
      </c>
      <c r="D104" s="141">
        <v>90</v>
      </c>
      <c r="E104" s="135" t="s">
        <v>1862</v>
      </c>
      <c r="F104" s="132" t="s">
        <v>639</v>
      </c>
      <c r="G104" s="132"/>
      <c r="H104" s="132"/>
      <c r="I104" s="133"/>
      <c r="J104" s="132"/>
      <c r="K104" s="131"/>
      <c r="L104" s="131"/>
      <c r="M104" s="131"/>
    </row>
    <row r="105" spans="1:13">
      <c r="A105" s="132" t="s">
        <v>1595</v>
      </c>
      <c r="B105" s="132" t="e">
        <f t="array" ref="B105">IF(OR(F105=#REF!),"重疊","")</f>
        <v>#REF!</v>
      </c>
      <c r="C105" s="132"/>
      <c r="D105" s="145">
        <v>91</v>
      </c>
      <c r="E105" s="146" t="s">
        <v>1863</v>
      </c>
      <c r="F105" s="132" t="s">
        <v>508</v>
      </c>
      <c r="G105" s="132" t="s">
        <v>1800</v>
      </c>
      <c r="H105" s="132" t="s">
        <v>1801</v>
      </c>
      <c r="I105" s="133" t="s">
        <v>1864</v>
      </c>
      <c r="J105" s="132" t="s">
        <v>1865</v>
      </c>
      <c r="K105" s="131" t="s">
        <v>1860</v>
      </c>
      <c r="L105" s="150" t="s">
        <v>1769</v>
      </c>
      <c r="M105" s="131"/>
    </row>
    <row r="106" spans="1:13">
      <c r="A106" s="132" t="s">
        <v>1595</v>
      </c>
      <c r="B106" s="132" t="e">
        <f t="array" ref="B106">IF(OR(F106=#REF!),"重疊","")</f>
        <v>#REF!</v>
      </c>
      <c r="C106" s="132" t="s">
        <v>1595</v>
      </c>
      <c r="D106" s="141">
        <v>92</v>
      </c>
      <c r="E106" s="135" t="s">
        <v>1866</v>
      </c>
      <c r="F106" s="132" t="s">
        <v>669</v>
      </c>
      <c r="G106" s="132"/>
      <c r="H106" s="132"/>
      <c r="I106" s="133"/>
      <c r="J106" s="132"/>
      <c r="K106" s="131"/>
      <c r="L106" s="131"/>
      <c r="M106" s="131"/>
    </row>
    <row r="107" spans="1:13">
      <c r="A107" s="132" t="s">
        <v>1595</v>
      </c>
      <c r="B107" s="132" t="e">
        <f t="array" ref="B107">IF(OR(F107=#REF!),"重疊","")</f>
        <v>#REF!</v>
      </c>
      <c r="C107" s="132"/>
      <c r="D107" s="139">
        <v>93</v>
      </c>
      <c r="E107" s="140" t="s">
        <v>1867</v>
      </c>
      <c r="F107" s="132" t="s">
        <v>682</v>
      </c>
      <c r="G107" s="132" t="s">
        <v>1780</v>
      </c>
      <c r="H107" s="132" t="s">
        <v>1868</v>
      </c>
      <c r="I107" s="133" t="s">
        <v>1869</v>
      </c>
      <c r="J107" s="132" t="s">
        <v>1870</v>
      </c>
      <c r="K107" s="131"/>
      <c r="L107" s="131"/>
      <c r="M107" s="131"/>
    </row>
    <row r="108" spans="1:13">
      <c r="A108" s="132" t="s">
        <v>1595</v>
      </c>
      <c r="B108" s="132" t="e">
        <f t="array" ref="B108">IF(OR(F108=#REF!),"重疊","")</f>
        <v>#REF!</v>
      </c>
      <c r="C108" s="132"/>
      <c r="D108" s="151">
        <v>94</v>
      </c>
      <c r="E108" s="152" t="s">
        <v>1871</v>
      </c>
      <c r="F108" s="132" t="s">
        <v>357</v>
      </c>
      <c r="G108" s="132" t="s">
        <v>1872</v>
      </c>
      <c r="H108" s="132" t="s">
        <v>1873</v>
      </c>
      <c r="I108" s="133" t="s">
        <v>1869</v>
      </c>
      <c r="J108" s="132" t="s">
        <v>1874</v>
      </c>
      <c r="K108" s="131"/>
      <c r="L108" s="131"/>
      <c r="M108" s="131"/>
    </row>
    <row r="109" spans="1:13">
      <c r="A109" s="132"/>
      <c r="B109" s="132" t="e">
        <f t="array" ref="B109">IF(OR(F109=#REF!),"重疊","")</f>
        <v>#REF!</v>
      </c>
      <c r="C109" s="132"/>
      <c r="D109" s="142">
        <v>95</v>
      </c>
      <c r="E109" s="143" t="s">
        <v>275</v>
      </c>
      <c r="F109" s="132" t="s">
        <v>275</v>
      </c>
      <c r="G109" s="132"/>
      <c r="H109" s="132"/>
      <c r="I109" s="133"/>
      <c r="J109" s="132"/>
      <c r="K109" s="131"/>
      <c r="L109" s="131"/>
      <c r="M109" s="131"/>
    </row>
    <row r="110" spans="1:13">
      <c r="A110" s="132" t="s">
        <v>1595</v>
      </c>
      <c r="B110" s="132" t="e">
        <f t="array" ref="B110">IF(OR(F110=#REF!),"重疊","")</f>
        <v>#REF!</v>
      </c>
      <c r="C110" s="132"/>
      <c r="D110" s="137">
        <v>96</v>
      </c>
      <c r="E110" s="138" t="s">
        <v>1875</v>
      </c>
      <c r="F110" s="132" t="s">
        <v>266</v>
      </c>
      <c r="G110" s="132" t="s">
        <v>1876</v>
      </c>
      <c r="H110" s="144" t="s">
        <v>1877</v>
      </c>
      <c r="I110" s="131" t="s">
        <v>1878</v>
      </c>
      <c r="J110" s="132" t="s">
        <v>1879</v>
      </c>
      <c r="K110" s="131"/>
      <c r="L110" s="131"/>
      <c r="M110" s="131"/>
    </row>
    <row r="111" spans="1:13">
      <c r="A111" s="132"/>
      <c r="B111" s="132" t="e">
        <f t="array" ref="B111">IF(OR(F111=#REF!),"重疊","")</f>
        <v>#REF!</v>
      </c>
      <c r="C111" s="132"/>
      <c r="D111" s="142">
        <v>97</v>
      </c>
      <c r="E111" s="143" t="s">
        <v>1880</v>
      </c>
      <c r="F111" s="132" t="s">
        <v>576</v>
      </c>
      <c r="G111" s="132"/>
      <c r="H111" s="132"/>
      <c r="I111" s="133"/>
      <c r="J111" s="132"/>
      <c r="K111" s="131"/>
      <c r="L111" s="131"/>
      <c r="M111" s="131"/>
    </row>
    <row r="112" spans="1:13">
      <c r="A112" s="132" t="s">
        <v>1595</v>
      </c>
      <c r="B112" s="132" t="e">
        <f t="array" ref="B112">IF(OR(F112=#REF!),"重疊","")</f>
        <v>#REF!</v>
      </c>
      <c r="C112" s="132" t="s">
        <v>1595</v>
      </c>
      <c r="D112" s="141">
        <v>98</v>
      </c>
      <c r="E112" s="135" t="s">
        <v>1881</v>
      </c>
      <c r="F112" s="132" t="s">
        <v>607</v>
      </c>
      <c r="G112" s="132"/>
      <c r="H112" s="132"/>
      <c r="I112" s="133"/>
      <c r="J112" s="132"/>
      <c r="K112" s="131"/>
      <c r="L112" s="131"/>
      <c r="M112" s="131"/>
    </row>
    <row r="113" spans="1:13" ht="34">
      <c r="A113" s="132" t="s">
        <v>1595</v>
      </c>
      <c r="B113" s="132" t="e">
        <f t="array" ref="B113">IF(OR(F113=#REF!),"重疊","")</f>
        <v>#REF!</v>
      </c>
      <c r="C113" s="132" t="s">
        <v>1595</v>
      </c>
      <c r="D113" s="141">
        <v>99</v>
      </c>
      <c r="E113" s="135" t="s">
        <v>1882</v>
      </c>
      <c r="F113" s="132" t="s">
        <v>591</v>
      </c>
      <c r="G113" s="132" t="s">
        <v>1780</v>
      </c>
      <c r="H113" s="132" t="s">
        <v>1883</v>
      </c>
      <c r="I113" s="133" t="s">
        <v>1884</v>
      </c>
      <c r="J113" s="132" t="s">
        <v>1885</v>
      </c>
      <c r="K113" s="131" t="s">
        <v>1886</v>
      </c>
      <c r="L113" s="136" t="s">
        <v>1887</v>
      </c>
      <c r="M113" s="131" t="s">
        <v>1888</v>
      </c>
    </row>
    <row r="114" spans="1:13">
      <c r="A114" s="132"/>
      <c r="B114" s="132" t="e">
        <f t="array" ref="B114">IF(OR(F114=#REF!),"重疊","")</f>
        <v>#REF!</v>
      </c>
      <c r="C114" s="132" t="s">
        <v>1595</v>
      </c>
      <c r="D114" s="141">
        <v>100</v>
      </c>
      <c r="E114" s="135" t="s">
        <v>1889</v>
      </c>
      <c r="F114" s="132" t="s">
        <v>1519</v>
      </c>
      <c r="G114" s="132"/>
      <c r="H114" s="132"/>
      <c r="I114" s="133"/>
      <c r="J114" s="132"/>
      <c r="K114" s="131"/>
      <c r="L114" s="131"/>
      <c r="M114" s="131"/>
    </row>
    <row r="115" spans="1:13">
      <c r="A115" s="132"/>
      <c r="B115" s="132" t="e">
        <f t="array" ref="B115">IF(OR(F115=#REF!),"重疊","")</f>
        <v>#REF!</v>
      </c>
      <c r="C115" s="132" t="s">
        <v>1595</v>
      </c>
      <c r="D115" s="141">
        <v>101</v>
      </c>
      <c r="E115" s="135" t="s">
        <v>1890</v>
      </c>
      <c r="F115" s="132" t="s">
        <v>699</v>
      </c>
      <c r="G115" s="132"/>
      <c r="H115" s="132"/>
      <c r="I115" s="133"/>
      <c r="J115" s="132"/>
      <c r="K115" s="131"/>
      <c r="L115" s="131"/>
      <c r="M115" s="131"/>
    </row>
    <row r="116" spans="1:13">
      <c r="A116" s="132"/>
      <c r="B116" s="132" t="e">
        <f t="array" ref="B116">IF(OR(F116=#REF!),"重疊","")</f>
        <v>#REF!</v>
      </c>
      <c r="C116" s="132"/>
      <c r="D116" s="142">
        <v>102</v>
      </c>
      <c r="E116" s="143" t="s">
        <v>1892</v>
      </c>
      <c r="F116" s="132" t="s">
        <v>539</v>
      </c>
      <c r="G116" s="132" t="s">
        <v>1780</v>
      </c>
      <c r="H116" s="132" t="s">
        <v>1893</v>
      </c>
      <c r="I116" s="133" t="s">
        <v>1894</v>
      </c>
      <c r="J116" s="132" t="s">
        <v>1895</v>
      </c>
      <c r="K116" s="131" t="s">
        <v>1896</v>
      </c>
      <c r="L116" s="131">
        <v>29210028883</v>
      </c>
      <c r="M116" s="131" t="s">
        <v>1897</v>
      </c>
    </row>
    <row r="117" spans="1:13" ht="34">
      <c r="A117" s="132" t="s">
        <v>1595</v>
      </c>
      <c r="B117" s="132" t="e">
        <f t="array" ref="B117">IF(OR(F117=#REF!),"重疊","")</f>
        <v>#REF!</v>
      </c>
      <c r="C117" s="132"/>
      <c r="D117" s="137">
        <v>103</v>
      </c>
      <c r="E117" s="138" t="s">
        <v>1898</v>
      </c>
      <c r="F117" s="132" t="s">
        <v>1090</v>
      </c>
      <c r="G117" s="132" t="s">
        <v>1876</v>
      </c>
      <c r="H117" s="132" t="s">
        <v>1899</v>
      </c>
      <c r="I117" s="133" t="s">
        <v>1900</v>
      </c>
      <c r="J117" s="132" t="s">
        <v>1895</v>
      </c>
      <c r="K117" s="131" t="s">
        <v>1901</v>
      </c>
      <c r="L117" s="136" t="s">
        <v>1902</v>
      </c>
      <c r="M117" s="131" t="s">
        <v>1903</v>
      </c>
    </row>
    <row r="118" spans="1:13">
      <c r="A118" s="132"/>
      <c r="B118" s="132" t="e">
        <f t="array" ref="B118">IF(OR(F118=#REF!),"重疊","")</f>
        <v>#REF!</v>
      </c>
      <c r="C118" s="132" t="s">
        <v>1595</v>
      </c>
      <c r="D118" s="141">
        <v>104</v>
      </c>
      <c r="E118" s="135" t="s">
        <v>1904</v>
      </c>
      <c r="F118" s="132" t="s">
        <v>173</v>
      </c>
      <c r="G118" s="132"/>
      <c r="H118" s="132"/>
      <c r="I118" s="133"/>
      <c r="J118" s="132"/>
      <c r="K118" s="131"/>
      <c r="L118" s="131"/>
      <c r="M118" s="131"/>
    </row>
    <row r="119" spans="1:13">
      <c r="A119" s="132"/>
      <c r="B119" s="132" t="e">
        <f t="array" ref="B119">IF(OR(F119=#REF!),"重疊","")</f>
        <v>#REF!</v>
      </c>
      <c r="C119" s="132" t="s">
        <v>1595</v>
      </c>
      <c r="D119" s="141">
        <v>105</v>
      </c>
      <c r="E119" s="135" t="s">
        <v>1905</v>
      </c>
      <c r="F119" s="132" t="s">
        <v>687</v>
      </c>
      <c r="G119" s="132"/>
      <c r="H119" s="132"/>
      <c r="I119" s="133"/>
      <c r="J119" s="132"/>
      <c r="K119" s="131"/>
      <c r="L119" s="131"/>
      <c r="M119" s="131"/>
    </row>
    <row r="120" spans="1:13">
      <c r="A120" s="132" t="s">
        <v>1595</v>
      </c>
      <c r="B120" s="132" t="e">
        <f t="array" ref="B120">IF(OR(F120=#REF!),"重疊","")</f>
        <v>#REF!</v>
      </c>
      <c r="C120" s="132" t="s">
        <v>1595</v>
      </c>
      <c r="D120" s="141">
        <v>106</v>
      </c>
      <c r="E120" s="135" t="s">
        <v>1906</v>
      </c>
      <c r="F120" s="132" t="s">
        <v>263</v>
      </c>
      <c r="G120" s="132"/>
      <c r="H120" s="132"/>
      <c r="I120" s="133"/>
      <c r="J120" s="132"/>
      <c r="K120" s="131"/>
      <c r="L120" s="131"/>
      <c r="M120" s="131"/>
    </row>
    <row r="121" spans="1:13">
      <c r="A121" s="132"/>
      <c r="B121" s="132" t="e">
        <f t="array" ref="B121">IF(OR(F121=#REF!),"重疊","")</f>
        <v>#REF!</v>
      </c>
      <c r="C121" s="132"/>
      <c r="D121" s="142">
        <v>107</v>
      </c>
      <c r="E121" s="143" t="s">
        <v>1907</v>
      </c>
      <c r="F121" s="132" t="s">
        <v>1520</v>
      </c>
      <c r="G121" s="132"/>
      <c r="H121" s="132"/>
      <c r="I121" s="133"/>
      <c r="J121" s="132"/>
      <c r="K121" s="131"/>
      <c r="L121" s="131"/>
      <c r="M121" s="131"/>
    </row>
    <row r="122" spans="1:13">
      <c r="A122" s="132" t="s">
        <v>1595</v>
      </c>
      <c r="B122" s="132" t="e">
        <f t="array" ref="B122">IF(OR(F122=#REF!),"重疊","")</f>
        <v>#REF!</v>
      </c>
      <c r="C122" s="132" t="s">
        <v>1595</v>
      </c>
      <c r="D122" s="141">
        <v>108</v>
      </c>
      <c r="E122" s="135" t="s">
        <v>1908</v>
      </c>
      <c r="F122" s="132" t="s">
        <v>620</v>
      </c>
      <c r="G122" s="132" t="s">
        <v>1780</v>
      </c>
      <c r="H122" s="132" t="s">
        <v>1788</v>
      </c>
      <c r="I122" s="133">
        <v>103.02</v>
      </c>
      <c r="J122" s="132" t="s">
        <v>1895</v>
      </c>
      <c r="K122" s="131" t="s">
        <v>1896</v>
      </c>
      <c r="L122" s="131">
        <v>29210028883</v>
      </c>
      <c r="M122" s="131" t="s">
        <v>1909</v>
      </c>
    </row>
    <row r="123" spans="1:13">
      <c r="A123" s="132" t="s">
        <v>1595</v>
      </c>
      <c r="B123" s="132" t="e">
        <f t="array" ref="B123">IF(OR(F123=#REF!),"重疊","")</f>
        <v>#REF!</v>
      </c>
      <c r="C123" s="132"/>
      <c r="D123" s="145">
        <v>109</v>
      </c>
      <c r="E123" s="146" t="s">
        <v>1910</v>
      </c>
      <c r="F123" s="132" t="s">
        <v>258</v>
      </c>
      <c r="G123" s="132" t="s">
        <v>1911</v>
      </c>
      <c r="H123" s="132" t="s">
        <v>1912</v>
      </c>
      <c r="I123" s="133"/>
      <c r="J123" s="132" t="s">
        <v>1913</v>
      </c>
      <c r="K123" s="131" t="s">
        <v>1914</v>
      </c>
      <c r="L123" s="136" t="s">
        <v>1915</v>
      </c>
      <c r="M123" s="131"/>
    </row>
    <row r="124" spans="1:13">
      <c r="A124" s="132"/>
      <c r="B124" s="132" t="e">
        <f t="array" ref="B124">IF(OR(F124=#REF!),"重疊","")</f>
        <v>#REF!</v>
      </c>
      <c r="C124" s="132" t="s">
        <v>1595</v>
      </c>
      <c r="D124" s="141">
        <v>110</v>
      </c>
      <c r="E124" s="135" t="s">
        <v>1916</v>
      </c>
      <c r="F124" s="132" t="s">
        <v>711</v>
      </c>
      <c r="G124" s="132" t="s">
        <v>1780</v>
      </c>
      <c r="H124" s="132" t="s">
        <v>1917</v>
      </c>
      <c r="I124" s="133">
        <v>103.04</v>
      </c>
      <c r="J124" s="132" t="s">
        <v>1918</v>
      </c>
      <c r="K124" s="131" t="s">
        <v>1623</v>
      </c>
      <c r="L124" s="131">
        <v>29210028883</v>
      </c>
      <c r="M124" s="131" t="s">
        <v>1919</v>
      </c>
    </row>
    <row r="125" spans="1:13">
      <c r="A125" s="132"/>
      <c r="B125" s="132" t="e">
        <f t="array" ref="B125">IF(OR(F125=#REF!),"重疊","")</f>
        <v>#REF!</v>
      </c>
      <c r="C125" s="132" t="s">
        <v>1595</v>
      </c>
      <c r="D125" s="141">
        <v>111</v>
      </c>
      <c r="E125" s="135" t="s">
        <v>1920</v>
      </c>
      <c r="F125" s="132" t="s">
        <v>1521</v>
      </c>
      <c r="G125" s="132" t="s">
        <v>1780</v>
      </c>
      <c r="H125" s="132" t="s">
        <v>1921</v>
      </c>
      <c r="I125" s="133" t="s">
        <v>1922</v>
      </c>
      <c r="J125" s="132" t="s">
        <v>1923</v>
      </c>
      <c r="K125" s="131"/>
      <c r="L125" s="131"/>
      <c r="M125" s="131"/>
    </row>
    <row r="126" spans="1:13">
      <c r="A126" s="132" t="s">
        <v>1595</v>
      </c>
      <c r="B126" s="132" t="e">
        <f t="array" ref="B126">IF(OR(F126=#REF!),"重疊","")</f>
        <v>#REF!</v>
      </c>
      <c r="C126" s="132" t="s">
        <v>1595</v>
      </c>
      <c r="D126" s="141">
        <v>112</v>
      </c>
      <c r="E126" s="135" t="s">
        <v>1924</v>
      </c>
      <c r="F126" s="132" t="s">
        <v>1522</v>
      </c>
      <c r="G126" s="132"/>
      <c r="H126" s="132"/>
      <c r="I126" s="133"/>
      <c r="J126" s="132"/>
      <c r="K126" s="131"/>
      <c r="L126" s="131"/>
      <c r="M126" s="131"/>
    </row>
    <row r="127" spans="1:13">
      <c r="A127" s="132"/>
      <c r="B127" s="132" t="e">
        <f t="array" ref="B127">IF(OR(F127=#REF!),"重疊","")</f>
        <v>#REF!</v>
      </c>
      <c r="C127" s="132" t="s">
        <v>1595</v>
      </c>
      <c r="D127" s="141">
        <v>113</v>
      </c>
      <c r="E127" s="135" t="s">
        <v>1925</v>
      </c>
      <c r="F127" s="132" t="s">
        <v>680</v>
      </c>
      <c r="G127" s="132" t="s">
        <v>1780</v>
      </c>
      <c r="H127" s="132" t="s">
        <v>1926</v>
      </c>
      <c r="I127" s="133" t="s">
        <v>1927</v>
      </c>
      <c r="J127" s="132" t="s">
        <v>1870</v>
      </c>
      <c r="K127" s="131"/>
      <c r="L127" s="136" t="s">
        <v>1618</v>
      </c>
      <c r="M127" s="131" t="s">
        <v>1928</v>
      </c>
    </row>
    <row r="128" spans="1:13">
      <c r="A128" s="132"/>
      <c r="B128" s="132" t="e">
        <f t="array" ref="B128">IF(OR(F128=#REF!),"重疊","")</f>
        <v>#REF!</v>
      </c>
      <c r="C128" s="132" t="s">
        <v>1595</v>
      </c>
      <c r="D128" s="141">
        <v>114</v>
      </c>
      <c r="E128" s="135" t="s">
        <v>1929</v>
      </c>
      <c r="F128" s="132" t="s">
        <v>531</v>
      </c>
      <c r="G128" s="132" t="s">
        <v>1780</v>
      </c>
      <c r="H128" s="132" t="s">
        <v>1788</v>
      </c>
      <c r="I128" s="133">
        <v>103.06</v>
      </c>
      <c r="J128" s="132" t="s">
        <v>1930</v>
      </c>
      <c r="K128" s="131" t="s">
        <v>1617</v>
      </c>
      <c r="L128" s="136" t="s">
        <v>1618</v>
      </c>
      <c r="M128" s="131" t="s">
        <v>1931</v>
      </c>
    </row>
    <row r="129" spans="1:13">
      <c r="A129" s="132"/>
      <c r="B129" s="132" t="e">
        <f t="array" ref="B129">IF(OR(F129=#REF!),"重疊","")</f>
        <v>#REF!</v>
      </c>
      <c r="C129" s="132"/>
      <c r="D129" s="142">
        <v>115</v>
      </c>
      <c r="E129" s="143" t="s">
        <v>1932</v>
      </c>
      <c r="F129" s="132" t="s">
        <v>160</v>
      </c>
      <c r="G129" s="132"/>
      <c r="H129" s="132"/>
      <c r="I129" s="133"/>
      <c r="J129" s="132"/>
      <c r="K129" s="131"/>
      <c r="L129" s="131"/>
      <c r="M129" s="131"/>
    </row>
    <row r="130" spans="1:13" ht="34">
      <c r="A130" s="132" t="s">
        <v>1595</v>
      </c>
      <c r="B130" s="132" t="e">
        <f t="array" ref="B130">IF(OR(F130=#REF!),"重疊","")</f>
        <v>#REF!</v>
      </c>
      <c r="C130" s="132"/>
      <c r="D130" s="142">
        <v>116</v>
      </c>
      <c r="E130" s="143" t="s">
        <v>1933</v>
      </c>
      <c r="F130" s="132" t="s">
        <v>633</v>
      </c>
      <c r="G130" s="132"/>
      <c r="H130" s="132"/>
      <c r="I130" s="133"/>
      <c r="J130" s="132"/>
      <c r="K130" s="131" t="s">
        <v>1934</v>
      </c>
      <c r="L130" s="136" t="s">
        <v>1935</v>
      </c>
      <c r="M130" s="131" t="s">
        <v>1936</v>
      </c>
    </row>
    <row r="131" spans="1:13" ht="34">
      <c r="A131" s="132"/>
      <c r="B131" s="132" t="e">
        <f t="array" ref="B131">IF(OR(F131=#REF!),"重疊","")</f>
        <v>#REF!</v>
      </c>
      <c r="C131" s="132"/>
      <c r="D131" s="142">
        <v>117</v>
      </c>
      <c r="E131" s="143" t="s">
        <v>347</v>
      </c>
      <c r="F131" s="132" t="s">
        <v>347</v>
      </c>
      <c r="G131" s="132" t="s">
        <v>1780</v>
      </c>
      <c r="H131" s="132" t="s">
        <v>1868</v>
      </c>
      <c r="I131" s="133" t="s">
        <v>1937</v>
      </c>
      <c r="J131" s="132" t="s">
        <v>1938</v>
      </c>
      <c r="K131" s="131"/>
      <c r="L131" s="131"/>
      <c r="M131" s="131"/>
    </row>
    <row r="132" spans="1:13">
      <c r="A132" s="132" t="s">
        <v>1595</v>
      </c>
      <c r="B132" s="132" t="e">
        <f t="array" ref="B132">IF(OR(F132=#REF!),"重疊","")</f>
        <v>#REF!</v>
      </c>
      <c r="C132" s="132" t="s">
        <v>1595</v>
      </c>
      <c r="D132" s="141">
        <v>118</v>
      </c>
      <c r="E132" s="135" t="s">
        <v>1939</v>
      </c>
      <c r="F132" s="132" t="s">
        <v>704</v>
      </c>
      <c r="G132" s="132" t="s">
        <v>1780</v>
      </c>
      <c r="H132" s="132" t="s">
        <v>1940</v>
      </c>
      <c r="I132" s="133" t="s">
        <v>1941</v>
      </c>
      <c r="J132" s="132" t="s">
        <v>1942</v>
      </c>
      <c r="K132" s="131"/>
      <c r="L132" s="131"/>
      <c r="M132" s="131"/>
    </row>
    <row r="133" spans="1:13" ht="34">
      <c r="A133" s="132" t="s">
        <v>1595</v>
      </c>
      <c r="B133" s="132" t="e">
        <f t="array" ref="B133">IF(OR(F133=#REF!),"重疊","")</f>
        <v>#REF!</v>
      </c>
      <c r="C133" s="132" t="s">
        <v>1595</v>
      </c>
      <c r="D133" s="141">
        <v>119</v>
      </c>
      <c r="E133" s="135" t="s">
        <v>1943</v>
      </c>
      <c r="F133" s="132" t="s">
        <v>1523</v>
      </c>
      <c r="G133" s="132" t="s">
        <v>1780</v>
      </c>
      <c r="H133" s="132"/>
      <c r="I133" s="133" t="s">
        <v>1944</v>
      </c>
      <c r="J133" s="132" t="s">
        <v>1945</v>
      </c>
      <c r="K133" s="131" t="s">
        <v>1946</v>
      </c>
      <c r="L133" s="136" t="s">
        <v>1887</v>
      </c>
      <c r="M133" s="131" t="s">
        <v>1947</v>
      </c>
    </row>
    <row r="134" spans="1:13" ht="51">
      <c r="A134" s="132"/>
      <c r="B134" s="132" t="e">
        <f t="array" ref="B134">IF(OR(F134=#REF!),"重疊","")</f>
        <v>#REF!</v>
      </c>
      <c r="C134" s="132" t="s">
        <v>1595</v>
      </c>
      <c r="D134" s="141">
        <v>120</v>
      </c>
      <c r="E134" s="135" t="s">
        <v>1948</v>
      </c>
      <c r="F134" s="132" t="s">
        <v>708</v>
      </c>
      <c r="G134" s="132" t="s">
        <v>1780</v>
      </c>
      <c r="H134" s="132" t="s">
        <v>1614</v>
      </c>
      <c r="I134" s="133" t="s">
        <v>1949</v>
      </c>
      <c r="J134" s="132" t="s">
        <v>1895</v>
      </c>
      <c r="K134" s="131" t="s">
        <v>1950</v>
      </c>
      <c r="L134" s="131"/>
      <c r="M134" s="131"/>
    </row>
    <row r="135" spans="1:13" ht="51">
      <c r="A135" s="132" t="s">
        <v>1595</v>
      </c>
      <c r="B135" s="132" t="e">
        <f t="array" ref="B135">IF(OR(F135=#REF!),"重疊","")</f>
        <v>#REF!</v>
      </c>
      <c r="C135" s="132" t="s">
        <v>1595</v>
      </c>
      <c r="D135" s="141">
        <v>121</v>
      </c>
      <c r="E135" s="135" t="s">
        <v>1951</v>
      </c>
      <c r="F135" s="132" t="s">
        <v>1524</v>
      </c>
      <c r="G135" s="132" t="s">
        <v>1780</v>
      </c>
      <c r="H135" s="132" t="s">
        <v>1952</v>
      </c>
      <c r="I135" s="133" t="s">
        <v>1953</v>
      </c>
      <c r="J135" s="132" t="s">
        <v>1954</v>
      </c>
      <c r="K135" s="131" t="s">
        <v>1955</v>
      </c>
      <c r="L135" s="136" t="s">
        <v>1956</v>
      </c>
      <c r="M135" s="131" t="s">
        <v>1957</v>
      </c>
    </row>
    <row r="136" spans="1:13">
      <c r="A136" s="132" t="s">
        <v>1595</v>
      </c>
      <c r="B136" s="132" t="e">
        <f t="array" ref="B136">IF(OR(F136=#REF!),"重疊","")</f>
        <v>#REF!</v>
      </c>
      <c r="C136" s="132" t="s">
        <v>1595</v>
      </c>
      <c r="D136" s="141">
        <v>122</v>
      </c>
      <c r="E136" s="135" t="s">
        <v>1958</v>
      </c>
      <c r="F136" s="132" t="s">
        <v>706</v>
      </c>
      <c r="G136" s="132"/>
      <c r="H136" s="132"/>
      <c r="I136" s="133"/>
      <c r="J136" s="132"/>
      <c r="K136" s="131"/>
      <c r="L136" s="131"/>
      <c r="M136" s="131"/>
    </row>
    <row r="137" spans="1:13">
      <c r="A137" s="132" t="s">
        <v>1595</v>
      </c>
      <c r="B137" s="132" t="e">
        <f t="array" ref="B137">IF(OR(F137=#REF!),"重疊","")</f>
        <v>#REF!</v>
      </c>
      <c r="C137" s="132" t="s">
        <v>1595</v>
      </c>
      <c r="D137" s="141">
        <v>123</v>
      </c>
      <c r="E137" s="135" t="s">
        <v>1959</v>
      </c>
      <c r="F137" s="132" t="s">
        <v>556</v>
      </c>
      <c r="G137" s="132"/>
      <c r="H137" s="132"/>
      <c r="I137" s="133"/>
      <c r="J137" s="132"/>
      <c r="K137" s="131"/>
      <c r="L137" s="131"/>
      <c r="M137" s="131"/>
    </row>
    <row r="138" spans="1:13">
      <c r="A138" s="132"/>
      <c r="B138" s="132" t="e">
        <f t="array" ref="B138">IF(OR(F138=#REF!),"重疊","")</f>
        <v>#REF!</v>
      </c>
      <c r="C138" s="132" t="s">
        <v>1595</v>
      </c>
      <c r="D138" s="141">
        <v>124</v>
      </c>
      <c r="E138" s="135" t="s">
        <v>1960</v>
      </c>
      <c r="F138" s="132" t="s">
        <v>692</v>
      </c>
      <c r="G138" s="132"/>
      <c r="H138" s="132"/>
      <c r="I138" s="133"/>
      <c r="J138" s="132"/>
      <c r="K138" s="131"/>
      <c r="L138" s="131"/>
      <c r="M138" s="131"/>
    </row>
    <row r="139" spans="1:13" ht="51">
      <c r="A139" s="132" t="s">
        <v>1595</v>
      </c>
      <c r="B139" s="132" t="e">
        <f t="array" ref="B139">IF(OR(F139=#REF!),"重疊","")</f>
        <v>#REF!</v>
      </c>
      <c r="C139" s="132" t="s">
        <v>1595</v>
      </c>
      <c r="D139" s="141">
        <v>125</v>
      </c>
      <c r="E139" s="135" t="s">
        <v>1961</v>
      </c>
      <c r="F139" s="132" t="s">
        <v>457</v>
      </c>
      <c r="G139" s="132" t="s">
        <v>1780</v>
      </c>
      <c r="H139" s="132" t="s">
        <v>1921</v>
      </c>
      <c r="I139" s="133" t="s">
        <v>1962</v>
      </c>
      <c r="J139" s="132" t="s">
        <v>1963</v>
      </c>
      <c r="K139" s="131"/>
      <c r="L139" s="131"/>
      <c r="M139" s="131"/>
    </row>
    <row r="140" spans="1:13" ht="51">
      <c r="A140" s="132" t="s">
        <v>1595</v>
      </c>
      <c r="B140" s="132" t="e">
        <f t="array" ref="B140">IF(OR(F140=#REF!),"重疊","")</f>
        <v>#REF!</v>
      </c>
      <c r="C140" s="132" t="s">
        <v>1595</v>
      </c>
      <c r="D140" s="141">
        <v>126</v>
      </c>
      <c r="E140" s="135" t="s">
        <v>1964</v>
      </c>
      <c r="F140" s="132" t="s">
        <v>632</v>
      </c>
      <c r="G140" s="132" t="s">
        <v>1780</v>
      </c>
      <c r="H140" s="132" t="s">
        <v>1921</v>
      </c>
      <c r="I140" s="133" t="s">
        <v>1965</v>
      </c>
      <c r="J140" s="132" t="s">
        <v>1954</v>
      </c>
      <c r="K140" s="131" t="s">
        <v>1966</v>
      </c>
      <c r="L140" s="131">
        <v>29210028883</v>
      </c>
      <c r="M140" s="131" t="s">
        <v>1967</v>
      </c>
    </row>
    <row r="141" spans="1:13">
      <c r="A141" s="132"/>
      <c r="B141" s="132" t="e">
        <f t="array" ref="B141">IF(OR(F141=#REF!),"重疊","")</f>
        <v>#REF!</v>
      </c>
      <c r="C141" s="132" t="s">
        <v>1595</v>
      </c>
      <c r="D141" s="141">
        <v>127</v>
      </c>
      <c r="E141" s="135" t="s">
        <v>1968</v>
      </c>
      <c r="F141" s="132" t="s">
        <v>197</v>
      </c>
      <c r="G141" s="132" t="s">
        <v>1819</v>
      </c>
      <c r="H141" s="132" t="s">
        <v>1969</v>
      </c>
      <c r="I141" s="133" t="s">
        <v>1970</v>
      </c>
      <c r="J141" s="132" t="s">
        <v>1971</v>
      </c>
      <c r="K141" s="131"/>
      <c r="L141" s="131"/>
      <c r="M141" s="131"/>
    </row>
    <row r="142" spans="1:13" ht="34">
      <c r="A142" s="132" t="s">
        <v>1595</v>
      </c>
      <c r="B142" s="132" t="e">
        <f t="array" ref="B142">IF(OR(F142=#REF!),"重疊","")</f>
        <v>#REF!</v>
      </c>
      <c r="C142" s="132"/>
      <c r="D142" s="137">
        <v>128</v>
      </c>
      <c r="E142" s="138" t="s">
        <v>1972</v>
      </c>
      <c r="F142" s="132" t="s">
        <v>528</v>
      </c>
      <c r="G142" s="132" t="s">
        <v>1973</v>
      </c>
      <c r="H142" s="132"/>
      <c r="I142" s="133" t="s">
        <v>1974</v>
      </c>
      <c r="J142" s="132" t="s">
        <v>1975</v>
      </c>
      <c r="K142" s="131" t="s">
        <v>1976</v>
      </c>
      <c r="L142" s="131"/>
      <c r="M142" s="131"/>
    </row>
    <row r="143" spans="1:13">
      <c r="A143" s="132"/>
      <c r="B143" s="132" t="e">
        <f t="array" ref="B143">IF(OR(F143=#REF!),"重疊","")</f>
        <v>#REF!</v>
      </c>
      <c r="C143" s="132"/>
      <c r="D143" s="142">
        <v>129</v>
      </c>
      <c r="E143" s="143" t="s">
        <v>184</v>
      </c>
      <c r="F143" s="132" t="s">
        <v>184</v>
      </c>
      <c r="G143" s="132"/>
      <c r="H143" s="132"/>
      <c r="I143" s="133"/>
      <c r="J143" s="132"/>
      <c r="K143" s="131"/>
      <c r="L143" s="131"/>
      <c r="M143" s="131"/>
    </row>
    <row r="144" spans="1:13">
      <c r="A144" s="132"/>
      <c r="B144" s="132" t="e">
        <f t="array" ref="B144">IF(OR(F144=#REF!),"重疊","")</f>
        <v>#REF!</v>
      </c>
      <c r="C144" s="132" t="s">
        <v>1595</v>
      </c>
      <c r="D144" s="141">
        <v>130</v>
      </c>
      <c r="E144" s="135" t="s">
        <v>1977</v>
      </c>
      <c r="F144" s="132" t="s">
        <v>506</v>
      </c>
      <c r="G144" s="132"/>
      <c r="H144" s="132"/>
      <c r="I144" s="133"/>
      <c r="J144" s="132"/>
      <c r="K144" s="131"/>
      <c r="L144" s="131"/>
      <c r="M144" s="131"/>
    </row>
    <row r="145" spans="1:13">
      <c r="A145" s="132" t="s">
        <v>1595</v>
      </c>
      <c r="B145" s="132" t="e">
        <f t="array" ref="B145">IF(OR(F145=#REF!),"重疊","")</f>
        <v>#REF!</v>
      </c>
      <c r="C145" s="132" t="s">
        <v>1595</v>
      </c>
      <c r="D145" s="141">
        <v>131</v>
      </c>
      <c r="E145" s="135" t="s">
        <v>1978</v>
      </c>
      <c r="F145" s="132" t="s">
        <v>715</v>
      </c>
      <c r="G145" s="132" t="s">
        <v>1780</v>
      </c>
      <c r="H145" s="132" t="s">
        <v>1614</v>
      </c>
      <c r="I145" s="133" t="s">
        <v>1979</v>
      </c>
      <c r="J145" s="132" t="s">
        <v>1954</v>
      </c>
      <c r="K145" s="131" t="s">
        <v>1777</v>
      </c>
      <c r="L145" s="131">
        <v>29210028883</v>
      </c>
      <c r="M145" s="131" t="s">
        <v>1980</v>
      </c>
    </row>
    <row r="146" spans="1:13">
      <c r="A146" s="132" t="s">
        <v>1595</v>
      </c>
      <c r="B146" s="132" t="e">
        <f t="array" ref="B146">IF(OR(F146=#REF!),"重疊","")</f>
        <v>#REF!</v>
      </c>
      <c r="C146" s="132"/>
      <c r="D146" s="137">
        <v>132</v>
      </c>
      <c r="E146" s="138" t="s">
        <v>1981</v>
      </c>
      <c r="F146" s="132" t="s">
        <v>434</v>
      </c>
      <c r="G146" s="132" t="s">
        <v>1876</v>
      </c>
      <c r="H146" s="132"/>
      <c r="I146" s="133">
        <v>103.09</v>
      </c>
      <c r="J146" s="132" t="s">
        <v>1982</v>
      </c>
      <c r="K146" s="131" t="s">
        <v>1762</v>
      </c>
      <c r="L146" s="136" t="s">
        <v>1769</v>
      </c>
      <c r="M146" s="131"/>
    </row>
    <row r="147" spans="1:13" ht="34">
      <c r="A147" s="132" t="s">
        <v>1595</v>
      </c>
      <c r="B147" s="132" t="e">
        <f t="array" ref="B147">IF(OR(F147=#REF!),"重疊","")</f>
        <v>#REF!</v>
      </c>
      <c r="C147" s="132"/>
      <c r="D147" s="137">
        <v>133</v>
      </c>
      <c r="E147" s="138" t="s">
        <v>1983</v>
      </c>
      <c r="F147" s="132" t="s">
        <v>278</v>
      </c>
      <c r="G147" s="132" t="s">
        <v>1876</v>
      </c>
      <c r="H147" s="132" t="s">
        <v>1899</v>
      </c>
      <c r="I147" s="133" t="s">
        <v>1984</v>
      </c>
      <c r="J147" s="132" t="s">
        <v>1985</v>
      </c>
      <c r="K147" s="131" t="s">
        <v>1986</v>
      </c>
      <c r="L147" s="131" t="s">
        <v>1987</v>
      </c>
      <c r="M147" s="131" t="s">
        <v>1988</v>
      </c>
    </row>
    <row r="148" spans="1:13">
      <c r="A148" s="132" t="s">
        <v>1595</v>
      </c>
      <c r="B148" s="132" t="e">
        <f t="array" ref="B148">IF(OR(F148=#REF!),"重疊","")</f>
        <v>#REF!</v>
      </c>
      <c r="C148" s="132" t="s">
        <v>1595</v>
      </c>
      <c r="D148" s="141">
        <v>134</v>
      </c>
      <c r="E148" s="135" t="s">
        <v>1989</v>
      </c>
      <c r="F148" s="132" t="s">
        <v>645</v>
      </c>
      <c r="G148" s="132"/>
      <c r="H148" s="132"/>
      <c r="I148" s="133"/>
      <c r="J148" s="132"/>
      <c r="K148" s="131"/>
      <c r="L148" s="131"/>
      <c r="M148" s="131"/>
    </row>
    <row r="149" spans="1:13">
      <c r="A149" s="132"/>
      <c r="B149" s="132" t="e">
        <f t="array" ref="B149">IF(OR(F149=#REF!),"重疊","")</f>
        <v>#REF!</v>
      </c>
      <c r="C149" s="132" t="s">
        <v>1595</v>
      </c>
      <c r="D149" s="141">
        <v>135</v>
      </c>
      <c r="E149" s="135" t="s">
        <v>1990</v>
      </c>
      <c r="F149" s="132" t="s">
        <v>597</v>
      </c>
      <c r="G149" s="132"/>
      <c r="H149" s="132"/>
      <c r="I149" s="133"/>
      <c r="J149" s="132"/>
      <c r="K149" s="131"/>
      <c r="L149" s="131"/>
      <c r="M149" s="131"/>
    </row>
    <row r="150" spans="1:13" ht="34">
      <c r="A150" s="132" t="s">
        <v>1595</v>
      </c>
      <c r="B150" s="132" t="e">
        <f t="array" ref="B150">IF(OR(F150=#REF!),"重疊","")</f>
        <v>#REF!</v>
      </c>
      <c r="C150" s="132" t="s">
        <v>1595</v>
      </c>
      <c r="D150" s="141">
        <v>136</v>
      </c>
      <c r="E150" s="135" t="s">
        <v>1991</v>
      </c>
      <c r="F150" s="132" t="s">
        <v>668</v>
      </c>
      <c r="G150" s="132" t="s">
        <v>1780</v>
      </c>
      <c r="H150" s="132" t="s">
        <v>1992</v>
      </c>
      <c r="I150" s="133" t="s">
        <v>1993</v>
      </c>
      <c r="J150" s="132" t="s">
        <v>1954</v>
      </c>
      <c r="K150" s="131" t="s">
        <v>1777</v>
      </c>
      <c r="L150" s="131">
        <v>29210028883</v>
      </c>
      <c r="M150" s="131" t="s">
        <v>1994</v>
      </c>
    </row>
    <row r="151" spans="1:13">
      <c r="A151" s="132"/>
      <c r="B151" s="132" t="e">
        <f t="array" ref="B151">IF(OR(F151=#REF!),"重疊","")</f>
        <v>#REF!</v>
      </c>
      <c r="C151" s="132" t="s">
        <v>1595</v>
      </c>
      <c r="D151" s="141">
        <v>137</v>
      </c>
      <c r="E151" s="135" t="s">
        <v>1995</v>
      </c>
      <c r="F151" s="132" t="s">
        <v>158</v>
      </c>
      <c r="G151" s="132"/>
      <c r="H151" s="132"/>
      <c r="I151" s="133"/>
      <c r="J151" s="132"/>
      <c r="K151" s="131"/>
      <c r="L151" s="131"/>
      <c r="M151" s="131"/>
    </row>
    <row r="152" spans="1:13">
      <c r="A152" s="132" t="s">
        <v>1595</v>
      </c>
      <c r="B152" s="132" t="e">
        <f t="array" ref="B152">IF(OR(F152=#REF!),"重疊","")</f>
        <v>#REF!</v>
      </c>
      <c r="C152" s="132" t="s">
        <v>1595</v>
      </c>
      <c r="D152" s="141">
        <v>138</v>
      </c>
      <c r="E152" s="135" t="s">
        <v>1996</v>
      </c>
      <c r="F152" s="132" t="s">
        <v>686</v>
      </c>
      <c r="G152" s="132"/>
      <c r="H152" s="132"/>
      <c r="I152" s="133"/>
      <c r="J152" s="132"/>
      <c r="K152" s="131"/>
      <c r="L152" s="131"/>
      <c r="M152" s="131"/>
    </row>
    <row r="153" spans="1:13">
      <c r="A153" s="132"/>
      <c r="B153" s="132" t="e">
        <f t="array" ref="B153">IF(OR(F153=#REF!),"重疊","")</f>
        <v>#REF!</v>
      </c>
      <c r="C153" s="132" t="s">
        <v>1595</v>
      </c>
      <c r="D153" s="141">
        <v>139</v>
      </c>
      <c r="E153" s="135" t="s">
        <v>1997</v>
      </c>
      <c r="F153" s="132" t="s">
        <v>662</v>
      </c>
      <c r="G153" s="132"/>
      <c r="H153" s="132"/>
      <c r="I153" s="133"/>
      <c r="J153" s="132"/>
      <c r="K153" s="131"/>
      <c r="L153" s="131"/>
      <c r="M153" s="131"/>
    </row>
    <row r="154" spans="1:13" ht="36" customHeight="1">
      <c r="A154" s="132" t="s">
        <v>1595</v>
      </c>
      <c r="B154" s="132" t="e">
        <f t="array" ref="B154">IF(OR(F154=#REF!),"重疊","")</f>
        <v>#REF!</v>
      </c>
      <c r="C154" s="132"/>
      <c r="D154" s="145">
        <v>140</v>
      </c>
      <c r="E154" s="146" t="s">
        <v>1998</v>
      </c>
      <c r="F154" s="132" t="s">
        <v>1095</v>
      </c>
      <c r="G154" s="132" t="s">
        <v>1800</v>
      </c>
      <c r="H154" s="132" t="s">
        <v>1801</v>
      </c>
      <c r="I154" s="133" t="s">
        <v>1999</v>
      </c>
      <c r="J154" s="132" t="s">
        <v>1954</v>
      </c>
      <c r="K154" s="131" t="s">
        <v>2000</v>
      </c>
      <c r="L154" s="136" t="s">
        <v>2001</v>
      </c>
      <c r="M154" s="131" t="s">
        <v>2002</v>
      </c>
    </row>
    <row r="155" spans="1:13">
      <c r="A155" s="132" t="s">
        <v>1595</v>
      </c>
      <c r="B155" s="132" t="e">
        <f t="array" ref="B155">IF(OR(F155=#REF!),"重疊","")</f>
        <v>#REF!</v>
      </c>
      <c r="C155" s="132"/>
      <c r="D155" s="142">
        <v>141</v>
      </c>
      <c r="E155" s="143" t="s">
        <v>2003</v>
      </c>
      <c r="F155" s="132" t="s">
        <v>201</v>
      </c>
      <c r="G155" s="132" t="s">
        <v>1819</v>
      </c>
      <c r="H155" s="132" t="s">
        <v>1921</v>
      </c>
      <c r="I155" s="133" t="s">
        <v>1836</v>
      </c>
      <c r="J155" s="132" t="s">
        <v>2004</v>
      </c>
      <c r="K155" s="131"/>
      <c r="L155" s="131"/>
      <c r="M155" s="131"/>
    </row>
    <row r="156" spans="1:13">
      <c r="A156" s="132" t="s">
        <v>1595</v>
      </c>
      <c r="B156" s="132" t="e">
        <f t="array" ref="B156">IF(OR(F156=#REF!),"重疊","")</f>
        <v>#REF!</v>
      </c>
      <c r="C156" s="132" t="s">
        <v>1595</v>
      </c>
      <c r="D156" s="141">
        <v>142</v>
      </c>
      <c r="E156" s="135" t="s">
        <v>2005</v>
      </c>
      <c r="F156" s="132" t="s">
        <v>2006</v>
      </c>
      <c r="G156" s="132" t="s">
        <v>2007</v>
      </c>
      <c r="H156" s="132" t="s">
        <v>1926</v>
      </c>
      <c r="I156" s="133"/>
      <c r="J156" s="132" t="s">
        <v>2008</v>
      </c>
      <c r="K156" s="131"/>
      <c r="L156" s="131"/>
      <c r="M156" s="131"/>
    </row>
    <row r="157" spans="1:13">
      <c r="A157" s="132"/>
      <c r="B157" s="132" t="e">
        <f t="array" ref="B157">IF(OR(F157=#REF!),"重疊","")</f>
        <v>#REF!</v>
      </c>
      <c r="C157" s="132"/>
      <c r="D157" s="142">
        <v>143</v>
      </c>
      <c r="E157" s="143" t="s">
        <v>502</v>
      </c>
      <c r="F157" s="132" t="s">
        <v>502</v>
      </c>
      <c r="G157" s="132"/>
      <c r="H157" s="132"/>
      <c r="I157" s="133"/>
      <c r="J157" s="132"/>
      <c r="K157" s="131"/>
      <c r="L157" s="131"/>
      <c r="M157" s="131"/>
    </row>
    <row r="158" spans="1:13" ht="51">
      <c r="A158" s="132" t="s">
        <v>1595</v>
      </c>
      <c r="B158" s="132" t="e">
        <f t="array" ref="B158">IF(OR(F158=#REF!),"重疊","")</f>
        <v>#REF!</v>
      </c>
      <c r="C158" s="132" t="s">
        <v>1595</v>
      </c>
      <c r="D158" s="141">
        <v>144</v>
      </c>
      <c r="E158" s="135" t="s">
        <v>2009</v>
      </c>
      <c r="F158" s="132" t="s">
        <v>681</v>
      </c>
      <c r="G158" s="132" t="s">
        <v>1780</v>
      </c>
      <c r="H158" s="132" t="s">
        <v>1788</v>
      </c>
      <c r="I158" s="133" t="s">
        <v>1884</v>
      </c>
      <c r="J158" s="132" t="s">
        <v>1837</v>
      </c>
      <c r="K158" s="131" t="s">
        <v>1950</v>
      </c>
      <c r="L158" s="136" t="s">
        <v>1887</v>
      </c>
      <c r="M158" s="131" t="s">
        <v>2010</v>
      </c>
    </row>
    <row r="159" spans="1:13">
      <c r="A159" s="132" t="s">
        <v>1595</v>
      </c>
      <c r="B159" s="132" t="e">
        <f t="array" ref="B159">IF(OR(F159=#REF!),"重疊","")</f>
        <v>#REF!</v>
      </c>
      <c r="C159" s="132" t="s">
        <v>1595</v>
      </c>
      <c r="D159" s="141">
        <v>145</v>
      </c>
      <c r="E159" s="135" t="s">
        <v>2011</v>
      </c>
      <c r="F159" s="132" t="s">
        <v>716</v>
      </c>
      <c r="G159" s="132"/>
      <c r="H159" s="132"/>
      <c r="I159" s="133"/>
      <c r="J159" s="132"/>
      <c r="K159" s="131"/>
      <c r="L159" s="131"/>
      <c r="M159" s="131"/>
    </row>
    <row r="160" spans="1:13">
      <c r="A160" s="132" t="s">
        <v>1595</v>
      </c>
      <c r="B160" s="132" t="e">
        <f t="array" ref="B160">IF(OR(F160=#REF!),"重疊","")</f>
        <v>#REF!</v>
      </c>
      <c r="C160" s="132"/>
      <c r="D160" s="139">
        <v>146</v>
      </c>
      <c r="E160" s="140" t="s">
        <v>2012</v>
      </c>
      <c r="F160" s="132" t="s">
        <v>297</v>
      </c>
      <c r="G160" s="132" t="s">
        <v>1839</v>
      </c>
      <c r="H160" s="132" t="s">
        <v>1868</v>
      </c>
      <c r="I160" s="133">
        <v>103.06</v>
      </c>
      <c r="J160" s="132" t="s">
        <v>2013</v>
      </c>
      <c r="K160" s="131"/>
      <c r="L160" s="131"/>
      <c r="M160" s="131"/>
    </row>
    <row r="161" spans="1:13">
      <c r="A161" s="132" t="s">
        <v>1595</v>
      </c>
      <c r="B161" s="132" t="e">
        <f t="array" ref="B161">IF(OR(F161=#REF!),"重疊","")</f>
        <v>#REF!</v>
      </c>
      <c r="C161" s="132" t="s">
        <v>1595</v>
      </c>
      <c r="D161" s="141">
        <v>147</v>
      </c>
      <c r="E161" s="135" t="s">
        <v>2014</v>
      </c>
      <c r="F161" s="132" t="s">
        <v>676</v>
      </c>
      <c r="G161" s="132" t="s">
        <v>1780</v>
      </c>
      <c r="H161" s="132" t="s">
        <v>1788</v>
      </c>
      <c r="I161" s="133" t="s">
        <v>2015</v>
      </c>
      <c r="J161" s="132" t="s">
        <v>2016</v>
      </c>
      <c r="K161" s="131"/>
      <c r="L161" s="131"/>
      <c r="M161" s="131"/>
    </row>
    <row r="162" spans="1:13" ht="34">
      <c r="A162" s="132"/>
      <c r="B162" s="132" t="e">
        <f t="array" ref="B162">IF(OR(F162=#REF!),"重疊","")</f>
        <v>#REF!</v>
      </c>
      <c r="C162" s="132"/>
      <c r="D162" s="142">
        <v>148</v>
      </c>
      <c r="E162" s="143" t="s">
        <v>2017</v>
      </c>
      <c r="F162" s="132" t="s">
        <v>273</v>
      </c>
      <c r="G162" s="132" t="s">
        <v>1780</v>
      </c>
      <c r="H162" s="132" t="s">
        <v>2018</v>
      </c>
      <c r="I162" s="133" t="s">
        <v>2019</v>
      </c>
      <c r="J162" s="132" t="s">
        <v>2020</v>
      </c>
      <c r="K162" s="131" t="s">
        <v>2021</v>
      </c>
      <c r="L162" s="136" t="s">
        <v>2022</v>
      </c>
      <c r="M162" s="131" t="s">
        <v>2023</v>
      </c>
    </row>
    <row r="163" spans="1:13">
      <c r="A163" s="132" t="s">
        <v>1595</v>
      </c>
      <c r="B163" s="132" t="e">
        <f t="array" ref="B163">IF(OR(F163=#REF!),"重疊","")</f>
        <v>#REF!</v>
      </c>
      <c r="C163" s="132" t="s">
        <v>1595</v>
      </c>
      <c r="D163" s="141">
        <v>149</v>
      </c>
      <c r="E163" s="135" t="s">
        <v>2024</v>
      </c>
      <c r="F163" s="132" t="s">
        <v>448</v>
      </c>
      <c r="G163" s="132" t="s">
        <v>1819</v>
      </c>
      <c r="H163" s="132" t="s">
        <v>1921</v>
      </c>
      <c r="I163" s="133" t="s">
        <v>2025</v>
      </c>
      <c r="J163" s="132" t="s">
        <v>2026</v>
      </c>
      <c r="K163" s="131" t="s">
        <v>1623</v>
      </c>
      <c r="L163" s="131">
        <v>29210028883</v>
      </c>
      <c r="M163" s="131" t="s">
        <v>2027</v>
      </c>
    </row>
    <row r="164" spans="1:13">
      <c r="A164" s="132"/>
      <c r="B164" s="132" t="e">
        <f t="array" ref="B164">IF(OR(F164=#REF!),"重疊","")</f>
        <v>#REF!</v>
      </c>
      <c r="C164" s="132"/>
      <c r="D164" s="137">
        <v>150</v>
      </c>
      <c r="E164" s="138" t="s">
        <v>2028</v>
      </c>
      <c r="F164" s="132" t="s">
        <v>2029</v>
      </c>
      <c r="G164" s="132"/>
      <c r="H164" s="132" t="s">
        <v>2030</v>
      </c>
      <c r="I164" s="133" t="s">
        <v>2031</v>
      </c>
      <c r="J164" s="132" t="s">
        <v>2020</v>
      </c>
      <c r="K164" s="131"/>
      <c r="L164" s="131"/>
      <c r="M164" s="131"/>
    </row>
    <row r="165" spans="1:13" ht="34">
      <c r="A165" s="132" t="s">
        <v>1595</v>
      </c>
      <c r="B165" s="132" t="e">
        <f t="array" ref="B165">IF(OR(F165=#REF!),"重疊","")</f>
        <v>#REF!</v>
      </c>
      <c r="C165" s="132" t="s">
        <v>1595</v>
      </c>
      <c r="D165" s="141">
        <v>151</v>
      </c>
      <c r="E165" s="135" t="s">
        <v>2032</v>
      </c>
      <c r="F165" s="132" t="s">
        <v>605</v>
      </c>
      <c r="G165" s="132"/>
      <c r="H165" s="132" t="s">
        <v>2033</v>
      </c>
      <c r="I165" s="133" t="s">
        <v>2034</v>
      </c>
      <c r="J165" s="132" t="s">
        <v>2035</v>
      </c>
      <c r="K165" s="131" t="s">
        <v>1623</v>
      </c>
      <c r="L165" s="131">
        <v>29210028883</v>
      </c>
      <c r="M165" s="131" t="s">
        <v>2036</v>
      </c>
    </row>
    <row r="166" spans="1:13">
      <c r="A166" s="132"/>
      <c r="B166" s="132" t="e">
        <f t="array" ref="B166">IF(OR(F166=#REF!),"重疊","")</f>
        <v>#REF!</v>
      </c>
      <c r="C166" s="132" t="s">
        <v>1595</v>
      </c>
      <c r="D166" s="141">
        <v>152</v>
      </c>
      <c r="E166" s="135" t="s">
        <v>2037</v>
      </c>
      <c r="F166" s="132" t="s">
        <v>709</v>
      </c>
      <c r="G166" s="132"/>
      <c r="H166" s="132"/>
      <c r="I166" s="133"/>
      <c r="J166" s="132"/>
      <c r="K166" s="131"/>
      <c r="L166" s="131"/>
      <c r="M166" s="131"/>
    </row>
    <row r="167" spans="1:13" ht="34">
      <c r="A167" s="132" t="s">
        <v>1595</v>
      </c>
      <c r="B167" s="132" t="e">
        <f t="array" ref="B167">IF(OR(F167=#REF!),"重疊","")</f>
        <v>#REF!</v>
      </c>
      <c r="C167" s="132"/>
      <c r="D167" s="147">
        <v>153</v>
      </c>
      <c r="E167" s="148" t="s">
        <v>2038</v>
      </c>
      <c r="F167" s="132" t="s">
        <v>239</v>
      </c>
      <c r="G167" s="132" t="s">
        <v>2039</v>
      </c>
      <c r="H167" s="132" t="s">
        <v>2040</v>
      </c>
      <c r="I167" s="133" t="s">
        <v>2041</v>
      </c>
      <c r="J167" s="132" t="s">
        <v>2042</v>
      </c>
      <c r="K167" s="131" t="s">
        <v>2043</v>
      </c>
      <c r="L167" s="131">
        <v>29210028883</v>
      </c>
      <c r="M167" s="131" t="s">
        <v>2044</v>
      </c>
    </row>
    <row r="168" spans="1:13" ht="34">
      <c r="A168" s="132" t="s">
        <v>1595</v>
      </c>
      <c r="B168" s="132" t="e">
        <f t="array" ref="B168">IF(OR(F168=#REF!),"重疊","")</f>
        <v>#REF!</v>
      </c>
      <c r="C168" s="132"/>
      <c r="D168" s="147">
        <v>154</v>
      </c>
      <c r="E168" s="148" t="s">
        <v>2045</v>
      </c>
      <c r="F168" s="132" t="s">
        <v>240</v>
      </c>
      <c r="G168" s="132" t="s">
        <v>2039</v>
      </c>
      <c r="H168" s="132" t="s">
        <v>2040</v>
      </c>
      <c r="I168" s="133" t="s">
        <v>2041</v>
      </c>
      <c r="J168" s="132" t="s">
        <v>1985</v>
      </c>
      <c r="K168" s="131" t="s">
        <v>2043</v>
      </c>
      <c r="L168" s="131">
        <v>29210028883</v>
      </c>
      <c r="M168" s="131" t="s">
        <v>2044</v>
      </c>
    </row>
    <row r="169" spans="1:13" ht="34">
      <c r="A169" s="132" t="s">
        <v>1595</v>
      </c>
      <c r="B169" s="132" t="e">
        <f t="array" ref="B169">IF(OR(F169=#REF!),"重疊","")</f>
        <v>#REF!</v>
      </c>
      <c r="C169" s="132"/>
      <c r="D169" s="147">
        <v>155</v>
      </c>
      <c r="E169" s="148" t="s">
        <v>2046</v>
      </c>
      <c r="F169" s="132" t="s">
        <v>189</v>
      </c>
      <c r="G169" s="132" t="s">
        <v>2039</v>
      </c>
      <c r="H169" s="132" t="s">
        <v>2040</v>
      </c>
      <c r="I169" s="133" t="s">
        <v>2041</v>
      </c>
      <c r="J169" s="132" t="s">
        <v>1985</v>
      </c>
      <c r="K169" s="131" t="s">
        <v>2043</v>
      </c>
      <c r="L169" s="131">
        <v>29210028883</v>
      </c>
      <c r="M169" s="131" t="s">
        <v>2044</v>
      </c>
    </row>
    <row r="170" spans="1:13">
      <c r="A170" s="132"/>
      <c r="B170" s="132" t="e">
        <f t="array" ref="B170">IF(OR(F170=#REF!),"重疊","")</f>
        <v>#REF!</v>
      </c>
      <c r="C170" s="132"/>
      <c r="D170" s="142">
        <v>156</v>
      </c>
      <c r="E170" s="143" t="s">
        <v>141</v>
      </c>
      <c r="F170" s="132" t="s">
        <v>141</v>
      </c>
      <c r="G170" s="132"/>
      <c r="H170" s="132"/>
      <c r="I170" s="133"/>
      <c r="J170" s="132"/>
      <c r="K170" s="131"/>
      <c r="L170" s="131"/>
      <c r="M170" s="131"/>
    </row>
    <row r="171" spans="1:13">
      <c r="A171" s="132" t="s">
        <v>1595</v>
      </c>
      <c r="B171" s="132" t="e">
        <f t="array" ref="B171">IF(OR(F171=#REF!),"重疊","")</f>
        <v>#REF!</v>
      </c>
      <c r="C171" s="132"/>
      <c r="D171" s="142">
        <v>157</v>
      </c>
      <c r="E171" s="143" t="s">
        <v>2047</v>
      </c>
      <c r="F171" s="132" t="s">
        <v>598</v>
      </c>
      <c r="G171" s="132" t="s">
        <v>1780</v>
      </c>
      <c r="H171" s="132" t="s">
        <v>2048</v>
      </c>
      <c r="I171" s="133" t="s">
        <v>2049</v>
      </c>
      <c r="J171" s="132" t="s">
        <v>1985</v>
      </c>
      <c r="K171" s="131" t="s">
        <v>2050</v>
      </c>
      <c r="L171" s="136" t="s">
        <v>2051</v>
      </c>
      <c r="M171" s="131" t="s">
        <v>2052</v>
      </c>
    </row>
    <row r="172" spans="1:13">
      <c r="A172" s="132" t="s">
        <v>1595</v>
      </c>
      <c r="B172" s="132" t="e">
        <f t="array" ref="B172">IF(OR(F172=#REF!),"重疊","")</f>
        <v>#REF!</v>
      </c>
      <c r="C172" s="132" t="s">
        <v>1595</v>
      </c>
      <c r="D172" s="141">
        <v>158</v>
      </c>
      <c r="E172" s="135" t="s">
        <v>2053</v>
      </c>
      <c r="F172" s="132" t="s">
        <v>2054</v>
      </c>
      <c r="G172" s="132"/>
      <c r="H172" s="132"/>
      <c r="I172" s="133"/>
      <c r="J172" s="132"/>
      <c r="K172" s="131"/>
      <c r="L172" s="131"/>
      <c r="M172" s="131"/>
    </row>
    <row r="173" spans="1:13">
      <c r="A173" s="132" t="s">
        <v>1595</v>
      </c>
      <c r="B173" s="132" t="e">
        <f t="array" ref="B173">IF(OR(F173=#REF!),"重疊","")</f>
        <v>#REF!</v>
      </c>
      <c r="C173" s="132" t="s">
        <v>1595</v>
      </c>
      <c r="D173" s="141">
        <v>159</v>
      </c>
      <c r="E173" s="135" t="s">
        <v>2055</v>
      </c>
      <c r="F173" s="132" t="s">
        <v>594</v>
      </c>
      <c r="G173" s="132"/>
      <c r="H173" s="132" t="s">
        <v>1788</v>
      </c>
      <c r="I173" s="133" t="s">
        <v>2056</v>
      </c>
      <c r="J173" s="132" t="s">
        <v>2020</v>
      </c>
      <c r="K173" s="131"/>
      <c r="L173" s="131"/>
      <c r="M173" s="131"/>
    </row>
    <row r="174" spans="1:13">
      <c r="A174" s="132"/>
      <c r="B174" s="132" t="e">
        <f t="array" ref="B174">IF(OR(F174=#REF!),"重疊","")</f>
        <v>#REF!</v>
      </c>
      <c r="C174" s="132"/>
      <c r="D174" s="142">
        <v>160</v>
      </c>
      <c r="E174" s="143" t="s">
        <v>1854</v>
      </c>
      <c r="F174" s="132" t="s">
        <v>314</v>
      </c>
      <c r="G174" s="132"/>
      <c r="H174" s="132"/>
      <c r="I174" s="133"/>
      <c r="J174" s="132"/>
      <c r="K174" s="131"/>
      <c r="L174" s="131"/>
      <c r="M174" s="131"/>
    </row>
    <row r="175" spans="1:13">
      <c r="A175" s="132" t="s">
        <v>1595</v>
      </c>
      <c r="B175" s="132" t="e">
        <f t="array" ref="B175">IF(OR(F175=#REF!),"重疊","")</f>
        <v>#REF!</v>
      </c>
      <c r="C175" s="132" t="s">
        <v>1595</v>
      </c>
      <c r="D175" s="141">
        <v>161</v>
      </c>
      <c r="E175" s="135" t="s">
        <v>2057</v>
      </c>
      <c r="F175" s="132" t="s">
        <v>2058</v>
      </c>
      <c r="G175" s="132"/>
      <c r="H175" s="132"/>
      <c r="I175" s="133"/>
      <c r="J175" s="132"/>
      <c r="K175" s="131"/>
      <c r="L175" s="131"/>
      <c r="M175" s="131"/>
    </row>
    <row r="176" spans="1:13">
      <c r="A176" s="132" t="s">
        <v>1595</v>
      </c>
      <c r="B176" s="132" t="e">
        <f t="array" ref="B176">IF(OR(F176=#REF!),"重疊","")</f>
        <v>#REF!</v>
      </c>
      <c r="C176" s="132" t="s">
        <v>1595</v>
      </c>
      <c r="D176" s="141">
        <v>162</v>
      </c>
      <c r="E176" s="135" t="s">
        <v>2059</v>
      </c>
      <c r="F176" s="132" t="s">
        <v>2060</v>
      </c>
      <c r="G176" s="132"/>
      <c r="H176" s="132"/>
      <c r="I176" s="133"/>
      <c r="J176" s="132"/>
      <c r="K176" s="131"/>
      <c r="L176" s="131"/>
      <c r="M176" s="131"/>
    </row>
    <row r="177" spans="1:13">
      <c r="A177" s="132" t="s">
        <v>1595</v>
      </c>
      <c r="B177" s="132" t="e">
        <f t="array" ref="B177">IF(OR(F177=#REF!),"重疊","")</f>
        <v>#REF!</v>
      </c>
      <c r="C177" s="132" t="s">
        <v>1595</v>
      </c>
      <c r="D177" s="141">
        <v>163</v>
      </c>
      <c r="E177" s="135" t="s">
        <v>2061</v>
      </c>
      <c r="F177" s="132" t="s">
        <v>1525</v>
      </c>
      <c r="G177" s="132"/>
      <c r="H177" s="132"/>
      <c r="I177" s="133"/>
      <c r="J177" s="132"/>
      <c r="K177" s="131"/>
      <c r="L177" s="131"/>
      <c r="M177" s="131"/>
    </row>
    <row r="178" spans="1:13">
      <c r="A178" s="132"/>
      <c r="B178" s="132" t="e">
        <f t="array" ref="B178">IF(OR(F178=#REF!),"重疊","")</f>
        <v>#REF!</v>
      </c>
      <c r="C178" s="132"/>
      <c r="D178" s="142">
        <v>164</v>
      </c>
      <c r="E178" s="143" t="s">
        <v>2062</v>
      </c>
      <c r="F178" s="132" t="s">
        <v>246</v>
      </c>
      <c r="G178" s="132"/>
      <c r="H178" s="132"/>
      <c r="I178" s="133"/>
      <c r="J178" s="132"/>
      <c r="K178" s="131"/>
      <c r="L178" s="131"/>
      <c r="M178" s="131"/>
    </row>
    <row r="179" spans="1:13">
      <c r="A179" s="132"/>
      <c r="B179" s="132" t="e">
        <f t="array" ref="B179">IF(OR(F179=#REF!),"重疊","")</f>
        <v>#REF!</v>
      </c>
      <c r="C179" s="132" t="s">
        <v>1595</v>
      </c>
      <c r="D179" s="141">
        <v>165</v>
      </c>
      <c r="E179" s="135" t="s">
        <v>2063</v>
      </c>
      <c r="F179" s="132" t="s">
        <v>584</v>
      </c>
      <c r="G179" s="132" t="s">
        <v>1780</v>
      </c>
      <c r="H179" s="132" t="s">
        <v>1952</v>
      </c>
      <c r="I179" s="133"/>
      <c r="J179" s="132" t="s">
        <v>2064</v>
      </c>
      <c r="K179" s="131"/>
      <c r="L179" s="131"/>
      <c r="M179" s="131"/>
    </row>
    <row r="180" spans="1:13">
      <c r="A180" s="132" t="s">
        <v>1595</v>
      </c>
      <c r="B180" s="132" t="e">
        <f t="array" ref="B180">IF(OR(F180=#REF!),"重疊","")</f>
        <v>#REF!</v>
      </c>
      <c r="C180" s="132"/>
      <c r="D180" s="137">
        <v>166</v>
      </c>
      <c r="E180" s="138" t="s">
        <v>2065</v>
      </c>
      <c r="F180" s="132" t="s">
        <v>213</v>
      </c>
      <c r="G180" s="132" t="s">
        <v>1876</v>
      </c>
      <c r="H180" s="132" t="s">
        <v>1766</v>
      </c>
      <c r="I180" s="133" t="s">
        <v>1970</v>
      </c>
      <c r="J180" s="132" t="s">
        <v>2066</v>
      </c>
      <c r="K180" s="131" t="s">
        <v>1762</v>
      </c>
      <c r="L180" s="136" t="s">
        <v>1769</v>
      </c>
      <c r="M180" s="131"/>
    </row>
    <row r="181" spans="1:13" ht="34">
      <c r="A181" s="132"/>
      <c r="B181" s="132" t="e">
        <f t="array" ref="B181">IF(OR(F181=#REF!),"重疊","")</f>
        <v>#REF!</v>
      </c>
      <c r="C181" s="132" t="s">
        <v>1595</v>
      </c>
      <c r="D181" s="141">
        <v>167</v>
      </c>
      <c r="E181" s="135" t="s">
        <v>2067</v>
      </c>
      <c r="F181" s="132" t="s">
        <v>1109</v>
      </c>
      <c r="G181" s="132" t="s">
        <v>1780</v>
      </c>
      <c r="H181" s="132" t="s">
        <v>1614</v>
      </c>
      <c r="I181" s="133">
        <v>103.06</v>
      </c>
      <c r="J181" s="132" t="s">
        <v>2020</v>
      </c>
      <c r="K181" s="131" t="s">
        <v>2068</v>
      </c>
      <c r="L181" s="136" t="s">
        <v>2069</v>
      </c>
      <c r="M181" s="131" t="s">
        <v>2070</v>
      </c>
    </row>
    <row r="182" spans="1:13">
      <c r="A182" s="132" t="s">
        <v>1595</v>
      </c>
      <c r="B182" s="132" t="e">
        <f t="array" ref="B182">IF(OR(F182=#REF!),"重疊","")</f>
        <v>#REF!</v>
      </c>
      <c r="C182" s="132"/>
      <c r="D182" s="137">
        <v>168</v>
      </c>
      <c r="E182" s="138" t="s">
        <v>2071</v>
      </c>
      <c r="F182" s="132" t="s">
        <v>135</v>
      </c>
      <c r="G182" s="132" t="s">
        <v>2072</v>
      </c>
      <c r="H182" s="132" t="s">
        <v>1899</v>
      </c>
      <c r="I182" s="133" t="s">
        <v>1836</v>
      </c>
      <c r="J182" s="132" t="s">
        <v>2073</v>
      </c>
      <c r="K182" s="131" t="s">
        <v>1762</v>
      </c>
      <c r="L182" s="136" t="s">
        <v>1769</v>
      </c>
      <c r="M182" s="131"/>
    </row>
    <row r="183" spans="1:13">
      <c r="A183" s="132"/>
      <c r="B183" s="132" t="e">
        <f t="array" ref="B183">IF(OR(F183=#REF!),"重疊","")</f>
        <v>#REF!</v>
      </c>
      <c r="C183" s="132" t="s">
        <v>1595</v>
      </c>
      <c r="D183" s="141">
        <v>169</v>
      </c>
      <c r="E183" s="135" t="s">
        <v>2074</v>
      </c>
      <c r="F183" s="132" t="s">
        <v>1526</v>
      </c>
      <c r="G183" s="132"/>
      <c r="H183" s="132"/>
      <c r="I183" s="133"/>
      <c r="J183" s="132"/>
      <c r="K183" s="131"/>
      <c r="L183" s="131"/>
      <c r="M183" s="131"/>
    </row>
    <row r="184" spans="1:13">
      <c r="A184" s="132"/>
      <c r="B184" s="132" t="e">
        <f t="array" ref="B184">IF(OR(F184=#REF!),"重疊","")</f>
        <v>#REF!</v>
      </c>
      <c r="C184" s="132"/>
      <c r="D184" s="142">
        <v>170</v>
      </c>
      <c r="E184" s="143" t="s">
        <v>2075</v>
      </c>
      <c r="F184" s="132" t="s">
        <v>1527</v>
      </c>
      <c r="G184" s="132"/>
      <c r="H184" s="132"/>
      <c r="I184" s="133"/>
      <c r="J184" s="132"/>
      <c r="K184" s="131"/>
      <c r="L184" s="131"/>
      <c r="M184" s="131"/>
    </row>
    <row r="185" spans="1:13">
      <c r="A185" s="132" t="s">
        <v>1595</v>
      </c>
      <c r="B185" s="132" t="e">
        <f t="array" ref="B185">IF(OR(F185=#REF!),"重疊","")</f>
        <v>#REF!</v>
      </c>
      <c r="C185" s="132" t="s">
        <v>1595</v>
      </c>
      <c r="D185" s="141">
        <v>171</v>
      </c>
      <c r="E185" s="135" t="s">
        <v>2076</v>
      </c>
      <c r="F185" s="132" t="s">
        <v>672</v>
      </c>
      <c r="G185" s="132"/>
      <c r="H185" s="132" t="s">
        <v>1788</v>
      </c>
      <c r="I185" s="133">
        <v>103</v>
      </c>
      <c r="J185" s="132"/>
      <c r="K185" s="131"/>
      <c r="L185" s="131"/>
      <c r="M185" s="131"/>
    </row>
    <row r="186" spans="1:13">
      <c r="A186" s="132"/>
      <c r="B186" s="132" t="e">
        <f t="array" ref="B186">IF(OR(F186=#REF!),"重疊","")</f>
        <v>#REF!</v>
      </c>
      <c r="C186" s="132"/>
      <c r="D186" s="142">
        <v>172</v>
      </c>
      <c r="E186" s="143" t="s">
        <v>148</v>
      </c>
      <c r="F186" s="132" t="s">
        <v>148</v>
      </c>
      <c r="G186" s="132"/>
      <c r="H186" s="132"/>
      <c r="I186" s="133"/>
      <c r="J186" s="132"/>
      <c r="K186" s="131"/>
      <c r="L186" s="131"/>
      <c r="M186" s="131"/>
    </row>
    <row r="187" spans="1:13">
      <c r="A187" s="132"/>
      <c r="B187" s="132" t="e">
        <f t="array" ref="B187">IF(OR(F187=#REF!),"重疊","")</f>
        <v>#REF!</v>
      </c>
      <c r="C187" s="132" t="s">
        <v>1595</v>
      </c>
      <c r="D187" s="141">
        <v>173</v>
      </c>
      <c r="E187" s="135" t="s">
        <v>2077</v>
      </c>
      <c r="F187" s="132" t="s">
        <v>1528</v>
      </c>
      <c r="G187" s="132"/>
      <c r="H187" s="132"/>
      <c r="I187" s="133"/>
      <c r="J187" s="132"/>
      <c r="K187" s="131"/>
      <c r="L187" s="131"/>
      <c r="M187" s="131"/>
    </row>
    <row r="188" spans="1:13">
      <c r="A188" s="132"/>
      <c r="B188" s="132" t="e">
        <f t="array" ref="B188">IF(OR(F188=#REF!),"重疊","")</f>
        <v>#REF!</v>
      </c>
      <c r="C188" s="132" t="s">
        <v>1595</v>
      </c>
      <c r="D188" s="141">
        <v>174</v>
      </c>
      <c r="E188" s="135" t="s">
        <v>2078</v>
      </c>
      <c r="F188" s="132" t="s">
        <v>695</v>
      </c>
      <c r="G188" s="132"/>
      <c r="H188" s="132"/>
      <c r="I188" s="133"/>
      <c r="J188" s="132"/>
      <c r="K188" s="131"/>
      <c r="L188" s="131"/>
      <c r="M188" s="131"/>
    </row>
    <row r="189" spans="1:13">
      <c r="A189" s="132"/>
      <c r="B189" s="132" t="e">
        <f t="array" ref="B189">IF(OR(F189=#REF!),"重疊","")</f>
        <v>#REF!</v>
      </c>
      <c r="C189" s="132"/>
      <c r="D189" s="142">
        <v>175</v>
      </c>
      <c r="E189" s="143" t="s">
        <v>151</v>
      </c>
      <c r="F189" s="132" t="s">
        <v>151</v>
      </c>
      <c r="G189" s="132"/>
      <c r="H189" s="132"/>
      <c r="I189" s="133"/>
      <c r="J189" s="132"/>
      <c r="K189" s="131"/>
      <c r="L189" s="131"/>
      <c r="M189" s="131"/>
    </row>
    <row r="190" spans="1:13" ht="34">
      <c r="A190" s="132" t="s">
        <v>1595</v>
      </c>
      <c r="B190" s="132" t="e">
        <f t="array" ref="B190">IF(OR(F190=#REF!),"重疊","")</f>
        <v>#REF!</v>
      </c>
      <c r="C190" s="132" t="s">
        <v>1595</v>
      </c>
      <c r="D190" s="141">
        <v>176</v>
      </c>
      <c r="E190" s="135" t="s">
        <v>2079</v>
      </c>
      <c r="F190" s="132" t="s">
        <v>547</v>
      </c>
      <c r="G190" s="132" t="s">
        <v>1780</v>
      </c>
      <c r="H190" s="132" t="s">
        <v>2080</v>
      </c>
      <c r="I190" s="133" t="s">
        <v>2081</v>
      </c>
      <c r="J190" s="132" t="s">
        <v>2020</v>
      </c>
      <c r="K190" s="131" t="s">
        <v>2082</v>
      </c>
      <c r="L190" s="131" t="s">
        <v>2083</v>
      </c>
      <c r="M190" s="131" t="s">
        <v>2084</v>
      </c>
    </row>
    <row r="191" spans="1:13">
      <c r="A191" s="132"/>
      <c r="B191" s="132" t="e">
        <f t="array" ref="B191">IF(OR(F191=#REF!),"重疊","")</f>
        <v>#REF!</v>
      </c>
      <c r="C191" s="132"/>
      <c r="D191" s="142">
        <v>177</v>
      </c>
      <c r="E191" s="143" t="s">
        <v>516</v>
      </c>
      <c r="F191" s="132" t="s">
        <v>516</v>
      </c>
      <c r="G191" s="132"/>
      <c r="H191" s="132"/>
      <c r="I191" s="133"/>
      <c r="J191" s="132"/>
      <c r="K191" s="131"/>
      <c r="L191" s="131"/>
      <c r="M191" s="131"/>
    </row>
    <row r="192" spans="1:13">
      <c r="A192" s="132"/>
      <c r="B192" s="132" t="e">
        <f t="array" ref="B192">IF(OR(F192=#REF!),"重疊","")</f>
        <v>#REF!</v>
      </c>
      <c r="C192" s="132"/>
      <c r="D192" s="142">
        <v>178</v>
      </c>
      <c r="E192" s="143" t="s">
        <v>1529</v>
      </c>
      <c r="F192" s="132" t="s">
        <v>1529</v>
      </c>
      <c r="G192" s="132"/>
      <c r="H192" s="132"/>
      <c r="I192" s="133"/>
      <c r="J192" s="132"/>
      <c r="K192" s="131"/>
      <c r="L192" s="131"/>
      <c r="M192" s="131"/>
    </row>
    <row r="193" spans="1:13">
      <c r="A193" s="132" t="s">
        <v>1595</v>
      </c>
      <c r="B193" s="132" t="e">
        <f t="array" ref="B193">IF(OR(F193=#REF!),"重疊","")</f>
        <v>#REF!</v>
      </c>
      <c r="C193" s="132" t="s">
        <v>1595</v>
      </c>
      <c r="D193" s="141">
        <v>179</v>
      </c>
      <c r="E193" s="135" t="s">
        <v>2085</v>
      </c>
      <c r="F193" s="132" t="s">
        <v>309</v>
      </c>
      <c r="G193" s="132"/>
      <c r="H193" s="132"/>
      <c r="I193" s="133"/>
      <c r="J193" s="132"/>
      <c r="K193" s="131"/>
      <c r="L193" s="131"/>
      <c r="M193" s="131"/>
    </row>
    <row r="194" spans="1:13">
      <c r="A194" s="132"/>
      <c r="B194" s="132" t="e">
        <f t="array" ref="B194">IF(OR(F194=#REF!),"重疊","")</f>
        <v>#REF!</v>
      </c>
      <c r="C194" s="132"/>
      <c r="D194" s="142">
        <v>180</v>
      </c>
      <c r="E194" s="143" t="s">
        <v>2086</v>
      </c>
      <c r="F194" s="132" t="s">
        <v>444</v>
      </c>
      <c r="G194" s="132"/>
      <c r="H194" s="132"/>
      <c r="I194" s="133"/>
      <c r="J194" s="132"/>
      <c r="K194" s="131"/>
      <c r="L194" s="131"/>
      <c r="M194" s="131"/>
    </row>
    <row r="195" spans="1:13">
      <c r="A195" s="132"/>
      <c r="B195" s="132" t="e">
        <f t="array" ref="B195">IF(OR(F195=#REF!),"重疊","")</f>
        <v>#REF!</v>
      </c>
      <c r="C195" s="132" t="s">
        <v>1595</v>
      </c>
      <c r="D195" s="141">
        <v>181</v>
      </c>
      <c r="E195" s="135" t="s">
        <v>2087</v>
      </c>
      <c r="F195" s="132" t="s">
        <v>1112</v>
      </c>
      <c r="G195" s="132"/>
      <c r="H195" s="132"/>
      <c r="I195" s="133"/>
      <c r="J195" s="132"/>
      <c r="K195" s="131"/>
      <c r="L195" s="131"/>
      <c r="M195" s="131"/>
    </row>
    <row r="196" spans="1:13">
      <c r="A196" s="132"/>
      <c r="B196" s="132" t="e">
        <f t="array" ref="B196">IF(OR(F196=#REF!),"重疊","")</f>
        <v>#REF!</v>
      </c>
      <c r="C196" s="132" t="s">
        <v>1595</v>
      </c>
      <c r="D196" s="141">
        <v>182</v>
      </c>
      <c r="E196" s="135" t="s">
        <v>2088</v>
      </c>
      <c r="F196" s="132" t="s">
        <v>714</v>
      </c>
      <c r="G196" s="132"/>
      <c r="H196" s="132"/>
      <c r="I196" s="133"/>
      <c r="J196" s="132"/>
      <c r="K196" s="131"/>
      <c r="L196" s="131"/>
      <c r="M196" s="131"/>
    </row>
    <row r="197" spans="1:13">
      <c r="A197" s="132" t="s">
        <v>1595</v>
      </c>
      <c r="B197" s="132" t="e">
        <f t="array" ref="B197">IF(OR(F197=#REF!),"重疊","")</f>
        <v>#REF!</v>
      </c>
      <c r="C197" s="132"/>
      <c r="D197" s="142">
        <v>183</v>
      </c>
      <c r="E197" s="143" t="s">
        <v>2089</v>
      </c>
      <c r="F197" s="132" t="s">
        <v>282</v>
      </c>
      <c r="G197" s="132"/>
      <c r="H197" s="132"/>
      <c r="I197" s="133"/>
      <c r="J197" s="132"/>
      <c r="K197" s="131"/>
      <c r="L197" s="131"/>
      <c r="M197" s="131"/>
    </row>
    <row r="198" spans="1:13">
      <c r="A198" s="132" t="s">
        <v>1595</v>
      </c>
      <c r="B198" s="132" t="e">
        <f t="array" ref="B198">IF(OR(F198=#REF!),"重疊","")</f>
        <v>#REF!</v>
      </c>
      <c r="C198" s="132" t="s">
        <v>1595</v>
      </c>
      <c r="D198" s="141">
        <v>184</v>
      </c>
      <c r="E198" s="135" t="s">
        <v>2090</v>
      </c>
      <c r="F198" s="132" t="s">
        <v>666</v>
      </c>
      <c r="G198" s="132" t="s">
        <v>1780</v>
      </c>
      <c r="H198" s="132" t="s">
        <v>1788</v>
      </c>
      <c r="I198" s="133" t="s">
        <v>2091</v>
      </c>
      <c r="J198" s="132" t="s">
        <v>2092</v>
      </c>
      <c r="K198" s="131" t="s">
        <v>1617</v>
      </c>
      <c r="L198" s="131"/>
      <c r="M198" s="131"/>
    </row>
    <row r="199" spans="1:13">
      <c r="A199" s="132" t="s">
        <v>1595</v>
      </c>
      <c r="B199" s="132" t="e">
        <f t="array" ref="B199">IF(OR(F199=#REF!),"重疊","")</f>
        <v>#REF!</v>
      </c>
      <c r="C199" s="132" t="s">
        <v>1595</v>
      </c>
      <c r="D199" s="141">
        <v>185</v>
      </c>
      <c r="E199" s="135" t="s">
        <v>2093</v>
      </c>
      <c r="F199" s="132" t="s">
        <v>261</v>
      </c>
      <c r="G199" s="132"/>
      <c r="H199" s="132"/>
      <c r="I199" s="133"/>
      <c r="J199" s="132"/>
      <c r="K199" s="131"/>
      <c r="L199" s="131"/>
      <c r="M199" s="131"/>
    </row>
    <row r="200" spans="1:13">
      <c r="A200" s="132"/>
      <c r="B200" s="132" t="e">
        <f t="array" ref="B200">IF(OR(F200=#REF!),"重疊","")</f>
        <v>#REF!</v>
      </c>
      <c r="C200" s="132"/>
      <c r="D200" s="142">
        <v>186</v>
      </c>
      <c r="E200" s="143" t="s">
        <v>2094</v>
      </c>
      <c r="F200" s="132" t="s">
        <v>295</v>
      </c>
      <c r="G200" s="132" t="s">
        <v>1780</v>
      </c>
      <c r="H200" s="132" t="s">
        <v>1806</v>
      </c>
      <c r="I200" s="133">
        <v>103.08</v>
      </c>
      <c r="J200" s="132" t="s">
        <v>2095</v>
      </c>
      <c r="K200" s="131" t="s">
        <v>2096</v>
      </c>
      <c r="L200" s="131"/>
      <c r="M200" s="131"/>
    </row>
    <row r="201" spans="1:13" ht="34">
      <c r="A201" s="132" t="s">
        <v>1595</v>
      </c>
      <c r="B201" s="132" t="e">
        <f t="array" ref="B201">IF(OR(F201=#REF!),"重疊","")</f>
        <v>#REF!</v>
      </c>
      <c r="C201" s="132" t="s">
        <v>1595</v>
      </c>
      <c r="D201" s="141">
        <v>187</v>
      </c>
      <c r="E201" s="135" t="s">
        <v>2097</v>
      </c>
      <c r="F201" s="132" t="s">
        <v>277</v>
      </c>
      <c r="G201" s="132" t="s">
        <v>1780</v>
      </c>
      <c r="H201" s="132" t="s">
        <v>2098</v>
      </c>
      <c r="I201" s="133" t="s">
        <v>2099</v>
      </c>
      <c r="J201" s="132" t="s">
        <v>2092</v>
      </c>
      <c r="K201" s="131" t="s">
        <v>2100</v>
      </c>
      <c r="L201" s="136" t="s">
        <v>1887</v>
      </c>
      <c r="M201" s="131" t="s">
        <v>2101</v>
      </c>
    </row>
    <row r="202" spans="1:13">
      <c r="A202" s="132"/>
      <c r="B202" s="132" t="e">
        <f t="array" ref="B202">IF(OR(F202=#REF!),"重疊","")</f>
        <v>#REF!</v>
      </c>
      <c r="C202" s="132" t="s">
        <v>1595</v>
      </c>
      <c r="D202" s="141">
        <v>188</v>
      </c>
      <c r="E202" s="135" t="s">
        <v>2102</v>
      </c>
      <c r="F202" s="132" t="s">
        <v>685</v>
      </c>
      <c r="G202" s="132" t="s">
        <v>1780</v>
      </c>
      <c r="H202" s="132"/>
      <c r="I202" s="133" t="s">
        <v>1884</v>
      </c>
      <c r="J202" s="132" t="s">
        <v>2103</v>
      </c>
      <c r="K202" s="131"/>
      <c r="L202" s="131"/>
      <c r="M202" s="131"/>
    </row>
    <row r="203" spans="1:13" ht="34">
      <c r="A203" s="132" t="s">
        <v>1595</v>
      </c>
      <c r="B203" s="132" t="e">
        <f t="array" ref="B203">IF(OR(F203=#REF!),"重疊","")</f>
        <v>#REF!</v>
      </c>
      <c r="C203" s="132" t="s">
        <v>1595</v>
      </c>
      <c r="D203" s="141">
        <v>189</v>
      </c>
      <c r="E203" s="135" t="s">
        <v>2104</v>
      </c>
      <c r="F203" s="132" t="s">
        <v>698</v>
      </c>
      <c r="G203" s="132" t="s">
        <v>1780</v>
      </c>
      <c r="H203" s="132" t="s">
        <v>2105</v>
      </c>
      <c r="I203" s="133" t="s">
        <v>2106</v>
      </c>
      <c r="J203" s="132" t="s">
        <v>1938</v>
      </c>
      <c r="K203" s="131" t="s">
        <v>1777</v>
      </c>
      <c r="L203" s="136" t="s">
        <v>1624</v>
      </c>
      <c r="M203" s="131" t="s">
        <v>2107</v>
      </c>
    </row>
    <row r="204" spans="1:13" ht="51">
      <c r="A204" s="132" t="s">
        <v>1595</v>
      </c>
      <c r="B204" s="132" t="e">
        <f t="array" ref="B204">IF(OR(F204=#REF!),"重疊","")</f>
        <v>#REF!</v>
      </c>
      <c r="C204" s="132"/>
      <c r="D204" s="142">
        <v>190</v>
      </c>
      <c r="E204" s="143" t="s">
        <v>2108</v>
      </c>
      <c r="F204" s="132" t="s">
        <v>316</v>
      </c>
      <c r="G204" s="132" t="s">
        <v>1780</v>
      </c>
      <c r="H204" s="132" t="s">
        <v>1824</v>
      </c>
      <c r="I204" s="133" t="s">
        <v>2109</v>
      </c>
      <c r="J204" s="132" t="s">
        <v>2110</v>
      </c>
      <c r="K204" s="131" t="s">
        <v>1826</v>
      </c>
      <c r="L204" s="136" t="s">
        <v>1827</v>
      </c>
      <c r="M204" s="131" t="s">
        <v>2111</v>
      </c>
    </row>
    <row r="205" spans="1:13" ht="34">
      <c r="A205" s="132"/>
      <c r="B205" s="132" t="e">
        <f t="array" ref="B205">IF(OR(F205=#REF!),"重疊","")</f>
        <v>#REF!</v>
      </c>
      <c r="C205" s="132" t="s">
        <v>1595</v>
      </c>
      <c r="D205" s="141">
        <v>191</v>
      </c>
      <c r="E205" s="135" t="s">
        <v>2112</v>
      </c>
      <c r="F205" s="132" t="s">
        <v>565</v>
      </c>
      <c r="G205" s="132" t="s">
        <v>1780</v>
      </c>
      <c r="H205" s="132" t="s">
        <v>2113</v>
      </c>
      <c r="I205" s="133" t="s">
        <v>2114</v>
      </c>
      <c r="J205" s="132" t="s">
        <v>1963</v>
      </c>
      <c r="K205" s="131" t="s">
        <v>1617</v>
      </c>
      <c r="L205" s="136" t="s">
        <v>1618</v>
      </c>
      <c r="M205" s="131" t="s">
        <v>2115</v>
      </c>
    </row>
    <row r="206" spans="1:13">
      <c r="A206" s="132" t="s">
        <v>1595</v>
      </c>
      <c r="B206" s="132" t="e">
        <f t="array" ref="B206">IF(OR(F206=#REF!),"重疊","")</f>
        <v>#REF!</v>
      </c>
      <c r="C206" s="132" t="s">
        <v>1595</v>
      </c>
      <c r="D206" s="141">
        <v>192</v>
      </c>
      <c r="E206" s="135" t="s">
        <v>2116</v>
      </c>
      <c r="F206" s="132" t="s">
        <v>1530</v>
      </c>
      <c r="G206" s="132"/>
      <c r="H206" s="132"/>
      <c r="I206" s="133"/>
      <c r="J206" s="132"/>
      <c r="K206" s="131"/>
      <c r="L206" s="131"/>
      <c r="M206" s="131"/>
    </row>
    <row r="207" spans="1:13" ht="34">
      <c r="A207" s="132" t="s">
        <v>1595</v>
      </c>
      <c r="B207" s="132" t="e">
        <f t="array" ref="B207">IF(OR(F207=#REF!),"重疊","")</f>
        <v>#REF!</v>
      </c>
      <c r="C207" s="132"/>
      <c r="D207" s="139">
        <v>193</v>
      </c>
      <c r="E207" s="140" t="s">
        <v>2117</v>
      </c>
      <c r="F207" s="132" t="s">
        <v>618</v>
      </c>
      <c r="G207" s="132" t="s">
        <v>1780</v>
      </c>
      <c r="H207" s="132" t="s">
        <v>2118</v>
      </c>
      <c r="I207" s="133" t="s">
        <v>2119</v>
      </c>
      <c r="J207" s="132" t="s">
        <v>1963</v>
      </c>
      <c r="K207" s="131" t="s">
        <v>2120</v>
      </c>
      <c r="L207" s="136" t="s">
        <v>2121</v>
      </c>
      <c r="M207" s="131" t="s">
        <v>2122</v>
      </c>
    </row>
    <row r="208" spans="1:13">
      <c r="A208" s="132"/>
      <c r="B208" s="132" t="e">
        <f t="array" ref="B208">IF(OR(F208=#REF!),"重疊","")</f>
        <v>#REF!</v>
      </c>
      <c r="C208" s="132"/>
      <c r="D208" s="142">
        <v>194</v>
      </c>
      <c r="E208" s="143" t="s">
        <v>670</v>
      </c>
      <c r="F208" s="132" t="s">
        <v>2123</v>
      </c>
      <c r="G208" s="132"/>
      <c r="H208" s="132"/>
      <c r="I208" s="133"/>
      <c r="J208" s="132"/>
      <c r="K208" s="131"/>
      <c r="L208" s="131"/>
      <c r="M208" s="131"/>
    </row>
    <row r="209" spans="1:13">
      <c r="A209" s="132"/>
      <c r="B209" s="132" t="e">
        <f t="array" ref="B209">IF(OR(F209=#REF!),"重疊","")</f>
        <v>#REF!</v>
      </c>
      <c r="C209" s="132"/>
      <c r="D209" s="142">
        <v>195</v>
      </c>
      <c r="E209" s="143" t="s">
        <v>123</v>
      </c>
      <c r="F209" s="132" t="s">
        <v>123</v>
      </c>
      <c r="G209" s="132"/>
      <c r="H209" s="132"/>
      <c r="I209" s="133"/>
      <c r="J209" s="132"/>
      <c r="K209" s="131"/>
      <c r="L209" s="131"/>
      <c r="M209" s="131"/>
    </row>
    <row r="210" spans="1:13">
      <c r="A210" s="132" t="s">
        <v>1595</v>
      </c>
      <c r="B210" s="132" t="e">
        <f t="array" ref="B210">IF(OR(F210=#REF!),"重疊","")</f>
        <v>#REF!</v>
      </c>
      <c r="C210" s="132" t="s">
        <v>1595</v>
      </c>
      <c r="D210" s="141">
        <v>196</v>
      </c>
      <c r="E210" s="135" t="s">
        <v>2124</v>
      </c>
      <c r="F210" s="132" t="s">
        <v>435</v>
      </c>
      <c r="G210" s="132" t="s">
        <v>1780</v>
      </c>
      <c r="H210" s="132" t="s">
        <v>1788</v>
      </c>
      <c r="I210" s="133">
        <v>103</v>
      </c>
      <c r="J210" s="132" t="s">
        <v>1963</v>
      </c>
      <c r="K210" s="131" t="s">
        <v>2125</v>
      </c>
      <c r="L210" s="136" t="s">
        <v>2126</v>
      </c>
      <c r="M210" s="131" t="s">
        <v>2127</v>
      </c>
    </row>
    <row r="211" spans="1:13">
      <c r="A211" s="132"/>
      <c r="B211" s="132" t="e">
        <f t="array" ref="B211">IF(OR(F211=#REF!),"重疊","")</f>
        <v>#REF!</v>
      </c>
      <c r="C211" s="132" t="s">
        <v>1595</v>
      </c>
      <c r="D211" s="141">
        <v>197</v>
      </c>
      <c r="E211" s="135" t="s">
        <v>2128</v>
      </c>
      <c r="F211" s="132" t="s">
        <v>471</v>
      </c>
      <c r="G211" s="132"/>
      <c r="H211" s="132"/>
      <c r="I211" s="133"/>
      <c r="J211" s="132"/>
      <c r="K211" s="131"/>
      <c r="L211" s="131"/>
      <c r="M211" s="131"/>
    </row>
    <row r="212" spans="1:13">
      <c r="A212" s="132"/>
      <c r="B212" s="132" t="e">
        <f t="array" ref="B212">IF(OR(F212=#REF!),"重疊","")</f>
        <v>#REF!</v>
      </c>
      <c r="C212" s="132"/>
      <c r="D212" s="142">
        <v>198</v>
      </c>
      <c r="E212" s="143" t="s">
        <v>311</v>
      </c>
      <c r="F212" s="132" t="s">
        <v>311</v>
      </c>
      <c r="G212" s="132"/>
      <c r="H212" s="132"/>
      <c r="I212" s="133"/>
      <c r="J212" s="132"/>
      <c r="K212" s="131"/>
      <c r="L212" s="131"/>
      <c r="M212" s="131"/>
    </row>
    <row r="213" spans="1:13" ht="51">
      <c r="A213" s="132" t="s">
        <v>1595</v>
      </c>
      <c r="B213" s="132" t="e">
        <f t="array" ref="B213">IF(OR(F213=#REF!),"重疊","")</f>
        <v>#REF!</v>
      </c>
      <c r="C213" s="132" t="s">
        <v>1595</v>
      </c>
      <c r="D213" s="141">
        <v>199</v>
      </c>
      <c r="E213" s="135" t="s">
        <v>2129</v>
      </c>
      <c r="F213" s="132" t="s">
        <v>254</v>
      </c>
      <c r="G213" s="132" t="s">
        <v>1819</v>
      </c>
      <c r="H213" s="132" t="s">
        <v>1969</v>
      </c>
      <c r="I213" s="133" t="s">
        <v>2130</v>
      </c>
      <c r="J213" s="132" t="s">
        <v>1963</v>
      </c>
      <c r="K213" s="131"/>
      <c r="L213" s="131"/>
      <c r="M213" s="131"/>
    </row>
    <row r="214" spans="1:13">
      <c r="A214" s="132" t="s">
        <v>1595</v>
      </c>
      <c r="B214" s="132" t="e">
        <f t="array" ref="B214">IF(OR(F214=#REF!),"重疊","")</f>
        <v>#REF!</v>
      </c>
      <c r="C214" s="132" t="s">
        <v>1595</v>
      </c>
      <c r="D214" s="141">
        <v>200</v>
      </c>
      <c r="E214" s="135" t="s">
        <v>2131</v>
      </c>
      <c r="F214" s="132" t="s">
        <v>2132</v>
      </c>
      <c r="G214" s="132"/>
      <c r="H214" s="132"/>
      <c r="I214" s="133"/>
      <c r="J214" s="132"/>
      <c r="K214" s="131"/>
      <c r="L214" s="131"/>
      <c r="M214" s="131"/>
    </row>
    <row r="215" spans="1:13">
      <c r="A215" s="132" t="s">
        <v>1595</v>
      </c>
      <c r="B215" s="132" t="e">
        <f t="array" ref="B215">IF(OR(F215=#REF!),"重疊","")</f>
        <v>#REF!</v>
      </c>
      <c r="C215" s="132"/>
      <c r="D215" s="145">
        <v>201</v>
      </c>
      <c r="E215" s="146" t="s">
        <v>2133</v>
      </c>
      <c r="F215" s="132" t="s">
        <v>443</v>
      </c>
      <c r="G215" s="132" t="s">
        <v>1800</v>
      </c>
      <c r="H215" s="132" t="s">
        <v>1801</v>
      </c>
      <c r="I215" s="133">
        <v>103.09</v>
      </c>
      <c r="J215" s="132" t="s">
        <v>2134</v>
      </c>
      <c r="K215" s="131" t="s">
        <v>1762</v>
      </c>
      <c r="L215" s="131"/>
      <c r="M215" s="131"/>
    </row>
    <row r="216" spans="1:13">
      <c r="A216" s="132" t="s">
        <v>1595</v>
      </c>
      <c r="B216" s="132" t="e">
        <f t="array" ref="B216">IF(OR(F216=#REF!),"重疊","")</f>
        <v>#REF!</v>
      </c>
      <c r="C216" s="132" t="s">
        <v>1595</v>
      </c>
      <c r="D216" s="141">
        <v>202</v>
      </c>
      <c r="E216" s="135" t="s">
        <v>2135</v>
      </c>
      <c r="F216" s="132" t="s">
        <v>445</v>
      </c>
      <c r="G216" s="132"/>
      <c r="H216" s="132"/>
      <c r="I216" s="133"/>
      <c r="J216" s="132"/>
      <c r="K216" s="131"/>
      <c r="L216" s="131"/>
      <c r="M216" s="131"/>
    </row>
    <row r="217" spans="1:13">
      <c r="A217" s="132"/>
      <c r="B217" s="132" t="e">
        <f t="array" ref="B217">IF(OR(F217=#REF!),"重疊","")</f>
        <v>#REF!</v>
      </c>
      <c r="C217" s="132"/>
      <c r="D217" s="142">
        <v>203</v>
      </c>
      <c r="E217" s="143" t="s">
        <v>575</v>
      </c>
      <c r="F217" s="132" t="s">
        <v>575</v>
      </c>
      <c r="G217" s="132" t="s">
        <v>1780</v>
      </c>
      <c r="H217" s="132" t="s">
        <v>2136</v>
      </c>
      <c r="I217" s="133" t="s">
        <v>2137</v>
      </c>
      <c r="J217" s="132" t="s">
        <v>2092</v>
      </c>
      <c r="K217" s="131"/>
      <c r="L217" s="131"/>
      <c r="M217" s="131"/>
    </row>
    <row r="218" spans="1:13">
      <c r="A218" s="132"/>
      <c r="B218" s="132" t="e">
        <f t="array" ref="B218">IF(OR(F218=#REF!),"重疊","")</f>
        <v>#REF!</v>
      </c>
      <c r="C218" s="132"/>
      <c r="D218" s="142">
        <v>204</v>
      </c>
      <c r="E218" s="143" t="s">
        <v>174</v>
      </c>
      <c r="F218" s="132" t="s">
        <v>174</v>
      </c>
      <c r="G218" s="132"/>
      <c r="H218" s="132"/>
      <c r="I218" s="133"/>
      <c r="J218" s="132"/>
      <c r="K218" s="131"/>
      <c r="L218" s="131"/>
      <c r="M218" s="131"/>
    </row>
    <row r="219" spans="1:13">
      <c r="A219" s="132"/>
      <c r="B219" s="132" t="e">
        <f t="array" ref="B219">IF(OR(F219=#REF!),"重疊","")</f>
        <v>#REF!</v>
      </c>
      <c r="C219" s="132" t="s">
        <v>1595</v>
      </c>
      <c r="D219" s="141">
        <v>205</v>
      </c>
      <c r="E219" s="135" t="s">
        <v>2138</v>
      </c>
      <c r="F219" s="132" t="s">
        <v>569</v>
      </c>
      <c r="G219" s="132"/>
      <c r="H219" s="132"/>
      <c r="I219" s="133"/>
      <c r="J219" s="132"/>
      <c r="K219" s="131"/>
      <c r="L219" s="131"/>
      <c r="M219" s="131"/>
    </row>
    <row r="220" spans="1:13">
      <c r="A220" s="132"/>
      <c r="B220" s="132" t="e">
        <f t="array" ref="B220">IF(OR(F220=#REF!),"重疊","")</f>
        <v>#REF!</v>
      </c>
      <c r="C220" s="132" t="s">
        <v>1595</v>
      </c>
      <c r="D220" s="141">
        <v>206</v>
      </c>
      <c r="E220" s="135" t="s">
        <v>2139</v>
      </c>
      <c r="F220" s="132" t="s">
        <v>713</v>
      </c>
      <c r="G220" s="132"/>
      <c r="H220" s="132"/>
      <c r="I220" s="133"/>
      <c r="J220" s="132"/>
      <c r="K220" s="131"/>
      <c r="L220" s="131"/>
      <c r="M220" s="131"/>
    </row>
    <row r="221" spans="1:13">
      <c r="A221" s="132" t="s">
        <v>1595</v>
      </c>
      <c r="B221" s="132" t="e">
        <f t="array" ref="B221">IF(OR(F221=#REF!),"重疊","")</f>
        <v>#REF!</v>
      </c>
      <c r="C221" s="132"/>
      <c r="D221" s="137">
        <v>207</v>
      </c>
      <c r="E221" s="138" t="s">
        <v>2140</v>
      </c>
      <c r="F221" s="132" t="s">
        <v>312</v>
      </c>
      <c r="G221" s="132" t="s">
        <v>2141</v>
      </c>
      <c r="H221" s="132" t="s">
        <v>2142</v>
      </c>
      <c r="I221" s="133" t="s">
        <v>2143</v>
      </c>
      <c r="J221" s="132" t="s">
        <v>2092</v>
      </c>
      <c r="K221" s="131" t="s">
        <v>2050</v>
      </c>
      <c r="L221" s="136" t="s">
        <v>1769</v>
      </c>
      <c r="M221" s="131" t="s">
        <v>2144</v>
      </c>
    </row>
    <row r="222" spans="1:13">
      <c r="A222" s="132" t="s">
        <v>1595</v>
      </c>
      <c r="B222" s="132" t="e">
        <f t="array" ref="B222">IF(OR(F222=#REF!),"重疊","")</f>
        <v>#REF!</v>
      </c>
      <c r="C222" s="132"/>
      <c r="D222" s="142">
        <v>208</v>
      </c>
      <c r="E222" s="143" t="s">
        <v>2145</v>
      </c>
      <c r="F222" s="132" t="s">
        <v>644</v>
      </c>
      <c r="G222" s="132" t="s">
        <v>1780</v>
      </c>
      <c r="H222" s="132" t="s">
        <v>1840</v>
      </c>
      <c r="I222" s="133" t="s">
        <v>1941</v>
      </c>
      <c r="J222" s="132" t="s">
        <v>2146</v>
      </c>
      <c r="K222" s="131" t="s">
        <v>1777</v>
      </c>
      <c r="L222" s="131">
        <v>29210028883</v>
      </c>
      <c r="M222" s="131" t="s">
        <v>2147</v>
      </c>
    </row>
    <row r="223" spans="1:13">
      <c r="A223" s="132"/>
      <c r="B223" s="132" t="e">
        <f t="array" ref="B223">IF(OR(F223=#REF!),"重疊","")</f>
        <v>#REF!</v>
      </c>
      <c r="C223" s="132"/>
      <c r="D223" s="142">
        <v>209</v>
      </c>
      <c r="E223" s="143" t="s">
        <v>196</v>
      </c>
      <c r="F223" s="132" t="s">
        <v>196</v>
      </c>
      <c r="G223" s="132"/>
      <c r="H223" s="132"/>
      <c r="I223" s="133"/>
      <c r="J223" s="132"/>
      <c r="K223" s="131"/>
      <c r="L223" s="131"/>
      <c r="M223" s="131"/>
    </row>
    <row r="224" spans="1:13">
      <c r="A224" s="132" t="s">
        <v>1595</v>
      </c>
      <c r="B224" s="132" t="e">
        <f t="array" ref="B224">IF(OR(F224=#REF!),"重疊","")</f>
        <v>#REF!</v>
      </c>
      <c r="C224" s="132"/>
      <c r="D224" s="147">
        <v>210</v>
      </c>
      <c r="E224" s="148" t="s">
        <v>2148</v>
      </c>
      <c r="F224" s="132" t="s">
        <v>375</v>
      </c>
      <c r="G224" s="132" t="s">
        <v>2141</v>
      </c>
      <c r="H224" s="132" t="s">
        <v>1899</v>
      </c>
      <c r="I224" s="133" t="s">
        <v>2025</v>
      </c>
      <c r="J224" s="132" t="s">
        <v>2149</v>
      </c>
      <c r="K224" s="131"/>
      <c r="L224" s="131"/>
      <c r="M224" s="131"/>
    </row>
    <row r="225" spans="1:13">
      <c r="A225" s="132"/>
      <c r="B225" s="132" t="e">
        <f t="array" ref="B225">IF(OR(F225=#REF!),"重疊","")</f>
        <v>#REF!</v>
      </c>
      <c r="C225" s="132" t="s">
        <v>1595</v>
      </c>
      <c r="D225" s="141">
        <v>211</v>
      </c>
      <c r="E225" s="135" t="s">
        <v>2150</v>
      </c>
      <c r="F225" s="132" t="s">
        <v>553</v>
      </c>
      <c r="G225" s="132"/>
      <c r="H225" s="132"/>
      <c r="I225" s="133"/>
      <c r="J225" s="132"/>
      <c r="K225" s="131"/>
      <c r="L225" s="131"/>
      <c r="M225" s="131"/>
    </row>
    <row r="226" spans="1:13">
      <c r="A226" s="132" t="s">
        <v>1595</v>
      </c>
      <c r="B226" s="132" t="e">
        <f t="array" ref="B226">IF(OR(F226=#REF!),"重疊","")</f>
        <v>#REF!</v>
      </c>
      <c r="C226" s="132"/>
      <c r="D226" s="147">
        <v>212</v>
      </c>
      <c r="E226" s="148" t="s">
        <v>2151</v>
      </c>
      <c r="F226" s="132" t="s">
        <v>200</v>
      </c>
      <c r="G226" s="132" t="s">
        <v>2141</v>
      </c>
      <c r="H226" s="132" t="s">
        <v>2030</v>
      </c>
      <c r="I226" s="133">
        <v>103.12</v>
      </c>
      <c r="J226" s="132" t="s">
        <v>2152</v>
      </c>
      <c r="K226" s="131" t="s">
        <v>2050</v>
      </c>
      <c r="L226" s="136" t="s">
        <v>1769</v>
      </c>
      <c r="M226" s="131"/>
    </row>
    <row r="227" spans="1:13">
      <c r="A227" s="132" t="s">
        <v>1595</v>
      </c>
      <c r="B227" s="132" t="e">
        <f t="array" ref="B227">IF(OR(F227=#REF!),"重疊","")</f>
        <v>#REF!</v>
      </c>
      <c r="C227" s="132" t="s">
        <v>1595</v>
      </c>
      <c r="D227" s="141">
        <v>213</v>
      </c>
      <c r="E227" s="135" t="s">
        <v>2153</v>
      </c>
      <c r="F227" s="132" t="s">
        <v>586</v>
      </c>
      <c r="G227" s="132"/>
      <c r="H227" s="132"/>
      <c r="I227" s="133"/>
      <c r="J227" s="132"/>
      <c r="K227" s="131"/>
      <c r="L227" s="131"/>
      <c r="M227" s="131"/>
    </row>
    <row r="228" spans="1:13">
      <c r="A228" s="132"/>
      <c r="B228" s="132" t="e">
        <f t="array" ref="B228">IF(OR(F228=#REF!),"重疊","")</f>
        <v>#REF!</v>
      </c>
      <c r="C228" s="132" t="s">
        <v>1595</v>
      </c>
      <c r="D228" s="141">
        <v>214</v>
      </c>
      <c r="E228" s="135" t="s">
        <v>2154</v>
      </c>
      <c r="F228" s="132" t="s">
        <v>651</v>
      </c>
      <c r="G228" s="132" t="s">
        <v>1780</v>
      </c>
      <c r="H228" s="132" t="s">
        <v>1788</v>
      </c>
      <c r="I228" s="133" t="s">
        <v>2155</v>
      </c>
      <c r="J228" s="132" t="s">
        <v>2156</v>
      </c>
      <c r="K228" s="131" t="s">
        <v>1617</v>
      </c>
      <c r="L228" s="136" t="s">
        <v>1618</v>
      </c>
      <c r="M228" s="131" t="s">
        <v>2157</v>
      </c>
    </row>
    <row r="229" spans="1:13" ht="34">
      <c r="A229" s="132" t="s">
        <v>1595</v>
      </c>
      <c r="B229" s="132" t="e">
        <f t="array" ref="B229">IF(OR(F229=#REF!),"重疊","")</f>
        <v>#REF!</v>
      </c>
      <c r="C229" s="132" t="s">
        <v>1595</v>
      </c>
      <c r="D229" s="141">
        <v>215</v>
      </c>
      <c r="E229" s="135" t="s">
        <v>2158</v>
      </c>
      <c r="F229" s="132" t="s">
        <v>1531</v>
      </c>
      <c r="G229" s="132" t="s">
        <v>1780</v>
      </c>
      <c r="H229" s="132" t="s">
        <v>2159</v>
      </c>
      <c r="I229" s="133" t="s">
        <v>2160</v>
      </c>
      <c r="J229" s="132" t="s">
        <v>2146</v>
      </c>
      <c r="K229" s="131" t="s">
        <v>1777</v>
      </c>
      <c r="L229" s="131">
        <v>29210028883</v>
      </c>
      <c r="M229" s="131" t="s">
        <v>2161</v>
      </c>
    </row>
    <row r="230" spans="1:13">
      <c r="A230" s="132" t="s">
        <v>1595</v>
      </c>
      <c r="B230" s="132" t="e">
        <f t="array" ref="B230">IF(OR(F230=#REF!),"重疊","")</f>
        <v>#REF!</v>
      </c>
      <c r="C230" s="132" t="s">
        <v>1595</v>
      </c>
      <c r="D230" s="141">
        <v>216</v>
      </c>
      <c r="E230" s="135" t="s">
        <v>2162</v>
      </c>
      <c r="F230" s="132" t="s">
        <v>643</v>
      </c>
      <c r="G230" s="132" t="s">
        <v>1780</v>
      </c>
      <c r="H230" s="132" t="s">
        <v>2098</v>
      </c>
      <c r="I230" s="133">
        <v>103.03</v>
      </c>
      <c r="J230" s="132" t="s">
        <v>2146</v>
      </c>
      <c r="K230" s="131" t="s">
        <v>1777</v>
      </c>
      <c r="L230" s="131">
        <v>29210028883</v>
      </c>
      <c r="M230" s="131" t="s">
        <v>2163</v>
      </c>
    </row>
    <row r="231" spans="1:13">
      <c r="A231" s="132"/>
      <c r="B231" s="132" t="e">
        <f t="array" ref="B231">IF(OR(F231=#REF!),"重疊","")</f>
        <v>#REF!</v>
      </c>
      <c r="C231" s="132" t="s">
        <v>1595</v>
      </c>
      <c r="D231" s="141">
        <v>217</v>
      </c>
      <c r="E231" s="135" t="s">
        <v>2164</v>
      </c>
      <c r="F231" s="132" t="s">
        <v>593</v>
      </c>
      <c r="G231" s="132"/>
      <c r="H231" s="132"/>
      <c r="I231" s="133"/>
      <c r="J231" s="132"/>
      <c r="K231" s="131"/>
      <c r="L231" s="131"/>
      <c r="M231" s="131"/>
    </row>
    <row r="232" spans="1:13">
      <c r="A232" s="132" t="s">
        <v>1595</v>
      </c>
      <c r="B232" s="132" t="e">
        <f t="array" ref="B232">IF(OR(F232=#REF!),"重疊","")</f>
        <v>#REF!</v>
      </c>
      <c r="C232" s="132" t="s">
        <v>1595</v>
      </c>
      <c r="D232" s="141">
        <v>218</v>
      </c>
      <c r="E232" s="135" t="s">
        <v>2165</v>
      </c>
      <c r="F232" s="132" t="s">
        <v>389</v>
      </c>
      <c r="G232" s="132" t="s">
        <v>1780</v>
      </c>
      <c r="H232" s="132" t="s">
        <v>1921</v>
      </c>
      <c r="I232" s="133" t="s">
        <v>2166</v>
      </c>
      <c r="J232" s="132" t="s">
        <v>2146</v>
      </c>
      <c r="K232" s="131" t="s">
        <v>2167</v>
      </c>
      <c r="L232" s="136" t="s">
        <v>2168</v>
      </c>
      <c r="M232" s="131" t="s">
        <v>2169</v>
      </c>
    </row>
    <row r="233" spans="1:13">
      <c r="A233" s="132"/>
      <c r="B233" s="132" t="e">
        <f t="array" ref="B233">IF(OR(F233=#REF!),"重疊","")</f>
        <v>#REF!</v>
      </c>
      <c r="C233" s="132"/>
      <c r="D233" s="142">
        <v>219</v>
      </c>
      <c r="E233" s="143" t="s">
        <v>2170</v>
      </c>
      <c r="F233" s="132" t="s">
        <v>150</v>
      </c>
      <c r="G233" s="132"/>
      <c r="H233" s="132"/>
      <c r="I233" s="133"/>
      <c r="J233" s="132"/>
      <c r="K233" s="131"/>
      <c r="L233" s="131"/>
      <c r="M233" s="131"/>
    </row>
    <row r="234" spans="1:13" ht="51">
      <c r="A234" s="132"/>
      <c r="B234" s="132" t="e">
        <f t="array" ref="B234">IF(OR(F234=#REF!),"重疊","")</f>
        <v>#REF!</v>
      </c>
      <c r="C234" s="132" t="s">
        <v>1595</v>
      </c>
      <c r="D234" s="141">
        <v>220</v>
      </c>
      <c r="E234" s="135" t="s">
        <v>2171</v>
      </c>
      <c r="F234" s="132" t="s">
        <v>543</v>
      </c>
      <c r="G234" s="132" t="s">
        <v>1780</v>
      </c>
      <c r="H234" s="132" t="s">
        <v>2033</v>
      </c>
      <c r="I234" s="133" t="s">
        <v>2172</v>
      </c>
      <c r="J234" s="132" t="s">
        <v>2173</v>
      </c>
      <c r="K234" s="131" t="s">
        <v>2174</v>
      </c>
      <c r="L234" s="136" t="s">
        <v>2175</v>
      </c>
      <c r="M234" s="131" t="s">
        <v>2176</v>
      </c>
    </row>
    <row r="235" spans="1:13" ht="34">
      <c r="A235" s="132" t="s">
        <v>1595</v>
      </c>
      <c r="B235" s="132" t="e">
        <f t="array" ref="B235">IF(OR(F235=#REF!),"重疊","")</f>
        <v>#REF!</v>
      </c>
      <c r="C235" s="132"/>
      <c r="D235" s="137">
        <v>221</v>
      </c>
      <c r="E235" s="138" t="s">
        <v>2177</v>
      </c>
      <c r="F235" s="132" t="s">
        <v>484</v>
      </c>
      <c r="G235" s="153"/>
      <c r="H235" s="132" t="s">
        <v>2178</v>
      </c>
      <c r="I235" s="133">
        <v>103.11</v>
      </c>
      <c r="J235" s="132" t="s">
        <v>2179</v>
      </c>
      <c r="K235" s="131" t="s">
        <v>2180</v>
      </c>
      <c r="L235" s="131"/>
      <c r="M235" s="131"/>
    </row>
    <row r="236" spans="1:13">
      <c r="A236" s="132"/>
      <c r="B236" s="132" t="e">
        <f t="array" ref="B236">IF(OR(F236=#REF!),"重疊","")</f>
        <v>#REF!</v>
      </c>
      <c r="C236" s="132"/>
      <c r="D236" s="142">
        <v>222</v>
      </c>
      <c r="E236" s="143" t="s">
        <v>604</v>
      </c>
      <c r="F236" s="132" t="s">
        <v>604</v>
      </c>
      <c r="G236" s="132"/>
      <c r="H236" s="132"/>
      <c r="I236" s="133"/>
      <c r="J236" s="132"/>
      <c r="K236" s="131"/>
      <c r="L236" s="131"/>
      <c r="M236" s="131"/>
    </row>
    <row r="237" spans="1:13">
      <c r="A237" s="132"/>
      <c r="B237" s="132" t="e">
        <f t="array" ref="B237">IF(OR(F237=#REF!),"重疊","")</f>
        <v>#REF!</v>
      </c>
      <c r="C237" s="132"/>
      <c r="D237" s="142">
        <v>223</v>
      </c>
      <c r="E237" s="143" t="s">
        <v>203</v>
      </c>
      <c r="F237" s="132" t="s">
        <v>203</v>
      </c>
      <c r="G237" s="132"/>
      <c r="H237" s="132"/>
      <c r="I237" s="133"/>
      <c r="J237" s="132"/>
      <c r="K237" s="131"/>
      <c r="L237" s="131"/>
      <c r="M237" s="131"/>
    </row>
    <row r="238" spans="1:13">
      <c r="A238" s="132" t="s">
        <v>1595</v>
      </c>
      <c r="B238" s="132" t="e">
        <f t="array" ref="B238">IF(OR(F238=#REF!),"重疊","")</f>
        <v>#REF!</v>
      </c>
      <c r="C238" s="132" t="s">
        <v>1595</v>
      </c>
      <c r="D238" s="141">
        <v>224</v>
      </c>
      <c r="E238" s="135" t="s">
        <v>2181</v>
      </c>
      <c r="F238" s="132" t="s">
        <v>657</v>
      </c>
      <c r="G238" s="132" t="s">
        <v>1780</v>
      </c>
      <c r="H238" s="132"/>
      <c r="I238" s="133">
        <v>103.07</v>
      </c>
      <c r="J238" s="132" t="s">
        <v>2182</v>
      </c>
      <c r="K238" s="131" t="s">
        <v>1623</v>
      </c>
      <c r="L238" s="131"/>
      <c r="M238" s="131"/>
    </row>
    <row r="239" spans="1:13" ht="51">
      <c r="A239" s="132" t="s">
        <v>1595</v>
      </c>
      <c r="B239" s="132" t="e">
        <f t="array" ref="B239">IF(OR(F239=#REF!),"重疊","")</f>
        <v>#REF!</v>
      </c>
      <c r="C239" s="132" t="s">
        <v>1595</v>
      </c>
      <c r="D239" s="141">
        <v>225</v>
      </c>
      <c r="E239" s="135" t="s">
        <v>2183</v>
      </c>
      <c r="F239" s="132" t="s">
        <v>661</v>
      </c>
      <c r="G239" s="132" t="s">
        <v>1780</v>
      </c>
      <c r="H239" s="132" t="s">
        <v>2184</v>
      </c>
      <c r="I239" s="133" t="s">
        <v>2185</v>
      </c>
      <c r="J239" s="132" t="s">
        <v>2134</v>
      </c>
      <c r="K239" s="131" t="s">
        <v>1617</v>
      </c>
      <c r="L239" s="136" t="s">
        <v>1618</v>
      </c>
      <c r="M239" s="131" t="s">
        <v>2186</v>
      </c>
    </row>
    <row r="240" spans="1:13" ht="34">
      <c r="A240" s="132" t="s">
        <v>1595</v>
      </c>
      <c r="B240" s="132" t="e">
        <f t="array" ref="B240">IF(OR(F240=#REF!),"重疊","")</f>
        <v>#REF!</v>
      </c>
      <c r="C240" s="132"/>
      <c r="D240" s="147">
        <v>226</v>
      </c>
      <c r="E240" s="148" t="s">
        <v>2187</v>
      </c>
      <c r="F240" s="132" t="s">
        <v>409</v>
      </c>
      <c r="G240" s="132" t="s">
        <v>2141</v>
      </c>
      <c r="H240" s="132" t="s">
        <v>2188</v>
      </c>
      <c r="I240" s="133" t="s">
        <v>2189</v>
      </c>
      <c r="J240" s="132" t="s">
        <v>2190</v>
      </c>
      <c r="K240" s="131" t="s">
        <v>1762</v>
      </c>
      <c r="L240" s="131"/>
      <c r="M240" s="131"/>
    </row>
    <row r="241" spans="1:13" ht="51">
      <c r="A241" s="132" t="s">
        <v>1595</v>
      </c>
      <c r="B241" s="132" t="e">
        <f t="array" ref="B241">IF(OR(F241=#REF!),"重疊","")</f>
        <v>#REF!</v>
      </c>
      <c r="C241" s="132"/>
      <c r="D241" s="137">
        <v>227</v>
      </c>
      <c r="E241" s="138" t="s">
        <v>2191</v>
      </c>
      <c r="F241" s="132" t="s">
        <v>192</v>
      </c>
      <c r="G241" s="132" t="s">
        <v>1876</v>
      </c>
      <c r="H241" s="132" t="s">
        <v>1899</v>
      </c>
      <c r="I241" s="133">
        <v>103.05</v>
      </c>
      <c r="J241" s="132" t="s">
        <v>2134</v>
      </c>
      <c r="K241" s="131" t="s">
        <v>2192</v>
      </c>
      <c r="L241" s="136" t="s">
        <v>2193</v>
      </c>
      <c r="M241" s="131" t="s">
        <v>2194</v>
      </c>
    </row>
    <row r="242" spans="1:13">
      <c r="A242" s="132"/>
      <c r="B242" s="132" t="e">
        <f t="array" ref="B242">IF(OR(F242=#REF!),"重疊","")</f>
        <v>#REF!</v>
      </c>
      <c r="C242" s="132" t="s">
        <v>1595</v>
      </c>
      <c r="D242" s="141">
        <v>228</v>
      </c>
      <c r="E242" s="135" t="s">
        <v>2195</v>
      </c>
      <c r="F242" s="132" t="s">
        <v>454</v>
      </c>
      <c r="G242" s="132" t="s">
        <v>1780</v>
      </c>
      <c r="H242" s="132" t="s">
        <v>1788</v>
      </c>
      <c r="I242" s="133">
        <v>103.06</v>
      </c>
      <c r="J242" s="132" t="s">
        <v>2196</v>
      </c>
      <c r="K242" s="131" t="s">
        <v>1765</v>
      </c>
      <c r="L242" s="131"/>
      <c r="M242" s="131"/>
    </row>
    <row r="243" spans="1:13" ht="34">
      <c r="A243" s="132" t="s">
        <v>1595</v>
      </c>
      <c r="B243" s="132" t="e">
        <f t="array" ref="B243">IF(OR(F243=#REF!),"重疊","")</f>
        <v>#REF!</v>
      </c>
      <c r="C243" s="132" t="s">
        <v>1595</v>
      </c>
      <c r="D243" s="141">
        <v>229</v>
      </c>
      <c r="E243" s="135" t="s">
        <v>2197</v>
      </c>
      <c r="F243" s="132" t="s">
        <v>169</v>
      </c>
      <c r="G243" s="132"/>
      <c r="H243" s="132"/>
      <c r="I243" s="133">
        <v>103.05</v>
      </c>
      <c r="J243" s="132"/>
      <c r="K243" s="131" t="s">
        <v>1946</v>
      </c>
      <c r="L243" s="136" t="s">
        <v>1887</v>
      </c>
      <c r="M243" s="131" t="s">
        <v>2198</v>
      </c>
    </row>
    <row r="244" spans="1:13">
      <c r="A244" s="132"/>
      <c r="B244" s="132" t="e">
        <f t="array" ref="B244">IF(OR(F244=#REF!),"重疊","")</f>
        <v>#REF!</v>
      </c>
      <c r="C244" s="132"/>
      <c r="D244" s="142">
        <v>230</v>
      </c>
      <c r="E244" s="143" t="s">
        <v>176</v>
      </c>
      <c r="F244" s="132" t="s">
        <v>176</v>
      </c>
      <c r="G244" s="132"/>
      <c r="H244" s="132"/>
      <c r="I244" s="133"/>
      <c r="J244" s="132"/>
      <c r="K244" s="131"/>
      <c r="L244" s="131"/>
      <c r="M244" s="131"/>
    </row>
    <row r="245" spans="1:13">
      <c r="A245" s="132" t="s">
        <v>1595</v>
      </c>
      <c r="B245" s="132" t="e">
        <f t="array" ref="B245">IF(OR(F245=#REF!),"重疊","")</f>
        <v>#REF!</v>
      </c>
      <c r="C245" s="132" t="s">
        <v>1595</v>
      </c>
      <c r="D245" s="141">
        <v>231</v>
      </c>
      <c r="E245" s="135" t="s">
        <v>2199</v>
      </c>
      <c r="F245" s="132" t="s">
        <v>623</v>
      </c>
      <c r="G245" s="132" t="s">
        <v>1780</v>
      </c>
      <c r="H245" s="132" t="s">
        <v>2098</v>
      </c>
      <c r="I245" s="133" t="s">
        <v>2200</v>
      </c>
      <c r="J245" s="132" t="s">
        <v>2201</v>
      </c>
      <c r="K245" s="131"/>
      <c r="L245" s="131"/>
      <c r="M245" s="131"/>
    </row>
    <row r="246" spans="1:13">
      <c r="A246" s="132" t="s">
        <v>1595</v>
      </c>
      <c r="B246" s="132" t="e">
        <f t="array" ref="B246">IF(OR(F246=#REF!),"重疊","")</f>
        <v>#REF!</v>
      </c>
      <c r="C246" s="132" t="s">
        <v>1595</v>
      </c>
      <c r="D246" s="141">
        <v>232</v>
      </c>
      <c r="E246" s="135" t="s">
        <v>2202</v>
      </c>
      <c r="F246" s="132" t="s">
        <v>237</v>
      </c>
      <c r="G246" s="132"/>
      <c r="H246" s="132"/>
      <c r="I246" s="133"/>
      <c r="J246" s="132"/>
      <c r="K246" s="131"/>
      <c r="L246" s="131"/>
      <c r="M246" s="131"/>
    </row>
    <row r="247" spans="1:13">
      <c r="A247" s="132" t="s">
        <v>1595</v>
      </c>
      <c r="B247" s="132" t="e">
        <f t="array" ref="B247">IF(OR(F247=#REF!),"重疊","")</f>
        <v>#REF!</v>
      </c>
      <c r="C247" s="132" t="s">
        <v>1595</v>
      </c>
      <c r="D247" s="141">
        <v>233</v>
      </c>
      <c r="E247" s="135" t="s">
        <v>2203</v>
      </c>
      <c r="F247" s="132" t="s">
        <v>147</v>
      </c>
      <c r="G247" s="132"/>
      <c r="H247" s="132"/>
      <c r="I247" s="133"/>
      <c r="J247" s="132"/>
      <c r="K247" s="131"/>
      <c r="L247" s="131"/>
      <c r="M247" s="131"/>
    </row>
    <row r="248" spans="1:13">
      <c r="A248" s="132" t="s">
        <v>1595</v>
      </c>
      <c r="B248" s="132" t="e">
        <f t="array" ref="B248">IF(OR(F248=#REF!),"重疊","")</f>
        <v>#REF!</v>
      </c>
      <c r="C248" s="132"/>
      <c r="D248" s="147">
        <v>234</v>
      </c>
      <c r="E248" s="148" t="s">
        <v>2204</v>
      </c>
      <c r="F248" s="132" t="s">
        <v>472</v>
      </c>
      <c r="G248" s="132" t="s">
        <v>2205</v>
      </c>
      <c r="H248" s="132" t="s">
        <v>2206</v>
      </c>
      <c r="I248" s="133" t="s">
        <v>2207</v>
      </c>
      <c r="J248" s="132" t="s">
        <v>2208</v>
      </c>
      <c r="K248" s="131" t="s">
        <v>2209</v>
      </c>
      <c r="L248" s="131"/>
      <c r="M248" s="131"/>
    </row>
    <row r="249" spans="1:13">
      <c r="A249" s="132" t="s">
        <v>1595</v>
      </c>
      <c r="B249" s="132" t="e">
        <f t="array" ref="B249">IF(OR(F249=#REF!),"重疊","")</f>
        <v>#REF!</v>
      </c>
      <c r="C249" s="132"/>
      <c r="D249" s="137">
        <v>235</v>
      </c>
      <c r="E249" s="138" t="s">
        <v>2210</v>
      </c>
      <c r="F249" s="132" t="s">
        <v>210</v>
      </c>
      <c r="G249" s="132"/>
      <c r="H249" s="132" t="s">
        <v>2206</v>
      </c>
      <c r="I249" s="133">
        <v>103.06</v>
      </c>
      <c r="J249" s="132" t="s">
        <v>2211</v>
      </c>
      <c r="K249" s="131" t="s">
        <v>2096</v>
      </c>
      <c r="L249" s="131"/>
      <c r="M249" s="131"/>
    </row>
    <row r="250" spans="1:13">
      <c r="A250" s="132"/>
      <c r="B250" s="132" t="e">
        <f t="array" ref="B250">IF(OR(F250=#REF!),"重疊","")</f>
        <v>#REF!</v>
      </c>
      <c r="C250" s="132"/>
      <c r="D250" s="142">
        <v>236</v>
      </c>
      <c r="E250" s="143" t="s">
        <v>2212</v>
      </c>
      <c r="F250" s="132" t="s">
        <v>122</v>
      </c>
      <c r="G250" s="132"/>
      <c r="H250" s="132"/>
      <c r="I250" s="133"/>
      <c r="J250" s="132"/>
      <c r="K250" s="131"/>
      <c r="L250" s="131"/>
      <c r="M250" s="131"/>
    </row>
    <row r="251" spans="1:13">
      <c r="A251" s="132" t="s">
        <v>1595</v>
      </c>
      <c r="B251" s="132" t="e">
        <f t="array" ref="B251">IF(OR(F251=#REF!),"重疊","")</f>
        <v>#REF!</v>
      </c>
      <c r="C251" s="132" t="s">
        <v>1595</v>
      </c>
      <c r="D251" s="141">
        <v>237</v>
      </c>
      <c r="E251" s="135" t="s">
        <v>2213</v>
      </c>
      <c r="F251" s="132" t="s">
        <v>306</v>
      </c>
      <c r="G251" s="132"/>
      <c r="H251" s="132"/>
      <c r="I251" s="133"/>
      <c r="J251" s="132"/>
      <c r="K251" s="131"/>
      <c r="L251" s="131"/>
      <c r="M251" s="131"/>
    </row>
    <row r="252" spans="1:13">
      <c r="A252" s="132" t="s">
        <v>1595</v>
      </c>
      <c r="B252" s="132" t="e">
        <f t="array" ref="B252">IF(OR(F252=#REF!),"重疊","")</f>
        <v>#REF!</v>
      </c>
      <c r="C252" s="132" t="s">
        <v>1595</v>
      </c>
      <c r="D252" s="141">
        <v>238</v>
      </c>
      <c r="E252" s="135" t="s">
        <v>2214</v>
      </c>
      <c r="F252" s="132" t="s">
        <v>718</v>
      </c>
      <c r="G252" s="132"/>
      <c r="H252" s="132"/>
      <c r="I252" s="133"/>
      <c r="J252" s="132"/>
      <c r="K252" s="131"/>
      <c r="L252" s="131"/>
      <c r="M252" s="131"/>
    </row>
    <row r="253" spans="1:13">
      <c r="A253" s="132" t="s">
        <v>1595</v>
      </c>
      <c r="B253" s="132" t="e">
        <f t="array" ref="B253">IF(OR(F253=#REF!),"重疊","")</f>
        <v>#REF!</v>
      </c>
      <c r="C253" s="132" t="s">
        <v>1595</v>
      </c>
      <c r="D253" s="141">
        <v>239</v>
      </c>
      <c r="E253" s="135" t="s">
        <v>2215</v>
      </c>
      <c r="F253" s="132" t="s">
        <v>1532</v>
      </c>
      <c r="G253" s="132" t="s">
        <v>1819</v>
      </c>
      <c r="H253" s="132" t="s">
        <v>1788</v>
      </c>
      <c r="I253" s="133" t="s">
        <v>2216</v>
      </c>
      <c r="J253" s="132" t="s">
        <v>2134</v>
      </c>
      <c r="K253" s="131"/>
      <c r="L253" s="131"/>
      <c r="M253" s="131"/>
    </row>
    <row r="254" spans="1:13" ht="34">
      <c r="A254" s="132"/>
      <c r="B254" s="132" t="e">
        <f t="array" ref="B254">IF(OR(F254=#REF!),"重疊","")</f>
        <v>#REF!</v>
      </c>
      <c r="C254" s="132"/>
      <c r="D254" s="139">
        <v>240</v>
      </c>
      <c r="E254" s="140" t="s">
        <v>315</v>
      </c>
      <c r="F254" s="132" t="s">
        <v>315</v>
      </c>
      <c r="G254" s="132"/>
      <c r="H254" s="132" t="s">
        <v>2118</v>
      </c>
      <c r="I254" s="133" t="s">
        <v>2217</v>
      </c>
      <c r="J254" s="132" t="s">
        <v>2092</v>
      </c>
      <c r="K254" s="131" t="s">
        <v>2050</v>
      </c>
      <c r="L254" s="131"/>
      <c r="M254" s="131"/>
    </row>
    <row r="255" spans="1:13">
      <c r="A255" s="132"/>
      <c r="B255" s="132" t="e">
        <f t="array" ref="B255">IF(OR(F255=#REF!),"重疊","")</f>
        <v>#REF!</v>
      </c>
      <c r="C255" s="132" t="s">
        <v>1595</v>
      </c>
      <c r="D255" s="141">
        <v>241</v>
      </c>
      <c r="E255" s="135" t="s">
        <v>2218</v>
      </c>
      <c r="F255" s="132" t="s">
        <v>1533</v>
      </c>
      <c r="G255" s="132"/>
      <c r="H255" s="132"/>
      <c r="I255" s="133"/>
      <c r="J255" s="132"/>
      <c r="K255" s="131"/>
      <c r="L255" s="131"/>
      <c r="M255" s="131"/>
    </row>
    <row r="256" spans="1:13">
      <c r="A256" s="132" t="s">
        <v>1595</v>
      </c>
      <c r="B256" s="132" t="e">
        <f t="array" ref="B256">IF(OR(F256=#REF!),"重疊","")</f>
        <v>#REF!</v>
      </c>
      <c r="C256" s="132" t="s">
        <v>1595</v>
      </c>
      <c r="D256" s="141">
        <v>242</v>
      </c>
      <c r="E256" s="135" t="s">
        <v>2219</v>
      </c>
      <c r="F256" s="132" t="s">
        <v>700</v>
      </c>
      <c r="G256" s="132"/>
      <c r="H256" s="132"/>
      <c r="I256" s="133"/>
      <c r="J256" s="132"/>
      <c r="K256" s="131"/>
      <c r="L256" s="131"/>
      <c r="M256" s="131"/>
    </row>
    <row r="257" spans="1:13" ht="34">
      <c r="A257" s="132" t="s">
        <v>1595</v>
      </c>
      <c r="B257" s="132" t="e">
        <f t="array" ref="B257">IF(OR(F257=#REF!),"重疊","")</f>
        <v>#REF!</v>
      </c>
      <c r="C257" s="132" t="s">
        <v>1595</v>
      </c>
      <c r="D257" s="141">
        <v>243</v>
      </c>
      <c r="E257" s="135" t="s">
        <v>2220</v>
      </c>
      <c r="F257" s="132" t="s">
        <v>587</v>
      </c>
      <c r="G257" s="132" t="s">
        <v>1780</v>
      </c>
      <c r="H257" s="132" t="s">
        <v>1788</v>
      </c>
      <c r="I257" s="133">
        <v>103.03</v>
      </c>
      <c r="J257" s="132" t="s">
        <v>2134</v>
      </c>
      <c r="K257" s="131" t="s">
        <v>1946</v>
      </c>
      <c r="L257" s="136" t="s">
        <v>1618</v>
      </c>
      <c r="M257" s="131" t="s">
        <v>2221</v>
      </c>
    </row>
    <row r="258" spans="1:13" ht="102">
      <c r="A258" s="132" t="s">
        <v>1595</v>
      </c>
      <c r="B258" s="132" t="e">
        <f t="array" ref="B258">IF(OR(F258=#REF!),"重疊","")</f>
        <v>#REF!</v>
      </c>
      <c r="C258" s="132"/>
      <c r="D258" s="139">
        <v>244</v>
      </c>
      <c r="E258" s="140" t="s">
        <v>2222</v>
      </c>
      <c r="F258" s="132" t="s">
        <v>226</v>
      </c>
      <c r="G258" s="132" t="s">
        <v>1780</v>
      </c>
      <c r="H258" s="132" t="s">
        <v>2223</v>
      </c>
      <c r="I258" s="133" t="s">
        <v>2224</v>
      </c>
      <c r="J258" s="132" t="s">
        <v>2225</v>
      </c>
      <c r="K258" s="131" t="s">
        <v>1842</v>
      </c>
      <c r="L258" s="136" t="s">
        <v>1843</v>
      </c>
      <c r="M258" s="131" t="s">
        <v>2226</v>
      </c>
    </row>
    <row r="259" spans="1:13">
      <c r="A259" s="132" t="s">
        <v>1595</v>
      </c>
      <c r="B259" s="132" t="e">
        <f t="array" ref="B259">IF(OR(F259=#REF!),"重疊","")</f>
        <v>#REF!</v>
      </c>
      <c r="C259" s="132" t="s">
        <v>1595</v>
      </c>
      <c r="D259" s="141">
        <v>245</v>
      </c>
      <c r="E259" s="135" t="s">
        <v>2227</v>
      </c>
      <c r="F259" s="132" t="s">
        <v>365</v>
      </c>
      <c r="G259" s="132"/>
      <c r="H259" s="132"/>
      <c r="I259" s="133"/>
      <c r="J259" s="132"/>
      <c r="K259" s="131"/>
      <c r="L259" s="131"/>
      <c r="M259" s="131"/>
    </row>
    <row r="260" spans="1:13">
      <c r="A260" s="132"/>
      <c r="B260" s="132" t="e">
        <f t="array" ref="B260">IF(OR(F260=#REF!),"重疊","")</f>
        <v>#REF!</v>
      </c>
      <c r="C260" s="132" t="s">
        <v>1595</v>
      </c>
      <c r="D260" s="141">
        <v>246</v>
      </c>
      <c r="E260" s="135" t="s">
        <v>2228</v>
      </c>
      <c r="F260" s="132" t="s">
        <v>1534</v>
      </c>
      <c r="G260" s="132"/>
      <c r="H260" s="132"/>
      <c r="I260" s="133"/>
      <c r="J260" s="132"/>
      <c r="K260" s="131"/>
      <c r="L260" s="131"/>
      <c r="M260" s="131"/>
    </row>
    <row r="261" spans="1:13">
      <c r="A261" s="132" t="s">
        <v>1595</v>
      </c>
      <c r="B261" s="132" t="e">
        <f t="array" ref="B261">IF(OR(F261=#REF!),"重疊","")</f>
        <v>#REF!</v>
      </c>
      <c r="C261" s="132"/>
      <c r="D261" s="139">
        <v>247</v>
      </c>
      <c r="E261" s="140" t="s">
        <v>2229</v>
      </c>
      <c r="F261" s="132" t="s">
        <v>219</v>
      </c>
      <c r="G261" s="132" t="s">
        <v>1839</v>
      </c>
      <c r="H261" s="132" t="s">
        <v>2223</v>
      </c>
      <c r="I261" s="133">
        <v>103.08</v>
      </c>
      <c r="J261" s="132" t="s">
        <v>2230</v>
      </c>
      <c r="K261" s="131" t="s">
        <v>1842</v>
      </c>
      <c r="L261" s="136" t="s">
        <v>1843</v>
      </c>
      <c r="M261" s="131"/>
    </row>
    <row r="262" spans="1:13" ht="51">
      <c r="A262" s="132" t="s">
        <v>1595</v>
      </c>
      <c r="B262" s="132" t="e">
        <f t="array" ref="B262">IF(OR(F262=#REF!),"重疊","")</f>
        <v>#REF!</v>
      </c>
      <c r="C262" s="132" t="s">
        <v>1595</v>
      </c>
      <c r="D262" s="141">
        <v>248</v>
      </c>
      <c r="E262" s="135" t="s">
        <v>2231</v>
      </c>
      <c r="F262" s="132" t="s">
        <v>582</v>
      </c>
      <c r="G262" s="132" t="s">
        <v>1780</v>
      </c>
      <c r="H262" s="132" t="s">
        <v>1926</v>
      </c>
      <c r="I262" s="133" t="s">
        <v>2232</v>
      </c>
      <c r="J262" s="132" t="s">
        <v>2233</v>
      </c>
      <c r="K262" s="131" t="s">
        <v>2234</v>
      </c>
      <c r="L262" s="136" t="s">
        <v>2235</v>
      </c>
      <c r="M262" s="131" t="s">
        <v>2236</v>
      </c>
    </row>
    <row r="263" spans="1:13">
      <c r="A263" s="132"/>
      <c r="B263" s="132" t="e">
        <f t="array" ref="B263">IF(OR(F263=#REF!),"重疊","")</f>
        <v>#REF!</v>
      </c>
      <c r="C263" s="132"/>
      <c r="D263" s="142">
        <v>249</v>
      </c>
      <c r="E263" s="143" t="s">
        <v>517</v>
      </c>
      <c r="F263" s="132" t="s">
        <v>517</v>
      </c>
      <c r="G263" s="132"/>
      <c r="H263" s="132"/>
      <c r="I263" s="133"/>
      <c r="J263" s="132"/>
      <c r="K263" s="131"/>
      <c r="L263" s="131"/>
      <c r="M263" s="131"/>
    </row>
    <row r="264" spans="1:13" ht="34">
      <c r="A264" s="132" t="s">
        <v>1595</v>
      </c>
      <c r="B264" s="132" t="e">
        <f t="array" ref="B264">IF(OR(F264=#REF!),"重疊","")</f>
        <v>#REF!</v>
      </c>
      <c r="C264" s="132" t="s">
        <v>1595</v>
      </c>
      <c r="D264" s="141">
        <v>250</v>
      </c>
      <c r="E264" s="135" t="s">
        <v>2237</v>
      </c>
      <c r="F264" s="132" t="s">
        <v>629</v>
      </c>
      <c r="G264" s="132" t="s">
        <v>1780</v>
      </c>
      <c r="H264" s="132" t="s">
        <v>2184</v>
      </c>
      <c r="I264" s="133" t="s">
        <v>2238</v>
      </c>
      <c r="J264" s="132" t="s">
        <v>2239</v>
      </c>
      <c r="K264" s="131" t="s">
        <v>1946</v>
      </c>
      <c r="L264" s="136" t="s">
        <v>1887</v>
      </c>
      <c r="M264" s="131" t="s">
        <v>2240</v>
      </c>
    </row>
    <row r="265" spans="1:13">
      <c r="A265" s="132"/>
      <c r="B265" s="132" t="e">
        <f t="array" ref="B265">IF(OR(F265=#REF!),"重疊","")</f>
        <v>#REF!</v>
      </c>
      <c r="C265" s="132"/>
      <c r="D265" s="142">
        <v>251</v>
      </c>
      <c r="E265" s="143" t="s">
        <v>2241</v>
      </c>
      <c r="F265" s="132" t="s">
        <v>578</v>
      </c>
      <c r="G265" s="132"/>
      <c r="H265" s="132"/>
      <c r="I265" s="133"/>
      <c r="J265" s="132"/>
      <c r="K265" s="131"/>
      <c r="L265" s="131"/>
      <c r="M265" s="131"/>
    </row>
    <row r="266" spans="1:13">
      <c r="A266" s="132" t="s">
        <v>1595</v>
      </c>
      <c r="B266" s="132" t="e">
        <f t="array" ref="B266">IF(OR(F266=#REF!),"重疊","")</f>
        <v>#REF!</v>
      </c>
      <c r="C266" s="132"/>
      <c r="D266" s="137">
        <v>252</v>
      </c>
      <c r="E266" s="138" t="s">
        <v>2242</v>
      </c>
      <c r="F266" s="132" t="s">
        <v>224</v>
      </c>
      <c r="G266" s="132" t="s">
        <v>1973</v>
      </c>
      <c r="H266" s="132" t="s">
        <v>2178</v>
      </c>
      <c r="I266" s="133"/>
      <c r="J266" s="132" t="s">
        <v>2243</v>
      </c>
      <c r="K266" s="131"/>
      <c r="L266" s="131"/>
      <c r="M266" s="131"/>
    </row>
    <row r="267" spans="1:13">
      <c r="A267" s="132" t="s">
        <v>1595</v>
      </c>
      <c r="B267" s="132" t="e">
        <f t="array" ref="B267">IF(OR(F267=#REF!),"重疊","")</f>
        <v>#REF!</v>
      </c>
      <c r="C267" s="132"/>
      <c r="D267" s="137">
        <v>253</v>
      </c>
      <c r="E267" s="138" t="s">
        <v>2244</v>
      </c>
      <c r="F267" s="132" t="s">
        <v>222</v>
      </c>
      <c r="G267" s="132" t="s">
        <v>1973</v>
      </c>
      <c r="H267" s="132" t="s">
        <v>2178</v>
      </c>
      <c r="I267" s="133"/>
      <c r="J267" s="132" t="s">
        <v>2243</v>
      </c>
      <c r="K267" s="131"/>
      <c r="L267" s="131"/>
      <c r="M267" s="131"/>
    </row>
    <row r="268" spans="1:13" ht="34">
      <c r="A268" s="132" t="s">
        <v>1595</v>
      </c>
      <c r="B268" s="132" t="e">
        <f t="array" ref="B268">IF(OR(F268=#REF!),"重疊","")</f>
        <v>#REF!</v>
      </c>
      <c r="C268" s="132" t="s">
        <v>1595</v>
      </c>
      <c r="D268" s="141">
        <v>254</v>
      </c>
      <c r="E268" s="135" t="s">
        <v>2245</v>
      </c>
      <c r="F268" s="132" t="s">
        <v>720</v>
      </c>
      <c r="G268" s="132" t="s">
        <v>1780</v>
      </c>
      <c r="H268" s="132" t="s">
        <v>2246</v>
      </c>
      <c r="I268" s="133" t="s">
        <v>2247</v>
      </c>
      <c r="J268" s="132" t="s">
        <v>2248</v>
      </c>
      <c r="K268" s="131" t="s">
        <v>1946</v>
      </c>
      <c r="L268" s="136" t="s">
        <v>1887</v>
      </c>
      <c r="M268" s="131" t="s">
        <v>2249</v>
      </c>
    </row>
    <row r="269" spans="1:13" ht="34">
      <c r="A269" s="132" t="s">
        <v>1595</v>
      </c>
      <c r="B269" s="132" t="e">
        <f t="array" ref="B269">IF(OR(F269=#REF!),"重疊","")</f>
        <v>#REF!</v>
      </c>
      <c r="C269" s="132"/>
      <c r="D269" s="137">
        <v>255</v>
      </c>
      <c r="E269" s="138" t="s">
        <v>2250</v>
      </c>
      <c r="F269" s="132" t="s">
        <v>507</v>
      </c>
      <c r="G269" s="132" t="s">
        <v>1876</v>
      </c>
      <c r="H269" s="132" t="s">
        <v>1899</v>
      </c>
      <c r="I269" s="133" t="s">
        <v>2251</v>
      </c>
      <c r="J269" s="132" t="s">
        <v>2252</v>
      </c>
      <c r="K269" s="131" t="s">
        <v>2253</v>
      </c>
      <c r="L269" s="136" t="s">
        <v>2254</v>
      </c>
      <c r="M269" s="131" t="s">
        <v>2255</v>
      </c>
    </row>
    <row r="270" spans="1:13">
      <c r="A270" s="132"/>
      <c r="B270" s="132" t="e">
        <f t="array" ref="B270">IF(OR(F270=#REF!),"重疊","")</f>
        <v>#REF!</v>
      </c>
      <c r="C270" s="132"/>
      <c r="D270" s="142">
        <v>256</v>
      </c>
      <c r="E270" s="143" t="s">
        <v>301</v>
      </c>
      <c r="F270" s="132" t="s">
        <v>301</v>
      </c>
      <c r="G270" s="132"/>
      <c r="H270" s="132"/>
      <c r="I270" s="133"/>
      <c r="J270" s="132"/>
      <c r="K270" s="131"/>
      <c r="L270" s="131"/>
      <c r="M270" s="131"/>
    </row>
    <row r="271" spans="1:13">
      <c r="A271" s="132" t="s">
        <v>1595</v>
      </c>
      <c r="B271" s="132" t="e">
        <f t="array" ref="B271">IF(OR(F271=#REF!),"重疊","")</f>
        <v>#REF!</v>
      </c>
      <c r="C271" s="132" t="s">
        <v>1595</v>
      </c>
      <c r="D271" s="141">
        <v>257</v>
      </c>
      <c r="E271" s="135" t="s">
        <v>2256</v>
      </c>
      <c r="F271" s="132" t="s">
        <v>719</v>
      </c>
      <c r="G271" s="132" t="s">
        <v>1780</v>
      </c>
      <c r="H271" s="132" t="s">
        <v>1846</v>
      </c>
      <c r="I271" s="133">
        <v>103.03</v>
      </c>
      <c r="J271" s="132" t="s">
        <v>2243</v>
      </c>
      <c r="K271" s="131"/>
      <c r="L271" s="131"/>
      <c r="M271" s="131"/>
    </row>
    <row r="272" spans="1:13">
      <c r="A272" s="132"/>
      <c r="B272" s="132" t="e">
        <f t="array" ref="B272">IF(OR(F272=#REF!),"重疊","")</f>
        <v>#REF!</v>
      </c>
      <c r="C272" s="132" t="s">
        <v>1595</v>
      </c>
      <c r="D272" s="141">
        <v>258</v>
      </c>
      <c r="E272" s="135" t="s">
        <v>2257</v>
      </c>
      <c r="F272" s="132" t="s">
        <v>130</v>
      </c>
      <c r="G272" s="132"/>
      <c r="H272" s="132"/>
      <c r="I272" s="133"/>
      <c r="J272" s="132"/>
      <c r="K272" s="131"/>
      <c r="L272" s="131"/>
      <c r="M272" s="131"/>
    </row>
    <row r="273" spans="1:13" ht="34">
      <c r="A273" s="132" t="s">
        <v>1595</v>
      </c>
      <c r="B273" s="132" t="e">
        <f t="array" ref="B273">IF(OR(F273=#REF!),"重疊","")</f>
        <v>#REF!</v>
      </c>
      <c r="C273" s="132" t="s">
        <v>1595</v>
      </c>
      <c r="D273" s="141">
        <v>259</v>
      </c>
      <c r="E273" s="135" t="s">
        <v>2258</v>
      </c>
      <c r="F273" s="132" t="s">
        <v>1535</v>
      </c>
      <c r="G273" s="132" t="s">
        <v>1780</v>
      </c>
      <c r="H273" s="132" t="s">
        <v>2259</v>
      </c>
      <c r="I273" s="133">
        <v>103.04</v>
      </c>
      <c r="J273" s="132" t="s">
        <v>2260</v>
      </c>
      <c r="K273" s="131" t="s">
        <v>1946</v>
      </c>
      <c r="L273" s="136" t="s">
        <v>1887</v>
      </c>
      <c r="M273" s="131" t="s">
        <v>2261</v>
      </c>
    </row>
    <row r="274" spans="1:13">
      <c r="A274" s="132" t="s">
        <v>1595</v>
      </c>
      <c r="B274" s="132" t="e">
        <f t="array" ref="B274">IF(OR(F274=#REF!),"重疊","")</f>
        <v>#REF!</v>
      </c>
      <c r="C274" s="132" t="s">
        <v>1595</v>
      </c>
      <c r="D274" s="141">
        <v>260</v>
      </c>
      <c r="E274" s="135" t="s">
        <v>2262</v>
      </c>
      <c r="F274" s="132" t="s">
        <v>1114</v>
      </c>
      <c r="G274" s="132"/>
      <c r="H274" s="132"/>
      <c r="I274" s="133"/>
      <c r="J274" s="132"/>
      <c r="K274" s="131"/>
      <c r="L274" s="131"/>
      <c r="M274" s="131"/>
    </row>
    <row r="275" spans="1:13">
      <c r="A275" s="132"/>
      <c r="B275" s="132" t="e">
        <f t="array" ref="B275">IF(OR(F275=#REF!),"重疊","")</f>
        <v>#REF!</v>
      </c>
      <c r="C275" s="132" t="s">
        <v>1595</v>
      </c>
      <c r="D275" s="141">
        <v>261</v>
      </c>
      <c r="E275" s="135" t="s">
        <v>2263</v>
      </c>
      <c r="F275" s="132" t="s">
        <v>1536</v>
      </c>
      <c r="G275" s="132"/>
      <c r="H275" s="132"/>
      <c r="I275" s="133"/>
      <c r="J275" s="132"/>
      <c r="K275" s="131"/>
      <c r="L275" s="131"/>
      <c r="M275" s="131"/>
    </row>
    <row r="276" spans="1:13">
      <c r="A276" s="132" t="s">
        <v>1595</v>
      </c>
      <c r="B276" s="132" t="e">
        <f t="array" ref="B276">IF(OR(F276=#REF!),"重疊","")</f>
        <v>#REF!</v>
      </c>
      <c r="C276" s="132" t="s">
        <v>1595</v>
      </c>
      <c r="D276" s="141">
        <v>262</v>
      </c>
      <c r="E276" s="135" t="s">
        <v>2264</v>
      </c>
      <c r="F276" s="132" t="s">
        <v>581</v>
      </c>
      <c r="G276" s="132"/>
      <c r="H276" s="132"/>
      <c r="I276" s="133"/>
      <c r="J276" s="132"/>
      <c r="K276" s="131"/>
      <c r="L276" s="131"/>
      <c r="M276" s="131"/>
    </row>
    <row r="277" spans="1:13" ht="34">
      <c r="A277" s="132" t="s">
        <v>1595</v>
      </c>
      <c r="B277" s="132" t="e">
        <f t="array" ref="B277">IF(OR(F277=#REF!),"重疊","")</f>
        <v>#REF!</v>
      </c>
      <c r="C277" s="132" t="s">
        <v>1595</v>
      </c>
      <c r="D277" s="141">
        <v>263</v>
      </c>
      <c r="E277" s="135" t="s">
        <v>2265</v>
      </c>
      <c r="F277" s="132" t="s">
        <v>696</v>
      </c>
      <c r="G277" s="132" t="s">
        <v>1780</v>
      </c>
      <c r="H277" s="132" t="s">
        <v>2259</v>
      </c>
      <c r="I277" s="133" t="s">
        <v>1884</v>
      </c>
      <c r="J277" s="132" t="s">
        <v>2266</v>
      </c>
      <c r="K277" s="131" t="s">
        <v>1946</v>
      </c>
      <c r="L277" s="136" t="s">
        <v>1887</v>
      </c>
      <c r="M277" s="131" t="s">
        <v>2267</v>
      </c>
    </row>
    <row r="278" spans="1:13">
      <c r="A278" s="132" t="s">
        <v>1595</v>
      </c>
      <c r="B278" s="132" t="e">
        <f t="array" ref="B278">IF(OR(F278=#REF!),"重疊","")</f>
        <v>#REF!</v>
      </c>
      <c r="C278" s="132" t="s">
        <v>1595</v>
      </c>
      <c r="D278" s="141">
        <v>264</v>
      </c>
      <c r="E278" s="135" t="s">
        <v>2268</v>
      </c>
      <c r="F278" s="132" t="s">
        <v>659</v>
      </c>
      <c r="G278" s="132" t="s">
        <v>1780</v>
      </c>
      <c r="H278" s="132" t="s">
        <v>2184</v>
      </c>
      <c r="I278" s="133" t="s">
        <v>1884</v>
      </c>
      <c r="J278" s="132" t="s">
        <v>2269</v>
      </c>
      <c r="K278" s="131" t="s">
        <v>1623</v>
      </c>
      <c r="L278" s="136" t="s">
        <v>1624</v>
      </c>
      <c r="M278" s="131"/>
    </row>
    <row r="279" spans="1:13">
      <c r="A279" s="132" t="s">
        <v>1595</v>
      </c>
      <c r="B279" s="132" t="e">
        <f t="array" ref="B279">IF(OR(F279=#REF!),"重疊","")</f>
        <v>#REF!</v>
      </c>
      <c r="C279" s="132" t="s">
        <v>1595</v>
      </c>
      <c r="D279" s="141">
        <v>265</v>
      </c>
      <c r="E279" s="135" t="s">
        <v>2270</v>
      </c>
      <c r="F279" s="132" t="s">
        <v>637</v>
      </c>
      <c r="G279" s="132"/>
      <c r="H279" s="132" t="s">
        <v>2271</v>
      </c>
      <c r="I279" s="133" t="s">
        <v>2272</v>
      </c>
      <c r="J279" s="132" t="s">
        <v>2225</v>
      </c>
      <c r="K279" s="131"/>
      <c r="L279" s="131"/>
      <c r="M279" s="131"/>
    </row>
    <row r="280" spans="1:13">
      <c r="A280" s="132" t="s">
        <v>1595</v>
      </c>
      <c r="B280" s="132" t="e">
        <f t="array" ref="B280">IF(OR(F280=#REF!),"重疊","")</f>
        <v>#REF!</v>
      </c>
      <c r="C280" s="132" t="s">
        <v>1595</v>
      </c>
      <c r="D280" s="141">
        <v>266</v>
      </c>
      <c r="E280" s="135" t="s">
        <v>2273</v>
      </c>
      <c r="F280" s="132" t="s">
        <v>658</v>
      </c>
      <c r="G280" s="132" t="s">
        <v>1780</v>
      </c>
      <c r="H280" s="132" t="s">
        <v>2184</v>
      </c>
      <c r="I280" s="133">
        <v>103.02</v>
      </c>
      <c r="J280" s="132" t="s">
        <v>2274</v>
      </c>
      <c r="K280" s="131"/>
      <c r="L280" s="131"/>
      <c r="M280" s="131"/>
    </row>
    <row r="281" spans="1:13">
      <c r="A281" s="132"/>
      <c r="B281" s="132" t="e">
        <f t="array" ref="B281">IF(OR(F281=#REF!),"重疊","")</f>
        <v>#REF!</v>
      </c>
      <c r="C281" s="132"/>
      <c r="D281" s="142">
        <v>267</v>
      </c>
      <c r="E281" s="143" t="s">
        <v>1537</v>
      </c>
      <c r="F281" s="132" t="s">
        <v>1537</v>
      </c>
      <c r="G281" s="132" t="s">
        <v>2275</v>
      </c>
      <c r="H281" s="132" t="s">
        <v>1877</v>
      </c>
      <c r="I281" s="133">
        <v>103.06</v>
      </c>
      <c r="J281" s="132" t="s">
        <v>2274</v>
      </c>
      <c r="K281" s="131" t="s">
        <v>1777</v>
      </c>
      <c r="L281" s="136" t="s">
        <v>1624</v>
      </c>
      <c r="M281" s="131" t="s">
        <v>2276</v>
      </c>
    </row>
    <row r="282" spans="1:13">
      <c r="A282" s="132" t="s">
        <v>1595</v>
      </c>
      <c r="B282" s="132" t="e">
        <f t="array" ref="B282">IF(OR(F282=#REF!),"重疊","")</f>
        <v>#REF!</v>
      </c>
      <c r="C282" s="132"/>
      <c r="D282" s="137">
        <v>268</v>
      </c>
      <c r="E282" s="138" t="s">
        <v>2277</v>
      </c>
      <c r="F282" s="132" t="s">
        <v>246</v>
      </c>
      <c r="G282" s="132" t="s">
        <v>1876</v>
      </c>
      <c r="H282" s="132" t="s">
        <v>2278</v>
      </c>
      <c r="I282" s="133" t="s">
        <v>1970</v>
      </c>
      <c r="J282" s="132" t="s">
        <v>2279</v>
      </c>
      <c r="K282" s="131"/>
      <c r="L282" s="131"/>
      <c r="M282" s="131"/>
    </row>
    <row r="283" spans="1:13" ht="34">
      <c r="A283" s="132"/>
      <c r="B283" s="132" t="e">
        <f t="array" ref="B283">IF(OR(F283=#REF!),"重疊","")</f>
        <v>#REF!</v>
      </c>
      <c r="C283" s="132"/>
      <c r="D283" s="139">
        <v>269</v>
      </c>
      <c r="E283" s="140" t="s">
        <v>2280</v>
      </c>
      <c r="F283" s="132" t="s">
        <v>515</v>
      </c>
      <c r="G283" s="132"/>
      <c r="H283" s="132" t="s">
        <v>2281</v>
      </c>
      <c r="I283" s="133" t="s">
        <v>2282</v>
      </c>
      <c r="J283" s="132" t="s">
        <v>2233</v>
      </c>
      <c r="K283" s="131" t="s">
        <v>1842</v>
      </c>
      <c r="L283" s="131"/>
      <c r="M283" s="131"/>
    </row>
    <row r="284" spans="1:13">
      <c r="A284" s="132" t="s">
        <v>1595</v>
      </c>
      <c r="B284" s="132" t="e">
        <f t="array" ref="B284">IF(OR(F284=#REF!),"重疊","")</f>
        <v>#REF!</v>
      </c>
      <c r="C284" s="132" t="s">
        <v>1595</v>
      </c>
      <c r="D284" s="141">
        <v>270</v>
      </c>
      <c r="E284" s="135" t="s">
        <v>2283</v>
      </c>
      <c r="F284" s="132" t="s">
        <v>585</v>
      </c>
      <c r="G284" s="132"/>
      <c r="H284" s="132"/>
      <c r="I284" s="133"/>
      <c r="J284" s="132"/>
      <c r="K284" s="131"/>
      <c r="L284" s="131"/>
      <c r="M284" s="131"/>
    </row>
    <row r="285" spans="1:13">
      <c r="A285" s="132" t="s">
        <v>1595</v>
      </c>
      <c r="B285" s="132" t="e">
        <f t="array" ref="B285">IF(OR(F285=#REF!),"重疊","")</f>
        <v>#REF!</v>
      </c>
      <c r="C285" s="132" t="s">
        <v>1595</v>
      </c>
      <c r="D285" s="141">
        <v>271</v>
      </c>
      <c r="E285" s="135" t="s">
        <v>2284</v>
      </c>
      <c r="F285" s="132" t="s">
        <v>179</v>
      </c>
      <c r="G285" s="132" t="s">
        <v>1819</v>
      </c>
      <c r="H285" s="132" t="s">
        <v>1788</v>
      </c>
      <c r="I285" s="133" t="s">
        <v>2285</v>
      </c>
      <c r="J285" s="132" t="s">
        <v>2233</v>
      </c>
      <c r="K285" s="131"/>
      <c r="L285" s="131"/>
      <c r="M285" s="131"/>
    </row>
    <row r="286" spans="1:13">
      <c r="A286" s="132" t="s">
        <v>1595</v>
      </c>
      <c r="B286" s="132" t="e">
        <f t="array" ref="B286">IF(OR(F286=#REF!),"重疊","")</f>
        <v>#REF!</v>
      </c>
      <c r="C286" s="132" t="s">
        <v>1595</v>
      </c>
      <c r="D286" s="141">
        <v>272</v>
      </c>
      <c r="E286" s="135" t="s">
        <v>2286</v>
      </c>
      <c r="F286" s="132" t="s">
        <v>636</v>
      </c>
      <c r="G286" s="132"/>
      <c r="H286" s="132"/>
      <c r="I286" s="133"/>
      <c r="J286" s="132"/>
      <c r="K286" s="131"/>
      <c r="L286" s="131"/>
      <c r="M286" s="131"/>
    </row>
    <row r="287" spans="1:13">
      <c r="A287" s="132" t="s">
        <v>1595</v>
      </c>
      <c r="B287" s="132" t="e">
        <f t="array" ref="B287">IF(OR(F287=#REF!),"重疊","")</f>
        <v>#REF!</v>
      </c>
      <c r="C287" s="132" t="s">
        <v>1595</v>
      </c>
      <c r="D287" s="141">
        <v>273</v>
      </c>
      <c r="E287" s="135" t="s">
        <v>2287</v>
      </c>
      <c r="F287" s="132" t="s">
        <v>642</v>
      </c>
      <c r="G287" s="132"/>
      <c r="H287" s="132"/>
      <c r="I287" s="133"/>
      <c r="J287" s="132"/>
      <c r="K287" s="131"/>
      <c r="L287" s="131"/>
      <c r="M287" s="131"/>
    </row>
    <row r="288" spans="1:13">
      <c r="A288" s="132" t="s">
        <v>1595</v>
      </c>
      <c r="B288" s="132" t="e">
        <f t="array" ref="B288">IF(OR(F288=#REF!),"重疊","")</f>
        <v>#REF!</v>
      </c>
      <c r="C288" s="132" t="s">
        <v>1595</v>
      </c>
      <c r="D288" s="141">
        <v>274</v>
      </c>
      <c r="E288" s="135" t="s">
        <v>2288</v>
      </c>
      <c r="F288" s="132" t="s">
        <v>1538</v>
      </c>
      <c r="G288" s="132"/>
      <c r="H288" s="132"/>
      <c r="I288" s="133"/>
      <c r="J288" s="132"/>
      <c r="K288" s="131"/>
      <c r="L288" s="131"/>
      <c r="M288" s="131"/>
    </row>
    <row r="289" spans="1:13">
      <c r="A289" s="132"/>
      <c r="B289" s="132" t="e">
        <f t="array" ref="B289">IF(OR(F289=#REF!),"重疊","")</f>
        <v>#REF!</v>
      </c>
      <c r="C289" s="132" t="s">
        <v>1595</v>
      </c>
      <c r="D289" s="141">
        <v>275</v>
      </c>
      <c r="E289" s="135" t="s">
        <v>2289</v>
      </c>
      <c r="F289" s="132" t="s">
        <v>300</v>
      </c>
      <c r="G289" s="132"/>
      <c r="H289" s="132"/>
      <c r="I289" s="133"/>
      <c r="J289" s="132"/>
      <c r="K289" s="131"/>
      <c r="L289" s="131"/>
      <c r="M289" s="131"/>
    </row>
    <row r="290" spans="1:13">
      <c r="A290" s="132" t="s">
        <v>1595</v>
      </c>
      <c r="B290" s="132" t="e">
        <f t="array" ref="B290">IF(OR(F290=#REF!),"重疊","")</f>
        <v>#REF!</v>
      </c>
      <c r="C290" s="132"/>
      <c r="D290" s="137">
        <v>276</v>
      </c>
      <c r="E290" s="138" t="s">
        <v>2290</v>
      </c>
      <c r="F290" s="132" t="s">
        <v>418</v>
      </c>
      <c r="G290" s="132" t="s">
        <v>1973</v>
      </c>
      <c r="H290" s="132" t="s">
        <v>2178</v>
      </c>
      <c r="I290" s="133"/>
      <c r="J290" s="132" t="s">
        <v>2291</v>
      </c>
      <c r="K290" s="131" t="s">
        <v>1762</v>
      </c>
      <c r="L290" s="131"/>
      <c r="M290" s="131"/>
    </row>
    <row r="291" spans="1:13">
      <c r="A291" s="132"/>
      <c r="B291" s="132" t="e">
        <f t="array" ref="B291">IF(OR(F291=#REF!),"重疊","")</f>
        <v>#REF!</v>
      </c>
      <c r="C291" s="132" t="s">
        <v>1595</v>
      </c>
      <c r="D291" s="141">
        <v>277</v>
      </c>
      <c r="E291" s="135" t="s">
        <v>2292</v>
      </c>
      <c r="F291" s="132" t="s">
        <v>560</v>
      </c>
      <c r="G291" s="132"/>
      <c r="H291" s="132"/>
      <c r="I291" s="133"/>
      <c r="J291" s="132"/>
      <c r="K291" s="131"/>
      <c r="L291" s="131"/>
      <c r="M291" s="131"/>
    </row>
    <row r="292" spans="1:13">
      <c r="A292" s="132" t="s">
        <v>1595</v>
      </c>
      <c r="B292" s="132" t="e">
        <f t="array" ref="B292">IF(OR(F292=#REF!),"重疊","")</f>
        <v>#REF!</v>
      </c>
      <c r="C292" s="132" t="s">
        <v>1595</v>
      </c>
      <c r="D292" s="141">
        <v>278</v>
      </c>
      <c r="E292" s="135" t="s">
        <v>2293</v>
      </c>
      <c r="F292" s="132" t="s">
        <v>596</v>
      </c>
      <c r="G292" s="132"/>
      <c r="H292" s="132"/>
      <c r="I292" s="133"/>
      <c r="J292" s="132"/>
      <c r="K292" s="131"/>
      <c r="L292" s="131"/>
      <c r="M292" s="131"/>
    </row>
    <row r="293" spans="1:13">
      <c r="A293" s="132" t="s">
        <v>1595</v>
      </c>
      <c r="B293" s="132" t="e">
        <f t="array" ref="B293">IF(OR(F293=#REF!),"重疊","")</f>
        <v>#REF!</v>
      </c>
      <c r="C293" s="132" t="s">
        <v>1595</v>
      </c>
      <c r="D293" s="141">
        <v>279</v>
      </c>
      <c r="E293" s="135" t="s">
        <v>2294</v>
      </c>
      <c r="F293" s="132" t="s">
        <v>723</v>
      </c>
      <c r="G293" s="132"/>
      <c r="H293" s="132"/>
      <c r="I293" s="133">
        <v>103.08</v>
      </c>
      <c r="J293" s="132" t="s">
        <v>2295</v>
      </c>
      <c r="K293" s="131" t="s">
        <v>1623</v>
      </c>
      <c r="L293" s="136" t="s">
        <v>1624</v>
      </c>
      <c r="M293" s="131" t="s">
        <v>2296</v>
      </c>
    </row>
    <row r="294" spans="1:13" ht="34">
      <c r="A294" s="132" t="s">
        <v>1595</v>
      </c>
      <c r="B294" s="132" t="e">
        <f t="array" ref="B294">IF(OR(F294=#REF!),"重疊","")</f>
        <v>#REF!</v>
      </c>
      <c r="C294" s="132" t="s">
        <v>1595</v>
      </c>
      <c r="D294" s="141">
        <v>280</v>
      </c>
      <c r="E294" s="135" t="s">
        <v>2297</v>
      </c>
      <c r="F294" s="132" t="s">
        <v>691</v>
      </c>
      <c r="G294" s="132" t="s">
        <v>1780</v>
      </c>
      <c r="H294" s="132" t="s">
        <v>2105</v>
      </c>
      <c r="I294" s="133" t="s">
        <v>2298</v>
      </c>
      <c r="J294" s="132" t="s">
        <v>2225</v>
      </c>
      <c r="K294" s="131"/>
      <c r="L294" s="136" t="s">
        <v>1887</v>
      </c>
      <c r="M294" s="131" t="s">
        <v>2299</v>
      </c>
    </row>
    <row r="295" spans="1:13">
      <c r="A295" s="132" t="s">
        <v>1595</v>
      </c>
      <c r="B295" s="132" t="e">
        <f t="array" ref="B295">IF(OR(F295=#REF!),"重疊","")</f>
        <v>#REF!</v>
      </c>
      <c r="C295" s="132" t="s">
        <v>1595</v>
      </c>
      <c r="D295" s="141">
        <v>281</v>
      </c>
      <c r="E295" s="135" t="s">
        <v>2300</v>
      </c>
      <c r="F295" s="132" t="s">
        <v>290</v>
      </c>
      <c r="G295" s="132"/>
      <c r="H295" s="132"/>
      <c r="I295" s="133" t="s">
        <v>2301</v>
      </c>
      <c r="J295" s="132"/>
      <c r="K295" s="131"/>
      <c r="L295" s="131"/>
      <c r="M295" s="131"/>
    </row>
    <row r="296" spans="1:13">
      <c r="A296" s="132"/>
      <c r="B296" s="132" t="e">
        <f t="array" ref="B296">IF(OR(F296=#REF!),"重疊","")</f>
        <v>#REF!</v>
      </c>
      <c r="C296" s="132"/>
      <c r="D296" s="142">
        <v>282</v>
      </c>
      <c r="E296" s="143" t="s">
        <v>2302</v>
      </c>
      <c r="F296" s="132" t="s">
        <v>504</v>
      </c>
      <c r="G296" s="132"/>
      <c r="H296" s="132"/>
      <c r="I296" s="133"/>
      <c r="J296" s="132"/>
      <c r="K296" s="131"/>
      <c r="L296" s="131"/>
      <c r="M296" s="131"/>
    </row>
    <row r="297" spans="1:13" ht="34">
      <c r="A297" s="132"/>
      <c r="B297" s="132" t="e">
        <f t="array" ref="B297">IF(OR(F297=#REF!),"重疊","")</f>
        <v>#REF!</v>
      </c>
      <c r="C297" s="132"/>
      <c r="D297" s="139">
        <v>283</v>
      </c>
      <c r="E297" s="140" t="s">
        <v>2303</v>
      </c>
      <c r="F297" s="132" t="s">
        <v>133</v>
      </c>
      <c r="G297" s="132" t="s">
        <v>1780</v>
      </c>
      <c r="H297" s="132" t="s">
        <v>2223</v>
      </c>
      <c r="I297" s="133" t="s">
        <v>2304</v>
      </c>
      <c r="J297" s="132" t="s">
        <v>2243</v>
      </c>
      <c r="K297" s="131" t="s">
        <v>1842</v>
      </c>
      <c r="L297" s="136" t="s">
        <v>1843</v>
      </c>
      <c r="M297" s="131"/>
    </row>
    <row r="298" spans="1:13">
      <c r="A298" s="132" t="s">
        <v>1595</v>
      </c>
      <c r="B298" s="132" t="e">
        <f t="array" ref="B298">IF(OR(F298=#REF!),"重疊","")</f>
        <v>#REF!</v>
      </c>
      <c r="C298" s="132"/>
      <c r="D298" s="137">
        <v>284</v>
      </c>
      <c r="E298" s="138" t="s">
        <v>2305</v>
      </c>
      <c r="F298" s="132" t="s">
        <v>1097</v>
      </c>
      <c r="G298" s="132" t="s">
        <v>1876</v>
      </c>
      <c r="H298" s="132" t="s">
        <v>2306</v>
      </c>
      <c r="I298" s="133" t="s">
        <v>2307</v>
      </c>
      <c r="J298" s="132" t="s">
        <v>2233</v>
      </c>
      <c r="K298" s="131" t="s">
        <v>2308</v>
      </c>
      <c r="L298" s="131"/>
      <c r="M298" s="131"/>
    </row>
    <row r="299" spans="1:13" ht="34">
      <c r="A299" s="132" t="s">
        <v>1595</v>
      </c>
      <c r="B299" s="132" t="e">
        <f t="array" ref="B299">IF(OR(F299=#REF!),"重疊","")</f>
        <v>#REF!</v>
      </c>
      <c r="C299" s="132" t="s">
        <v>1595</v>
      </c>
      <c r="D299" s="141">
        <v>285</v>
      </c>
      <c r="E299" s="135" t="s">
        <v>2309</v>
      </c>
      <c r="F299" s="132" t="s">
        <v>710</v>
      </c>
      <c r="G299" s="132"/>
      <c r="H299" s="132"/>
      <c r="I299" s="133" t="s">
        <v>2247</v>
      </c>
      <c r="J299" s="132" t="s">
        <v>2310</v>
      </c>
      <c r="K299" s="131" t="s">
        <v>1946</v>
      </c>
      <c r="L299" s="136" t="s">
        <v>1887</v>
      </c>
      <c r="M299" s="131" t="s">
        <v>2311</v>
      </c>
    </row>
    <row r="300" spans="1:13">
      <c r="A300" s="132"/>
      <c r="B300" s="132" t="e">
        <f t="array" ref="B300">IF(OR(F300=#REF!),"重疊","")</f>
        <v>#REF!</v>
      </c>
      <c r="C300" s="132" t="s">
        <v>1595</v>
      </c>
      <c r="D300" s="141">
        <v>286</v>
      </c>
      <c r="E300" s="135" t="s">
        <v>2312</v>
      </c>
      <c r="F300" s="132" t="s">
        <v>622</v>
      </c>
      <c r="G300" s="132"/>
      <c r="H300" s="132"/>
      <c r="I300" s="133"/>
      <c r="J300" s="132"/>
      <c r="K300" s="131"/>
      <c r="L300" s="131"/>
      <c r="M300" s="131"/>
    </row>
    <row r="301" spans="1:13" ht="51">
      <c r="A301" s="132" t="s">
        <v>1595</v>
      </c>
      <c r="B301" s="132" t="e">
        <f t="array" ref="B301">IF(OR(F301=#REF!),"重疊","")</f>
        <v>#REF!</v>
      </c>
      <c r="C301" s="132"/>
      <c r="D301" s="139">
        <v>287</v>
      </c>
      <c r="E301" s="140" t="s">
        <v>2313</v>
      </c>
      <c r="F301" s="132" t="s">
        <v>183</v>
      </c>
      <c r="G301" s="132" t="s">
        <v>2314</v>
      </c>
      <c r="H301" s="132" t="s">
        <v>2223</v>
      </c>
      <c r="I301" s="133" t="s">
        <v>2315</v>
      </c>
      <c r="J301" s="132" t="s">
        <v>2225</v>
      </c>
      <c r="K301" s="131" t="s">
        <v>1842</v>
      </c>
      <c r="L301" s="136" t="s">
        <v>1843</v>
      </c>
      <c r="M301" s="131" t="s">
        <v>2316</v>
      </c>
    </row>
    <row r="302" spans="1:13">
      <c r="A302" s="132"/>
      <c r="B302" s="132" t="e">
        <f t="array" ref="B302">IF(OR(F302=#REF!),"重疊","")</f>
        <v>#REF!</v>
      </c>
      <c r="C302" s="132"/>
      <c r="D302" s="142">
        <v>288</v>
      </c>
      <c r="E302" s="143" t="s">
        <v>167</v>
      </c>
      <c r="F302" s="132" t="s">
        <v>167</v>
      </c>
      <c r="G302" s="132"/>
      <c r="H302" s="132"/>
      <c r="I302" s="133"/>
      <c r="J302" s="132"/>
      <c r="K302" s="131"/>
      <c r="L302" s="131"/>
      <c r="M302" s="131"/>
    </row>
    <row r="303" spans="1:13" ht="34">
      <c r="A303" s="132" t="s">
        <v>1595</v>
      </c>
      <c r="B303" s="132" t="e">
        <f t="array" ref="B303">IF(OR(F303=#REF!),"重疊","")</f>
        <v>#REF!</v>
      </c>
      <c r="C303" s="132" t="s">
        <v>1595</v>
      </c>
      <c r="D303" s="141">
        <v>289</v>
      </c>
      <c r="E303" s="135" t="s">
        <v>2317</v>
      </c>
      <c r="F303" s="132" t="s">
        <v>665</v>
      </c>
      <c r="G303" s="132" t="s">
        <v>1780</v>
      </c>
      <c r="H303" s="132" t="s">
        <v>2318</v>
      </c>
      <c r="I303" s="133" t="s">
        <v>2319</v>
      </c>
      <c r="J303" s="132" t="s">
        <v>1790</v>
      </c>
      <c r="K303" s="131" t="s">
        <v>1623</v>
      </c>
      <c r="L303" s="136" t="s">
        <v>1624</v>
      </c>
      <c r="M303" s="131" t="s">
        <v>2161</v>
      </c>
    </row>
    <row r="304" spans="1:13">
      <c r="A304" s="132" t="s">
        <v>1595</v>
      </c>
      <c r="B304" s="132" t="e">
        <f t="array" ref="B304">IF(OR(F304=#REF!),"重疊","")</f>
        <v>#REF!</v>
      </c>
      <c r="C304" s="132" t="s">
        <v>1595</v>
      </c>
      <c r="D304" s="141">
        <v>290</v>
      </c>
      <c r="E304" s="135" t="s">
        <v>2320</v>
      </c>
      <c r="F304" s="132" t="s">
        <v>281</v>
      </c>
      <c r="G304" s="132"/>
      <c r="H304" s="132"/>
      <c r="I304" s="133"/>
      <c r="J304" s="132"/>
      <c r="K304" s="131"/>
      <c r="L304" s="131"/>
      <c r="M304" s="131"/>
    </row>
    <row r="305" spans="1:13">
      <c r="A305" s="132"/>
      <c r="B305" s="132" t="e">
        <f t="array" ref="B305">IF(OR(F305=#REF!),"重疊","")</f>
        <v>#REF!</v>
      </c>
      <c r="C305" s="132" t="s">
        <v>1595</v>
      </c>
      <c r="D305" s="141">
        <v>291</v>
      </c>
      <c r="E305" s="135" t="s">
        <v>2321</v>
      </c>
      <c r="F305" s="132" t="s">
        <v>702</v>
      </c>
      <c r="G305" s="132"/>
      <c r="H305" s="132"/>
      <c r="I305" s="133"/>
      <c r="J305" s="132"/>
      <c r="K305" s="131"/>
      <c r="L305" s="131"/>
      <c r="M305" s="131"/>
    </row>
    <row r="306" spans="1:13">
      <c r="A306" s="132" t="s">
        <v>1595</v>
      </c>
      <c r="B306" s="132" t="e">
        <f t="array" ref="B306">IF(OR(F306=#REF!),"重疊","")</f>
        <v>#REF!</v>
      </c>
      <c r="C306" s="132" t="s">
        <v>1595</v>
      </c>
      <c r="D306" s="141">
        <v>292</v>
      </c>
      <c r="E306" s="135" t="s">
        <v>2322</v>
      </c>
      <c r="F306" s="132" t="s">
        <v>1111</v>
      </c>
      <c r="G306" s="132"/>
      <c r="H306" s="132"/>
      <c r="I306" s="133"/>
      <c r="J306" s="132"/>
      <c r="K306" s="131"/>
      <c r="L306" s="131"/>
      <c r="M306" s="131"/>
    </row>
    <row r="307" spans="1:13">
      <c r="A307" s="132" t="s">
        <v>1595</v>
      </c>
      <c r="B307" s="132" t="e">
        <f t="array" ref="B307">IF(OR(F307=#REF!),"重疊","")</f>
        <v>#REF!</v>
      </c>
      <c r="C307" s="132" t="s">
        <v>1595</v>
      </c>
      <c r="D307" s="141">
        <v>293</v>
      </c>
      <c r="E307" s="135" t="s">
        <v>2323</v>
      </c>
      <c r="F307" s="132" t="s">
        <v>675</v>
      </c>
      <c r="G307" s="132" t="s">
        <v>1780</v>
      </c>
      <c r="H307" s="132" t="s">
        <v>2184</v>
      </c>
      <c r="I307" s="133" t="s">
        <v>1884</v>
      </c>
      <c r="J307" s="132" t="s">
        <v>2324</v>
      </c>
      <c r="K307" s="131"/>
      <c r="L307" s="131"/>
      <c r="M307" s="131"/>
    </row>
    <row r="308" spans="1:13">
      <c r="A308" s="132"/>
      <c r="B308" s="132" t="e">
        <f t="array" ref="B308">IF(OR(F308=#REF!),"重疊","")</f>
        <v>#REF!</v>
      </c>
      <c r="C308" s="132"/>
      <c r="D308" s="142">
        <v>294</v>
      </c>
      <c r="E308" s="143" t="s">
        <v>168</v>
      </c>
      <c r="F308" s="132" t="s">
        <v>168</v>
      </c>
      <c r="G308" s="132"/>
      <c r="H308" s="132"/>
      <c r="I308" s="133"/>
      <c r="J308" s="132"/>
      <c r="K308" s="131"/>
      <c r="L308" s="131"/>
      <c r="M308" s="131"/>
    </row>
    <row r="309" spans="1:13">
      <c r="A309" s="132" t="s">
        <v>1595</v>
      </c>
      <c r="B309" s="132" t="e">
        <f t="array" ref="B309">IF(OR(F309=#REF!),"重疊","")</f>
        <v>#REF!</v>
      </c>
      <c r="C309" s="132" t="s">
        <v>1595</v>
      </c>
      <c r="D309" s="141">
        <v>295</v>
      </c>
      <c r="E309" s="135" t="s">
        <v>2325</v>
      </c>
      <c r="F309" s="132" t="s">
        <v>626</v>
      </c>
      <c r="G309" s="132"/>
      <c r="H309" s="132"/>
      <c r="I309" s="133"/>
      <c r="J309" s="132"/>
      <c r="K309" s="131"/>
      <c r="L309" s="131"/>
      <c r="M309" s="131"/>
    </row>
    <row r="310" spans="1:13">
      <c r="A310" s="132" t="s">
        <v>1595</v>
      </c>
      <c r="B310" s="132" t="e">
        <f t="array" ref="B310">IF(OR(F310=#REF!),"重疊","")</f>
        <v>#REF!</v>
      </c>
      <c r="C310" s="132" t="s">
        <v>1595</v>
      </c>
      <c r="D310" s="141">
        <v>296</v>
      </c>
      <c r="E310" s="135" t="s">
        <v>2326</v>
      </c>
      <c r="F310" s="132" t="s">
        <v>694</v>
      </c>
      <c r="G310" s="132" t="s">
        <v>1780</v>
      </c>
      <c r="H310" s="132" t="s">
        <v>1926</v>
      </c>
      <c r="I310" s="133">
        <v>103.03</v>
      </c>
      <c r="J310" s="132" t="s">
        <v>2274</v>
      </c>
      <c r="K310" s="131" t="s">
        <v>1617</v>
      </c>
      <c r="L310" s="136" t="s">
        <v>1618</v>
      </c>
      <c r="M310" s="131" t="s">
        <v>2327</v>
      </c>
    </row>
    <row r="311" spans="1:13">
      <c r="A311" s="132"/>
      <c r="B311" s="132" t="e">
        <f t="array" ref="B311">IF(OR(F311=#REF!),"重疊","")</f>
        <v>#REF!</v>
      </c>
      <c r="C311" s="132"/>
      <c r="D311" s="142">
        <v>297</v>
      </c>
      <c r="E311" s="143" t="s">
        <v>2328</v>
      </c>
      <c r="F311" s="132" t="s">
        <v>602</v>
      </c>
      <c r="G311" s="132"/>
      <c r="H311" s="132"/>
      <c r="I311" s="133"/>
      <c r="J311" s="132"/>
      <c r="K311" s="131"/>
      <c r="L311" s="131"/>
      <c r="M311" s="131"/>
    </row>
    <row r="312" spans="1:13">
      <c r="A312" s="132" t="s">
        <v>1595</v>
      </c>
      <c r="B312" s="132" t="e">
        <f t="array" ref="B312">IF(OR(F312=#REF!),"重疊","")</f>
        <v>#REF!</v>
      </c>
      <c r="C312" s="132" t="s">
        <v>1595</v>
      </c>
      <c r="D312" s="141">
        <v>298</v>
      </c>
      <c r="E312" s="135" t="s">
        <v>2329</v>
      </c>
      <c r="F312" s="132" t="s">
        <v>548</v>
      </c>
      <c r="G312" s="132" t="s">
        <v>1780</v>
      </c>
      <c r="H312" s="132" t="s">
        <v>2330</v>
      </c>
      <c r="I312" s="133">
        <v>103.03</v>
      </c>
      <c r="J312" s="132" t="s">
        <v>2274</v>
      </c>
      <c r="K312" s="131" t="s">
        <v>1623</v>
      </c>
      <c r="L312" s="136" t="s">
        <v>1624</v>
      </c>
      <c r="M312" s="131" t="s">
        <v>2331</v>
      </c>
    </row>
    <row r="313" spans="1:13">
      <c r="A313" s="132" t="s">
        <v>1595</v>
      </c>
      <c r="B313" s="132" t="e">
        <f t="array" ref="B313">IF(OR(F313=#REF!),"重疊","")</f>
        <v>#REF!</v>
      </c>
      <c r="C313" s="132" t="s">
        <v>1595</v>
      </c>
      <c r="D313" s="141">
        <v>299</v>
      </c>
      <c r="E313" s="135" t="s">
        <v>2332</v>
      </c>
      <c r="F313" s="132" t="s">
        <v>549</v>
      </c>
      <c r="G313" s="132" t="s">
        <v>1780</v>
      </c>
      <c r="H313" s="132" t="s">
        <v>2330</v>
      </c>
      <c r="I313" s="133">
        <v>103.07</v>
      </c>
      <c r="J313" s="132" t="s">
        <v>2333</v>
      </c>
      <c r="K313" s="131" t="s">
        <v>1623</v>
      </c>
      <c r="L313" s="136" t="s">
        <v>1624</v>
      </c>
      <c r="M313" s="131" t="s">
        <v>2334</v>
      </c>
    </row>
    <row r="314" spans="1:13">
      <c r="A314" s="132" t="s">
        <v>1595</v>
      </c>
      <c r="B314" s="132" t="e">
        <f t="array" ref="B314">IF(OR(F314=#REF!),"重疊","")</f>
        <v>#REF!</v>
      </c>
      <c r="C314" s="132"/>
      <c r="D314" s="147">
        <v>300</v>
      </c>
      <c r="E314" s="148" t="s">
        <v>2335</v>
      </c>
      <c r="F314" s="132" t="s">
        <v>1539</v>
      </c>
      <c r="G314" s="132" t="s">
        <v>2141</v>
      </c>
      <c r="H314" s="132" t="s">
        <v>2188</v>
      </c>
      <c r="I314" s="133">
        <v>103.11</v>
      </c>
      <c r="J314" s="132" t="s">
        <v>2274</v>
      </c>
      <c r="K314" s="131" t="s">
        <v>2336</v>
      </c>
      <c r="L314" s="136" t="s">
        <v>1769</v>
      </c>
      <c r="M314" s="131" t="s">
        <v>2337</v>
      </c>
    </row>
    <row r="315" spans="1:13">
      <c r="A315" s="132" t="s">
        <v>1595</v>
      </c>
      <c r="B315" s="132" t="e">
        <f t="array" ref="B315">IF(OR(F315=#REF!),"重疊","")</f>
        <v>#REF!</v>
      </c>
      <c r="C315" s="132" t="s">
        <v>1595</v>
      </c>
      <c r="D315" s="141">
        <v>301</v>
      </c>
      <c r="E315" s="135" t="s">
        <v>2338</v>
      </c>
      <c r="F315" s="132" t="s">
        <v>679</v>
      </c>
      <c r="G315" s="132" t="s">
        <v>1780</v>
      </c>
      <c r="H315" s="132"/>
      <c r="I315" s="133">
        <v>103.03</v>
      </c>
      <c r="J315" s="132" t="s">
        <v>2339</v>
      </c>
      <c r="K315" s="131"/>
      <c r="L315" s="131"/>
      <c r="M315" s="131"/>
    </row>
    <row r="316" spans="1:13">
      <c r="A316" s="132" t="s">
        <v>1595</v>
      </c>
      <c r="B316" s="132" t="e">
        <f t="array" ref="B316">IF(OR(F316=#REF!),"重疊","")</f>
        <v>#REF!</v>
      </c>
      <c r="C316" s="132"/>
      <c r="D316" s="142">
        <v>302</v>
      </c>
      <c r="E316" s="143" t="s">
        <v>2340</v>
      </c>
      <c r="F316" s="132" t="s">
        <v>612</v>
      </c>
      <c r="G316" s="132" t="s">
        <v>1780</v>
      </c>
      <c r="H316" s="132" t="s">
        <v>1854</v>
      </c>
      <c r="I316" s="133">
        <v>103.02</v>
      </c>
      <c r="J316" s="132" t="s">
        <v>2341</v>
      </c>
      <c r="K316" s="131"/>
      <c r="L316" s="131"/>
      <c r="M316" s="131"/>
    </row>
    <row r="317" spans="1:13">
      <c r="A317" s="132" t="s">
        <v>1595</v>
      </c>
      <c r="B317" s="132" t="e">
        <f t="array" ref="B317">IF(OR(F317=#REF!),"重疊","")</f>
        <v>#REF!</v>
      </c>
      <c r="C317" s="132" t="s">
        <v>1595</v>
      </c>
      <c r="D317" s="141">
        <v>303</v>
      </c>
      <c r="E317" s="135" t="s">
        <v>2342</v>
      </c>
      <c r="F317" s="132" t="s">
        <v>654</v>
      </c>
      <c r="G317" s="132" t="s">
        <v>1780</v>
      </c>
      <c r="H317" s="132" t="s">
        <v>1917</v>
      </c>
      <c r="I317" s="133">
        <v>103.02</v>
      </c>
      <c r="J317" s="132" t="s">
        <v>2343</v>
      </c>
      <c r="K317" s="131"/>
      <c r="L317" s="131"/>
      <c r="M317" s="131"/>
    </row>
    <row r="318" spans="1:13">
      <c r="A318" s="132" t="s">
        <v>1595</v>
      </c>
      <c r="B318" s="132" t="e">
        <f t="array" ref="B318">IF(OR(F318=#REF!),"重疊","")</f>
        <v>#REF!</v>
      </c>
      <c r="C318" s="132" t="s">
        <v>1595</v>
      </c>
      <c r="D318" s="141">
        <v>304</v>
      </c>
      <c r="E318" s="135" t="s">
        <v>2344</v>
      </c>
      <c r="F318" s="132" t="s">
        <v>1540</v>
      </c>
      <c r="G318" s="132" t="s">
        <v>1780</v>
      </c>
      <c r="H318" s="132" t="s">
        <v>1952</v>
      </c>
      <c r="I318" s="133">
        <v>103.02</v>
      </c>
      <c r="J318" s="132" t="s">
        <v>2343</v>
      </c>
      <c r="K318" s="131" t="s">
        <v>1623</v>
      </c>
      <c r="L318" s="136" t="s">
        <v>1624</v>
      </c>
      <c r="M318" s="131" t="s">
        <v>2345</v>
      </c>
    </row>
    <row r="319" spans="1:13">
      <c r="A319" s="132" t="s">
        <v>1595</v>
      </c>
      <c r="B319" s="132" t="e">
        <f t="array" ref="B319">IF(OR(F319=#REF!),"重疊","")</f>
        <v>#REF!</v>
      </c>
      <c r="C319" s="132" t="s">
        <v>1595</v>
      </c>
      <c r="D319" s="141">
        <v>305</v>
      </c>
      <c r="E319" s="135" t="s">
        <v>2346</v>
      </c>
      <c r="F319" s="132" t="s">
        <v>1541</v>
      </c>
      <c r="G319" s="132" t="s">
        <v>1780</v>
      </c>
      <c r="H319" s="132" t="s">
        <v>1952</v>
      </c>
      <c r="I319" s="133">
        <v>103.02</v>
      </c>
      <c r="J319" s="132" t="s">
        <v>2343</v>
      </c>
      <c r="K319" s="131" t="s">
        <v>1623</v>
      </c>
      <c r="L319" s="136" t="s">
        <v>1624</v>
      </c>
      <c r="M319" s="131" t="s">
        <v>2345</v>
      </c>
    </row>
    <row r="320" spans="1:13">
      <c r="A320" s="132" t="s">
        <v>1595</v>
      </c>
      <c r="B320" s="132" t="e">
        <f t="array" ref="B320">IF(OR(F320=#REF!),"重疊","")</f>
        <v>#REF!</v>
      </c>
      <c r="C320" s="132" t="s">
        <v>1595</v>
      </c>
      <c r="D320" s="141">
        <v>306</v>
      </c>
      <c r="E320" s="135" t="s">
        <v>2347</v>
      </c>
      <c r="F320" s="132" t="s">
        <v>1542</v>
      </c>
      <c r="G320" s="132" t="s">
        <v>1780</v>
      </c>
      <c r="H320" s="132" t="s">
        <v>1952</v>
      </c>
      <c r="I320" s="133">
        <v>103.02</v>
      </c>
      <c r="J320" s="132" t="s">
        <v>2343</v>
      </c>
      <c r="K320" s="131" t="s">
        <v>1623</v>
      </c>
      <c r="L320" s="136" t="s">
        <v>1624</v>
      </c>
      <c r="M320" s="131" t="s">
        <v>2345</v>
      </c>
    </row>
    <row r="321" spans="1:13" ht="34">
      <c r="A321" s="132"/>
      <c r="B321" s="132" t="e">
        <f t="array" ref="B321">IF(OR(F321=#REF!),"重疊","")</f>
        <v>#REF!</v>
      </c>
      <c r="C321" s="132"/>
      <c r="D321" s="142">
        <v>307</v>
      </c>
      <c r="E321" s="143" t="s">
        <v>573</v>
      </c>
      <c r="F321" s="132" t="s">
        <v>573</v>
      </c>
      <c r="G321" s="132" t="s">
        <v>1805</v>
      </c>
      <c r="H321" s="132" t="s">
        <v>1917</v>
      </c>
      <c r="I321" s="133">
        <v>103.09</v>
      </c>
      <c r="J321" s="132" t="s">
        <v>2274</v>
      </c>
      <c r="K321" s="131" t="s">
        <v>2348</v>
      </c>
      <c r="L321" s="136" t="s">
        <v>2349</v>
      </c>
      <c r="M321" s="131" t="s">
        <v>2350</v>
      </c>
    </row>
    <row r="322" spans="1:13">
      <c r="A322" s="132"/>
      <c r="B322" s="132" t="e">
        <f t="array" ref="B322">IF(OR(F322=#REF!),"重疊","")</f>
        <v>#REF!</v>
      </c>
      <c r="C322" s="132" t="s">
        <v>1595</v>
      </c>
      <c r="D322" s="141">
        <v>308</v>
      </c>
      <c r="E322" s="135" t="s">
        <v>2351</v>
      </c>
      <c r="F322" s="132" t="s">
        <v>2352</v>
      </c>
      <c r="G322" s="132"/>
      <c r="H322" s="132"/>
      <c r="I322" s="133"/>
      <c r="J322" s="132"/>
      <c r="K322" s="131"/>
      <c r="L322" s="131"/>
      <c r="M322" s="131"/>
    </row>
    <row r="323" spans="1:13" ht="34">
      <c r="A323" s="132" t="s">
        <v>1595</v>
      </c>
      <c r="B323" s="132" t="e">
        <f t="array" ref="B323">IF(OR(F323=#REF!),"重疊","")</f>
        <v>#REF!</v>
      </c>
      <c r="C323" s="132" t="s">
        <v>1595</v>
      </c>
      <c r="D323" s="141">
        <v>309</v>
      </c>
      <c r="E323" s="135" t="s">
        <v>2353</v>
      </c>
      <c r="F323" s="132" t="s">
        <v>1543</v>
      </c>
      <c r="G323" s="132" t="s">
        <v>1780</v>
      </c>
      <c r="H323" s="132" t="s">
        <v>1921</v>
      </c>
      <c r="I323" s="133">
        <v>103.2</v>
      </c>
      <c r="J323" s="132" t="s">
        <v>2343</v>
      </c>
      <c r="K323" s="131" t="s">
        <v>2100</v>
      </c>
      <c r="L323" s="136" t="s">
        <v>1887</v>
      </c>
      <c r="M323" s="131" t="s">
        <v>2354</v>
      </c>
    </row>
    <row r="324" spans="1:13">
      <c r="A324" s="132"/>
      <c r="B324" s="132" t="e">
        <f t="array" ref="B324">IF(OR(F324=#REF!),"重疊","")</f>
        <v>#REF!</v>
      </c>
      <c r="C324" s="132"/>
      <c r="D324" s="147">
        <v>310</v>
      </c>
      <c r="E324" s="148" t="s">
        <v>2355</v>
      </c>
      <c r="F324" s="132" t="s">
        <v>374</v>
      </c>
      <c r="G324" s="132"/>
      <c r="H324" s="132"/>
      <c r="I324" s="133"/>
      <c r="J324" s="132"/>
      <c r="K324" s="131"/>
      <c r="L324" s="131"/>
      <c r="M324" s="131"/>
    </row>
    <row r="325" spans="1:13">
      <c r="A325" s="132" t="s">
        <v>1595</v>
      </c>
      <c r="B325" s="132" t="e">
        <f t="array" ref="B325">IF(OR(F325=#REF!),"重疊","")</f>
        <v>#REF!</v>
      </c>
      <c r="C325" s="132" t="s">
        <v>1595</v>
      </c>
      <c r="D325" s="141">
        <v>311</v>
      </c>
      <c r="E325" s="135" t="s">
        <v>2356</v>
      </c>
      <c r="F325" s="132" t="s">
        <v>1544</v>
      </c>
      <c r="G325" s="132"/>
      <c r="H325" s="132"/>
      <c r="I325" s="133"/>
      <c r="J325" s="132"/>
      <c r="K325" s="131"/>
      <c r="L325" s="131"/>
      <c r="M325" s="131"/>
    </row>
    <row r="326" spans="1:13">
      <c r="A326" s="132"/>
      <c r="B326" s="132" t="e">
        <f t="array" ref="B326">IF(OR(F326=#REF!),"重疊","")</f>
        <v>#REF!</v>
      </c>
      <c r="C326" s="132"/>
      <c r="D326" s="142">
        <v>312</v>
      </c>
      <c r="E326" s="143" t="s">
        <v>497</v>
      </c>
      <c r="F326" s="132" t="s">
        <v>497</v>
      </c>
      <c r="G326" s="132"/>
      <c r="H326" s="132"/>
      <c r="I326" s="133"/>
      <c r="J326" s="132"/>
      <c r="K326" s="131"/>
      <c r="L326" s="131"/>
      <c r="M326" s="131"/>
    </row>
    <row r="327" spans="1:13">
      <c r="A327" s="132"/>
      <c r="B327" s="132" t="e">
        <f t="array" ref="B327">IF(OR(F327=#REF!),"重疊","")</f>
        <v>#REF!</v>
      </c>
      <c r="C327" s="132" t="s">
        <v>1595</v>
      </c>
      <c r="D327" s="141">
        <v>313</v>
      </c>
      <c r="E327" s="135" t="s">
        <v>2357</v>
      </c>
      <c r="F327" s="132" t="s">
        <v>1545</v>
      </c>
      <c r="G327" s="132"/>
      <c r="H327" s="132"/>
      <c r="I327" s="133"/>
      <c r="J327" s="132"/>
      <c r="K327" s="131"/>
      <c r="L327" s="131"/>
      <c r="M327" s="131"/>
    </row>
    <row r="328" spans="1:13">
      <c r="A328" s="132"/>
      <c r="B328" s="132" t="e">
        <f t="array" ref="B328">IF(OR(F328=#REF!),"重疊","")</f>
        <v>#REF!</v>
      </c>
      <c r="C328" s="132"/>
      <c r="D328" s="139">
        <v>314</v>
      </c>
      <c r="E328" s="140" t="s">
        <v>2358</v>
      </c>
      <c r="F328" s="132" t="s">
        <v>228</v>
      </c>
      <c r="G328" s="132" t="s">
        <v>1780</v>
      </c>
      <c r="H328" s="132"/>
      <c r="I328" s="133">
        <v>103.08</v>
      </c>
      <c r="J328" s="132"/>
      <c r="K328" s="131"/>
      <c r="L328" s="131"/>
      <c r="M328" s="131"/>
    </row>
    <row r="329" spans="1:13">
      <c r="A329" s="132"/>
      <c r="B329" s="132" t="e">
        <f t="array" ref="B329">IF(OR(F329=#REF!),"重疊","")</f>
        <v>#REF!</v>
      </c>
      <c r="C329" s="132"/>
      <c r="D329" s="142">
        <v>315</v>
      </c>
      <c r="E329" s="143" t="s">
        <v>230</v>
      </c>
      <c r="F329" s="132" t="s">
        <v>230</v>
      </c>
      <c r="G329" s="132"/>
      <c r="H329" s="132"/>
      <c r="I329" s="133"/>
      <c r="J329" s="132"/>
      <c r="K329" s="131"/>
      <c r="L329" s="131"/>
      <c r="M329" s="131"/>
    </row>
    <row r="330" spans="1:13">
      <c r="A330" s="132"/>
      <c r="B330" s="132" t="e">
        <f t="array" ref="B330">IF(OR(F330=#REF!),"重疊","")</f>
        <v>#REF!</v>
      </c>
      <c r="C330" s="132"/>
      <c r="D330" s="142">
        <v>316</v>
      </c>
      <c r="E330" s="143" t="s">
        <v>229</v>
      </c>
      <c r="F330" s="132" t="s">
        <v>229</v>
      </c>
      <c r="G330" s="132"/>
      <c r="H330" s="132"/>
      <c r="I330" s="133"/>
      <c r="J330" s="132"/>
      <c r="K330" s="131"/>
      <c r="L330" s="131"/>
      <c r="M330" s="131"/>
    </row>
    <row r="331" spans="1:13">
      <c r="A331" s="132" t="s">
        <v>1595</v>
      </c>
      <c r="B331" s="132" t="e">
        <f t="array" ref="B331">IF(OR(F331=#REF!),"重疊","")</f>
        <v>#REF!</v>
      </c>
      <c r="C331" s="132" t="s">
        <v>1595</v>
      </c>
      <c r="D331" s="141">
        <v>317</v>
      </c>
      <c r="E331" s="135" t="s">
        <v>2359</v>
      </c>
      <c r="F331" s="132" t="s">
        <v>646</v>
      </c>
      <c r="G331" s="132" t="s">
        <v>1780</v>
      </c>
      <c r="H331" s="132" t="s">
        <v>1952</v>
      </c>
      <c r="I331" s="133">
        <v>103.02</v>
      </c>
      <c r="J331" s="132" t="s">
        <v>2343</v>
      </c>
      <c r="K331" s="131"/>
      <c r="L331" s="131"/>
      <c r="M331" s="131"/>
    </row>
    <row r="332" spans="1:13">
      <c r="A332" s="132"/>
      <c r="B332" s="132" t="e">
        <f t="array" ref="B332">IF(OR(F332=#REF!),"重疊","")</f>
        <v>#REF!</v>
      </c>
      <c r="C332" s="132"/>
      <c r="D332" s="142">
        <v>318</v>
      </c>
      <c r="E332" s="143" t="s">
        <v>256</v>
      </c>
      <c r="F332" s="132" t="s">
        <v>256</v>
      </c>
      <c r="G332" s="132"/>
      <c r="H332" s="132"/>
      <c r="I332" s="133"/>
      <c r="J332" s="132"/>
      <c r="K332" s="131"/>
      <c r="L332" s="131"/>
      <c r="M332" s="131"/>
    </row>
    <row r="333" spans="1:13">
      <c r="A333" s="132" t="s">
        <v>1595</v>
      </c>
      <c r="B333" s="132" t="e">
        <f t="array" ref="B333">IF(OR(F333=#REF!),"重疊","")</f>
        <v>#REF!</v>
      </c>
      <c r="C333" s="132" t="s">
        <v>1595</v>
      </c>
      <c r="D333" s="141">
        <v>319</v>
      </c>
      <c r="E333" s="135" t="s">
        <v>2360</v>
      </c>
      <c r="F333" s="132" t="s">
        <v>1110</v>
      </c>
      <c r="G333" s="132" t="s">
        <v>1780</v>
      </c>
      <c r="H333" s="132" t="s">
        <v>1614</v>
      </c>
      <c r="I333" s="133" t="s">
        <v>2361</v>
      </c>
      <c r="J333" s="132" t="s">
        <v>1938</v>
      </c>
      <c r="K333" s="131"/>
      <c r="L333" s="131"/>
      <c r="M333" s="131"/>
    </row>
    <row r="334" spans="1:13">
      <c r="A334" s="132" t="s">
        <v>1595</v>
      </c>
      <c r="B334" s="132" t="e">
        <f t="array" ref="B334">IF(OR(F334=#REF!),"重疊","")</f>
        <v>#REF!</v>
      </c>
      <c r="C334" s="132"/>
      <c r="D334" s="137">
        <v>320</v>
      </c>
      <c r="E334" s="138" t="s">
        <v>2362</v>
      </c>
      <c r="F334" s="132" t="s">
        <v>212</v>
      </c>
      <c r="G334" s="132" t="s">
        <v>1973</v>
      </c>
      <c r="H334" s="132" t="s">
        <v>2178</v>
      </c>
      <c r="I334" s="133"/>
      <c r="J334" s="132" t="s">
        <v>2363</v>
      </c>
      <c r="K334" s="131"/>
      <c r="L334" s="131"/>
      <c r="M334" s="131"/>
    </row>
    <row r="335" spans="1:13">
      <c r="A335" s="132"/>
      <c r="B335" s="132" t="e">
        <f t="array" ref="B335">IF(OR(F335=#REF!),"重疊","")</f>
        <v>#REF!</v>
      </c>
      <c r="C335" s="132"/>
      <c r="D335" s="142">
        <v>321</v>
      </c>
      <c r="E335" s="143" t="s">
        <v>628</v>
      </c>
      <c r="F335" s="132" t="s">
        <v>628</v>
      </c>
      <c r="G335" s="132"/>
      <c r="H335" s="132"/>
      <c r="I335" s="133"/>
      <c r="J335" s="132"/>
      <c r="K335" s="131"/>
      <c r="L335" s="131"/>
      <c r="M335" s="131"/>
    </row>
    <row r="336" spans="1:13">
      <c r="A336" s="132"/>
      <c r="B336" s="132" t="e">
        <f t="array" ref="B336">IF(OR(F336=#REF!),"重疊","")</f>
        <v>#REF!</v>
      </c>
      <c r="C336" s="132" t="s">
        <v>1595</v>
      </c>
      <c r="D336" s="141">
        <v>322</v>
      </c>
      <c r="E336" s="135" t="s">
        <v>2364</v>
      </c>
      <c r="F336" s="132" t="s">
        <v>650</v>
      </c>
      <c r="G336" s="132" t="s">
        <v>1780</v>
      </c>
      <c r="H336" s="132" t="s">
        <v>2184</v>
      </c>
      <c r="I336" s="133">
        <v>103.08</v>
      </c>
      <c r="J336" s="132" t="s">
        <v>2365</v>
      </c>
      <c r="K336" s="131" t="s">
        <v>1623</v>
      </c>
      <c r="L336" s="131"/>
      <c r="M336" s="131"/>
    </row>
    <row r="337" spans="1:13">
      <c r="A337" s="132"/>
      <c r="B337" s="132" t="e">
        <f t="array" ref="B337">IF(OR(F337=#REF!),"重疊","")</f>
        <v>#REF!</v>
      </c>
      <c r="C337" s="132"/>
      <c r="D337" s="142">
        <v>323</v>
      </c>
      <c r="E337" s="143" t="s">
        <v>2366</v>
      </c>
      <c r="F337" s="132" t="s">
        <v>562</v>
      </c>
      <c r="G337" s="132"/>
      <c r="H337" s="132"/>
      <c r="I337" s="133"/>
      <c r="J337" s="132"/>
      <c r="K337" s="131"/>
      <c r="L337" s="131"/>
      <c r="M337" s="131"/>
    </row>
    <row r="338" spans="1:13" ht="34">
      <c r="A338" s="132"/>
      <c r="B338" s="132" t="e">
        <f t="array" ref="B338">IF(OR(F338=#REF!),"重疊","")</f>
        <v>#REF!</v>
      </c>
      <c r="C338" s="132" t="s">
        <v>1595</v>
      </c>
      <c r="D338" s="141">
        <v>324</v>
      </c>
      <c r="E338" s="135" t="s">
        <v>2367</v>
      </c>
      <c r="F338" s="132" t="s">
        <v>678</v>
      </c>
      <c r="G338" s="132" t="s">
        <v>1780</v>
      </c>
      <c r="H338" s="132" t="s">
        <v>2033</v>
      </c>
      <c r="I338" s="133">
        <v>103.04</v>
      </c>
      <c r="J338" s="132" t="s">
        <v>2368</v>
      </c>
      <c r="K338" s="131" t="s">
        <v>2369</v>
      </c>
      <c r="L338" s="136" t="s">
        <v>1887</v>
      </c>
      <c r="M338" s="131" t="s">
        <v>2370</v>
      </c>
    </row>
    <row r="339" spans="1:13">
      <c r="A339" s="132" t="s">
        <v>1595</v>
      </c>
      <c r="B339" s="132" t="e">
        <f t="array" ref="B339">IF(OR(F339=#REF!),"重疊","")</f>
        <v>#REF!</v>
      </c>
      <c r="C339" s="132" t="s">
        <v>1595</v>
      </c>
      <c r="D339" s="141">
        <v>325</v>
      </c>
      <c r="E339" s="135" t="s">
        <v>2371</v>
      </c>
      <c r="F339" s="132" t="s">
        <v>655</v>
      </c>
      <c r="G339" s="132"/>
      <c r="H339" s="132"/>
      <c r="I339" s="133"/>
      <c r="J339" s="132"/>
      <c r="K339" s="131"/>
      <c r="L339" s="131"/>
      <c r="M339" s="131"/>
    </row>
    <row r="340" spans="1:13">
      <c r="A340" s="132"/>
      <c r="B340" s="132" t="e">
        <f t="array" ref="B340">IF(OR(F340=#REF!),"重疊","")</f>
        <v>#REF!</v>
      </c>
      <c r="C340" s="132"/>
      <c r="D340" s="142">
        <v>326</v>
      </c>
      <c r="E340" s="143" t="s">
        <v>2372</v>
      </c>
      <c r="F340" s="132" t="s">
        <v>461</v>
      </c>
      <c r="G340" s="132"/>
      <c r="H340" s="132"/>
      <c r="I340" s="133"/>
      <c r="J340" s="132"/>
      <c r="K340" s="131"/>
      <c r="L340" s="131"/>
      <c r="M340" s="131"/>
    </row>
    <row r="341" spans="1:13">
      <c r="A341" s="132" t="s">
        <v>1595</v>
      </c>
      <c r="B341" s="132" t="e">
        <f t="array" ref="B341">IF(OR(F341=#REF!),"重疊","")</f>
        <v>#REF!</v>
      </c>
      <c r="C341" s="132" t="s">
        <v>1595</v>
      </c>
      <c r="D341" s="141">
        <v>327</v>
      </c>
      <c r="E341" s="135" t="s">
        <v>2373</v>
      </c>
      <c r="F341" s="132" t="s">
        <v>439</v>
      </c>
      <c r="G341" s="132"/>
      <c r="H341" s="132"/>
      <c r="I341" s="133"/>
      <c r="J341" s="132"/>
      <c r="K341" s="131"/>
      <c r="L341" s="131"/>
      <c r="M341" s="131"/>
    </row>
    <row r="342" spans="1:13">
      <c r="A342" s="132" t="s">
        <v>1595</v>
      </c>
      <c r="B342" s="132" t="e">
        <f t="array" ref="B342">IF(OR(F342=#REF!),"重疊","")</f>
        <v>#REF!</v>
      </c>
      <c r="C342" s="132" t="s">
        <v>1595</v>
      </c>
      <c r="D342" s="141">
        <v>328</v>
      </c>
      <c r="E342" s="135" t="s">
        <v>2374</v>
      </c>
      <c r="F342" s="132" t="s">
        <v>635</v>
      </c>
      <c r="G342" s="132"/>
      <c r="H342" s="132"/>
      <c r="I342" s="133"/>
      <c r="J342" s="132"/>
      <c r="K342" s="131"/>
      <c r="L342" s="131"/>
      <c r="M342" s="131"/>
    </row>
    <row r="343" spans="1:13">
      <c r="A343" s="132" t="s">
        <v>1595</v>
      </c>
      <c r="B343" s="132" t="e">
        <f t="array" ref="B343">IF(OR(F343=#REF!),"重疊","")</f>
        <v>#REF!</v>
      </c>
      <c r="C343" s="132" t="s">
        <v>1595</v>
      </c>
      <c r="D343" s="141">
        <v>329</v>
      </c>
      <c r="E343" s="135" t="s">
        <v>2375</v>
      </c>
      <c r="F343" s="132" t="s">
        <v>233</v>
      </c>
      <c r="G343" s="132"/>
      <c r="H343" s="132"/>
      <c r="I343" s="133"/>
      <c r="J343" s="132"/>
      <c r="K343" s="131"/>
      <c r="L343" s="131"/>
      <c r="M343" s="131"/>
    </row>
    <row r="344" spans="1:13" ht="34">
      <c r="A344" s="132" t="s">
        <v>1595</v>
      </c>
      <c r="B344" s="132" t="e">
        <f t="array" ref="B344">IF(OR(F344=#REF!),"重疊","")</f>
        <v>#REF!</v>
      </c>
      <c r="C344" s="132"/>
      <c r="D344" s="145">
        <v>330</v>
      </c>
      <c r="E344" s="146" t="s">
        <v>2376</v>
      </c>
      <c r="F344" s="132" t="s">
        <v>437</v>
      </c>
      <c r="G344" s="132" t="s">
        <v>1800</v>
      </c>
      <c r="H344" s="132" t="s">
        <v>1801</v>
      </c>
      <c r="I344" s="133" t="s">
        <v>2377</v>
      </c>
      <c r="J344" s="132" t="s">
        <v>2378</v>
      </c>
      <c r="K344" s="131" t="s">
        <v>2379</v>
      </c>
      <c r="L344" s="131"/>
      <c r="M344" s="131"/>
    </row>
    <row r="345" spans="1:13">
      <c r="A345" s="132" t="s">
        <v>1595</v>
      </c>
      <c r="B345" s="132" t="e">
        <f t="array" ref="B345">IF(OR(F345=#REF!),"重疊","")</f>
        <v>#REF!</v>
      </c>
      <c r="C345" s="132"/>
      <c r="D345" s="137">
        <v>331</v>
      </c>
      <c r="E345" s="138" t="s">
        <v>2380</v>
      </c>
      <c r="F345" s="132" t="s">
        <v>1101</v>
      </c>
      <c r="G345" s="132"/>
      <c r="H345" s="132"/>
      <c r="I345" s="133"/>
      <c r="J345" s="132"/>
      <c r="K345" s="131"/>
      <c r="L345" s="131"/>
      <c r="M345" s="131"/>
    </row>
    <row r="346" spans="1:13">
      <c r="A346" s="132"/>
      <c r="B346" s="132" t="e">
        <f t="array" ref="B346">IF(OR(F346=#REF!),"重疊","")</f>
        <v>#REF!</v>
      </c>
      <c r="C346" s="132" t="s">
        <v>1595</v>
      </c>
      <c r="D346" s="141">
        <v>332</v>
      </c>
      <c r="E346" s="135" t="s">
        <v>2381</v>
      </c>
      <c r="F346" s="132" t="s">
        <v>603</v>
      </c>
      <c r="G346" s="132"/>
      <c r="H346" s="132"/>
      <c r="I346" s="133"/>
      <c r="J346" s="132"/>
      <c r="K346" s="131"/>
      <c r="L346" s="131"/>
      <c r="M346" s="131"/>
    </row>
    <row r="347" spans="1:13">
      <c r="A347" s="132" t="s">
        <v>1595</v>
      </c>
      <c r="B347" s="132" t="e">
        <f t="array" ref="B347">IF(OR(F347=#REF!),"重疊","")</f>
        <v>#REF!</v>
      </c>
      <c r="C347" s="132"/>
      <c r="D347" s="142">
        <v>333</v>
      </c>
      <c r="E347" s="143" t="s">
        <v>2382</v>
      </c>
      <c r="F347" s="132" t="s">
        <v>304</v>
      </c>
      <c r="G347" s="132" t="s">
        <v>1780</v>
      </c>
      <c r="H347" s="132" t="s">
        <v>2383</v>
      </c>
      <c r="I347" s="133">
        <v>103.07</v>
      </c>
      <c r="J347" s="132" t="s">
        <v>2384</v>
      </c>
      <c r="K347" s="131" t="s">
        <v>1623</v>
      </c>
      <c r="L347" s="136" t="s">
        <v>1624</v>
      </c>
      <c r="M347" s="131" t="s">
        <v>1947</v>
      </c>
    </row>
    <row r="348" spans="1:13">
      <c r="A348" s="132" t="s">
        <v>1595</v>
      </c>
      <c r="B348" s="132" t="e">
        <f t="array" ref="B348">IF(OR(F348=#REF!),"重疊","")</f>
        <v>#REF!</v>
      </c>
      <c r="C348" s="132" t="s">
        <v>1595</v>
      </c>
      <c r="D348" s="141">
        <v>334</v>
      </c>
      <c r="E348" s="135" t="s">
        <v>2385</v>
      </c>
      <c r="F348" s="132" t="s">
        <v>667</v>
      </c>
      <c r="G348" s="132" t="s">
        <v>1780</v>
      </c>
      <c r="H348" s="132" t="s">
        <v>2098</v>
      </c>
      <c r="I348" s="133" t="s">
        <v>1979</v>
      </c>
      <c r="J348" s="132" t="s">
        <v>1938</v>
      </c>
      <c r="K348" s="131" t="s">
        <v>1617</v>
      </c>
      <c r="L348" s="136" t="s">
        <v>1618</v>
      </c>
      <c r="M348" s="131" t="s">
        <v>2386</v>
      </c>
    </row>
    <row r="349" spans="1:13" ht="34">
      <c r="A349" s="132"/>
      <c r="B349" s="132" t="e">
        <f t="array" ref="B349">IF(OR(F349=#REF!),"重疊","")</f>
        <v>#REF!</v>
      </c>
      <c r="C349" s="132"/>
      <c r="D349" s="142">
        <v>335</v>
      </c>
      <c r="E349" s="143" t="s">
        <v>2387</v>
      </c>
      <c r="F349" s="132" t="s">
        <v>412</v>
      </c>
      <c r="G349" s="132" t="s">
        <v>1780</v>
      </c>
      <c r="H349" s="132" t="s">
        <v>2388</v>
      </c>
      <c r="I349" s="133" t="s">
        <v>2389</v>
      </c>
      <c r="J349" s="132" t="s">
        <v>2390</v>
      </c>
      <c r="K349" s="131" t="s">
        <v>1765</v>
      </c>
      <c r="L349" s="131"/>
      <c r="M349" s="131"/>
    </row>
    <row r="350" spans="1:13">
      <c r="A350" s="132" t="s">
        <v>1595</v>
      </c>
      <c r="B350" s="132" t="e">
        <f t="array" ref="B350">IF(OR(F350=#REF!),"重疊","")</f>
        <v>#REF!</v>
      </c>
      <c r="C350" s="132"/>
      <c r="D350" s="137">
        <v>336</v>
      </c>
      <c r="E350" s="138" t="s">
        <v>2391</v>
      </c>
      <c r="F350" s="132" t="s">
        <v>157</v>
      </c>
      <c r="G350" s="132" t="s">
        <v>1876</v>
      </c>
      <c r="H350" s="132" t="s">
        <v>1899</v>
      </c>
      <c r="I350" s="133" t="s">
        <v>2392</v>
      </c>
      <c r="J350" s="132" t="s">
        <v>2393</v>
      </c>
      <c r="K350" s="131" t="s">
        <v>1762</v>
      </c>
      <c r="L350" s="136" t="s">
        <v>1769</v>
      </c>
      <c r="M350" s="131"/>
    </row>
    <row r="351" spans="1:13">
      <c r="A351" s="132"/>
      <c r="B351" s="132" t="e">
        <f t="array" ref="B351">IF(OR(F351=#REF!),"重疊","")</f>
        <v>#REF!</v>
      </c>
      <c r="C351" s="132"/>
      <c r="D351" s="142">
        <v>337</v>
      </c>
      <c r="E351" s="143" t="s">
        <v>2394</v>
      </c>
      <c r="F351" s="132" t="s">
        <v>299</v>
      </c>
      <c r="G351" s="132"/>
      <c r="H351" s="132"/>
      <c r="I351" s="133"/>
      <c r="J351" s="132"/>
      <c r="K351" s="131"/>
      <c r="L351" s="131"/>
      <c r="M351" s="131"/>
    </row>
    <row r="352" spans="1:13">
      <c r="A352" s="132" t="s">
        <v>1595</v>
      </c>
      <c r="B352" s="132" t="e">
        <f t="array" ref="B352">IF(OR(F352=#REF!),"重疊","")</f>
        <v>#REF!</v>
      </c>
      <c r="C352" s="132"/>
      <c r="D352" s="137">
        <v>338</v>
      </c>
      <c r="E352" s="138" t="s">
        <v>2395</v>
      </c>
      <c r="F352" s="132" t="s">
        <v>180</v>
      </c>
      <c r="G352" s="132" t="s">
        <v>1876</v>
      </c>
      <c r="H352" s="132" t="s">
        <v>1899</v>
      </c>
      <c r="I352" s="133" t="s">
        <v>2251</v>
      </c>
      <c r="J352" s="132" t="s">
        <v>2396</v>
      </c>
      <c r="K352" s="131" t="s">
        <v>1762</v>
      </c>
      <c r="L352" s="136" t="s">
        <v>1769</v>
      </c>
      <c r="M352" s="131"/>
    </row>
    <row r="353" spans="1:13">
      <c r="A353" s="132"/>
      <c r="B353" s="132" t="e">
        <f t="array" ref="B353">IF(OR(F353=#REF!),"重疊","")</f>
        <v>#REF!</v>
      </c>
      <c r="C353" s="132"/>
      <c r="D353" s="142">
        <v>339</v>
      </c>
      <c r="E353" s="143" t="s">
        <v>2397</v>
      </c>
      <c r="F353" s="132" t="s">
        <v>128</v>
      </c>
      <c r="G353" s="132"/>
      <c r="H353" s="132"/>
      <c r="I353" s="133"/>
      <c r="J353" s="132"/>
      <c r="K353" s="131"/>
      <c r="L353" s="131"/>
      <c r="M353" s="131"/>
    </row>
    <row r="354" spans="1:13" ht="34">
      <c r="A354" s="132" t="s">
        <v>1595</v>
      </c>
      <c r="B354" s="132" t="e">
        <f t="array" ref="B354">IF(OR(F354=#REF!),"重疊","")</f>
        <v>#REF!</v>
      </c>
      <c r="C354" s="132"/>
      <c r="D354" s="145">
        <v>340</v>
      </c>
      <c r="E354" s="146" t="s">
        <v>2398</v>
      </c>
      <c r="F354" s="132" t="s">
        <v>429</v>
      </c>
      <c r="G354" s="132" t="s">
        <v>1800</v>
      </c>
      <c r="H354" s="132" t="s">
        <v>1899</v>
      </c>
      <c r="I354" s="133" t="s">
        <v>2399</v>
      </c>
      <c r="J354" s="132" t="s">
        <v>2400</v>
      </c>
      <c r="K354" s="131" t="s">
        <v>1762</v>
      </c>
      <c r="L354" s="131"/>
      <c r="M354" s="131"/>
    </row>
    <row r="355" spans="1:13">
      <c r="A355" s="132" t="s">
        <v>1595</v>
      </c>
      <c r="B355" s="132" t="e">
        <f t="array" ref="B355">IF(OR(F355=#REF!),"重疊","")</f>
        <v>#REF!</v>
      </c>
      <c r="C355" s="132"/>
      <c r="D355" s="142">
        <v>341</v>
      </c>
      <c r="E355" s="143" t="s">
        <v>2401</v>
      </c>
      <c r="F355" s="132" t="s">
        <v>334</v>
      </c>
      <c r="G355" s="132" t="s">
        <v>1872</v>
      </c>
      <c r="H355" s="132" t="s">
        <v>2402</v>
      </c>
      <c r="I355" s="133">
        <v>103.04</v>
      </c>
      <c r="J355" s="132" t="s">
        <v>2403</v>
      </c>
      <c r="K355" s="131" t="s">
        <v>1623</v>
      </c>
      <c r="L355" s="136" t="s">
        <v>1624</v>
      </c>
      <c r="M355" s="131" t="s">
        <v>2404</v>
      </c>
    </row>
    <row r="356" spans="1:13">
      <c r="A356" s="132" t="s">
        <v>1595</v>
      </c>
      <c r="B356" s="132" t="e">
        <f t="array" ref="B356">IF(OR(F356=#REF!),"重疊","")</f>
        <v>#REF!</v>
      </c>
      <c r="C356" s="132" t="s">
        <v>1595</v>
      </c>
      <c r="D356" s="141">
        <v>342</v>
      </c>
      <c r="E356" s="135" t="s">
        <v>2405</v>
      </c>
      <c r="F356" s="132" t="s">
        <v>601</v>
      </c>
      <c r="G356" s="132"/>
      <c r="H356" s="132"/>
      <c r="I356" s="133"/>
      <c r="J356" s="132"/>
      <c r="K356" s="131"/>
      <c r="L356" s="131"/>
      <c r="M356" s="131"/>
    </row>
    <row r="357" spans="1:13">
      <c r="A357" s="132"/>
      <c r="B357" s="132" t="e">
        <f t="array" ref="B357">IF(OR(F357=#REF!),"重疊","")</f>
        <v>#REF!</v>
      </c>
      <c r="C357" s="132"/>
      <c r="D357" s="142">
        <v>343</v>
      </c>
      <c r="E357" s="143" t="s">
        <v>2406</v>
      </c>
      <c r="F357" s="132" t="s">
        <v>164</v>
      </c>
      <c r="G357" s="132"/>
      <c r="H357" s="132"/>
      <c r="I357" s="133"/>
      <c r="J357" s="132"/>
      <c r="K357" s="131"/>
      <c r="L357" s="131"/>
      <c r="M357" s="131"/>
    </row>
    <row r="358" spans="1:13">
      <c r="A358" s="132"/>
      <c r="B358" s="132" t="e">
        <f t="array" ref="B358">IF(OR(F358=#REF!),"重疊","")</f>
        <v>#REF!</v>
      </c>
      <c r="C358" s="132"/>
      <c r="D358" s="142">
        <v>344</v>
      </c>
      <c r="E358" s="143" t="s">
        <v>2407</v>
      </c>
      <c r="F358" s="132" t="s">
        <v>230</v>
      </c>
      <c r="G358" s="132"/>
      <c r="H358" s="132"/>
      <c r="I358" s="133"/>
      <c r="J358" s="132"/>
      <c r="K358" s="131"/>
      <c r="L358" s="131"/>
      <c r="M358" s="131"/>
    </row>
    <row r="359" spans="1:13">
      <c r="A359" s="132"/>
      <c r="B359" s="132" t="e">
        <f t="array" ref="B359">IF(OR(F359=#REF!),"重疊","")</f>
        <v>#REF!</v>
      </c>
      <c r="C359" s="132" t="s">
        <v>1595</v>
      </c>
      <c r="D359" s="141">
        <v>345</v>
      </c>
      <c r="E359" s="135" t="s">
        <v>2408</v>
      </c>
      <c r="F359" s="132" t="s">
        <v>631</v>
      </c>
      <c r="G359" s="132"/>
      <c r="H359" s="132"/>
      <c r="I359" s="133"/>
      <c r="J359" s="132"/>
      <c r="K359" s="131"/>
      <c r="L359" s="131"/>
      <c r="M359" s="131"/>
    </row>
    <row r="360" spans="1:13">
      <c r="A360" s="132"/>
      <c r="B360" s="132" t="e">
        <f t="array" ref="B360">IF(OR(F360=#REF!),"重疊","")</f>
        <v>#REF!</v>
      </c>
      <c r="C360" s="132"/>
      <c r="D360" s="137">
        <v>346</v>
      </c>
      <c r="E360" s="138" t="s">
        <v>2409</v>
      </c>
      <c r="F360" s="132" t="s">
        <v>532</v>
      </c>
      <c r="G360" s="132"/>
      <c r="H360" s="132"/>
      <c r="I360" s="133"/>
      <c r="J360" s="132"/>
      <c r="K360" s="131"/>
      <c r="L360" s="131"/>
      <c r="M360" s="131"/>
    </row>
    <row r="361" spans="1:13">
      <c r="A361" s="132"/>
      <c r="B361" s="132" t="e">
        <f t="array" ref="B361">IF(OR(F361=#REF!),"重疊","")</f>
        <v>#REF!</v>
      </c>
      <c r="C361" s="132"/>
      <c r="D361" s="137">
        <v>347</v>
      </c>
      <c r="E361" s="138" t="s">
        <v>2410</v>
      </c>
      <c r="F361" s="132" t="s">
        <v>2411</v>
      </c>
      <c r="G361" s="132" t="s">
        <v>2275</v>
      </c>
      <c r="H361" s="132" t="s">
        <v>2412</v>
      </c>
      <c r="I361" s="133">
        <v>103.09</v>
      </c>
      <c r="J361" s="132" t="s">
        <v>2413</v>
      </c>
      <c r="K361" s="131"/>
      <c r="L361" s="131"/>
      <c r="M361" s="131"/>
    </row>
    <row r="362" spans="1:13">
      <c r="A362" s="132"/>
      <c r="B362" s="132" t="e">
        <f t="array" ref="B362">IF(OR(F362=#REF!),"重疊","")</f>
        <v>#REF!</v>
      </c>
      <c r="C362" s="132"/>
      <c r="D362" s="139">
        <v>348</v>
      </c>
      <c r="E362" s="140" t="s">
        <v>2414</v>
      </c>
      <c r="F362" s="132" t="s">
        <v>187</v>
      </c>
      <c r="G362" s="132" t="s">
        <v>1839</v>
      </c>
      <c r="H362" s="132"/>
      <c r="I362" s="133"/>
      <c r="J362" s="132" t="s">
        <v>2415</v>
      </c>
      <c r="K362" s="131"/>
      <c r="L362" s="131"/>
      <c r="M362" s="131"/>
    </row>
    <row r="363" spans="1:13">
      <c r="A363" s="132"/>
      <c r="B363" s="132" t="e">
        <f t="array" ref="B363">IF(OR(F363=#REF!),"重疊","")</f>
        <v>#REF!</v>
      </c>
      <c r="C363" s="132"/>
      <c r="D363" s="145">
        <v>349</v>
      </c>
      <c r="E363" s="146" t="s">
        <v>2416</v>
      </c>
      <c r="F363" s="132" t="s">
        <v>741</v>
      </c>
      <c r="G363" s="132" t="s">
        <v>2417</v>
      </c>
      <c r="H363" s="132" t="s">
        <v>2418</v>
      </c>
      <c r="I363" s="133">
        <v>103</v>
      </c>
      <c r="J363" s="132" t="s">
        <v>2419</v>
      </c>
      <c r="K363" s="131" t="s">
        <v>2308</v>
      </c>
      <c r="L363" s="131"/>
      <c r="M363" s="131"/>
    </row>
    <row r="364" spans="1:13" ht="34">
      <c r="A364" s="132"/>
      <c r="B364" s="132" t="e">
        <f t="array" ref="B364">IF(OR(F364=#REF!),"重疊","")</f>
        <v>#REF!</v>
      </c>
      <c r="C364" s="132"/>
      <c r="D364" s="137">
        <v>350</v>
      </c>
      <c r="E364" s="138" t="s">
        <v>2420</v>
      </c>
      <c r="F364" s="132" t="s">
        <v>406</v>
      </c>
      <c r="G364" s="132"/>
      <c r="H364" s="132"/>
      <c r="I364" s="133">
        <v>103.06</v>
      </c>
      <c r="J364" s="132"/>
      <c r="K364" s="131" t="s">
        <v>2421</v>
      </c>
      <c r="L364" s="136" t="s">
        <v>2254</v>
      </c>
      <c r="M364" s="131" t="s">
        <v>2422</v>
      </c>
    </row>
    <row r="365" spans="1:13" ht="34">
      <c r="A365" s="132"/>
      <c r="B365" s="132" t="e">
        <f t="array" ref="B365">IF(OR(F365=#REF!),"重疊","")</f>
        <v>#REF!</v>
      </c>
      <c r="C365" s="132" t="s">
        <v>1595</v>
      </c>
      <c r="D365" s="141">
        <v>351</v>
      </c>
      <c r="E365" s="135" t="s">
        <v>2423</v>
      </c>
      <c r="F365" s="132" t="s">
        <v>2424</v>
      </c>
      <c r="G365" s="132" t="s">
        <v>1819</v>
      </c>
      <c r="H365" s="132" t="s">
        <v>1921</v>
      </c>
      <c r="I365" s="133">
        <v>103.08</v>
      </c>
      <c r="J365" s="132" t="s">
        <v>2425</v>
      </c>
      <c r="K365" s="131" t="s">
        <v>2426</v>
      </c>
      <c r="L365" s="136" t="s">
        <v>2427</v>
      </c>
      <c r="M365" s="131" t="s">
        <v>2428</v>
      </c>
    </row>
    <row r="366" spans="1:13">
      <c r="A366" s="132" t="s">
        <v>1595</v>
      </c>
      <c r="B366" s="132" t="e">
        <f t="array" ref="B366">IF(OR(F366=#REF!),"重疊","")</f>
        <v>#REF!</v>
      </c>
      <c r="C366" s="132"/>
      <c r="D366" s="137">
        <v>352</v>
      </c>
      <c r="E366" s="138" t="s">
        <v>2429</v>
      </c>
      <c r="F366" s="132" t="s">
        <v>422</v>
      </c>
      <c r="G366" s="132" t="s">
        <v>1876</v>
      </c>
      <c r="H366" s="132" t="s">
        <v>2412</v>
      </c>
      <c r="I366" s="133" t="s">
        <v>2015</v>
      </c>
      <c r="J366" s="132" t="s">
        <v>2430</v>
      </c>
      <c r="K366" s="131"/>
      <c r="L366" s="131"/>
      <c r="M366" s="131"/>
    </row>
    <row r="367" spans="1:13">
      <c r="A367" s="132" t="s">
        <v>1595</v>
      </c>
      <c r="B367" s="132" t="e">
        <f t="array" ref="B367">IF(OR(F367=#REF!),"重疊","")</f>
        <v>#REF!</v>
      </c>
      <c r="C367" s="132"/>
      <c r="D367" s="137">
        <v>353</v>
      </c>
      <c r="E367" s="138" t="s">
        <v>2431</v>
      </c>
      <c r="F367" s="132" t="s">
        <v>2432</v>
      </c>
      <c r="G367" s="132" t="s">
        <v>1876</v>
      </c>
      <c r="H367" s="132" t="s">
        <v>2433</v>
      </c>
      <c r="I367" s="133" t="s">
        <v>2434</v>
      </c>
      <c r="J367" s="132" t="s">
        <v>2435</v>
      </c>
      <c r="K367" s="131"/>
      <c r="L367" s="131"/>
      <c r="M367" s="131"/>
    </row>
    <row r="368" spans="1:13">
      <c r="A368" s="132"/>
      <c r="B368" s="132" t="e">
        <f t="array" ref="B368">IF(OR(F368=#REF!),"重疊","")</f>
        <v>#REF!</v>
      </c>
      <c r="C368" s="132"/>
      <c r="D368" s="137">
        <v>354</v>
      </c>
      <c r="E368" s="138" t="s">
        <v>2436</v>
      </c>
      <c r="F368" s="132" t="s">
        <v>742</v>
      </c>
      <c r="G368" s="132" t="s">
        <v>1876</v>
      </c>
      <c r="H368" s="132" t="s">
        <v>2433</v>
      </c>
      <c r="I368" s="133" t="s">
        <v>2434</v>
      </c>
      <c r="J368" s="132" t="s">
        <v>2435</v>
      </c>
      <c r="K368" s="131"/>
      <c r="L368" s="131"/>
      <c r="M368" s="131"/>
    </row>
    <row r="369" spans="1:13">
      <c r="A369" s="132" t="s">
        <v>1595</v>
      </c>
      <c r="B369" s="132" t="e">
        <f t="array" ref="B369">IF(OR(F369=#REF!),"重疊","")</f>
        <v>#REF!</v>
      </c>
      <c r="C369" s="132"/>
      <c r="D369" s="137">
        <v>355</v>
      </c>
      <c r="E369" s="138" t="s">
        <v>2437</v>
      </c>
      <c r="F369" s="132" t="s">
        <v>2438</v>
      </c>
      <c r="G369" s="132" t="s">
        <v>1876</v>
      </c>
      <c r="H369" s="132" t="s">
        <v>2271</v>
      </c>
      <c r="I369" s="133" t="s">
        <v>2439</v>
      </c>
      <c r="J369" s="132" t="s">
        <v>2440</v>
      </c>
      <c r="K369" s="131"/>
      <c r="L369" s="131"/>
      <c r="M369" s="131"/>
    </row>
    <row r="370" spans="1:13">
      <c r="A370" s="132" t="s">
        <v>1595</v>
      </c>
      <c r="B370" s="132" t="e">
        <f t="array" ref="B370">IF(OR(F370=#REF!),"重疊","")</f>
        <v>#REF!</v>
      </c>
      <c r="C370" s="132"/>
      <c r="D370" s="137">
        <v>356</v>
      </c>
      <c r="E370" s="138" t="s">
        <v>2441</v>
      </c>
      <c r="F370" s="132" t="s">
        <v>191</v>
      </c>
      <c r="G370" s="132" t="s">
        <v>1876</v>
      </c>
      <c r="H370" s="132" t="s">
        <v>2442</v>
      </c>
      <c r="I370" s="133" t="s">
        <v>2443</v>
      </c>
      <c r="J370" s="132" t="s">
        <v>2440</v>
      </c>
      <c r="K370" s="131"/>
      <c r="L370" s="131"/>
      <c r="M370" s="131"/>
    </row>
    <row r="371" spans="1:13">
      <c r="A371" s="132" t="s">
        <v>1595</v>
      </c>
      <c r="B371" s="132" t="e">
        <f t="array" ref="B371">IF(OR(F371=#REF!),"重疊","")</f>
        <v>#REF!</v>
      </c>
      <c r="C371" s="132"/>
      <c r="D371" s="137">
        <v>357</v>
      </c>
      <c r="E371" s="138" t="s">
        <v>2444</v>
      </c>
      <c r="F371" s="132" t="s">
        <v>2445</v>
      </c>
      <c r="G371" s="132" t="s">
        <v>1973</v>
      </c>
      <c r="H371" s="132" t="s">
        <v>2446</v>
      </c>
      <c r="I371" s="133">
        <v>103.11</v>
      </c>
      <c r="J371" s="132" t="s">
        <v>2440</v>
      </c>
      <c r="K371" s="131" t="s">
        <v>1762</v>
      </c>
      <c r="L371" s="136" t="s">
        <v>1769</v>
      </c>
      <c r="M371" s="131" t="s">
        <v>1967</v>
      </c>
    </row>
    <row r="372" spans="1:13" ht="34">
      <c r="A372" s="132"/>
      <c r="B372" s="132" t="e">
        <f t="array" ref="B372">IF(OR(F372=#REF!),"重疊","")</f>
        <v>#REF!</v>
      </c>
      <c r="C372" s="132"/>
      <c r="D372" s="137">
        <v>358</v>
      </c>
      <c r="E372" s="138" t="s">
        <v>2447</v>
      </c>
      <c r="F372" s="132" t="s">
        <v>2448</v>
      </c>
      <c r="G372" s="132" t="s">
        <v>1876</v>
      </c>
      <c r="H372" s="132" t="s">
        <v>1899</v>
      </c>
      <c r="I372" s="133" t="s">
        <v>2449</v>
      </c>
      <c r="J372" s="132" t="s">
        <v>2450</v>
      </c>
      <c r="K372" s="131"/>
      <c r="L372" s="131"/>
      <c r="M372" s="131"/>
    </row>
  </sheetData>
  <autoFilter ref="B14:M372"/>
  <mergeCells count="1">
    <mergeCell ref="E14:F14"/>
  </mergeCells>
  <phoneticPr fontId="1" type="noConversion"/>
  <pageMargins left="0.39370078740157483" right="0.39370078740157483" top="0.39370078740157483" bottom="0.39370078740157483" header="0" footer="0"/>
  <pageSetup paperSize="9" scale="80" fitToHeight="5" orientation="portrait" r:id="rId1"/>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75"/>
  <sheetViews>
    <sheetView zoomScale="80" zoomScaleNormal="80" zoomScaleSheetLayoutView="55" workbookViewId="0">
      <pane ySplit="3" topLeftCell="A274" activePane="bottomLeft" state="frozen"/>
      <selection pane="bottomLeft" activeCell="I276" sqref="I276"/>
    </sheetView>
  </sheetViews>
  <sheetFormatPr defaultRowHeight="34.5" customHeight="1"/>
  <cols>
    <col min="1" max="2" width="11.08984375" style="36" customWidth="1"/>
    <col min="3" max="3" width="11.453125" style="49" customWidth="1"/>
    <col min="4" max="4" width="14.08984375" style="36" customWidth="1"/>
    <col min="5" max="5" width="6.81640625" style="36" customWidth="1"/>
    <col min="6" max="6" width="12.90625" style="36" customWidth="1"/>
    <col min="7" max="7" width="7" style="36" customWidth="1"/>
    <col min="8" max="8" width="15.81640625" style="50" customWidth="1"/>
    <col min="9" max="9" width="17.453125" style="51" customWidth="1"/>
    <col min="10" max="10" width="15.90625" style="36" customWidth="1"/>
    <col min="11" max="11" width="16.453125" style="36" bestFit="1" customWidth="1"/>
    <col min="12" max="12" width="19" style="228" bestFit="1" customWidth="1"/>
    <col min="13" max="256" width="8.90625" style="36"/>
    <col min="257" max="258" width="11.08984375" style="36" customWidth="1"/>
    <col min="259" max="259" width="11.453125" style="36" customWidth="1"/>
    <col min="260" max="260" width="15.36328125" style="36" customWidth="1"/>
    <col min="261" max="261" width="9.453125" style="36" bestFit="1" customWidth="1"/>
    <col min="262" max="262" width="13" style="36" customWidth="1"/>
    <col min="263" max="263" width="9.453125" style="36" bestFit="1" customWidth="1"/>
    <col min="264" max="264" width="15.81640625" style="36" customWidth="1"/>
    <col min="265" max="265" width="7.90625" style="36" customWidth="1"/>
    <col min="266" max="266" width="15.90625" style="36" customWidth="1"/>
    <col min="267" max="267" width="16.453125" style="36" bestFit="1" customWidth="1"/>
    <col min="268" max="268" width="15.08984375" style="36" customWidth="1"/>
    <col min="269" max="512" width="8.90625" style="36"/>
    <col min="513" max="514" width="11.08984375" style="36" customWidth="1"/>
    <col min="515" max="515" width="11.453125" style="36" customWidth="1"/>
    <col min="516" max="516" width="15.36328125" style="36" customWidth="1"/>
    <col min="517" max="517" width="9.453125" style="36" bestFit="1" customWidth="1"/>
    <col min="518" max="518" width="13" style="36" customWidth="1"/>
    <col min="519" max="519" width="9.453125" style="36" bestFit="1" customWidth="1"/>
    <col min="520" max="520" width="15.81640625" style="36" customWidth="1"/>
    <col min="521" max="521" width="7.90625" style="36" customWidth="1"/>
    <col min="522" max="522" width="15.90625" style="36" customWidth="1"/>
    <col min="523" max="523" width="16.453125" style="36" bestFit="1" customWidth="1"/>
    <col min="524" max="524" width="15.08984375" style="36" customWidth="1"/>
    <col min="525" max="768" width="8.90625" style="36"/>
    <col min="769" max="770" width="11.08984375" style="36" customWidth="1"/>
    <col min="771" max="771" width="11.453125" style="36" customWidth="1"/>
    <col min="772" max="772" width="15.36328125" style="36" customWidth="1"/>
    <col min="773" max="773" width="9.453125" style="36" bestFit="1" customWidth="1"/>
    <col min="774" max="774" width="13" style="36" customWidth="1"/>
    <col min="775" max="775" width="9.453125" style="36" bestFit="1" customWidth="1"/>
    <col min="776" max="776" width="15.81640625" style="36" customWidth="1"/>
    <col min="777" max="777" width="7.90625" style="36" customWidth="1"/>
    <col min="778" max="778" width="15.90625" style="36" customWidth="1"/>
    <col min="779" max="779" width="16.453125" style="36" bestFit="1" customWidth="1"/>
    <col min="780" max="780" width="15.08984375" style="36" customWidth="1"/>
    <col min="781" max="1024" width="8.90625" style="36"/>
    <col min="1025" max="1026" width="11.08984375" style="36" customWidth="1"/>
    <col min="1027" max="1027" width="11.453125" style="36" customWidth="1"/>
    <col min="1028" max="1028" width="15.36328125" style="36" customWidth="1"/>
    <col min="1029" max="1029" width="9.453125" style="36" bestFit="1" customWidth="1"/>
    <col min="1030" max="1030" width="13" style="36" customWidth="1"/>
    <col min="1031" max="1031" width="9.453125" style="36" bestFit="1" customWidth="1"/>
    <col min="1032" max="1032" width="15.81640625" style="36" customWidth="1"/>
    <col min="1033" max="1033" width="7.90625" style="36" customWidth="1"/>
    <col min="1034" max="1034" width="15.90625" style="36" customWidth="1"/>
    <col min="1035" max="1035" width="16.453125" style="36" bestFit="1" customWidth="1"/>
    <col min="1036" max="1036" width="15.08984375" style="36" customWidth="1"/>
    <col min="1037" max="1280" width="8.90625" style="36"/>
    <col min="1281" max="1282" width="11.08984375" style="36" customWidth="1"/>
    <col min="1283" max="1283" width="11.453125" style="36" customWidth="1"/>
    <col min="1284" max="1284" width="15.36328125" style="36" customWidth="1"/>
    <col min="1285" max="1285" width="9.453125" style="36" bestFit="1" customWidth="1"/>
    <col min="1286" max="1286" width="13" style="36" customWidth="1"/>
    <col min="1287" max="1287" width="9.453125" style="36" bestFit="1" customWidth="1"/>
    <col min="1288" max="1288" width="15.81640625" style="36" customWidth="1"/>
    <col min="1289" max="1289" width="7.90625" style="36" customWidth="1"/>
    <col min="1290" max="1290" width="15.90625" style="36" customWidth="1"/>
    <col min="1291" max="1291" width="16.453125" style="36" bestFit="1" customWidth="1"/>
    <col min="1292" max="1292" width="15.08984375" style="36" customWidth="1"/>
    <col min="1293" max="1536" width="8.90625" style="36"/>
    <col min="1537" max="1538" width="11.08984375" style="36" customWidth="1"/>
    <col min="1539" max="1539" width="11.453125" style="36" customWidth="1"/>
    <col min="1540" max="1540" width="15.36328125" style="36" customWidth="1"/>
    <col min="1541" max="1541" width="9.453125" style="36" bestFit="1" customWidth="1"/>
    <col min="1542" max="1542" width="13" style="36" customWidth="1"/>
    <col min="1543" max="1543" width="9.453125" style="36" bestFit="1" customWidth="1"/>
    <col min="1544" max="1544" width="15.81640625" style="36" customWidth="1"/>
    <col min="1545" max="1545" width="7.90625" style="36" customWidth="1"/>
    <col min="1546" max="1546" width="15.90625" style="36" customWidth="1"/>
    <col min="1547" max="1547" width="16.453125" style="36" bestFit="1" customWidth="1"/>
    <col min="1548" max="1548" width="15.08984375" style="36" customWidth="1"/>
    <col min="1549" max="1792" width="8.90625" style="36"/>
    <col min="1793" max="1794" width="11.08984375" style="36" customWidth="1"/>
    <col min="1795" max="1795" width="11.453125" style="36" customWidth="1"/>
    <col min="1796" max="1796" width="15.36328125" style="36" customWidth="1"/>
    <col min="1797" max="1797" width="9.453125" style="36" bestFit="1" customWidth="1"/>
    <col min="1798" max="1798" width="13" style="36" customWidth="1"/>
    <col min="1799" max="1799" width="9.453125" style="36" bestFit="1" customWidth="1"/>
    <col min="1800" max="1800" width="15.81640625" style="36" customWidth="1"/>
    <col min="1801" max="1801" width="7.90625" style="36" customWidth="1"/>
    <col min="1802" max="1802" width="15.90625" style="36" customWidth="1"/>
    <col min="1803" max="1803" width="16.453125" style="36" bestFit="1" customWidth="1"/>
    <col min="1804" max="1804" width="15.08984375" style="36" customWidth="1"/>
    <col min="1805" max="2048" width="8.90625" style="36"/>
    <col min="2049" max="2050" width="11.08984375" style="36" customWidth="1"/>
    <col min="2051" max="2051" width="11.453125" style="36" customWidth="1"/>
    <col min="2052" max="2052" width="15.36328125" style="36" customWidth="1"/>
    <col min="2053" max="2053" width="9.453125" style="36" bestFit="1" customWidth="1"/>
    <col min="2054" max="2054" width="13" style="36" customWidth="1"/>
    <col min="2055" max="2055" width="9.453125" style="36" bestFit="1" customWidth="1"/>
    <col min="2056" max="2056" width="15.81640625" style="36" customWidth="1"/>
    <col min="2057" max="2057" width="7.90625" style="36" customWidth="1"/>
    <col min="2058" max="2058" width="15.90625" style="36" customWidth="1"/>
    <col min="2059" max="2059" width="16.453125" style="36" bestFit="1" customWidth="1"/>
    <col min="2060" max="2060" width="15.08984375" style="36" customWidth="1"/>
    <col min="2061" max="2304" width="8.90625" style="36"/>
    <col min="2305" max="2306" width="11.08984375" style="36" customWidth="1"/>
    <col min="2307" max="2307" width="11.453125" style="36" customWidth="1"/>
    <col min="2308" max="2308" width="15.36328125" style="36" customWidth="1"/>
    <col min="2309" max="2309" width="9.453125" style="36" bestFit="1" customWidth="1"/>
    <col min="2310" max="2310" width="13" style="36" customWidth="1"/>
    <col min="2311" max="2311" width="9.453125" style="36" bestFit="1" customWidth="1"/>
    <col min="2312" max="2312" width="15.81640625" style="36" customWidth="1"/>
    <col min="2313" max="2313" width="7.90625" style="36" customWidth="1"/>
    <col min="2314" max="2314" width="15.90625" style="36" customWidth="1"/>
    <col min="2315" max="2315" width="16.453125" style="36" bestFit="1" customWidth="1"/>
    <col min="2316" max="2316" width="15.08984375" style="36" customWidth="1"/>
    <col min="2317" max="2560" width="8.90625" style="36"/>
    <col min="2561" max="2562" width="11.08984375" style="36" customWidth="1"/>
    <col min="2563" max="2563" width="11.453125" style="36" customWidth="1"/>
    <col min="2564" max="2564" width="15.36328125" style="36" customWidth="1"/>
    <col min="2565" max="2565" width="9.453125" style="36" bestFit="1" customWidth="1"/>
    <col min="2566" max="2566" width="13" style="36" customWidth="1"/>
    <col min="2567" max="2567" width="9.453125" style="36" bestFit="1" customWidth="1"/>
    <col min="2568" max="2568" width="15.81640625" style="36" customWidth="1"/>
    <col min="2569" max="2569" width="7.90625" style="36" customWidth="1"/>
    <col min="2570" max="2570" width="15.90625" style="36" customWidth="1"/>
    <col min="2571" max="2571" width="16.453125" style="36" bestFit="1" customWidth="1"/>
    <col min="2572" max="2572" width="15.08984375" style="36" customWidth="1"/>
    <col min="2573" max="2816" width="8.90625" style="36"/>
    <col min="2817" max="2818" width="11.08984375" style="36" customWidth="1"/>
    <col min="2819" max="2819" width="11.453125" style="36" customWidth="1"/>
    <col min="2820" max="2820" width="15.36328125" style="36" customWidth="1"/>
    <col min="2821" max="2821" width="9.453125" style="36" bestFit="1" customWidth="1"/>
    <col min="2822" max="2822" width="13" style="36" customWidth="1"/>
    <col min="2823" max="2823" width="9.453125" style="36" bestFit="1" customWidth="1"/>
    <col min="2824" max="2824" width="15.81640625" style="36" customWidth="1"/>
    <col min="2825" max="2825" width="7.90625" style="36" customWidth="1"/>
    <col min="2826" max="2826" width="15.90625" style="36" customWidth="1"/>
    <col min="2827" max="2827" width="16.453125" style="36" bestFit="1" customWidth="1"/>
    <col min="2828" max="2828" width="15.08984375" style="36" customWidth="1"/>
    <col min="2829" max="3072" width="8.90625" style="36"/>
    <col min="3073" max="3074" width="11.08984375" style="36" customWidth="1"/>
    <col min="3075" max="3075" width="11.453125" style="36" customWidth="1"/>
    <col min="3076" max="3076" width="15.36328125" style="36" customWidth="1"/>
    <col min="3077" max="3077" width="9.453125" style="36" bestFit="1" customWidth="1"/>
    <col min="3078" max="3078" width="13" style="36" customWidth="1"/>
    <col min="3079" max="3079" width="9.453125" style="36" bestFit="1" customWidth="1"/>
    <col min="3080" max="3080" width="15.81640625" style="36" customWidth="1"/>
    <col min="3081" max="3081" width="7.90625" style="36" customWidth="1"/>
    <col min="3082" max="3082" width="15.90625" style="36" customWidth="1"/>
    <col min="3083" max="3083" width="16.453125" style="36" bestFit="1" customWidth="1"/>
    <col min="3084" max="3084" width="15.08984375" style="36" customWidth="1"/>
    <col min="3085" max="3328" width="8.90625" style="36"/>
    <col min="3329" max="3330" width="11.08984375" style="36" customWidth="1"/>
    <col min="3331" max="3331" width="11.453125" style="36" customWidth="1"/>
    <col min="3332" max="3332" width="15.36328125" style="36" customWidth="1"/>
    <col min="3333" max="3333" width="9.453125" style="36" bestFit="1" customWidth="1"/>
    <col min="3334" max="3334" width="13" style="36" customWidth="1"/>
    <col min="3335" max="3335" width="9.453125" style="36" bestFit="1" customWidth="1"/>
    <col min="3336" max="3336" width="15.81640625" style="36" customWidth="1"/>
    <col min="3337" max="3337" width="7.90625" style="36" customWidth="1"/>
    <col min="3338" max="3338" width="15.90625" style="36" customWidth="1"/>
    <col min="3339" max="3339" width="16.453125" style="36" bestFit="1" customWidth="1"/>
    <col min="3340" max="3340" width="15.08984375" style="36" customWidth="1"/>
    <col min="3341" max="3584" width="8.90625" style="36"/>
    <col min="3585" max="3586" width="11.08984375" style="36" customWidth="1"/>
    <col min="3587" max="3587" width="11.453125" style="36" customWidth="1"/>
    <col min="3588" max="3588" width="15.36328125" style="36" customWidth="1"/>
    <col min="3589" max="3589" width="9.453125" style="36" bestFit="1" customWidth="1"/>
    <col min="3590" max="3590" width="13" style="36" customWidth="1"/>
    <col min="3591" max="3591" width="9.453125" style="36" bestFit="1" customWidth="1"/>
    <col min="3592" max="3592" width="15.81640625" style="36" customWidth="1"/>
    <col min="3593" max="3593" width="7.90625" style="36" customWidth="1"/>
    <col min="3594" max="3594" width="15.90625" style="36" customWidth="1"/>
    <col min="3595" max="3595" width="16.453125" style="36" bestFit="1" customWidth="1"/>
    <col min="3596" max="3596" width="15.08984375" style="36" customWidth="1"/>
    <col min="3597" max="3840" width="8.90625" style="36"/>
    <col min="3841" max="3842" width="11.08984375" style="36" customWidth="1"/>
    <col min="3843" max="3843" width="11.453125" style="36" customWidth="1"/>
    <col min="3844" max="3844" width="15.36328125" style="36" customWidth="1"/>
    <col min="3845" max="3845" width="9.453125" style="36" bestFit="1" customWidth="1"/>
    <col min="3846" max="3846" width="13" style="36" customWidth="1"/>
    <col min="3847" max="3847" width="9.453125" style="36" bestFit="1" customWidth="1"/>
    <col min="3848" max="3848" width="15.81640625" style="36" customWidth="1"/>
    <col min="3849" max="3849" width="7.90625" style="36" customWidth="1"/>
    <col min="3850" max="3850" width="15.90625" style="36" customWidth="1"/>
    <col min="3851" max="3851" width="16.453125" style="36" bestFit="1" customWidth="1"/>
    <col min="3852" max="3852" width="15.08984375" style="36" customWidth="1"/>
    <col min="3853" max="4096" width="8.90625" style="36"/>
    <col min="4097" max="4098" width="11.08984375" style="36" customWidth="1"/>
    <col min="4099" max="4099" width="11.453125" style="36" customWidth="1"/>
    <col min="4100" max="4100" width="15.36328125" style="36" customWidth="1"/>
    <col min="4101" max="4101" width="9.453125" style="36" bestFit="1" customWidth="1"/>
    <col min="4102" max="4102" width="13" style="36" customWidth="1"/>
    <col min="4103" max="4103" width="9.453125" style="36" bestFit="1" customWidth="1"/>
    <col min="4104" max="4104" width="15.81640625" style="36" customWidth="1"/>
    <col min="4105" max="4105" width="7.90625" style="36" customWidth="1"/>
    <col min="4106" max="4106" width="15.90625" style="36" customWidth="1"/>
    <col min="4107" max="4107" width="16.453125" style="36" bestFit="1" customWidth="1"/>
    <col min="4108" max="4108" width="15.08984375" style="36" customWidth="1"/>
    <col min="4109" max="4352" width="8.90625" style="36"/>
    <col min="4353" max="4354" width="11.08984375" style="36" customWidth="1"/>
    <col min="4355" max="4355" width="11.453125" style="36" customWidth="1"/>
    <col min="4356" max="4356" width="15.36328125" style="36" customWidth="1"/>
    <col min="4357" max="4357" width="9.453125" style="36" bestFit="1" customWidth="1"/>
    <col min="4358" max="4358" width="13" style="36" customWidth="1"/>
    <col min="4359" max="4359" width="9.453125" style="36" bestFit="1" customWidth="1"/>
    <col min="4360" max="4360" width="15.81640625" style="36" customWidth="1"/>
    <col min="4361" max="4361" width="7.90625" style="36" customWidth="1"/>
    <col min="4362" max="4362" width="15.90625" style="36" customWidth="1"/>
    <col min="4363" max="4363" width="16.453125" style="36" bestFit="1" customWidth="1"/>
    <col min="4364" max="4364" width="15.08984375" style="36" customWidth="1"/>
    <col min="4365" max="4608" width="8.90625" style="36"/>
    <col min="4609" max="4610" width="11.08984375" style="36" customWidth="1"/>
    <col min="4611" max="4611" width="11.453125" style="36" customWidth="1"/>
    <col min="4612" max="4612" width="15.36328125" style="36" customWidth="1"/>
    <col min="4613" max="4613" width="9.453125" style="36" bestFit="1" customWidth="1"/>
    <col min="4614" max="4614" width="13" style="36" customWidth="1"/>
    <col min="4615" max="4615" width="9.453125" style="36" bestFit="1" customWidth="1"/>
    <col min="4616" max="4616" width="15.81640625" style="36" customWidth="1"/>
    <col min="4617" max="4617" width="7.90625" style="36" customWidth="1"/>
    <col min="4618" max="4618" width="15.90625" style="36" customWidth="1"/>
    <col min="4619" max="4619" width="16.453125" style="36" bestFit="1" customWidth="1"/>
    <col min="4620" max="4620" width="15.08984375" style="36" customWidth="1"/>
    <col min="4621" max="4864" width="8.90625" style="36"/>
    <col min="4865" max="4866" width="11.08984375" style="36" customWidth="1"/>
    <col min="4867" max="4867" width="11.453125" style="36" customWidth="1"/>
    <col min="4868" max="4868" width="15.36328125" style="36" customWidth="1"/>
    <col min="4869" max="4869" width="9.453125" style="36" bestFit="1" customWidth="1"/>
    <col min="4870" max="4870" width="13" style="36" customWidth="1"/>
    <col min="4871" max="4871" width="9.453125" style="36" bestFit="1" customWidth="1"/>
    <col min="4872" max="4872" width="15.81640625" style="36" customWidth="1"/>
    <col min="4873" max="4873" width="7.90625" style="36" customWidth="1"/>
    <col min="4874" max="4874" width="15.90625" style="36" customWidth="1"/>
    <col min="4875" max="4875" width="16.453125" style="36" bestFit="1" customWidth="1"/>
    <col min="4876" max="4876" width="15.08984375" style="36" customWidth="1"/>
    <col min="4877" max="5120" width="8.90625" style="36"/>
    <col min="5121" max="5122" width="11.08984375" style="36" customWidth="1"/>
    <col min="5123" max="5123" width="11.453125" style="36" customWidth="1"/>
    <col min="5124" max="5124" width="15.36328125" style="36" customWidth="1"/>
    <col min="5125" max="5125" width="9.453125" style="36" bestFit="1" customWidth="1"/>
    <col min="5126" max="5126" width="13" style="36" customWidth="1"/>
    <col min="5127" max="5127" width="9.453125" style="36" bestFit="1" customWidth="1"/>
    <col min="5128" max="5128" width="15.81640625" style="36" customWidth="1"/>
    <col min="5129" max="5129" width="7.90625" style="36" customWidth="1"/>
    <col min="5130" max="5130" width="15.90625" style="36" customWidth="1"/>
    <col min="5131" max="5131" width="16.453125" style="36" bestFit="1" customWidth="1"/>
    <col min="5132" max="5132" width="15.08984375" style="36" customWidth="1"/>
    <col min="5133" max="5376" width="8.90625" style="36"/>
    <col min="5377" max="5378" width="11.08984375" style="36" customWidth="1"/>
    <col min="5379" max="5379" width="11.453125" style="36" customWidth="1"/>
    <col min="5380" max="5380" width="15.36328125" style="36" customWidth="1"/>
    <col min="5381" max="5381" width="9.453125" style="36" bestFit="1" customWidth="1"/>
    <col min="5382" max="5382" width="13" style="36" customWidth="1"/>
    <col min="5383" max="5383" width="9.453125" style="36" bestFit="1" customWidth="1"/>
    <col min="5384" max="5384" width="15.81640625" style="36" customWidth="1"/>
    <col min="5385" max="5385" width="7.90625" style="36" customWidth="1"/>
    <col min="5386" max="5386" width="15.90625" style="36" customWidth="1"/>
    <col min="5387" max="5387" width="16.453125" style="36" bestFit="1" customWidth="1"/>
    <col min="5388" max="5388" width="15.08984375" style="36" customWidth="1"/>
    <col min="5389" max="5632" width="8.90625" style="36"/>
    <col min="5633" max="5634" width="11.08984375" style="36" customWidth="1"/>
    <col min="5635" max="5635" width="11.453125" style="36" customWidth="1"/>
    <col min="5636" max="5636" width="15.36328125" style="36" customWidth="1"/>
    <col min="5637" max="5637" width="9.453125" style="36" bestFit="1" customWidth="1"/>
    <col min="5638" max="5638" width="13" style="36" customWidth="1"/>
    <col min="5639" max="5639" width="9.453125" style="36" bestFit="1" customWidth="1"/>
    <col min="5640" max="5640" width="15.81640625" style="36" customWidth="1"/>
    <col min="5641" max="5641" width="7.90625" style="36" customWidth="1"/>
    <col min="5642" max="5642" width="15.90625" style="36" customWidth="1"/>
    <col min="5643" max="5643" width="16.453125" style="36" bestFit="1" customWidth="1"/>
    <col min="5644" max="5644" width="15.08984375" style="36" customWidth="1"/>
    <col min="5645" max="5888" width="8.90625" style="36"/>
    <col min="5889" max="5890" width="11.08984375" style="36" customWidth="1"/>
    <col min="5891" max="5891" width="11.453125" style="36" customWidth="1"/>
    <col min="5892" max="5892" width="15.36328125" style="36" customWidth="1"/>
    <col min="5893" max="5893" width="9.453125" style="36" bestFit="1" customWidth="1"/>
    <col min="5894" max="5894" width="13" style="36" customWidth="1"/>
    <col min="5895" max="5895" width="9.453125" style="36" bestFit="1" customWidth="1"/>
    <col min="5896" max="5896" width="15.81640625" style="36" customWidth="1"/>
    <col min="5897" max="5897" width="7.90625" style="36" customWidth="1"/>
    <col min="5898" max="5898" width="15.90625" style="36" customWidth="1"/>
    <col min="5899" max="5899" width="16.453125" style="36" bestFit="1" customWidth="1"/>
    <col min="5900" max="5900" width="15.08984375" style="36" customWidth="1"/>
    <col min="5901" max="6144" width="8.90625" style="36"/>
    <col min="6145" max="6146" width="11.08984375" style="36" customWidth="1"/>
    <col min="6147" max="6147" width="11.453125" style="36" customWidth="1"/>
    <col min="6148" max="6148" width="15.36328125" style="36" customWidth="1"/>
    <col min="6149" max="6149" width="9.453125" style="36" bestFit="1" customWidth="1"/>
    <col min="6150" max="6150" width="13" style="36" customWidth="1"/>
    <col min="6151" max="6151" width="9.453125" style="36" bestFit="1" customWidth="1"/>
    <col min="6152" max="6152" width="15.81640625" style="36" customWidth="1"/>
    <col min="6153" max="6153" width="7.90625" style="36" customWidth="1"/>
    <col min="6154" max="6154" width="15.90625" style="36" customWidth="1"/>
    <col min="6155" max="6155" width="16.453125" style="36" bestFit="1" customWidth="1"/>
    <col min="6156" max="6156" width="15.08984375" style="36" customWidth="1"/>
    <col min="6157" max="6400" width="8.90625" style="36"/>
    <col min="6401" max="6402" width="11.08984375" style="36" customWidth="1"/>
    <col min="6403" max="6403" width="11.453125" style="36" customWidth="1"/>
    <col min="6404" max="6404" width="15.36328125" style="36" customWidth="1"/>
    <col min="6405" max="6405" width="9.453125" style="36" bestFit="1" customWidth="1"/>
    <col min="6406" max="6406" width="13" style="36" customWidth="1"/>
    <col min="6407" max="6407" width="9.453125" style="36" bestFit="1" customWidth="1"/>
    <col min="6408" max="6408" width="15.81640625" style="36" customWidth="1"/>
    <col min="6409" max="6409" width="7.90625" style="36" customWidth="1"/>
    <col min="6410" max="6410" width="15.90625" style="36" customWidth="1"/>
    <col min="6411" max="6411" width="16.453125" style="36" bestFit="1" customWidth="1"/>
    <col min="6412" max="6412" width="15.08984375" style="36" customWidth="1"/>
    <col min="6413" max="6656" width="8.90625" style="36"/>
    <col min="6657" max="6658" width="11.08984375" style="36" customWidth="1"/>
    <col min="6659" max="6659" width="11.453125" style="36" customWidth="1"/>
    <col min="6660" max="6660" width="15.36328125" style="36" customWidth="1"/>
    <col min="6661" max="6661" width="9.453125" style="36" bestFit="1" customWidth="1"/>
    <col min="6662" max="6662" width="13" style="36" customWidth="1"/>
    <col min="6663" max="6663" width="9.453125" style="36" bestFit="1" customWidth="1"/>
    <col min="6664" max="6664" width="15.81640625" style="36" customWidth="1"/>
    <col min="6665" max="6665" width="7.90625" style="36" customWidth="1"/>
    <col min="6666" max="6666" width="15.90625" style="36" customWidth="1"/>
    <col min="6667" max="6667" width="16.453125" style="36" bestFit="1" customWidth="1"/>
    <col min="6668" max="6668" width="15.08984375" style="36" customWidth="1"/>
    <col min="6669" max="6912" width="8.90625" style="36"/>
    <col min="6913" max="6914" width="11.08984375" style="36" customWidth="1"/>
    <col min="6915" max="6915" width="11.453125" style="36" customWidth="1"/>
    <col min="6916" max="6916" width="15.36328125" style="36" customWidth="1"/>
    <col min="6917" max="6917" width="9.453125" style="36" bestFit="1" customWidth="1"/>
    <col min="6918" max="6918" width="13" style="36" customWidth="1"/>
    <col min="6919" max="6919" width="9.453125" style="36" bestFit="1" customWidth="1"/>
    <col min="6920" max="6920" width="15.81640625" style="36" customWidth="1"/>
    <col min="6921" max="6921" width="7.90625" style="36" customWidth="1"/>
    <col min="6922" max="6922" width="15.90625" style="36" customWidth="1"/>
    <col min="6923" max="6923" width="16.453125" style="36" bestFit="1" customWidth="1"/>
    <col min="6924" max="6924" width="15.08984375" style="36" customWidth="1"/>
    <col min="6925" max="7168" width="8.90625" style="36"/>
    <col min="7169" max="7170" width="11.08984375" style="36" customWidth="1"/>
    <col min="7171" max="7171" width="11.453125" style="36" customWidth="1"/>
    <col min="7172" max="7172" width="15.36328125" style="36" customWidth="1"/>
    <col min="7173" max="7173" width="9.453125" style="36" bestFit="1" customWidth="1"/>
    <col min="7174" max="7174" width="13" style="36" customWidth="1"/>
    <col min="7175" max="7175" width="9.453125" style="36" bestFit="1" customWidth="1"/>
    <col min="7176" max="7176" width="15.81640625" style="36" customWidth="1"/>
    <col min="7177" max="7177" width="7.90625" style="36" customWidth="1"/>
    <col min="7178" max="7178" width="15.90625" style="36" customWidth="1"/>
    <col min="7179" max="7179" width="16.453125" style="36" bestFit="1" customWidth="1"/>
    <col min="7180" max="7180" width="15.08984375" style="36" customWidth="1"/>
    <col min="7181" max="7424" width="8.90625" style="36"/>
    <col min="7425" max="7426" width="11.08984375" style="36" customWidth="1"/>
    <col min="7427" max="7427" width="11.453125" style="36" customWidth="1"/>
    <col min="7428" max="7428" width="15.36328125" style="36" customWidth="1"/>
    <col min="7429" max="7429" width="9.453125" style="36" bestFit="1" customWidth="1"/>
    <col min="7430" max="7430" width="13" style="36" customWidth="1"/>
    <col min="7431" max="7431" width="9.453125" style="36" bestFit="1" customWidth="1"/>
    <col min="7432" max="7432" width="15.81640625" style="36" customWidth="1"/>
    <col min="7433" max="7433" width="7.90625" style="36" customWidth="1"/>
    <col min="7434" max="7434" width="15.90625" style="36" customWidth="1"/>
    <col min="7435" max="7435" width="16.453125" style="36" bestFit="1" customWidth="1"/>
    <col min="7436" max="7436" width="15.08984375" style="36" customWidth="1"/>
    <col min="7437" max="7680" width="8.90625" style="36"/>
    <col min="7681" max="7682" width="11.08984375" style="36" customWidth="1"/>
    <col min="7683" max="7683" width="11.453125" style="36" customWidth="1"/>
    <col min="7684" max="7684" width="15.36328125" style="36" customWidth="1"/>
    <col min="7685" max="7685" width="9.453125" style="36" bestFit="1" customWidth="1"/>
    <col min="7686" max="7686" width="13" style="36" customWidth="1"/>
    <col min="7687" max="7687" width="9.453125" style="36" bestFit="1" customWidth="1"/>
    <col min="7688" max="7688" width="15.81640625" style="36" customWidth="1"/>
    <col min="7689" max="7689" width="7.90625" style="36" customWidth="1"/>
    <col min="7690" max="7690" width="15.90625" style="36" customWidth="1"/>
    <col min="7691" max="7691" width="16.453125" style="36" bestFit="1" customWidth="1"/>
    <col min="7692" max="7692" width="15.08984375" style="36" customWidth="1"/>
    <col min="7693" max="7936" width="8.90625" style="36"/>
    <col min="7937" max="7938" width="11.08984375" style="36" customWidth="1"/>
    <col min="7939" max="7939" width="11.453125" style="36" customWidth="1"/>
    <col min="7940" max="7940" width="15.36328125" style="36" customWidth="1"/>
    <col min="7941" max="7941" width="9.453125" style="36" bestFit="1" customWidth="1"/>
    <col min="7942" max="7942" width="13" style="36" customWidth="1"/>
    <col min="7943" max="7943" width="9.453125" style="36" bestFit="1" customWidth="1"/>
    <col min="7944" max="7944" width="15.81640625" style="36" customWidth="1"/>
    <col min="7945" max="7945" width="7.90625" style="36" customWidth="1"/>
    <col min="7946" max="7946" width="15.90625" style="36" customWidth="1"/>
    <col min="7947" max="7947" width="16.453125" style="36" bestFit="1" customWidth="1"/>
    <col min="7948" max="7948" width="15.08984375" style="36" customWidth="1"/>
    <col min="7949" max="8192" width="8.90625" style="36"/>
    <col min="8193" max="8194" width="11.08984375" style="36" customWidth="1"/>
    <col min="8195" max="8195" width="11.453125" style="36" customWidth="1"/>
    <col min="8196" max="8196" width="15.36328125" style="36" customWidth="1"/>
    <col min="8197" max="8197" width="9.453125" style="36" bestFit="1" customWidth="1"/>
    <col min="8198" max="8198" width="13" style="36" customWidth="1"/>
    <col min="8199" max="8199" width="9.453125" style="36" bestFit="1" customWidth="1"/>
    <col min="8200" max="8200" width="15.81640625" style="36" customWidth="1"/>
    <col min="8201" max="8201" width="7.90625" style="36" customWidth="1"/>
    <col min="8202" max="8202" width="15.90625" style="36" customWidth="1"/>
    <col min="8203" max="8203" width="16.453125" style="36" bestFit="1" customWidth="1"/>
    <col min="8204" max="8204" width="15.08984375" style="36" customWidth="1"/>
    <col min="8205" max="8448" width="8.90625" style="36"/>
    <col min="8449" max="8450" width="11.08984375" style="36" customWidth="1"/>
    <col min="8451" max="8451" width="11.453125" style="36" customWidth="1"/>
    <col min="8452" max="8452" width="15.36328125" style="36" customWidth="1"/>
    <col min="8453" max="8453" width="9.453125" style="36" bestFit="1" customWidth="1"/>
    <col min="8454" max="8454" width="13" style="36" customWidth="1"/>
    <col min="8455" max="8455" width="9.453125" style="36" bestFit="1" customWidth="1"/>
    <col min="8456" max="8456" width="15.81640625" style="36" customWidth="1"/>
    <col min="8457" max="8457" width="7.90625" style="36" customWidth="1"/>
    <col min="8458" max="8458" width="15.90625" style="36" customWidth="1"/>
    <col min="8459" max="8459" width="16.453125" style="36" bestFit="1" customWidth="1"/>
    <col min="8460" max="8460" width="15.08984375" style="36" customWidth="1"/>
    <col min="8461" max="8704" width="8.90625" style="36"/>
    <col min="8705" max="8706" width="11.08984375" style="36" customWidth="1"/>
    <col min="8707" max="8707" width="11.453125" style="36" customWidth="1"/>
    <col min="8708" max="8708" width="15.36328125" style="36" customWidth="1"/>
    <col min="8709" max="8709" width="9.453125" style="36" bestFit="1" customWidth="1"/>
    <col min="8710" max="8710" width="13" style="36" customWidth="1"/>
    <col min="8711" max="8711" width="9.453125" style="36" bestFit="1" customWidth="1"/>
    <col min="8712" max="8712" width="15.81640625" style="36" customWidth="1"/>
    <col min="8713" max="8713" width="7.90625" style="36" customWidth="1"/>
    <col min="8714" max="8714" width="15.90625" style="36" customWidth="1"/>
    <col min="8715" max="8715" width="16.453125" style="36" bestFit="1" customWidth="1"/>
    <col min="8716" max="8716" width="15.08984375" style="36" customWidth="1"/>
    <col min="8717" max="8960" width="8.90625" style="36"/>
    <col min="8961" max="8962" width="11.08984375" style="36" customWidth="1"/>
    <col min="8963" max="8963" width="11.453125" style="36" customWidth="1"/>
    <col min="8964" max="8964" width="15.36328125" style="36" customWidth="1"/>
    <col min="8965" max="8965" width="9.453125" style="36" bestFit="1" customWidth="1"/>
    <col min="8966" max="8966" width="13" style="36" customWidth="1"/>
    <col min="8967" max="8967" width="9.453125" style="36" bestFit="1" customWidth="1"/>
    <col min="8968" max="8968" width="15.81640625" style="36" customWidth="1"/>
    <col min="8969" max="8969" width="7.90625" style="36" customWidth="1"/>
    <col min="8970" max="8970" width="15.90625" style="36" customWidth="1"/>
    <col min="8971" max="8971" width="16.453125" style="36" bestFit="1" customWidth="1"/>
    <col min="8972" max="8972" width="15.08984375" style="36" customWidth="1"/>
    <col min="8973" max="9216" width="8.90625" style="36"/>
    <col min="9217" max="9218" width="11.08984375" style="36" customWidth="1"/>
    <col min="9219" max="9219" width="11.453125" style="36" customWidth="1"/>
    <col min="9220" max="9220" width="15.36328125" style="36" customWidth="1"/>
    <col min="9221" max="9221" width="9.453125" style="36" bestFit="1" customWidth="1"/>
    <col min="9222" max="9222" width="13" style="36" customWidth="1"/>
    <col min="9223" max="9223" width="9.453125" style="36" bestFit="1" customWidth="1"/>
    <col min="9224" max="9224" width="15.81640625" style="36" customWidth="1"/>
    <col min="9225" max="9225" width="7.90625" style="36" customWidth="1"/>
    <col min="9226" max="9226" width="15.90625" style="36" customWidth="1"/>
    <col min="9227" max="9227" width="16.453125" style="36" bestFit="1" customWidth="1"/>
    <col min="9228" max="9228" width="15.08984375" style="36" customWidth="1"/>
    <col min="9229" max="9472" width="8.90625" style="36"/>
    <col min="9473" max="9474" width="11.08984375" style="36" customWidth="1"/>
    <col min="9475" max="9475" width="11.453125" style="36" customWidth="1"/>
    <col min="9476" max="9476" width="15.36328125" style="36" customWidth="1"/>
    <col min="9477" max="9477" width="9.453125" style="36" bestFit="1" customWidth="1"/>
    <col min="9478" max="9478" width="13" style="36" customWidth="1"/>
    <col min="9479" max="9479" width="9.453125" style="36" bestFit="1" customWidth="1"/>
    <col min="9480" max="9480" width="15.81640625" style="36" customWidth="1"/>
    <col min="9481" max="9481" width="7.90625" style="36" customWidth="1"/>
    <col min="9482" max="9482" width="15.90625" style="36" customWidth="1"/>
    <col min="9483" max="9483" width="16.453125" style="36" bestFit="1" customWidth="1"/>
    <col min="9484" max="9484" width="15.08984375" style="36" customWidth="1"/>
    <col min="9485" max="9728" width="8.90625" style="36"/>
    <col min="9729" max="9730" width="11.08984375" style="36" customWidth="1"/>
    <col min="9731" max="9731" width="11.453125" style="36" customWidth="1"/>
    <col min="9732" max="9732" width="15.36328125" style="36" customWidth="1"/>
    <col min="9733" max="9733" width="9.453125" style="36" bestFit="1" customWidth="1"/>
    <col min="9734" max="9734" width="13" style="36" customWidth="1"/>
    <col min="9735" max="9735" width="9.453125" style="36" bestFit="1" customWidth="1"/>
    <col min="9736" max="9736" width="15.81640625" style="36" customWidth="1"/>
    <col min="9737" max="9737" width="7.90625" style="36" customWidth="1"/>
    <col min="9738" max="9738" width="15.90625" style="36" customWidth="1"/>
    <col min="9739" max="9739" width="16.453125" style="36" bestFit="1" customWidth="1"/>
    <col min="9740" max="9740" width="15.08984375" style="36" customWidth="1"/>
    <col min="9741" max="9984" width="8.90625" style="36"/>
    <col min="9985" max="9986" width="11.08984375" style="36" customWidth="1"/>
    <col min="9987" max="9987" width="11.453125" style="36" customWidth="1"/>
    <col min="9988" max="9988" width="15.36328125" style="36" customWidth="1"/>
    <col min="9989" max="9989" width="9.453125" style="36" bestFit="1" customWidth="1"/>
    <col min="9990" max="9990" width="13" style="36" customWidth="1"/>
    <col min="9991" max="9991" width="9.453125" style="36" bestFit="1" customWidth="1"/>
    <col min="9992" max="9992" width="15.81640625" style="36" customWidth="1"/>
    <col min="9993" max="9993" width="7.90625" style="36" customWidth="1"/>
    <col min="9994" max="9994" width="15.90625" style="36" customWidth="1"/>
    <col min="9995" max="9995" width="16.453125" style="36" bestFit="1" customWidth="1"/>
    <col min="9996" max="9996" width="15.08984375" style="36" customWidth="1"/>
    <col min="9997" max="10240" width="8.90625" style="36"/>
    <col min="10241" max="10242" width="11.08984375" style="36" customWidth="1"/>
    <col min="10243" max="10243" width="11.453125" style="36" customWidth="1"/>
    <col min="10244" max="10244" width="15.36328125" style="36" customWidth="1"/>
    <col min="10245" max="10245" width="9.453125" style="36" bestFit="1" customWidth="1"/>
    <col min="10246" max="10246" width="13" style="36" customWidth="1"/>
    <col min="10247" max="10247" width="9.453125" style="36" bestFit="1" customWidth="1"/>
    <col min="10248" max="10248" width="15.81640625" style="36" customWidth="1"/>
    <col min="10249" max="10249" width="7.90625" style="36" customWidth="1"/>
    <col min="10250" max="10250" width="15.90625" style="36" customWidth="1"/>
    <col min="10251" max="10251" width="16.453125" style="36" bestFit="1" customWidth="1"/>
    <col min="10252" max="10252" width="15.08984375" style="36" customWidth="1"/>
    <col min="10253" max="10496" width="8.90625" style="36"/>
    <col min="10497" max="10498" width="11.08984375" style="36" customWidth="1"/>
    <col min="10499" max="10499" width="11.453125" style="36" customWidth="1"/>
    <col min="10500" max="10500" width="15.36328125" style="36" customWidth="1"/>
    <col min="10501" max="10501" width="9.453125" style="36" bestFit="1" customWidth="1"/>
    <col min="10502" max="10502" width="13" style="36" customWidth="1"/>
    <col min="10503" max="10503" width="9.453125" style="36" bestFit="1" customWidth="1"/>
    <col min="10504" max="10504" width="15.81640625" style="36" customWidth="1"/>
    <col min="10505" max="10505" width="7.90625" style="36" customWidth="1"/>
    <col min="10506" max="10506" width="15.90625" style="36" customWidth="1"/>
    <col min="10507" max="10507" width="16.453125" style="36" bestFit="1" customWidth="1"/>
    <col min="10508" max="10508" width="15.08984375" style="36" customWidth="1"/>
    <col min="10509" max="10752" width="8.90625" style="36"/>
    <col min="10753" max="10754" width="11.08984375" style="36" customWidth="1"/>
    <col min="10755" max="10755" width="11.453125" style="36" customWidth="1"/>
    <col min="10756" max="10756" width="15.36328125" style="36" customWidth="1"/>
    <col min="10757" max="10757" width="9.453125" style="36" bestFit="1" customWidth="1"/>
    <col min="10758" max="10758" width="13" style="36" customWidth="1"/>
    <col min="10759" max="10759" width="9.453125" style="36" bestFit="1" customWidth="1"/>
    <col min="10760" max="10760" width="15.81640625" style="36" customWidth="1"/>
    <col min="10761" max="10761" width="7.90625" style="36" customWidth="1"/>
    <col min="10762" max="10762" width="15.90625" style="36" customWidth="1"/>
    <col min="10763" max="10763" width="16.453125" style="36" bestFit="1" customWidth="1"/>
    <col min="10764" max="10764" width="15.08984375" style="36" customWidth="1"/>
    <col min="10765" max="11008" width="8.90625" style="36"/>
    <col min="11009" max="11010" width="11.08984375" style="36" customWidth="1"/>
    <col min="11011" max="11011" width="11.453125" style="36" customWidth="1"/>
    <col min="11012" max="11012" width="15.36328125" style="36" customWidth="1"/>
    <col min="11013" max="11013" width="9.453125" style="36" bestFit="1" customWidth="1"/>
    <col min="11014" max="11014" width="13" style="36" customWidth="1"/>
    <col min="11015" max="11015" width="9.453125" style="36" bestFit="1" customWidth="1"/>
    <col min="11016" max="11016" width="15.81640625" style="36" customWidth="1"/>
    <col min="11017" max="11017" width="7.90625" style="36" customWidth="1"/>
    <col min="11018" max="11018" width="15.90625" style="36" customWidth="1"/>
    <col min="11019" max="11019" width="16.453125" style="36" bestFit="1" customWidth="1"/>
    <col min="11020" max="11020" width="15.08984375" style="36" customWidth="1"/>
    <col min="11021" max="11264" width="8.90625" style="36"/>
    <col min="11265" max="11266" width="11.08984375" style="36" customWidth="1"/>
    <col min="11267" max="11267" width="11.453125" style="36" customWidth="1"/>
    <col min="11268" max="11268" width="15.36328125" style="36" customWidth="1"/>
    <col min="11269" max="11269" width="9.453125" style="36" bestFit="1" customWidth="1"/>
    <col min="11270" max="11270" width="13" style="36" customWidth="1"/>
    <col min="11271" max="11271" width="9.453125" style="36" bestFit="1" customWidth="1"/>
    <col min="11272" max="11272" width="15.81640625" style="36" customWidth="1"/>
    <col min="11273" max="11273" width="7.90625" style="36" customWidth="1"/>
    <col min="11274" max="11274" width="15.90625" style="36" customWidth="1"/>
    <col min="11275" max="11275" width="16.453125" style="36" bestFit="1" customWidth="1"/>
    <col min="11276" max="11276" width="15.08984375" style="36" customWidth="1"/>
    <col min="11277" max="11520" width="8.90625" style="36"/>
    <col min="11521" max="11522" width="11.08984375" style="36" customWidth="1"/>
    <col min="11523" max="11523" width="11.453125" style="36" customWidth="1"/>
    <col min="11524" max="11524" width="15.36328125" style="36" customWidth="1"/>
    <col min="11525" max="11525" width="9.453125" style="36" bestFit="1" customWidth="1"/>
    <col min="11526" max="11526" width="13" style="36" customWidth="1"/>
    <col min="11527" max="11527" width="9.453125" style="36" bestFit="1" customWidth="1"/>
    <col min="11528" max="11528" width="15.81640625" style="36" customWidth="1"/>
    <col min="11529" max="11529" width="7.90625" style="36" customWidth="1"/>
    <col min="11530" max="11530" width="15.90625" style="36" customWidth="1"/>
    <col min="11531" max="11531" width="16.453125" style="36" bestFit="1" customWidth="1"/>
    <col min="11532" max="11532" width="15.08984375" style="36" customWidth="1"/>
    <col min="11533" max="11776" width="8.90625" style="36"/>
    <col min="11777" max="11778" width="11.08984375" style="36" customWidth="1"/>
    <col min="11779" max="11779" width="11.453125" style="36" customWidth="1"/>
    <col min="11780" max="11780" width="15.36328125" style="36" customWidth="1"/>
    <col min="11781" max="11781" width="9.453125" style="36" bestFit="1" customWidth="1"/>
    <col min="11782" max="11782" width="13" style="36" customWidth="1"/>
    <col min="11783" max="11783" width="9.453125" style="36" bestFit="1" customWidth="1"/>
    <col min="11784" max="11784" width="15.81640625" style="36" customWidth="1"/>
    <col min="11785" max="11785" width="7.90625" style="36" customWidth="1"/>
    <col min="11786" max="11786" width="15.90625" style="36" customWidth="1"/>
    <col min="11787" max="11787" width="16.453125" style="36" bestFit="1" customWidth="1"/>
    <col min="11788" max="11788" width="15.08984375" style="36" customWidth="1"/>
    <col min="11789" max="12032" width="8.90625" style="36"/>
    <col min="12033" max="12034" width="11.08984375" style="36" customWidth="1"/>
    <col min="12035" max="12035" width="11.453125" style="36" customWidth="1"/>
    <col min="12036" max="12036" width="15.36328125" style="36" customWidth="1"/>
    <col min="12037" max="12037" width="9.453125" style="36" bestFit="1" customWidth="1"/>
    <col min="12038" max="12038" width="13" style="36" customWidth="1"/>
    <col min="12039" max="12039" width="9.453125" style="36" bestFit="1" customWidth="1"/>
    <col min="12040" max="12040" width="15.81640625" style="36" customWidth="1"/>
    <col min="12041" max="12041" width="7.90625" style="36" customWidth="1"/>
    <col min="12042" max="12042" width="15.90625" style="36" customWidth="1"/>
    <col min="12043" max="12043" width="16.453125" style="36" bestFit="1" customWidth="1"/>
    <col min="12044" max="12044" width="15.08984375" style="36" customWidth="1"/>
    <col min="12045" max="12288" width="8.90625" style="36"/>
    <col min="12289" max="12290" width="11.08984375" style="36" customWidth="1"/>
    <col min="12291" max="12291" width="11.453125" style="36" customWidth="1"/>
    <col min="12292" max="12292" width="15.36328125" style="36" customWidth="1"/>
    <col min="12293" max="12293" width="9.453125" style="36" bestFit="1" customWidth="1"/>
    <col min="12294" max="12294" width="13" style="36" customWidth="1"/>
    <col min="12295" max="12295" width="9.453125" style="36" bestFit="1" customWidth="1"/>
    <col min="12296" max="12296" width="15.81640625" style="36" customWidth="1"/>
    <col min="12297" max="12297" width="7.90625" style="36" customWidth="1"/>
    <col min="12298" max="12298" width="15.90625" style="36" customWidth="1"/>
    <col min="12299" max="12299" width="16.453125" style="36" bestFit="1" customWidth="1"/>
    <col min="12300" max="12300" width="15.08984375" style="36" customWidth="1"/>
    <col min="12301" max="12544" width="8.90625" style="36"/>
    <col min="12545" max="12546" width="11.08984375" style="36" customWidth="1"/>
    <col min="12547" max="12547" width="11.453125" style="36" customWidth="1"/>
    <col min="12548" max="12548" width="15.36328125" style="36" customWidth="1"/>
    <col min="12549" max="12549" width="9.453125" style="36" bestFit="1" customWidth="1"/>
    <col min="12550" max="12550" width="13" style="36" customWidth="1"/>
    <col min="12551" max="12551" width="9.453125" style="36" bestFit="1" customWidth="1"/>
    <col min="12552" max="12552" width="15.81640625" style="36" customWidth="1"/>
    <col min="12553" max="12553" width="7.90625" style="36" customWidth="1"/>
    <col min="12554" max="12554" width="15.90625" style="36" customWidth="1"/>
    <col min="12555" max="12555" width="16.453125" style="36" bestFit="1" customWidth="1"/>
    <col min="12556" max="12556" width="15.08984375" style="36" customWidth="1"/>
    <col min="12557" max="12800" width="8.90625" style="36"/>
    <col min="12801" max="12802" width="11.08984375" style="36" customWidth="1"/>
    <col min="12803" max="12803" width="11.453125" style="36" customWidth="1"/>
    <col min="12804" max="12804" width="15.36328125" style="36" customWidth="1"/>
    <col min="12805" max="12805" width="9.453125" style="36" bestFit="1" customWidth="1"/>
    <col min="12806" max="12806" width="13" style="36" customWidth="1"/>
    <col min="12807" max="12807" width="9.453125" style="36" bestFit="1" customWidth="1"/>
    <col min="12808" max="12808" width="15.81640625" style="36" customWidth="1"/>
    <col min="12809" max="12809" width="7.90625" style="36" customWidth="1"/>
    <col min="12810" max="12810" width="15.90625" style="36" customWidth="1"/>
    <col min="12811" max="12811" width="16.453125" style="36" bestFit="1" customWidth="1"/>
    <col min="12812" max="12812" width="15.08984375" style="36" customWidth="1"/>
    <col min="12813" max="13056" width="8.90625" style="36"/>
    <col min="13057" max="13058" width="11.08984375" style="36" customWidth="1"/>
    <col min="13059" max="13059" width="11.453125" style="36" customWidth="1"/>
    <col min="13060" max="13060" width="15.36328125" style="36" customWidth="1"/>
    <col min="13061" max="13061" width="9.453125" style="36" bestFit="1" customWidth="1"/>
    <col min="13062" max="13062" width="13" style="36" customWidth="1"/>
    <col min="13063" max="13063" width="9.453125" style="36" bestFit="1" customWidth="1"/>
    <col min="13064" max="13064" width="15.81640625" style="36" customWidth="1"/>
    <col min="13065" max="13065" width="7.90625" style="36" customWidth="1"/>
    <col min="13066" max="13066" width="15.90625" style="36" customWidth="1"/>
    <col min="13067" max="13067" width="16.453125" style="36" bestFit="1" customWidth="1"/>
    <col min="13068" max="13068" width="15.08984375" style="36" customWidth="1"/>
    <col min="13069" max="13312" width="8.90625" style="36"/>
    <col min="13313" max="13314" width="11.08984375" style="36" customWidth="1"/>
    <col min="13315" max="13315" width="11.453125" style="36" customWidth="1"/>
    <col min="13316" max="13316" width="15.36328125" style="36" customWidth="1"/>
    <col min="13317" max="13317" width="9.453125" style="36" bestFit="1" customWidth="1"/>
    <col min="13318" max="13318" width="13" style="36" customWidth="1"/>
    <col min="13319" max="13319" width="9.453125" style="36" bestFit="1" customWidth="1"/>
    <col min="13320" max="13320" width="15.81640625" style="36" customWidth="1"/>
    <col min="13321" max="13321" width="7.90625" style="36" customWidth="1"/>
    <col min="13322" max="13322" width="15.90625" style="36" customWidth="1"/>
    <col min="13323" max="13323" width="16.453125" style="36" bestFit="1" customWidth="1"/>
    <col min="13324" max="13324" width="15.08984375" style="36" customWidth="1"/>
    <col min="13325" max="13568" width="8.90625" style="36"/>
    <col min="13569" max="13570" width="11.08984375" style="36" customWidth="1"/>
    <col min="13571" max="13571" width="11.453125" style="36" customWidth="1"/>
    <col min="13572" max="13572" width="15.36328125" style="36" customWidth="1"/>
    <col min="13573" max="13573" width="9.453125" style="36" bestFit="1" customWidth="1"/>
    <col min="13574" max="13574" width="13" style="36" customWidth="1"/>
    <col min="13575" max="13575" width="9.453125" style="36" bestFit="1" customWidth="1"/>
    <col min="13576" max="13576" width="15.81640625" style="36" customWidth="1"/>
    <col min="13577" max="13577" width="7.90625" style="36" customWidth="1"/>
    <col min="13578" max="13578" width="15.90625" style="36" customWidth="1"/>
    <col min="13579" max="13579" width="16.453125" style="36" bestFit="1" customWidth="1"/>
    <col min="13580" max="13580" width="15.08984375" style="36" customWidth="1"/>
    <col min="13581" max="13824" width="8.90625" style="36"/>
    <col min="13825" max="13826" width="11.08984375" style="36" customWidth="1"/>
    <col min="13827" max="13827" width="11.453125" style="36" customWidth="1"/>
    <col min="13828" max="13828" width="15.36328125" style="36" customWidth="1"/>
    <col min="13829" max="13829" width="9.453125" style="36" bestFit="1" customWidth="1"/>
    <col min="13830" max="13830" width="13" style="36" customWidth="1"/>
    <col min="13831" max="13831" width="9.453125" style="36" bestFit="1" customWidth="1"/>
    <col min="13832" max="13832" width="15.81640625" style="36" customWidth="1"/>
    <col min="13833" max="13833" width="7.90625" style="36" customWidth="1"/>
    <col min="13834" max="13834" width="15.90625" style="36" customWidth="1"/>
    <col min="13835" max="13835" width="16.453125" style="36" bestFit="1" customWidth="1"/>
    <col min="13836" max="13836" width="15.08984375" style="36" customWidth="1"/>
    <col min="13837" max="14080" width="8.90625" style="36"/>
    <col min="14081" max="14082" width="11.08984375" style="36" customWidth="1"/>
    <col min="14083" max="14083" width="11.453125" style="36" customWidth="1"/>
    <col min="14084" max="14084" width="15.36328125" style="36" customWidth="1"/>
    <col min="14085" max="14085" width="9.453125" style="36" bestFit="1" customWidth="1"/>
    <col min="14086" max="14086" width="13" style="36" customWidth="1"/>
    <col min="14087" max="14087" width="9.453125" style="36" bestFit="1" customWidth="1"/>
    <col min="14088" max="14088" width="15.81640625" style="36" customWidth="1"/>
    <col min="14089" max="14089" width="7.90625" style="36" customWidth="1"/>
    <col min="14090" max="14090" width="15.90625" style="36" customWidth="1"/>
    <col min="14091" max="14091" width="16.453125" style="36" bestFit="1" customWidth="1"/>
    <col min="14092" max="14092" width="15.08984375" style="36" customWidth="1"/>
    <col min="14093" max="14336" width="8.90625" style="36"/>
    <col min="14337" max="14338" width="11.08984375" style="36" customWidth="1"/>
    <col min="14339" max="14339" width="11.453125" style="36" customWidth="1"/>
    <col min="14340" max="14340" width="15.36328125" style="36" customWidth="1"/>
    <col min="14341" max="14341" width="9.453125" style="36" bestFit="1" customWidth="1"/>
    <col min="14342" max="14342" width="13" style="36" customWidth="1"/>
    <col min="14343" max="14343" width="9.453125" style="36" bestFit="1" customWidth="1"/>
    <col min="14344" max="14344" width="15.81640625" style="36" customWidth="1"/>
    <col min="14345" max="14345" width="7.90625" style="36" customWidth="1"/>
    <col min="14346" max="14346" width="15.90625" style="36" customWidth="1"/>
    <col min="14347" max="14347" width="16.453125" style="36" bestFit="1" customWidth="1"/>
    <col min="14348" max="14348" width="15.08984375" style="36" customWidth="1"/>
    <col min="14349" max="14592" width="8.90625" style="36"/>
    <col min="14593" max="14594" width="11.08984375" style="36" customWidth="1"/>
    <col min="14595" max="14595" width="11.453125" style="36" customWidth="1"/>
    <col min="14596" max="14596" width="15.36328125" style="36" customWidth="1"/>
    <col min="14597" max="14597" width="9.453125" style="36" bestFit="1" customWidth="1"/>
    <col min="14598" max="14598" width="13" style="36" customWidth="1"/>
    <col min="14599" max="14599" width="9.453125" style="36" bestFit="1" customWidth="1"/>
    <col min="14600" max="14600" width="15.81640625" style="36" customWidth="1"/>
    <col min="14601" max="14601" width="7.90625" style="36" customWidth="1"/>
    <col min="14602" max="14602" width="15.90625" style="36" customWidth="1"/>
    <col min="14603" max="14603" width="16.453125" style="36" bestFit="1" customWidth="1"/>
    <col min="14604" max="14604" width="15.08984375" style="36" customWidth="1"/>
    <col min="14605" max="14848" width="8.90625" style="36"/>
    <col min="14849" max="14850" width="11.08984375" style="36" customWidth="1"/>
    <col min="14851" max="14851" width="11.453125" style="36" customWidth="1"/>
    <col min="14852" max="14852" width="15.36328125" style="36" customWidth="1"/>
    <col min="14853" max="14853" width="9.453125" style="36" bestFit="1" customWidth="1"/>
    <col min="14854" max="14854" width="13" style="36" customWidth="1"/>
    <col min="14855" max="14855" width="9.453125" style="36" bestFit="1" customWidth="1"/>
    <col min="14856" max="14856" width="15.81640625" style="36" customWidth="1"/>
    <col min="14857" max="14857" width="7.90625" style="36" customWidth="1"/>
    <col min="14858" max="14858" width="15.90625" style="36" customWidth="1"/>
    <col min="14859" max="14859" width="16.453125" style="36" bestFit="1" customWidth="1"/>
    <col min="14860" max="14860" width="15.08984375" style="36" customWidth="1"/>
    <col min="14861" max="15104" width="8.90625" style="36"/>
    <col min="15105" max="15106" width="11.08984375" style="36" customWidth="1"/>
    <col min="15107" max="15107" width="11.453125" style="36" customWidth="1"/>
    <col min="15108" max="15108" width="15.36328125" style="36" customWidth="1"/>
    <col min="15109" max="15109" width="9.453125" style="36" bestFit="1" customWidth="1"/>
    <col min="15110" max="15110" width="13" style="36" customWidth="1"/>
    <col min="15111" max="15111" width="9.453125" style="36" bestFit="1" customWidth="1"/>
    <col min="15112" max="15112" width="15.81640625" style="36" customWidth="1"/>
    <col min="15113" max="15113" width="7.90625" style="36" customWidth="1"/>
    <col min="15114" max="15114" width="15.90625" style="36" customWidth="1"/>
    <col min="15115" max="15115" width="16.453125" style="36" bestFit="1" customWidth="1"/>
    <col min="15116" max="15116" width="15.08984375" style="36" customWidth="1"/>
    <col min="15117" max="15360" width="8.90625" style="36"/>
    <col min="15361" max="15362" width="11.08984375" style="36" customWidth="1"/>
    <col min="15363" max="15363" width="11.453125" style="36" customWidth="1"/>
    <col min="15364" max="15364" width="15.36328125" style="36" customWidth="1"/>
    <col min="15365" max="15365" width="9.453125" style="36" bestFit="1" customWidth="1"/>
    <col min="15366" max="15366" width="13" style="36" customWidth="1"/>
    <col min="15367" max="15367" width="9.453125" style="36" bestFit="1" customWidth="1"/>
    <col min="15368" max="15368" width="15.81640625" style="36" customWidth="1"/>
    <col min="15369" max="15369" width="7.90625" style="36" customWidth="1"/>
    <col min="15370" max="15370" width="15.90625" style="36" customWidth="1"/>
    <col min="15371" max="15371" width="16.453125" style="36" bestFit="1" customWidth="1"/>
    <col min="15372" max="15372" width="15.08984375" style="36" customWidth="1"/>
    <col min="15373" max="15616" width="8.90625" style="36"/>
    <col min="15617" max="15618" width="11.08984375" style="36" customWidth="1"/>
    <col min="15619" max="15619" width="11.453125" style="36" customWidth="1"/>
    <col min="15620" max="15620" width="15.36328125" style="36" customWidth="1"/>
    <col min="15621" max="15621" width="9.453125" style="36" bestFit="1" customWidth="1"/>
    <col min="15622" max="15622" width="13" style="36" customWidth="1"/>
    <col min="15623" max="15623" width="9.453125" style="36" bestFit="1" customWidth="1"/>
    <col min="15624" max="15624" width="15.81640625" style="36" customWidth="1"/>
    <col min="15625" max="15625" width="7.90625" style="36" customWidth="1"/>
    <col min="15626" max="15626" width="15.90625" style="36" customWidth="1"/>
    <col min="15627" max="15627" width="16.453125" style="36" bestFit="1" customWidth="1"/>
    <col min="15628" max="15628" width="15.08984375" style="36" customWidth="1"/>
    <col min="15629" max="15872" width="8.90625" style="36"/>
    <col min="15873" max="15874" width="11.08984375" style="36" customWidth="1"/>
    <col min="15875" max="15875" width="11.453125" style="36" customWidth="1"/>
    <col min="15876" max="15876" width="15.36328125" style="36" customWidth="1"/>
    <col min="15877" max="15877" width="9.453125" style="36" bestFit="1" customWidth="1"/>
    <col min="15878" max="15878" width="13" style="36" customWidth="1"/>
    <col min="15879" max="15879" width="9.453125" style="36" bestFit="1" customWidth="1"/>
    <col min="15880" max="15880" width="15.81640625" style="36" customWidth="1"/>
    <col min="15881" max="15881" width="7.90625" style="36" customWidth="1"/>
    <col min="15882" max="15882" width="15.90625" style="36" customWidth="1"/>
    <col min="15883" max="15883" width="16.453125" style="36" bestFit="1" customWidth="1"/>
    <col min="15884" max="15884" width="15.08984375" style="36" customWidth="1"/>
    <col min="15885" max="16128" width="8.90625" style="36"/>
    <col min="16129" max="16130" width="11.08984375" style="36" customWidth="1"/>
    <col min="16131" max="16131" width="11.453125" style="36" customWidth="1"/>
    <col min="16132" max="16132" width="15.36328125" style="36" customWidth="1"/>
    <col min="16133" max="16133" width="9.453125" style="36" bestFit="1" customWidth="1"/>
    <col min="16134" max="16134" width="13" style="36" customWidth="1"/>
    <col min="16135" max="16135" width="9.453125" style="36" bestFit="1" customWidth="1"/>
    <col min="16136" max="16136" width="15.81640625" style="36" customWidth="1"/>
    <col min="16137" max="16137" width="7.90625" style="36" customWidth="1"/>
    <col min="16138" max="16138" width="15.90625" style="36" customWidth="1"/>
    <col min="16139" max="16139" width="16.453125" style="36" bestFit="1" customWidth="1"/>
    <col min="16140" max="16140" width="15.08984375" style="36" customWidth="1"/>
    <col min="16141" max="16384" width="8.90625" style="36"/>
  </cols>
  <sheetData>
    <row r="1" spans="1:12" s="55" customFormat="1" ht="34.5" customHeight="1">
      <c r="A1" s="356" t="s">
        <v>3024</v>
      </c>
      <c r="B1" s="356"/>
      <c r="C1" s="357"/>
      <c r="D1" s="357"/>
      <c r="E1" s="357"/>
      <c r="F1" s="357"/>
      <c r="G1" s="357"/>
      <c r="H1" s="357"/>
      <c r="I1" s="357"/>
      <c r="J1" s="357"/>
      <c r="K1" s="357"/>
      <c r="L1" s="358"/>
    </row>
    <row r="2" spans="1:12" ht="17">
      <c r="A2" s="359" t="s">
        <v>776</v>
      </c>
      <c r="B2" s="359" t="s">
        <v>777</v>
      </c>
      <c r="C2" s="359" t="s">
        <v>778</v>
      </c>
      <c r="D2" s="359" t="s">
        <v>779</v>
      </c>
      <c r="E2" s="359" t="s">
        <v>780</v>
      </c>
      <c r="F2" s="359" t="s">
        <v>781</v>
      </c>
      <c r="G2" s="359" t="s">
        <v>782</v>
      </c>
      <c r="H2" s="362" t="s">
        <v>783</v>
      </c>
      <c r="I2" s="359" t="s">
        <v>784</v>
      </c>
      <c r="J2" s="360"/>
      <c r="K2" s="360"/>
      <c r="L2" s="364" t="s">
        <v>785</v>
      </c>
    </row>
    <row r="3" spans="1:12" ht="17">
      <c r="A3" s="360"/>
      <c r="B3" s="360"/>
      <c r="C3" s="361"/>
      <c r="D3" s="360"/>
      <c r="E3" s="360"/>
      <c r="F3" s="360"/>
      <c r="G3" s="360"/>
      <c r="H3" s="363"/>
      <c r="I3" s="37" t="s">
        <v>786</v>
      </c>
      <c r="J3" s="37" t="s">
        <v>787</v>
      </c>
      <c r="K3" s="37" t="s">
        <v>788</v>
      </c>
      <c r="L3" s="365"/>
    </row>
    <row r="4" spans="1:12" ht="34.5" customHeight="1">
      <c r="A4" s="38" t="s">
        <v>789</v>
      </c>
      <c r="B4" s="38" t="str">
        <f>"97"</f>
        <v>97</v>
      </c>
      <c r="C4" s="53" t="str">
        <f>"陳天輝"</f>
        <v>陳天輝</v>
      </c>
      <c r="D4" s="262">
        <v>41842</v>
      </c>
      <c r="E4" s="39" t="s">
        <v>790</v>
      </c>
      <c r="F4" s="40">
        <v>20000</v>
      </c>
      <c r="G4" s="41">
        <v>25</v>
      </c>
      <c r="H4" s="41">
        <f>F4*G4</f>
        <v>500000</v>
      </c>
      <c r="I4" s="37" t="s">
        <v>3983</v>
      </c>
      <c r="J4" s="262">
        <v>41842</v>
      </c>
      <c r="K4" s="41">
        <f>H4</f>
        <v>500000</v>
      </c>
      <c r="L4" s="223"/>
    </row>
    <row r="5" spans="1:12" ht="34.5" customHeight="1">
      <c r="A5" s="38" t="s">
        <v>791</v>
      </c>
      <c r="B5" s="38" t="str">
        <f>"86"</f>
        <v>86</v>
      </c>
      <c r="C5" s="53" t="str">
        <f>"吳世隆"</f>
        <v>吳世隆</v>
      </c>
      <c r="D5" s="262">
        <v>41842</v>
      </c>
      <c r="E5" s="39" t="s">
        <v>790</v>
      </c>
      <c r="F5" s="40">
        <v>2000</v>
      </c>
      <c r="G5" s="41">
        <v>25</v>
      </c>
      <c r="H5" s="41">
        <f t="shared" ref="H5:H19" si="0">F5*G5</f>
        <v>50000</v>
      </c>
      <c r="I5" s="350" t="s">
        <v>3983</v>
      </c>
      <c r="J5" s="262">
        <v>41842</v>
      </c>
      <c r="K5" s="41">
        <f t="shared" ref="K5:K19" si="1">H5</f>
        <v>50000</v>
      </c>
      <c r="L5" s="224"/>
    </row>
    <row r="6" spans="1:12" ht="34.5" customHeight="1">
      <c r="A6" s="38" t="s">
        <v>792</v>
      </c>
      <c r="B6" s="38" t="str">
        <f>"222"</f>
        <v>222</v>
      </c>
      <c r="C6" s="53" t="str">
        <f>"林谷安"</f>
        <v>林谷安</v>
      </c>
      <c r="D6" s="262">
        <v>41844</v>
      </c>
      <c r="E6" s="39" t="s">
        <v>790</v>
      </c>
      <c r="F6" s="40">
        <v>2000</v>
      </c>
      <c r="G6" s="41">
        <v>25</v>
      </c>
      <c r="H6" s="41">
        <f t="shared" si="0"/>
        <v>50000</v>
      </c>
      <c r="I6" s="350" t="s">
        <v>3983</v>
      </c>
      <c r="J6" s="262">
        <v>41844</v>
      </c>
      <c r="K6" s="41">
        <f t="shared" si="1"/>
        <v>50000</v>
      </c>
      <c r="L6" s="224"/>
    </row>
    <row r="7" spans="1:12" ht="34.5" customHeight="1">
      <c r="A7" s="38" t="s">
        <v>793</v>
      </c>
      <c r="B7" s="38" t="str">
        <f>"22"</f>
        <v>22</v>
      </c>
      <c r="C7" s="53" t="str">
        <f>"柯重安"</f>
        <v>柯重安</v>
      </c>
      <c r="D7" s="262">
        <v>41845</v>
      </c>
      <c r="E7" s="39" t="s">
        <v>790</v>
      </c>
      <c r="F7" s="40">
        <v>10000</v>
      </c>
      <c r="G7" s="41">
        <v>25</v>
      </c>
      <c r="H7" s="41">
        <f t="shared" si="0"/>
        <v>250000</v>
      </c>
      <c r="I7" s="350" t="s">
        <v>3983</v>
      </c>
      <c r="J7" s="262">
        <v>41845</v>
      </c>
      <c r="K7" s="41">
        <f t="shared" si="1"/>
        <v>250000</v>
      </c>
      <c r="L7" s="224"/>
    </row>
    <row r="8" spans="1:12" ht="34.5" customHeight="1">
      <c r="A8" s="38" t="s">
        <v>794</v>
      </c>
      <c r="B8" s="38" t="str">
        <f>"284"</f>
        <v>284</v>
      </c>
      <c r="C8" s="53" t="str">
        <f>"林慶華"</f>
        <v>林慶華</v>
      </c>
      <c r="D8" s="262">
        <v>41845</v>
      </c>
      <c r="E8" s="39" t="s">
        <v>790</v>
      </c>
      <c r="F8" s="40">
        <v>3000</v>
      </c>
      <c r="G8" s="41">
        <v>25</v>
      </c>
      <c r="H8" s="41">
        <f t="shared" si="0"/>
        <v>75000</v>
      </c>
      <c r="I8" s="350" t="s">
        <v>3983</v>
      </c>
      <c r="J8" s="262">
        <v>41845</v>
      </c>
      <c r="K8" s="41">
        <f t="shared" si="1"/>
        <v>75000</v>
      </c>
      <c r="L8" s="224"/>
    </row>
    <row r="9" spans="1:12" ht="34.5" customHeight="1">
      <c r="A9" s="38" t="s">
        <v>795</v>
      </c>
      <c r="B9" s="38" t="str">
        <f>"400"</f>
        <v>400</v>
      </c>
      <c r="C9" s="53" t="str">
        <f>"莊心然"</f>
        <v>莊心然</v>
      </c>
      <c r="D9" s="262">
        <v>41848</v>
      </c>
      <c r="E9" s="39" t="s">
        <v>790</v>
      </c>
      <c r="F9" s="40">
        <v>2000</v>
      </c>
      <c r="G9" s="41">
        <v>25</v>
      </c>
      <c r="H9" s="41">
        <f t="shared" si="0"/>
        <v>50000</v>
      </c>
      <c r="I9" s="350" t="s">
        <v>3983</v>
      </c>
      <c r="J9" s="262">
        <v>41848</v>
      </c>
      <c r="K9" s="41">
        <f t="shared" si="1"/>
        <v>50000</v>
      </c>
      <c r="L9" s="224"/>
    </row>
    <row r="10" spans="1:12" ht="34.5" customHeight="1">
      <c r="A10" s="38" t="s">
        <v>796</v>
      </c>
      <c r="B10" s="38" t="str">
        <f>"90"</f>
        <v>90</v>
      </c>
      <c r="C10" s="53" t="str">
        <f>"施锝岷"</f>
        <v>施锝岷</v>
      </c>
      <c r="D10" s="262">
        <v>41848</v>
      </c>
      <c r="E10" s="39" t="s">
        <v>790</v>
      </c>
      <c r="F10" s="40">
        <v>2000</v>
      </c>
      <c r="G10" s="41">
        <v>25</v>
      </c>
      <c r="H10" s="41">
        <f t="shared" si="0"/>
        <v>50000</v>
      </c>
      <c r="I10" s="350" t="s">
        <v>3983</v>
      </c>
      <c r="J10" s="262">
        <v>41848</v>
      </c>
      <c r="K10" s="41">
        <f t="shared" si="1"/>
        <v>50000</v>
      </c>
      <c r="L10" s="224"/>
    </row>
    <row r="11" spans="1:12" ht="34.5" customHeight="1">
      <c r="A11" s="38" t="s">
        <v>797</v>
      </c>
      <c r="B11" s="38" t="str">
        <f>"33"</f>
        <v>33</v>
      </c>
      <c r="C11" s="53" t="str">
        <f>"傅應龍"</f>
        <v>傅應龍</v>
      </c>
      <c r="D11" s="262">
        <v>41848</v>
      </c>
      <c r="E11" s="39" t="s">
        <v>790</v>
      </c>
      <c r="F11" s="40">
        <v>12000</v>
      </c>
      <c r="G11" s="41">
        <v>25</v>
      </c>
      <c r="H11" s="41">
        <f t="shared" si="0"/>
        <v>300000</v>
      </c>
      <c r="I11" s="350" t="s">
        <v>3983</v>
      </c>
      <c r="J11" s="262">
        <v>41848</v>
      </c>
      <c r="K11" s="41">
        <f t="shared" si="1"/>
        <v>300000</v>
      </c>
      <c r="L11" s="224"/>
    </row>
    <row r="12" spans="1:12" ht="34.5" customHeight="1">
      <c r="A12" s="38" t="s">
        <v>798</v>
      </c>
      <c r="B12" s="38" t="str">
        <f>"15"</f>
        <v>15</v>
      </c>
      <c r="C12" s="53" t="str">
        <f>"劉子鵬"</f>
        <v>劉子鵬</v>
      </c>
      <c r="D12" s="262">
        <v>41848</v>
      </c>
      <c r="E12" s="39" t="s">
        <v>790</v>
      </c>
      <c r="F12" s="40">
        <v>16000</v>
      </c>
      <c r="G12" s="41">
        <v>25</v>
      </c>
      <c r="H12" s="41">
        <f t="shared" si="0"/>
        <v>400000</v>
      </c>
      <c r="I12" s="350" t="s">
        <v>3983</v>
      </c>
      <c r="J12" s="262">
        <v>41848</v>
      </c>
      <c r="K12" s="41">
        <f t="shared" si="1"/>
        <v>400000</v>
      </c>
      <c r="L12" s="224"/>
    </row>
    <row r="13" spans="1:12" ht="34.5" customHeight="1">
      <c r="A13" s="38" t="s">
        <v>799</v>
      </c>
      <c r="B13" s="38" t="str">
        <f>"163"</f>
        <v>163</v>
      </c>
      <c r="C13" s="53" t="str">
        <f>"郭連興"</f>
        <v>郭連興</v>
      </c>
      <c r="D13" s="262">
        <v>41848</v>
      </c>
      <c r="E13" s="39" t="s">
        <v>790</v>
      </c>
      <c r="F13" s="40">
        <v>1000</v>
      </c>
      <c r="G13" s="41">
        <v>25</v>
      </c>
      <c r="H13" s="41">
        <f t="shared" si="0"/>
        <v>25000</v>
      </c>
      <c r="I13" s="350" t="s">
        <v>3983</v>
      </c>
      <c r="J13" s="262">
        <v>41848</v>
      </c>
      <c r="K13" s="41">
        <f t="shared" si="1"/>
        <v>25000</v>
      </c>
      <c r="L13" s="224"/>
    </row>
    <row r="14" spans="1:12" ht="95.25" customHeight="1">
      <c r="A14" s="38" t="s">
        <v>800</v>
      </c>
      <c r="B14" s="38" t="str">
        <f>"250"</f>
        <v>250</v>
      </c>
      <c r="C14" s="53" t="str">
        <f>"吳柏羽"</f>
        <v>吳柏羽</v>
      </c>
      <c r="D14" s="262">
        <v>41848</v>
      </c>
      <c r="E14" s="39" t="s">
        <v>790</v>
      </c>
      <c r="F14" s="40">
        <v>5000</v>
      </c>
      <c r="G14" s="41">
        <v>25</v>
      </c>
      <c r="H14" s="41">
        <f t="shared" si="0"/>
        <v>125000</v>
      </c>
      <c r="I14" s="350" t="s">
        <v>3983</v>
      </c>
      <c r="J14" s="262">
        <v>41848</v>
      </c>
      <c r="K14" s="41">
        <f t="shared" si="1"/>
        <v>125000</v>
      </c>
      <c r="L14" s="224" t="s">
        <v>2698</v>
      </c>
    </row>
    <row r="15" spans="1:12" ht="34.5" customHeight="1">
      <c r="A15" s="38" t="s">
        <v>801</v>
      </c>
      <c r="B15" s="38" t="str">
        <f>"235"</f>
        <v>235</v>
      </c>
      <c r="C15" s="53" t="str">
        <f>"江志賢"</f>
        <v>江志賢</v>
      </c>
      <c r="D15" s="262">
        <v>41848</v>
      </c>
      <c r="E15" s="39" t="s">
        <v>790</v>
      </c>
      <c r="F15" s="40">
        <v>1000</v>
      </c>
      <c r="G15" s="41">
        <v>25</v>
      </c>
      <c r="H15" s="41">
        <f t="shared" si="0"/>
        <v>25000</v>
      </c>
      <c r="I15" s="350" t="s">
        <v>3983</v>
      </c>
      <c r="J15" s="262">
        <v>41848</v>
      </c>
      <c r="K15" s="41">
        <f t="shared" si="1"/>
        <v>25000</v>
      </c>
      <c r="L15" s="224"/>
    </row>
    <row r="16" spans="1:12" ht="34.5" customHeight="1">
      <c r="A16" s="38" t="s">
        <v>802</v>
      </c>
      <c r="B16" s="38" t="str">
        <f>"363"</f>
        <v>363</v>
      </c>
      <c r="C16" s="53" t="str">
        <f>"李渝倬"</f>
        <v>李渝倬</v>
      </c>
      <c r="D16" s="262">
        <v>41848</v>
      </c>
      <c r="E16" s="39" t="s">
        <v>790</v>
      </c>
      <c r="F16" s="40">
        <v>2000</v>
      </c>
      <c r="G16" s="41">
        <v>25</v>
      </c>
      <c r="H16" s="41">
        <f t="shared" si="0"/>
        <v>50000</v>
      </c>
      <c r="I16" s="350" t="s">
        <v>3983</v>
      </c>
      <c r="J16" s="262">
        <v>41848</v>
      </c>
      <c r="K16" s="41">
        <f t="shared" si="1"/>
        <v>50000</v>
      </c>
      <c r="L16" s="224"/>
    </row>
    <row r="17" spans="1:12" ht="34.5" customHeight="1">
      <c r="A17" s="38" t="s">
        <v>803</v>
      </c>
      <c r="B17" s="38" t="str">
        <f>"67"</f>
        <v>67</v>
      </c>
      <c r="C17" s="53" t="str">
        <f>"黃麗娟"</f>
        <v>黃麗娟</v>
      </c>
      <c r="D17" s="262">
        <v>41848</v>
      </c>
      <c r="E17" s="39" t="s">
        <v>790</v>
      </c>
      <c r="F17" s="40">
        <v>1000</v>
      </c>
      <c r="G17" s="41">
        <v>25</v>
      </c>
      <c r="H17" s="41">
        <f t="shared" si="0"/>
        <v>25000</v>
      </c>
      <c r="I17" s="350" t="s">
        <v>3983</v>
      </c>
      <c r="J17" s="262">
        <v>41848</v>
      </c>
      <c r="K17" s="41">
        <f t="shared" si="1"/>
        <v>25000</v>
      </c>
      <c r="L17" s="224"/>
    </row>
    <row r="18" spans="1:12" ht="93.75" customHeight="1">
      <c r="A18" s="38" t="s">
        <v>804</v>
      </c>
      <c r="B18" s="38" t="str">
        <f>"150"</f>
        <v>150</v>
      </c>
      <c r="C18" s="53" t="str">
        <f>"劉石振"</f>
        <v>劉石振</v>
      </c>
      <c r="D18" s="262">
        <v>41848</v>
      </c>
      <c r="E18" s="39" t="s">
        <v>790</v>
      </c>
      <c r="F18" s="40">
        <v>4000</v>
      </c>
      <c r="G18" s="41">
        <v>25</v>
      </c>
      <c r="H18" s="41">
        <f t="shared" si="0"/>
        <v>100000</v>
      </c>
      <c r="I18" s="350" t="s">
        <v>3983</v>
      </c>
      <c r="J18" s="262">
        <v>41848</v>
      </c>
      <c r="K18" s="41">
        <f t="shared" si="1"/>
        <v>100000</v>
      </c>
      <c r="L18" s="229" t="s">
        <v>2850</v>
      </c>
    </row>
    <row r="19" spans="1:12" ht="105" customHeight="1">
      <c r="A19" s="38" t="s">
        <v>805</v>
      </c>
      <c r="B19" s="38" t="str">
        <f>"107"</f>
        <v>107</v>
      </c>
      <c r="C19" s="53" t="str">
        <f>"魏哲云"</f>
        <v>魏哲云</v>
      </c>
      <c r="D19" s="262">
        <v>41848</v>
      </c>
      <c r="E19" s="39" t="s">
        <v>790</v>
      </c>
      <c r="F19" s="40">
        <v>1000</v>
      </c>
      <c r="G19" s="41">
        <v>25</v>
      </c>
      <c r="H19" s="41">
        <f t="shared" si="0"/>
        <v>25000</v>
      </c>
      <c r="I19" s="350" t="s">
        <v>3983</v>
      </c>
      <c r="J19" s="262">
        <v>41848</v>
      </c>
      <c r="K19" s="41">
        <f t="shared" si="1"/>
        <v>25000</v>
      </c>
      <c r="L19" s="224" t="s">
        <v>2738</v>
      </c>
    </row>
    <row r="20" spans="1:12" ht="33" customHeight="1">
      <c r="A20" s="366" t="s">
        <v>806</v>
      </c>
      <c r="B20" s="366" t="str">
        <f>"48"</f>
        <v>48</v>
      </c>
      <c r="C20" s="369" t="str">
        <f>"余忠實"</f>
        <v>余忠實</v>
      </c>
      <c r="D20" s="372" t="s">
        <v>807</v>
      </c>
      <c r="E20" s="366" t="s">
        <v>790</v>
      </c>
      <c r="F20" s="375">
        <v>16000</v>
      </c>
      <c r="G20" s="378">
        <v>25</v>
      </c>
      <c r="H20" s="378">
        <f>F20*G20</f>
        <v>400000</v>
      </c>
      <c r="I20" s="350" t="s">
        <v>3983</v>
      </c>
      <c r="J20" s="381" t="s">
        <v>807</v>
      </c>
      <c r="K20" s="384">
        <v>400000</v>
      </c>
      <c r="L20" s="222" t="s">
        <v>808</v>
      </c>
    </row>
    <row r="21" spans="1:12" ht="39.75" customHeight="1">
      <c r="A21" s="367"/>
      <c r="B21" s="367"/>
      <c r="C21" s="370"/>
      <c r="D21" s="373"/>
      <c r="E21" s="367"/>
      <c r="F21" s="376"/>
      <c r="G21" s="379"/>
      <c r="H21" s="379"/>
      <c r="I21" s="350" t="s">
        <v>3983</v>
      </c>
      <c r="J21" s="382"/>
      <c r="K21" s="385"/>
      <c r="L21" s="222" t="s">
        <v>809</v>
      </c>
    </row>
    <row r="22" spans="1:12" ht="39.75" customHeight="1">
      <c r="A22" s="368"/>
      <c r="B22" s="368"/>
      <c r="C22" s="371"/>
      <c r="D22" s="374"/>
      <c r="E22" s="368"/>
      <c r="F22" s="377"/>
      <c r="G22" s="380"/>
      <c r="H22" s="380"/>
      <c r="I22" s="350" t="s">
        <v>3983</v>
      </c>
      <c r="J22" s="383"/>
      <c r="K22" s="386"/>
      <c r="L22" s="222" t="s">
        <v>810</v>
      </c>
    </row>
    <row r="23" spans="1:12" ht="34.5" customHeight="1">
      <c r="A23" s="38" t="s">
        <v>811</v>
      </c>
      <c r="B23" s="38" t="str">
        <f>"227"</f>
        <v>227</v>
      </c>
      <c r="C23" s="53" t="str">
        <f>"郭鳳晴"</f>
        <v>郭鳳晴</v>
      </c>
      <c r="D23" s="262">
        <v>41848</v>
      </c>
      <c r="E23" s="39" t="s">
        <v>790</v>
      </c>
      <c r="F23" s="40">
        <v>2000</v>
      </c>
      <c r="G23" s="41">
        <v>25</v>
      </c>
      <c r="H23" s="41">
        <f>F23*G23</f>
        <v>50000</v>
      </c>
      <c r="I23" s="350" t="s">
        <v>3983</v>
      </c>
      <c r="J23" s="262">
        <v>41848</v>
      </c>
      <c r="K23" s="41">
        <f>H23</f>
        <v>50000</v>
      </c>
      <c r="L23" s="224"/>
    </row>
    <row r="24" spans="1:12" ht="34.5" customHeight="1">
      <c r="A24" s="38" t="s">
        <v>812</v>
      </c>
      <c r="B24" s="38" t="str">
        <f>"315"</f>
        <v>315</v>
      </c>
      <c r="C24" s="53" t="str">
        <f xml:space="preserve">  "   陳姷女勻"</f>
        <v xml:space="preserve">   陳姷女勻</v>
      </c>
      <c r="D24" s="262">
        <v>41849</v>
      </c>
      <c r="E24" s="39" t="s">
        <v>790</v>
      </c>
      <c r="F24" s="40">
        <v>5000</v>
      </c>
      <c r="G24" s="41">
        <v>25</v>
      </c>
      <c r="H24" s="41">
        <f t="shared" ref="H24:H87" si="2">F24*G24</f>
        <v>125000</v>
      </c>
      <c r="I24" s="350" t="s">
        <v>3983</v>
      </c>
      <c r="J24" s="262">
        <v>41849</v>
      </c>
      <c r="K24" s="41">
        <f t="shared" ref="K24:K87" si="3">H24</f>
        <v>125000</v>
      </c>
      <c r="L24" s="224"/>
    </row>
    <row r="25" spans="1:12" ht="34.5" customHeight="1">
      <c r="A25" s="38" t="s">
        <v>813</v>
      </c>
      <c r="B25" s="38" t="str">
        <f>"196"</f>
        <v>196</v>
      </c>
      <c r="C25" s="53" t="str">
        <f>"何彩綢"</f>
        <v>何彩綢</v>
      </c>
      <c r="D25" s="262">
        <v>41849</v>
      </c>
      <c r="E25" s="39" t="s">
        <v>790</v>
      </c>
      <c r="F25" s="40">
        <v>3000</v>
      </c>
      <c r="G25" s="41">
        <v>25</v>
      </c>
      <c r="H25" s="41">
        <f t="shared" si="2"/>
        <v>75000</v>
      </c>
      <c r="I25" s="350" t="s">
        <v>3983</v>
      </c>
      <c r="J25" s="262">
        <v>41849</v>
      </c>
      <c r="K25" s="41">
        <f t="shared" si="3"/>
        <v>75000</v>
      </c>
      <c r="L25" s="224"/>
    </row>
    <row r="26" spans="1:12" ht="34.5" customHeight="1">
      <c r="A26" s="38" t="s">
        <v>814</v>
      </c>
      <c r="B26" s="38" t="str">
        <f>"409"</f>
        <v>409</v>
      </c>
      <c r="C26" s="53" t="str">
        <f>"劉素芬"</f>
        <v>劉素芬</v>
      </c>
      <c r="D26" s="262">
        <v>41849</v>
      </c>
      <c r="E26" s="39" t="s">
        <v>790</v>
      </c>
      <c r="F26" s="40">
        <v>10000</v>
      </c>
      <c r="G26" s="41">
        <v>25</v>
      </c>
      <c r="H26" s="41">
        <f t="shared" si="2"/>
        <v>250000</v>
      </c>
      <c r="I26" s="350" t="s">
        <v>3983</v>
      </c>
      <c r="J26" s="262">
        <v>41849</v>
      </c>
      <c r="K26" s="41">
        <f t="shared" si="3"/>
        <v>250000</v>
      </c>
      <c r="L26" s="224"/>
    </row>
    <row r="27" spans="1:12" ht="34.5" customHeight="1">
      <c r="A27" s="38" t="s">
        <v>815</v>
      </c>
      <c r="B27" s="38" t="str">
        <f>"164"</f>
        <v>164</v>
      </c>
      <c r="C27" s="53" t="str">
        <f>"吳劉素琴"</f>
        <v>吳劉素琴</v>
      </c>
      <c r="D27" s="262">
        <v>41849</v>
      </c>
      <c r="E27" s="39" t="s">
        <v>790</v>
      </c>
      <c r="F27" s="40">
        <v>10000</v>
      </c>
      <c r="G27" s="41">
        <v>25</v>
      </c>
      <c r="H27" s="41">
        <f t="shared" si="2"/>
        <v>250000</v>
      </c>
      <c r="I27" s="350" t="s">
        <v>3983</v>
      </c>
      <c r="J27" s="262">
        <v>41849</v>
      </c>
      <c r="K27" s="41">
        <f t="shared" si="3"/>
        <v>250000</v>
      </c>
      <c r="L27" s="224"/>
    </row>
    <row r="28" spans="1:12" ht="34.5" customHeight="1">
      <c r="A28" s="38" t="s">
        <v>816</v>
      </c>
      <c r="B28" s="38" t="str">
        <f>"395"</f>
        <v>395</v>
      </c>
      <c r="C28" s="53" t="str">
        <f>"陳沅池"</f>
        <v>陳沅池</v>
      </c>
      <c r="D28" s="262">
        <v>41849</v>
      </c>
      <c r="E28" s="39" t="s">
        <v>790</v>
      </c>
      <c r="F28" s="40">
        <v>3000</v>
      </c>
      <c r="G28" s="41">
        <v>25</v>
      </c>
      <c r="H28" s="41">
        <f t="shared" si="2"/>
        <v>75000</v>
      </c>
      <c r="I28" s="350" t="s">
        <v>3983</v>
      </c>
      <c r="J28" s="262">
        <v>41849</v>
      </c>
      <c r="K28" s="41">
        <f t="shared" si="3"/>
        <v>75000</v>
      </c>
      <c r="L28" s="224"/>
    </row>
    <row r="29" spans="1:12" ht="34.5" customHeight="1">
      <c r="A29" s="38" t="s">
        <v>817</v>
      </c>
      <c r="B29" s="38" t="str">
        <f>"314"</f>
        <v>314</v>
      </c>
      <c r="C29" s="53" t="str">
        <f>"謝秋琴"</f>
        <v>謝秋琴</v>
      </c>
      <c r="D29" s="262">
        <v>41849</v>
      </c>
      <c r="E29" s="39" t="s">
        <v>790</v>
      </c>
      <c r="F29" s="40">
        <v>3000</v>
      </c>
      <c r="G29" s="41">
        <v>25</v>
      </c>
      <c r="H29" s="41">
        <f t="shared" si="2"/>
        <v>75000</v>
      </c>
      <c r="I29" s="350" t="s">
        <v>3983</v>
      </c>
      <c r="J29" s="262">
        <v>41849</v>
      </c>
      <c r="K29" s="41">
        <f t="shared" si="3"/>
        <v>75000</v>
      </c>
      <c r="L29" s="224"/>
    </row>
    <row r="30" spans="1:12" ht="34.5" customHeight="1">
      <c r="A30" s="38" t="s">
        <v>818</v>
      </c>
      <c r="B30" s="38" t="str">
        <f>"148"</f>
        <v>148</v>
      </c>
      <c r="C30" s="53" t="str">
        <f>"陳萍實"</f>
        <v>陳萍實</v>
      </c>
      <c r="D30" s="262">
        <v>41849</v>
      </c>
      <c r="E30" s="39" t="s">
        <v>790</v>
      </c>
      <c r="F30" s="40">
        <v>10000</v>
      </c>
      <c r="G30" s="41">
        <v>25</v>
      </c>
      <c r="H30" s="41">
        <f t="shared" si="2"/>
        <v>250000</v>
      </c>
      <c r="I30" s="350" t="s">
        <v>3983</v>
      </c>
      <c r="J30" s="262">
        <v>41849</v>
      </c>
      <c r="K30" s="41">
        <f t="shared" si="3"/>
        <v>250000</v>
      </c>
      <c r="L30" s="224"/>
    </row>
    <row r="31" spans="1:12" ht="34.5" customHeight="1">
      <c r="A31" s="38" t="s">
        <v>819</v>
      </c>
      <c r="B31" s="38" t="str">
        <f>"310"</f>
        <v>310</v>
      </c>
      <c r="C31" s="53" t="str">
        <f>"鍾毓珊"</f>
        <v>鍾毓珊</v>
      </c>
      <c r="D31" s="262">
        <v>41849</v>
      </c>
      <c r="E31" s="39" t="s">
        <v>790</v>
      </c>
      <c r="F31" s="40">
        <v>2000</v>
      </c>
      <c r="G31" s="41">
        <v>25</v>
      </c>
      <c r="H31" s="41">
        <f t="shared" si="2"/>
        <v>50000</v>
      </c>
      <c r="I31" s="350" t="s">
        <v>3983</v>
      </c>
      <c r="J31" s="262">
        <v>41849</v>
      </c>
      <c r="K31" s="41">
        <f t="shared" si="3"/>
        <v>50000</v>
      </c>
      <c r="L31" s="224"/>
    </row>
    <row r="32" spans="1:12" ht="34.5" customHeight="1">
      <c r="A32" s="38" t="s">
        <v>820</v>
      </c>
      <c r="B32" s="38" t="str">
        <f>"255"</f>
        <v>255</v>
      </c>
      <c r="C32" s="53" t="str">
        <f>"陳鄧秀讓"</f>
        <v>陳鄧秀讓</v>
      </c>
      <c r="D32" s="262">
        <v>41849</v>
      </c>
      <c r="E32" s="39" t="s">
        <v>790</v>
      </c>
      <c r="F32" s="40">
        <v>10000</v>
      </c>
      <c r="G32" s="41">
        <v>25</v>
      </c>
      <c r="H32" s="41">
        <f t="shared" si="2"/>
        <v>250000</v>
      </c>
      <c r="I32" s="350" t="s">
        <v>3983</v>
      </c>
      <c r="J32" s="262">
        <v>41849</v>
      </c>
      <c r="K32" s="41">
        <f t="shared" si="3"/>
        <v>250000</v>
      </c>
      <c r="L32" s="224"/>
    </row>
    <row r="33" spans="1:12" ht="34.5" customHeight="1">
      <c r="A33" s="38" t="s">
        <v>821</v>
      </c>
      <c r="B33" s="38" t="str">
        <f>"300"</f>
        <v>300</v>
      </c>
      <c r="C33" s="53" t="str">
        <f>"楊進義"</f>
        <v>楊進義</v>
      </c>
      <c r="D33" s="262">
        <v>41849</v>
      </c>
      <c r="E33" s="39" t="s">
        <v>790</v>
      </c>
      <c r="F33" s="40">
        <v>5000</v>
      </c>
      <c r="G33" s="41">
        <v>25</v>
      </c>
      <c r="H33" s="41">
        <f t="shared" si="2"/>
        <v>125000</v>
      </c>
      <c r="I33" s="350" t="s">
        <v>3983</v>
      </c>
      <c r="J33" s="262">
        <v>41849</v>
      </c>
      <c r="K33" s="41">
        <f t="shared" si="3"/>
        <v>125000</v>
      </c>
      <c r="L33" s="224"/>
    </row>
    <row r="34" spans="1:12" ht="34.5" customHeight="1">
      <c r="A34" s="38" t="s">
        <v>822</v>
      </c>
      <c r="B34" s="38" t="str">
        <f>"42"</f>
        <v>42</v>
      </c>
      <c r="C34" s="53" t="str">
        <f>"羅家炎"</f>
        <v>羅家炎</v>
      </c>
      <c r="D34" s="262">
        <v>41849</v>
      </c>
      <c r="E34" s="39" t="s">
        <v>790</v>
      </c>
      <c r="F34" s="40">
        <v>20000</v>
      </c>
      <c r="G34" s="41">
        <v>25</v>
      </c>
      <c r="H34" s="41">
        <f t="shared" si="2"/>
        <v>500000</v>
      </c>
      <c r="I34" s="350" t="s">
        <v>3983</v>
      </c>
      <c r="J34" s="262">
        <v>41849</v>
      </c>
      <c r="K34" s="41">
        <f t="shared" si="3"/>
        <v>500000</v>
      </c>
      <c r="L34" s="224"/>
    </row>
    <row r="35" spans="1:12" ht="34.5" customHeight="1">
      <c r="A35" s="38" t="s">
        <v>823</v>
      </c>
      <c r="B35" s="38" t="str">
        <f>"377"</f>
        <v>377</v>
      </c>
      <c r="C35" s="53" t="str">
        <f>"莊美琪"</f>
        <v>莊美琪</v>
      </c>
      <c r="D35" s="262">
        <v>41849</v>
      </c>
      <c r="E35" s="39" t="s">
        <v>790</v>
      </c>
      <c r="F35" s="40">
        <v>4000</v>
      </c>
      <c r="G35" s="41">
        <v>25</v>
      </c>
      <c r="H35" s="41">
        <f t="shared" si="2"/>
        <v>100000</v>
      </c>
      <c r="I35" s="350" t="s">
        <v>3983</v>
      </c>
      <c r="J35" s="262">
        <v>41849</v>
      </c>
      <c r="K35" s="41">
        <f t="shared" si="3"/>
        <v>100000</v>
      </c>
      <c r="L35" s="224"/>
    </row>
    <row r="36" spans="1:12" ht="34.5" customHeight="1">
      <c r="A36" s="38" t="s">
        <v>824</v>
      </c>
      <c r="B36" s="38" t="str">
        <f>"240"</f>
        <v>240</v>
      </c>
      <c r="C36" s="53" t="str">
        <f>"黃賓"</f>
        <v>黃賓</v>
      </c>
      <c r="D36" s="262">
        <v>41849</v>
      </c>
      <c r="E36" s="39" t="s">
        <v>790</v>
      </c>
      <c r="F36" s="40">
        <v>2000</v>
      </c>
      <c r="G36" s="41">
        <v>25</v>
      </c>
      <c r="H36" s="41">
        <f t="shared" si="2"/>
        <v>50000</v>
      </c>
      <c r="I36" s="350" t="s">
        <v>3983</v>
      </c>
      <c r="J36" s="262">
        <v>41849</v>
      </c>
      <c r="K36" s="41">
        <f t="shared" si="3"/>
        <v>50000</v>
      </c>
      <c r="L36" s="224"/>
    </row>
    <row r="37" spans="1:12" ht="84" customHeight="1">
      <c r="A37" s="38" t="s">
        <v>825</v>
      </c>
      <c r="B37" s="38" t="str">
        <f>"201"</f>
        <v>201</v>
      </c>
      <c r="C37" s="53" t="str">
        <f>"湯美珍"</f>
        <v>湯美珍</v>
      </c>
      <c r="D37" s="262">
        <v>41849</v>
      </c>
      <c r="E37" s="39" t="s">
        <v>790</v>
      </c>
      <c r="F37" s="40">
        <v>1000</v>
      </c>
      <c r="G37" s="41">
        <v>25</v>
      </c>
      <c r="H37" s="41">
        <f t="shared" si="2"/>
        <v>25000</v>
      </c>
      <c r="I37" s="350" t="s">
        <v>3983</v>
      </c>
      <c r="J37" s="262">
        <v>41849</v>
      </c>
      <c r="K37" s="41">
        <f t="shared" si="3"/>
        <v>25000</v>
      </c>
      <c r="L37" s="229" t="s">
        <v>2805</v>
      </c>
    </row>
    <row r="38" spans="1:12" ht="34.5" customHeight="1">
      <c r="A38" s="38" t="s">
        <v>826</v>
      </c>
      <c r="B38" s="38" t="str">
        <f>"341"</f>
        <v>341</v>
      </c>
      <c r="C38" s="53" t="str">
        <f>"何正民"</f>
        <v>何正民</v>
      </c>
      <c r="D38" s="262">
        <v>41849</v>
      </c>
      <c r="E38" s="39" t="s">
        <v>790</v>
      </c>
      <c r="F38" s="40">
        <v>5000</v>
      </c>
      <c r="G38" s="41">
        <v>25</v>
      </c>
      <c r="H38" s="41">
        <f t="shared" si="2"/>
        <v>125000</v>
      </c>
      <c r="I38" s="350" t="s">
        <v>3983</v>
      </c>
      <c r="J38" s="262">
        <v>41849</v>
      </c>
      <c r="K38" s="41">
        <f t="shared" si="3"/>
        <v>125000</v>
      </c>
      <c r="L38" s="224"/>
    </row>
    <row r="39" spans="1:12" ht="34.5" customHeight="1">
      <c r="A39" s="38" t="s">
        <v>827</v>
      </c>
      <c r="B39" s="38" t="str">
        <f>"12"</f>
        <v>12</v>
      </c>
      <c r="C39" s="53" t="str">
        <f>"曾榮鑾"</f>
        <v>曾榮鑾</v>
      </c>
      <c r="D39" s="262">
        <v>41849</v>
      </c>
      <c r="E39" s="39" t="s">
        <v>790</v>
      </c>
      <c r="F39" s="40">
        <v>2000</v>
      </c>
      <c r="G39" s="41">
        <v>25</v>
      </c>
      <c r="H39" s="41">
        <f t="shared" si="2"/>
        <v>50000</v>
      </c>
      <c r="I39" s="350" t="s">
        <v>3983</v>
      </c>
      <c r="J39" s="262">
        <v>41849</v>
      </c>
      <c r="K39" s="41">
        <f t="shared" si="3"/>
        <v>50000</v>
      </c>
      <c r="L39" s="224"/>
    </row>
    <row r="40" spans="1:12" ht="34.5" customHeight="1">
      <c r="A40" s="38" t="s">
        <v>828</v>
      </c>
      <c r="B40" s="38" t="str">
        <f>"261"</f>
        <v>261</v>
      </c>
      <c r="C40" s="53" t="str">
        <f>"郭德茂"</f>
        <v>郭德茂</v>
      </c>
      <c r="D40" s="262">
        <v>41849</v>
      </c>
      <c r="E40" s="39" t="s">
        <v>790</v>
      </c>
      <c r="F40" s="40">
        <v>1000</v>
      </c>
      <c r="G40" s="41">
        <v>25</v>
      </c>
      <c r="H40" s="41">
        <f t="shared" si="2"/>
        <v>25000</v>
      </c>
      <c r="I40" s="350" t="s">
        <v>3983</v>
      </c>
      <c r="J40" s="262">
        <v>41849</v>
      </c>
      <c r="K40" s="41">
        <f t="shared" si="3"/>
        <v>25000</v>
      </c>
      <c r="L40" s="224"/>
    </row>
    <row r="41" spans="1:12" ht="34.5" customHeight="1">
      <c r="A41" s="38" t="s">
        <v>829</v>
      </c>
      <c r="B41" s="38" t="str">
        <f>"161"</f>
        <v>161</v>
      </c>
      <c r="C41" s="53" t="str">
        <f>"陳坤禮"</f>
        <v>陳坤禮</v>
      </c>
      <c r="D41" s="262">
        <v>41849</v>
      </c>
      <c r="E41" s="39" t="s">
        <v>790</v>
      </c>
      <c r="F41" s="40">
        <v>3000</v>
      </c>
      <c r="G41" s="41">
        <v>25</v>
      </c>
      <c r="H41" s="41">
        <f t="shared" si="2"/>
        <v>75000</v>
      </c>
      <c r="I41" s="350" t="s">
        <v>3983</v>
      </c>
      <c r="J41" s="262">
        <v>41849</v>
      </c>
      <c r="K41" s="41">
        <f t="shared" si="3"/>
        <v>75000</v>
      </c>
      <c r="L41" s="224"/>
    </row>
    <row r="42" spans="1:12" ht="34.5" customHeight="1">
      <c r="A42" s="38" t="s">
        <v>830</v>
      </c>
      <c r="B42" s="38" t="str">
        <f>"305"</f>
        <v>305</v>
      </c>
      <c r="C42" s="53" t="str">
        <f>"邱綉珍"</f>
        <v>邱綉珍</v>
      </c>
      <c r="D42" s="262">
        <v>41849</v>
      </c>
      <c r="E42" s="39" t="s">
        <v>790</v>
      </c>
      <c r="F42" s="40">
        <v>7000</v>
      </c>
      <c r="G42" s="41">
        <v>25</v>
      </c>
      <c r="H42" s="41">
        <f t="shared" si="2"/>
        <v>175000</v>
      </c>
      <c r="I42" s="350" t="s">
        <v>3983</v>
      </c>
      <c r="J42" s="262">
        <v>41849</v>
      </c>
      <c r="K42" s="41">
        <f t="shared" si="3"/>
        <v>175000</v>
      </c>
      <c r="L42" s="224"/>
    </row>
    <row r="43" spans="1:12" ht="34.5" customHeight="1">
      <c r="A43" s="38" t="s">
        <v>831</v>
      </c>
      <c r="B43" s="38" t="str">
        <f>"66"</f>
        <v>66</v>
      </c>
      <c r="C43" s="53" t="str">
        <f>"陳沁琇"</f>
        <v>陳沁琇</v>
      </c>
      <c r="D43" s="262">
        <v>41850</v>
      </c>
      <c r="E43" s="39" t="s">
        <v>790</v>
      </c>
      <c r="F43" s="40">
        <v>5000</v>
      </c>
      <c r="G43" s="41">
        <v>25</v>
      </c>
      <c r="H43" s="41">
        <f t="shared" si="2"/>
        <v>125000</v>
      </c>
      <c r="I43" s="350" t="s">
        <v>3983</v>
      </c>
      <c r="J43" s="262">
        <v>41850</v>
      </c>
      <c r="K43" s="41">
        <f t="shared" si="3"/>
        <v>125000</v>
      </c>
      <c r="L43" s="224"/>
    </row>
    <row r="44" spans="1:12" ht="34.5" customHeight="1">
      <c r="A44" s="38" t="s">
        <v>832</v>
      </c>
      <c r="B44" s="38" t="str">
        <f>"103"</f>
        <v>103</v>
      </c>
      <c r="C44" s="53" t="str">
        <f>"鄭彩惠"</f>
        <v>鄭彩惠</v>
      </c>
      <c r="D44" s="262">
        <v>41850</v>
      </c>
      <c r="E44" s="39" t="s">
        <v>790</v>
      </c>
      <c r="F44" s="40">
        <v>1000</v>
      </c>
      <c r="G44" s="41">
        <v>25</v>
      </c>
      <c r="H44" s="41">
        <f t="shared" si="2"/>
        <v>25000</v>
      </c>
      <c r="I44" s="350" t="s">
        <v>3983</v>
      </c>
      <c r="J44" s="262">
        <v>41850</v>
      </c>
      <c r="K44" s="41">
        <f t="shared" si="3"/>
        <v>25000</v>
      </c>
      <c r="L44" s="224"/>
    </row>
    <row r="45" spans="1:12" ht="34.5" customHeight="1">
      <c r="A45" s="38" t="s">
        <v>833</v>
      </c>
      <c r="B45" s="38" t="str">
        <f>"69"</f>
        <v>69</v>
      </c>
      <c r="C45" s="53" t="str">
        <f>"林安安"</f>
        <v>林安安</v>
      </c>
      <c r="D45" s="262">
        <v>41850</v>
      </c>
      <c r="E45" s="39" t="s">
        <v>790</v>
      </c>
      <c r="F45" s="40">
        <v>5000</v>
      </c>
      <c r="G45" s="41">
        <v>25</v>
      </c>
      <c r="H45" s="41">
        <f t="shared" si="2"/>
        <v>125000</v>
      </c>
      <c r="I45" s="350" t="s">
        <v>3983</v>
      </c>
      <c r="J45" s="262">
        <v>41850</v>
      </c>
      <c r="K45" s="41">
        <f t="shared" si="3"/>
        <v>125000</v>
      </c>
      <c r="L45" s="224"/>
    </row>
    <row r="46" spans="1:12" ht="34.5" customHeight="1">
      <c r="A46" s="38" t="s">
        <v>834</v>
      </c>
      <c r="B46" s="38" t="str">
        <f>"197"</f>
        <v>197</v>
      </c>
      <c r="C46" s="53" t="str">
        <f>"蔡妤炘"</f>
        <v>蔡妤炘</v>
      </c>
      <c r="D46" s="262">
        <v>41850</v>
      </c>
      <c r="E46" s="39" t="s">
        <v>790</v>
      </c>
      <c r="F46" s="40">
        <v>5000</v>
      </c>
      <c r="G46" s="41">
        <v>25</v>
      </c>
      <c r="H46" s="41">
        <f t="shared" si="2"/>
        <v>125000</v>
      </c>
      <c r="I46" s="350" t="s">
        <v>3983</v>
      </c>
      <c r="J46" s="262">
        <v>41850</v>
      </c>
      <c r="K46" s="41">
        <f t="shared" si="3"/>
        <v>125000</v>
      </c>
      <c r="L46" s="224"/>
    </row>
    <row r="47" spans="1:12" ht="95.25" customHeight="1">
      <c r="A47" s="38" t="s">
        <v>835</v>
      </c>
      <c r="B47" s="38" t="str">
        <f>"198"</f>
        <v>198</v>
      </c>
      <c r="C47" s="53" t="str">
        <f>"徐正民"</f>
        <v>徐正民</v>
      </c>
      <c r="D47" s="262">
        <v>41850</v>
      </c>
      <c r="E47" s="39" t="s">
        <v>790</v>
      </c>
      <c r="F47" s="40">
        <v>1000</v>
      </c>
      <c r="G47" s="41">
        <v>25</v>
      </c>
      <c r="H47" s="41">
        <f t="shared" si="2"/>
        <v>25000</v>
      </c>
      <c r="I47" s="350" t="s">
        <v>3983</v>
      </c>
      <c r="J47" s="262">
        <v>41850</v>
      </c>
      <c r="K47" s="41">
        <f t="shared" si="3"/>
        <v>25000</v>
      </c>
      <c r="L47" s="224" t="s">
        <v>2755</v>
      </c>
    </row>
    <row r="48" spans="1:12" ht="34.5" customHeight="1">
      <c r="A48" s="38" t="s">
        <v>836</v>
      </c>
      <c r="B48" s="38" t="str">
        <f>"401"</f>
        <v>401</v>
      </c>
      <c r="C48" s="53" t="str">
        <f>"駱明貴"</f>
        <v>駱明貴</v>
      </c>
      <c r="D48" s="262">
        <v>41850</v>
      </c>
      <c r="E48" s="39" t="s">
        <v>790</v>
      </c>
      <c r="F48" s="40">
        <v>5000</v>
      </c>
      <c r="G48" s="41">
        <v>25</v>
      </c>
      <c r="H48" s="41">
        <f t="shared" si="2"/>
        <v>125000</v>
      </c>
      <c r="I48" s="350" t="s">
        <v>3983</v>
      </c>
      <c r="J48" s="262">
        <v>41850</v>
      </c>
      <c r="K48" s="41">
        <f t="shared" si="3"/>
        <v>125000</v>
      </c>
      <c r="L48" s="224"/>
    </row>
    <row r="49" spans="1:12" ht="34.5" customHeight="1">
      <c r="A49" s="38" t="s">
        <v>837</v>
      </c>
      <c r="B49" s="38" t="str">
        <f>"188"</f>
        <v>188</v>
      </c>
      <c r="C49" s="53" t="str">
        <f>"吳銘展"</f>
        <v>吳銘展</v>
      </c>
      <c r="D49" s="262">
        <v>41850</v>
      </c>
      <c r="E49" s="39" t="s">
        <v>790</v>
      </c>
      <c r="F49" s="40">
        <v>10000</v>
      </c>
      <c r="G49" s="41">
        <v>25</v>
      </c>
      <c r="H49" s="41">
        <f t="shared" si="2"/>
        <v>250000</v>
      </c>
      <c r="I49" s="350" t="s">
        <v>3983</v>
      </c>
      <c r="J49" s="262">
        <v>41850</v>
      </c>
      <c r="K49" s="41">
        <f t="shared" si="3"/>
        <v>250000</v>
      </c>
      <c r="L49" s="224"/>
    </row>
    <row r="50" spans="1:12" ht="34.5" customHeight="1">
      <c r="A50" s="38" t="s">
        <v>838</v>
      </c>
      <c r="B50" s="38" t="str">
        <f>"47"</f>
        <v>47</v>
      </c>
      <c r="C50" s="53" t="str">
        <f>"蘇介亮"</f>
        <v>蘇介亮</v>
      </c>
      <c r="D50" s="262">
        <v>41850</v>
      </c>
      <c r="E50" s="39" t="s">
        <v>790</v>
      </c>
      <c r="F50" s="40">
        <v>5000</v>
      </c>
      <c r="G50" s="41">
        <v>25</v>
      </c>
      <c r="H50" s="41">
        <f t="shared" si="2"/>
        <v>125000</v>
      </c>
      <c r="I50" s="350" t="s">
        <v>3983</v>
      </c>
      <c r="J50" s="262">
        <v>41850</v>
      </c>
      <c r="K50" s="41">
        <f t="shared" si="3"/>
        <v>125000</v>
      </c>
      <c r="L50" s="224"/>
    </row>
    <row r="51" spans="1:12" ht="34.5" customHeight="1">
      <c r="A51" s="38" t="s">
        <v>839</v>
      </c>
      <c r="B51" s="38" t="str">
        <f>"26"</f>
        <v>26</v>
      </c>
      <c r="C51" s="53" t="str">
        <f>"邱永鎮"</f>
        <v>邱永鎮</v>
      </c>
      <c r="D51" s="262">
        <v>41850</v>
      </c>
      <c r="E51" s="39" t="s">
        <v>790</v>
      </c>
      <c r="F51" s="40">
        <v>6000</v>
      </c>
      <c r="G51" s="41">
        <v>25</v>
      </c>
      <c r="H51" s="41">
        <f t="shared" si="2"/>
        <v>150000</v>
      </c>
      <c r="I51" s="350" t="s">
        <v>3983</v>
      </c>
      <c r="J51" s="262">
        <v>41850</v>
      </c>
      <c r="K51" s="41">
        <f t="shared" si="3"/>
        <v>150000</v>
      </c>
      <c r="L51" s="224"/>
    </row>
    <row r="52" spans="1:12" ht="79.5" customHeight="1">
      <c r="A52" s="38" t="s">
        <v>840</v>
      </c>
      <c r="B52" s="38" t="str">
        <f>"288"</f>
        <v>288</v>
      </c>
      <c r="C52" s="53" t="str">
        <f>"王素如"</f>
        <v>王素如</v>
      </c>
      <c r="D52" s="262">
        <v>41850</v>
      </c>
      <c r="E52" s="39" t="s">
        <v>790</v>
      </c>
      <c r="F52" s="40">
        <v>5000</v>
      </c>
      <c r="G52" s="41">
        <v>25</v>
      </c>
      <c r="H52" s="41">
        <f t="shared" si="2"/>
        <v>125000</v>
      </c>
      <c r="I52" s="350" t="s">
        <v>3983</v>
      </c>
      <c r="J52" s="262">
        <v>41850</v>
      </c>
      <c r="K52" s="41">
        <f t="shared" si="3"/>
        <v>125000</v>
      </c>
      <c r="L52" s="229" t="s">
        <v>2766</v>
      </c>
    </row>
    <row r="53" spans="1:12" ht="34.5" customHeight="1">
      <c r="A53" s="38" t="s">
        <v>841</v>
      </c>
      <c r="B53" s="38" t="str">
        <f>"306"</f>
        <v>306</v>
      </c>
      <c r="C53" s="53" t="str">
        <f>"陳綠蒂"</f>
        <v>陳綠蒂</v>
      </c>
      <c r="D53" s="262">
        <v>41850</v>
      </c>
      <c r="E53" s="39" t="s">
        <v>790</v>
      </c>
      <c r="F53" s="40">
        <v>3000</v>
      </c>
      <c r="G53" s="41">
        <v>25</v>
      </c>
      <c r="H53" s="41">
        <f t="shared" si="2"/>
        <v>75000</v>
      </c>
      <c r="I53" s="350" t="s">
        <v>3983</v>
      </c>
      <c r="J53" s="262">
        <v>41850</v>
      </c>
      <c r="K53" s="41">
        <f t="shared" si="3"/>
        <v>75000</v>
      </c>
      <c r="L53" s="224"/>
    </row>
    <row r="54" spans="1:12" ht="83.25" customHeight="1">
      <c r="A54" s="38" t="s">
        <v>842</v>
      </c>
      <c r="B54" s="38" t="str">
        <f>"92"</f>
        <v>92</v>
      </c>
      <c r="C54" s="53" t="str">
        <f>"邱碧芬"</f>
        <v>邱碧芬</v>
      </c>
      <c r="D54" s="262">
        <v>41850</v>
      </c>
      <c r="E54" s="39" t="s">
        <v>790</v>
      </c>
      <c r="F54" s="40">
        <v>6000</v>
      </c>
      <c r="G54" s="41">
        <v>25</v>
      </c>
      <c r="H54" s="41">
        <f t="shared" si="2"/>
        <v>150000</v>
      </c>
      <c r="I54" s="350" t="s">
        <v>3983</v>
      </c>
      <c r="J54" s="262">
        <v>41850</v>
      </c>
      <c r="K54" s="41">
        <f t="shared" si="3"/>
        <v>150000</v>
      </c>
      <c r="L54" s="224" t="s">
        <v>2645</v>
      </c>
    </row>
    <row r="55" spans="1:12" ht="34.5" customHeight="1">
      <c r="A55" s="38" t="s">
        <v>843</v>
      </c>
      <c r="B55" s="38" t="str">
        <f>"38"</f>
        <v>38</v>
      </c>
      <c r="C55" s="53" t="str">
        <f>"林智瑝"</f>
        <v>林智瑝</v>
      </c>
      <c r="D55" s="262">
        <v>41851</v>
      </c>
      <c r="E55" s="39" t="s">
        <v>790</v>
      </c>
      <c r="F55" s="40">
        <v>4000</v>
      </c>
      <c r="G55" s="41">
        <v>25</v>
      </c>
      <c r="H55" s="41">
        <f t="shared" si="2"/>
        <v>100000</v>
      </c>
      <c r="I55" s="350" t="s">
        <v>3983</v>
      </c>
      <c r="J55" s="262">
        <v>41851</v>
      </c>
      <c r="K55" s="41">
        <f t="shared" si="3"/>
        <v>100000</v>
      </c>
      <c r="L55" s="224"/>
    </row>
    <row r="56" spans="1:12" ht="34.5" customHeight="1">
      <c r="A56" s="38" t="s">
        <v>844</v>
      </c>
      <c r="B56" s="38" t="str">
        <f>"55"</f>
        <v>55</v>
      </c>
      <c r="C56" s="53" t="str">
        <f>"鍾國文"</f>
        <v>鍾國文</v>
      </c>
      <c r="D56" s="262">
        <v>41851</v>
      </c>
      <c r="E56" s="39" t="s">
        <v>790</v>
      </c>
      <c r="F56" s="40">
        <v>5000</v>
      </c>
      <c r="G56" s="41">
        <v>25</v>
      </c>
      <c r="H56" s="41">
        <f t="shared" si="2"/>
        <v>125000</v>
      </c>
      <c r="I56" s="350" t="s">
        <v>3983</v>
      </c>
      <c r="J56" s="262">
        <v>41851</v>
      </c>
      <c r="K56" s="41">
        <f t="shared" si="3"/>
        <v>125000</v>
      </c>
      <c r="L56" s="224"/>
    </row>
    <row r="57" spans="1:12" ht="34.5" customHeight="1">
      <c r="A57" s="38" t="s">
        <v>845</v>
      </c>
      <c r="B57" s="38" t="str">
        <f>"298"</f>
        <v>298</v>
      </c>
      <c r="C57" s="53" t="str">
        <f>"簡仁平"</f>
        <v>簡仁平</v>
      </c>
      <c r="D57" s="262">
        <v>41851</v>
      </c>
      <c r="E57" s="39" t="s">
        <v>790</v>
      </c>
      <c r="F57" s="40">
        <v>1000</v>
      </c>
      <c r="G57" s="41">
        <v>25</v>
      </c>
      <c r="H57" s="41">
        <f t="shared" si="2"/>
        <v>25000</v>
      </c>
      <c r="I57" s="350" t="s">
        <v>3983</v>
      </c>
      <c r="J57" s="262">
        <v>41851</v>
      </c>
      <c r="K57" s="41">
        <f t="shared" si="3"/>
        <v>25000</v>
      </c>
      <c r="L57" s="224"/>
    </row>
    <row r="58" spans="1:12" ht="34.5" customHeight="1">
      <c r="A58" s="38" t="s">
        <v>846</v>
      </c>
      <c r="B58" s="38" t="str">
        <f>"246"</f>
        <v>246</v>
      </c>
      <c r="C58" s="53" t="str">
        <f>"施華龍"</f>
        <v>施華龍</v>
      </c>
      <c r="D58" s="262">
        <v>41851</v>
      </c>
      <c r="E58" s="39" t="s">
        <v>790</v>
      </c>
      <c r="F58" s="40">
        <v>6000</v>
      </c>
      <c r="G58" s="41">
        <v>25</v>
      </c>
      <c r="H58" s="41">
        <f t="shared" si="2"/>
        <v>150000</v>
      </c>
      <c r="I58" s="350" t="s">
        <v>3983</v>
      </c>
      <c r="J58" s="262">
        <v>41851</v>
      </c>
      <c r="K58" s="41">
        <f t="shared" si="3"/>
        <v>150000</v>
      </c>
      <c r="L58" s="224"/>
    </row>
    <row r="59" spans="1:12" ht="34.5" customHeight="1">
      <c r="A59" s="38" t="s">
        <v>847</v>
      </c>
      <c r="B59" s="38" t="str">
        <f>"319"</f>
        <v>319</v>
      </c>
      <c r="C59" s="53" t="str">
        <f>"羅羽孜"</f>
        <v>羅羽孜</v>
      </c>
      <c r="D59" s="262">
        <v>41851</v>
      </c>
      <c r="E59" s="39" t="s">
        <v>790</v>
      </c>
      <c r="F59" s="40">
        <v>8000</v>
      </c>
      <c r="G59" s="41">
        <v>25</v>
      </c>
      <c r="H59" s="41">
        <f t="shared" si="2"/>
        <v>200000</v>
      </c>
      <c r="I59" s="350" t="s">
        <v>3983</v>
      </c>
      <c r="J59" s="262">
        <v>41851</v>
      </c>
      <c r="K59" s="41">
        <f t="shared" si="3"/>
        <v>200000</v>
      </c>
      <c r="L59" s="224"/>
    </row>
    <row r="60" spans="1:12" ht="34.5" customHeight="1">
      <c r="A60" s="38" t="s">
        <v>848</v>
      </c>
      <c r="B60" s="38" t="str">
        <f>"292"</f>
        <v>292</v>
      </c>
      <c r="C60" s="53" t="str">
        <f>"游閔暉"</f>
        <v>游閔暉</v>
      </c>
      <c r="D60" s="262">
        <v>41851</v>
      </c>
      <c r="E60" s="39" t="s">
        <v>790</v>
      </c>
      <c r="F60" s="40">
        <v>2000</v>
      </c>
      <c r="G60" s="41">
        <v>25</v>
      </c>
      <c r="H60" s="41">
        <f t="shared" si="2"/>
        <v>50000</v>
      </c>
      <c r="I60" s="350" t="s">
        <v>3983</v>
      </c>
      <c r="J60" s="262">
        <v>41851</v>
      </c>
      <c r="K60" s="41">
        <f t="shared" si="3"/>
        <v>50000</v>
      </c>
      <c r="L60" s="224"/>
    </row>
    <row r="61" spans="1:12" ht="34.5" customHeight="1">
      <c r="A61" s="38" t="s">
        <v>849</v>
      </c>
      <c r="B61" s="38" t="str">
        <f>"333"</f>
        <v>333</v>
      </c>
      <c r="C61" s="53" t="str">
        <f>"洪育德"</f>
        <v>洪育德</v>
      </c>
      <c r="D61" s="262">
        <v>41851</v>
      </c>
      <c r="E61" s="39" t="s">
        <v>790</v>
      </c>
      <c r="F61" s="40">
        <v>5000</v>
      </c>
      <c r="G61" s="41">
        <v>25</v>
      </c>
      <c r="H61" s="41">
        <f t="shared" si="2"/>
        <v>125000</v>
      </c>
      <c r="I61" s="350" t="s">
        <v>3983</v>
      </c>
      <c r="J61" s="262">
        <v>41851</v>
      </c>
      <c r="K61" s="41">
        <f t="shared" si="3"/>
        <v>125000</v>
      </c>
      <c r="L61" s="224"/>
    </row>
    <row r="62" spans="1:12" ht="34.5" customHeight="1">
      <c r="A62" s="38" t="s">
        <v>850</v>
      </c>
      <c r="B62" s="38" t="str">
        <f>"241"</f>
        <v>241</v>
      </c>
      <c r="C62" s="53" t="str">
        <f>"陳秀春"</f>
        <v>陳秀春</v>
      </c>
      <c r="D62" s="262">
        <v>41851</v>
      </c>
      <c r="E62" s="39" t="s">
        <v>790</v>
      </c>
      <c r="F62" s="40">
        <v>2000</v>
      </c>
      <c r="G62" s="41">
        <v>25</v>
      </c>
      <c r="H62" s="41">
        <f t="shared" si="2"/>
        <v>50000</v>
      </c>
      <c r="I62" s="350" t="s">
        <v>3983</v>
      </c>
      <c r="J62" s="262">
        <v>41851</v>
      </c>
      <c r="K62" s="41">
        <f t="shared" si="3"/>
        <v>50000</v>
      </c>
      <c r="L62" s="224"/>
    </row>
    <row r="63" spans="1:12" ht="34.5" customHeight="1">
      <c r="A63" s="38" t="s">
        <v>851</v>
      </c>
      <c r="B63" s="38" t="str">
        <f>"320"</f>
        <v>320</v>
      </c>
      <c r="C63" s="53" t="str">
        <f>"王俊隆"</f>
        <v>王俊隆</v>
      </c>
      <c r="D63" s="262">
        <v>41852</v>
      </c>
      <c r="E63" s="39" t="s">
        <v>790</v>
      </c>
      <c r="F63" s="40">
        <v>4000</v>
      </c>
      <c r="G63" s="41">
        <v>25</v>
      </c>
      <c r="H63" s="41">
        <f t="shared" si="2"/>
        <v>100000</v>
      </c>
      <c r="I63" s="350" t="s">
        <v>3983</v>
      </c>
      <c r="J63" s="262">
        <v>41852</v>
      </c>
      <c r="K63" s="41">
        <f t="shared" si="3"/>
        <v>100000</v>
      </c>
      <c r="L63" s="224"/>
    </row>
    <row r="64" spans="1:12" ht="34.5" customHeight="1">
      <c r="A64" s="38" t="s">
        <v>852</v>
      </c>
      <c r="B64" s="38" t="str">
        <f>"355"</f>
        <v>355</v>
      </c>
      <c r="C64" s="53" t="str">
        <f>"曾春明"</f>
        <v>曾春明</v>
      </c>
      <c r="D64" s="262">
        <v>41852</v>
      </c>
      <c r="E64" s="39" t="s">
        <v>790</v>
      </c>
      <c r="F64" s="40">
        <v>5000</v>
      </c>
      <c r="G64" s="41">
        <v>25</v>
      </c>
      <c r="H64" s="41">
        <f t="shared" si="2"/>
        <v>125000</v>
      </c>
      <c r="I64" s="350" t="s">
        <v>3983</v>
      </c>
      <c r="J64" s="262">
        <v>41852</v>
      </c>
      <c r="K64" s="41">
        <f t="shared" si="3"/>
        <v>125000</v>
      </c>
      <c r="L64" s="224"/>
    </row>
    <row r="65" spans="1:12" ht="34.5" customHeight="1">
      <c r="A65" s="38" t="s">
        <v>853</v>
      </c>
      <c r="B65" s="38" t="str">
        <f>"75"</f>
        <v>75</v>
      </c>
      <c r="C65" s="53" t="str">
        <f>"李安興"</f>
        <v>李安興</v>
      </c>
      <c r="D65" s="262">
        <v>41852</v>
      </c>
      <c r="E65" s="39" t="s">
        <v>790</v>
      </c>
      <c r="F65" s="40">
        <v>3000</v>
      </c>
      <c r="G65" s="41">
        <v>25</v>
      </c>
      <c r="H65" s="41">
        <f t="shared" si="2"/>
        <v>75000</v>
      </c>
      <c r="I65" s="350" t="s">
        <v>3983</v>
      </c>
      <c r="J65" s="262">
        <v>41852</v>
      </c>
      <c r="K65" s="41">
        <f t="shared" si="3"/>
        <v>75000</v>
      </c>
      <c r="L65" s="224"/>
    </row>
    <row r="66" spans="1:12" ht="34.5" customHeight="1">
      <c r="A66" s="38" t="s">
        <v>854</v>
      </c>
      <c r="B66" s="38" t="str">
        <f>"81"</f>
        <v>81</v>
      </c>
      <c r="C66" s="53" t="str">
        <f>"蘇碧玉"</f>
        <v>蘇碧玉</v>
      </c>
      <c r="D66" s="262">
        <v>41852</v>
      </c>
      <c r="E66" s="39" t="s">
        <v>790</v>
      </c>
      <c r="F66" s="40">
        <v>1000</v>
      </c>
      <c r="G66" s="41">
        <v>25</v>
      </c>
      <c r="H66" s="41">
        <f t="shared" si="2"/>
        <v>25000</v>
      </c>
      <c r="I66" s="350" t="s">
        <v>3983</v>
      </c>
      <c r="J66" s="262">
        <v>41852</v>
      </c>
      <c r="K66" s="41">
        <f t="shared" si="3"/>
        <v>25000</v>
      </c>
      <c r="L66" s="224"/>
    </row>
    <row r="67" spans="1:12" ht="34.5" customHeight="1">
      <c r="A67" s="38" t="s">
        <v>855</v>
      </c>
      <c r="B67" s="38" t="str">
        <f>"322"</f>
        <v>322</v>
      </c>
      <c r="C67" s="53" t="str">
        <f>"林宏軒"</f>
        <v>林宏軒</v>
      </c>
      <c r="D67" s="262">
        <v>41852</v>
      </c>
      <c r="E67" s="39" t="s">
        <v>790</v>
      </c>
      <c r="F67" s="40">
        <v>2000</v>
      </c>
      <c r="G67" s="41">
        <v>25</v>
      </c>
      <c r="H67" s="41">
        <f t="shared" si="2"/>
        <v>50000</v>
      </c>
      <c r="I67" s="350" t="s">
        <v>3983</v>
      </c>
      <c r="J67" s="262">
        <v>41852</v>
      </c>
      <c r="K67" s="41">
        <f t="shared" si="3"/>
        <v>50000</v>
      </c>
      <c r="L67" s="224"/>
    </row>
    <row r="68" spans="1:12" ht="34.5" customHeight="1">
      <c r="A68" s="38" t="s">
        <v>856</v>
      </c>
      <c r="B68" s="38" t="str">
        <f>"323"</f>
        <v>323</v>
      </c>
      <c r="C68" s="53" t="str">
        <f>"林佳蒨"</f>
        <v>林佳蒨</v>
      </c>
      <c r="D68" s="262">
        <v>41852</v>
      </c>
      <c r="E68" s="39" t="s">
        <v>790</v>
      </c>
      <c r="F68" s="40">
        <v>2000</v>
      </c>
      <c r="G68" s="41">
        <v>25</v>
      </c>
      <c r="H68" s="41">
        <f t="shared" si="2"/>
        <v>50000</v>
      </c>
      <c r="I68" s="350" t="s">
        <v>3983</v>
      </c>
      <c r="J68" s="262">
        <v>41852</v>
      </c>
      <c r="K68" s="41">
        <f t="shared" si="3"/>
        <v>50000</v>
      </c>
      <c r="L68" s="224"/>
    </row>
    <row r="69" spans="1:12" ht="34.5" customHeight="1">
      <c r="A69" s="38" t="s">
        <v>857</v>
      </c>
      <c r="B69" s="38" t="str">
        <f>"326"</f>
        <v>326</v>
      </c>
      <c r="C69" s="53" t="str">
        <f>"潘梅桂"</f>
        <v>潘梅桂</v>
      </c>
      <c r="D69" s="262">
        <v>41852</v>
      </c>
      <c r="E69" s="39" t="s">
        <v>790</v>
      </c>
      <c r="F69" s="40">
        <v>6000</v>
      </c>
      <c r="G69" s="41">
        <v>25</v>
      </c>
      <c r="H69" s="41">
        <f t="shared" si="2"/>
        <v>150000</v>
      </c>
      <c r="I69" s="350" t="s">
        <v>3983</v>
      </c>
      <c r="J69" s="262">
        <v>41852</v>
      </c>
      <c r="K69" s="41">
        <f t="shared" si="3"/>
        <v>150000</v>
      </c>
      <c r="L69" s="224"/>
    </row>
    <row r="70" spans="1:12" ht="34.5" customHeight="1">
      <c r="A70" s="38" t="s">
        <v>858</v>
      </c>
      <c r="B70" s="38" t="str">
        <f>"282"</f>
        <v>282</v>
      </c>
      <c r="C70" s="53" t="str">
        <f>"林齊瑞"</f>
        <v>林齊瑞</v>
      </c>
      <c r="D70" s="262">
        <v>41852</v>
      </c>
      <c r="E70" s="39" t="s">
        <v>790</v>
      </c>
      <c r="F70" s="40">
        <v>20000</v>
      </c>
      <c r="G70" s="41">
        <v>25</v>
      </c>
      <c r="H70" s="41">
        <f t="shared" si="2"/>
        <v>500000</v>
      </c>
      <c r="I70" s="350" t="s">
        <v>3983</v>
      </c>
      <c r="J70" s="262">
        <v>41852</v>
      </c>
      <c r="K70" s="41">
        <f t="shared" si="3"/>
        <v>500000</v>
      </c>
      <c r="L70" s="224"/>
    </row>
    <row r="71" spans="1:12" ht="34.5" customHeight="1">
      <c r="A71" s="38" t="s">
        <v>859</v>
      </c>
      <c r="B71" s="38" t="str">
        <f>"64"</f>
        <v>64</v>
      </c>
      <c r="C71" s="53" t="str">
        <f>"黃治元"</f>
        <v>黃治元</v>
      </c>
      <c r="D71" s="262">
        <v>41852</v>
      </c>
      <c r="E71" s="39" t="s">
        <v>790</v>
      </c>
      <c r="F71" s="40">
        <v>6000</v>
      </c>
      <c r="G71" s="41">
        <v>25</v>
      </c>
      <c r="H71" s="41">
        <f t="shared" si="2"/>
        <v>150000</v>
      </c>
      <c r="I71" s="350" t="s">
        <v>3983</v>
      </c>
      <c r="J71" s="262">
        <v>41852</v>
      </c>
      <c r="K71" s="41">
        <f t="shared" si="3"/>
        <v>150000</v>
      </c>
      <c r="L71" s="224"/>
    </row>
    <row r="72" spans="1:12" ht="34.5" customHeight="1">
      <c r="A72" s="38" t="s">
        <v>860</v>
      </c>
      <c r="B72" s="38" t="str">
        <f>"346"</f>
        <v>346</v>
      </c>
      <c r="C72" s="53" t="str">
        <f>"劉姿君"</f>
        <v>劉姿君</v>
      </c>
      <c r="D72" s="262">
        <v>41852</v>
      </c>
      <c r="E72" s="39" t="s">
        <v>790</v>
      </c>
      <c r="F72" s="40">
        <v>4000</v>
      </c>
      <c r="G72" s="41">
        <v>25</v>
      </c>
      <c r="H72" s="41">
        <f t="shared" si="2"/>
        <v>100000</v>
      </c>
      <c r="I72" s="350" t="s">
        <v>3983</v>
      </c>
      <c r="J72" s="262">
        <v>41852</v>
      </c>
      <c r="K72" s="41">
        <f t="shared" si="3"/>
        <v>100000</v>
      </c>
      <c r="L72" s="224"/>
    </row>
    <row r="73" spans="1:12" ht="34.5" customHeight="1">
      <c r="A73" s="38" t="s">
        <v>861</v>
      </c>
      <c r="B73" s="38" t="str">
        <f>"275"</f>
        <v>275</v>
      </c>
      <c r="C73" s="53" t="str">
        <f>"王翔藝"</f>
        <v>王翔藝</v>
      </c>
      <c r="D73" s="262">
        <v>41852</v>
      </c>
      <c r="E73" s="39" t="s">
        <v>790</v>
      </c>
      <c r="F73" s="40">
        <v>4000</v>
      </c>
      <c r="G73" s="41">
        <v>25</v>
      </c>
      <c r="H73" s="41">
        <f t="shared" si="2"/>
        <v>100000</v>
      </c>
      <c r="I73" s="350" t="s">
        <v>3983</v>
      </c>
      <c r="J73" s="262">
        <v>41852</v>
      </c>
      <c r="K73" s="41">
        <f t="shared" si="3"/>
        <v>100000</v>
      </c>
      <c r="L73" s="224"/>
    </row>
    <row r="74" spans="1:12" ht="34.5" customHeight="1">
      <c r="A74" s="38" t="s">
        <v>862</v>
      </c>
      <c r="B74" s="38" t="str">
        <f>"125"</f>
        <v>125</v>
      </c>
      <c r="C74" s="53" t="str">
        <f>"廖森雲"</f>
        <v>廖森雲</v>
      </c>
      <c r="D74" s="262">
        <v>41852</v>
      </c>
      <c r="E74" s="39" t="s">
        <v>790</v>
      </c>
      <c r="F74" s="40">
        <v>1000</v>
      </c>
      <c r="G74" s="41">
        <v>25</v>
      </c>
      <c r="H74" s="41">
        <f t="shared" si="2"/>
        <v>25000</v>
      </c>
      <c r="I74" s="350" t="s">
        <v>3983</v>
      </c>
      <c r="J74" s="262">
        <v>41852</v>
      </c>
      <c r="K74" s="41">
        <f t="shared" si="3"/>
        <v>25000</v>
      </c>
      <c r="L74" s="224"/>
    </row>
    <row r="75" spans="1:12" ht="34.5" customHeight="1">
      <c r="A75" s="38" t="s">
        <v>863</v>
      </c>
      <c r="B75" s="38" t="str">
        <f>"31"</f>
        <v>31</v>
      </c>
      <c r="C75" s="53" t="str">
        <f>"陳啟瀚"</f>
        <v>陳啟瀚</v>
      </c>
      <c r="D75" s="262">
        <v>41852</v>
      </c>
      <c r="E75" s="39" t="s">
        <v>790</v>
      </c>
      <c r="F75" s="40">
        <v>4000</v>
      </c>
      <c r="G75" s="41">
        <v>25</v>
      </c>
      <c r="H75" s="41">
        <f t="shared" si="2"/>
        <v>100000</v>
      </c>
      <c r="I75" s="350" t="s">
        <v>3983</v>
      </c>
      <c r="J75" s="262">
        <v>41852</v>
      </c>
      <c r="K75" s="41">
        <f t="shared" si="3"/>
        <v>100000</v>
      </c>
      <c r="L75" s="224"/>
    </row>
    <row r="76" spans="1:12" ht="34.5" customHeight="1">
      <c r="A76" s="38" t="s">
        <v>864</v>
      </c>
      <c r="B76" s="38" t="str">
        <f>"263"</f>
        <v>263</v>
      </c>
      <c r="C76" s="53" t="str">
        <f>"紀若凡"</f>
        <v>紀若凡</v>
      </c>
      <c r="D76" s="262">
        <v>41852</v>
      </c>
      <c r="E76" s="39" t="s">
        <v>790</v>
      </c>
      <c r="F76" s="40">
        <v>2000</v>
      </c>
      <c r="G76" s="41">
        <v>25</v>
      </c>
      <c r="H76" s="41">
        <f t="shared" si="2"/>
        <v>50000</v>
      </c>
      <c r="I76" s="350" t="s">
        <v>3983</v>
      </c>
      <c r="J76" s="262">
        <v>41852</v>
      </c>
      <c r="K76" s="41">
        <f t="shared" si="3"/>
        <v>50000</v>
      </c>
      <c r="L76" s="224"/>
    </row>
    <row r="77" spans="1:12" ht="114" customHeight="1">
      <c r="A77" s="38" t="s">
        <v>865</v>
      </c>
      <c r="B77" s="38" t="str">
        <f>"203"</f>
        <v>203</v>
      </c>
      <c r="C77" s="53" t="str">
        <f>"李純香"</f>
        <v>李純香</v>
      </c>
      <c r="D77" s="262">
        <v>41852</v>
      </c>
      <c r="E77" s="39" t="s">
        <v>790</v>
      </c>
      <c r="F77" s="40">
        <v>7000</v>
      </c>
      <c r="G77" s="41">
        <v>25</v>
      </c>
      <c r="H77" s="41">
        <f t="shared" si="2"/>
        <v>175000</v>
      </c>
      <c r="I77" s="350" t="s">
        <v>3983</v>
      </c>
      <c r="J77" s="262">
        <v>41852</v>
      </c>
      <c r="K77" s="41">
        <f t="shared" si="3"/>
        <v>175000</v>
      </c>
      <c r="L77" s="229" t="s">
        <v>2846</v>
      </c>
    </row>
    <row r="78" spans="1:12" ht="34.5" customHeight="1">
      <c r="A78" s="38" t="s">
        <v>866</v>
      </c>
      <c r="B78" s="38" t="str">
        <f>"286"</f>
        <v>286</v>
      </c>
      <c r="C78" s="53" t="str">
        <f>"林惠宜"</f>
        <v>林惠宜</v>
      </c>
      <c r="D78" s="262">
        <v>41855</v>
      </c>
      <c r="E78" s="39" t="s">
        <v>790</v>
      </c>
      <c r="F78" s="40">
        <v>2000</v>
      </c>
      <c r="G78" s="41">
        <v>25</v>
      </c>
      <c r="H78" s="41">
        <f>F78*G78</f>
        <v>50000</v>
      </c>
      <c r="I78" s="350" t="s">
        <v>3983</v>
      </c>
      <c r="J78" s="262">
        <v>41855</v>
      </c>
      <c r="K78" s="41">
        <f t="shared" si="3"/>
        <v>50000</v>
      </c>
      <c r="L78" s="224"/>
    </row>
    <row r="79" spans="1:12" ht="34.5" customHeight="1">
      <c r="A79" s="38" t="s">
        <v>867</v>
      </c>
      <c r="B79" s="38" t="str">
        <f>"191"</f>
        <v>191</v>
      </c>
      <c r="C79" s="53" t="str">
        <f>"簡月真"</f>
        <v>簡月真</v>
      </c>
      <c r="D79" s="262">
        <v>41855</v>
      </c>
      <c r="E79" s="39" t="s">
        <v>790</v>
      </c>
      <c r="F79" s="40">
        <v>5000</v>
      </c>
      <c r="G79" s="41">
        <v>25</v>
      </c>
      <c r="H79" s="41">
        <f t="shared" si="2"/>
        <v>125000</v>
      </c>
      <c r="I79" s="350" t="s">
        <v>3983</v>
      </c>
      <c r="J79" s="262">
        <v>41855</v>
      </c>
      <c r="K79" s="41">
        <f t="shared" si="3"/>
        <v>125000</v>
      </c>
      <c r="L79" s="224"/>
    </row>
    <row r="80" spans="1:12" ht="34.5" customHeight="1">
      <c r="A80" s="38" t="s">
        <v>868</v>
      </c>
      <c r="B80" s="38" t="str">
        <f>"287"</f>
        <v>287</v>
      </c>
      <c r="C80" s="53" t="str">
        <f>"蔡翌純"</f>
        <v>蔡翌純</v>
      </c>
      <c r="D80" s="262">
        <v>41855</v>
      </c>
      <c r="E80" s="39" t="s">
        <v>790</v>
      </c>
      <c r="F80" s="40">
        <v>2000</v>
      </c>
      <c r="G80" s="41">
        <v>25</v>
      </c>
      <c r="H80" s="41">
        <f t="shared" si="2"/>
        <v>50000</v>
      </c>
      <c r="I80" s="350" t="s">
        <v>3983</v>
      </c>
      <c r="J80" s="262">
        <v>41855</v>
      </c>
      <c r="K80" s="41">
        <f t="shared" si="3"/>
        <v>50000</v>
      </c>
      <c r="L80" s="224"/>
    </row>
    <row r="81" spans="1:12" ht="34.5" customHeight="1">
      <c r="A81" s="38" t="s">
        <v>869</v>
      </c>
      <c r="B81" s="38" t="str">
        <f>"386"</f>
        <v>386</v>
      </c>
      <c r="C81" s="53" t="str">
        <f>"黃桂芬"</f>
        <v>黃桂芬</v>
      </c>
      <c r="D81" s="262">
        <v>41855</v>
      </c>
      <c r="E81" s="39" t="s">
        <v>790</v>
      </c>
      <c r="F81" s="40">
        <v>2000</v>
      </c>
      <c r="G81" s="41">
        <v>25</v>
      </c>
      <c r="H81" s="41">
        <f t="shared" si="2"/>
        <v>50000</v>
      </c>
      <c r="I81" s="350" t="s">
        <v>3983</v>
      </c>
      <c r="J81" s="262">
        <v>41855</v>
      </c>
      <c r="K81" s="41">
        <f t="shared" si="3"/>
        <v>50000</v>
      </c>
      <c r="L81" s="224"/>
    </row>
    <row r="82" spans="1:12" ht="34.5" customHeight="1">
      <c r="A82" s="38" t="s">
        <v>870</v>
      </c>
      <c r="B82" s="38" t="str">
        <f>"205"</f>
        <v>205</v>
      </c>
      <c r="C82" s="53" t="str">
        <f>"馬幽梅"</f>
        <v>馬幽梅</v>
      </c>
      <c r="D82" s="262">
        <v>41855</v>
      </c>
      <c r="E82" s="39" t="s">
        <v>790</v>
      </c>
      <c r="F82" s="40">
        <v>2000</v>
      </c>
      <c r="G82" s="41">
        <v>25</v>
      </c>
      <c r="H82" s="41">
        <f t="shared" si="2"/>
        <v>50000</v>
      </c>
      <c r="I82" s="350" t="s">
        <v>3983</v>
      </c>
      <c r="J82" s="262">
        <v>41855</v>
      </c>
      <c r="K82" s="41">
        <f t="shared" si="3"/>
        <v>50000</v>
      </c>
      <c r="L82" s="224"/>
    </row>
    <row r="83" spans="1:12" ht="34.5" customHeight="1">
      <c r="A83" s="38" t="s">
        <v>871</v>
      </c>
      <c r="B83" s="38" t="str">
        <f>"357"</f>
        <v>357</v>
      </c>
      <c r="C83" s="53" t="str">
        <f>"陳藝文"</f>
        <v>陳藝文</v>
      </c>
      <c r="D83" s="262">
        <v>41855</v>
      </c>
      <c r="E83" s="39" t="s">
        <v>790</v>
      </c>
      <c r="F83" s="40">
        <v>5000</v>
      </c>
      <c r="G83" s="41">
        <v>25</v>
      </c>
      <c r="H83" s="41">
        <f t="shared" si="2"/>
        <v>125000</v>
      </c>
      <c r="I83" s="350" t="s">
        <v>3983</v>
      </c>
      <c r="J83" s="262">
        <v>41855</v>
      </c>
      <c r="K83" s="41">
        <f t="shared" si="3"/>
        <v>125000</v>
      </c>
      <c r="L83" s="224"/>
    </row>
    <row r="84" spans="1:12" ht="34.5" customHeight="1">
      <c r="A84" s="38" t="s">
        <v>872</v>
      </c>
      <c r="B84" s="38" t="str">
        <f>"331"</f>
        <v>331</v>
      </c>
      <c r="C84" s="53" t="str">
        <f>"陳義正"</f>
        <v>陳義正</v>
      </c>
      <c r="D84" s="262">
        <v>41855</v>
      </c>
      <c r="E84" s="39" t="s">
        <v>790</v>
      </c>
      <c r="F84" s="40">
        <v>5000</v>
      </c>
      <c r="G84" s="41">
        <v>25</v>
      </c>
      <c r="H84" s="41">
        <f t="shared" si="2"/>
        <v>125000</v>
      </c>
      <c r="I84" s="350" t="s">
        <v>3983</v>
      </c>
      <c r="J84" s="262">
        <v>41855</v>
      </c>
      <c r="K84" s="41">
        <f t="shared" si="3"/>
        <v>125000</v>
      </c>
      <c r="L84" s="224"/>
    </row>
    <row r="85" spans="1:12" ht="34.5" customHeight="1">
      <c r="A85" s="38" t="s">
        <v>873</v>
      </c>
      <c r="B85" s="38" t="str">
        <f>"173"</f>
        <v>173</v>
      </c>
      <c r="C85" s="53" t="str">
        <f>"許正典"</f>
        <v>許正典</v>
      </c>
      <c r="D85" s="262">
        <v>41855</v>
      </c>
      <c r="E85" s="39" t="s">
        <v>790</v>
      </c>
      <c r="F85" s="40">
        <v>3000</v>
      </c>
      <c r="G85" s="41">
        <v>25</v>
      </c>
      <c r="H85" s="41">
        <f t="shared" si="2"/>
        <v>75000</v>
      </c>
      <c r="I85" s="350" t="s">
        <v>3983</v>
      </c>
      <c r="J85" s="262">
        <v>41855</v>
      </c>
      <c r="K85" s="41">
        <f t="shared" si="3"/>
        <v>75000</v>
      </c>
      <c r="L85" s="224"/>
    </row>
    <row r="86" spans="1:12" ht="34.5" customHeight="1">
      <c r="A86" s="38" t="s">
        <v>874</v>
      </c>
      <c r="B86" s="38" t="str">
        <f>"74"</f>
        <v>74</v>
      </c>
      <c r="C86" s="53" t="str">
        <f>"江錦祥"</f>
        <v>江錦祥</v>
      </c>
      <c r="D86" s="262">
        <v>41855</v>
      </c>
      <c r="E86" s="39" t="s">
        <v>790</v>
      </c>
      <c r="F86" s="40">
        <v>5000</v>
      </c>
      <c r="G86" s="41">
        <v>25</v>
      </c>
      <c r="H86" s="41">
        <f t="shared" si="2"/>
        <v>125000</v>
      </c>
      <c r="I86" s="350" t="s">
        <v>3983</v>
      </c>
      <c r="J86" s="262">
        <v>41855</v>
      </c>
      <c r="K86" s="41">
        <f t="shared" si="3"/>
        <v>125000</v>
      </c>
      <c r="L86" s="224"/>
    </row>
    <row r="87" spans="1:12" ht="34.5" customHeight="1">
      <c r="A87" s="38" t="s">
        <v>875</v>
      </c>
      <c r="B87" s="38" t="str">
        <f>"156"</f>
        <v>156</v>
      </c>
      <c r="C87" s="53" t="str">
        <f>"駱沛婕"</f>
        <v>駱沛婕</v>
      </c>
      <c r="D87" s="262">
        <v>41855</v>
      </c>
      <c r="E87" s="39" t="s">
        <v>790</v>
      </c>
      <c r="F87" s="40">
        <v>5000</v>
      </c>
      <c r="G87" s="41">
        <v>25</v>
      </c>
      <c r="H87" s="41">
        <f t="shared" si="2"/>
        <v>125000</v>
      </c>
      <c r="I87" s="350" t="s">
        <v>3983</v>
      </c>
      <c r="J87" s="262">
        <v>41855</v>
      </c>
      <c r="K87" s="41">
        <f t="shared" si="3"/>
        <v>125000</v>
      </c>
      <c r="L87" s="224"/>
    </row>
    <row r="88" spans="1:12" ht="34.5" customHeight="1">
      <c r="A88" s="38" t="s">
        <v>876</v>
      </c>
      <c r="B88" s="38" t="str">
        <f>"269"</f>
        <v>269</v>
      </c>
      <c r="C88" s="53" t="str">
        <f>"黃昶芳"</f>
        <v>黃昶芳</v>
      </c>
      <c r="D88" s="262">
        <v>41856</v>
      </c>
      <c r="E88" s="39" t="s">
        <v>790</v>
      </c>
      <c r="F88" s="40">
        <v>6000</v>
      </c>
      <c r="G88" s="41">
        <v>25</v>
      </c>
      <c r="H88" s="41">
        <f t="shared" ref="H88:H115" si="4">F88*G88</f>
        <v>150000</v>
      </c>
      <c r="I88" s="350" t="s">
        <v>3983</v>
      </c>
      <c r="J88" s="262">
        <v>41856</v>
      </c>
      <c r="K88" s="41">
        <f t="shared" ref="K88:K151" si="5">H88</f>
        <v>150000</v>
      </c>
      <c r="L88" s="224"/>
    </row>
    <row r="89" spans="1:12" ht="34.5" customHeight="1">
      <c r="A89" s="38" t="s">
        <v>877</v>
      </c>
      <c r="B89" s="38" t="str">
        <f>"242"</f>
        <v>242</v>
      </c>
      <c r="C89" s="53" t="str">
        <f>"李梅芬"</f>
        <v>李梅芬</v>
      </c>
      <c r="D89" s="262">
        <v>41856</v>
      </c>
      <c r="E89" s="39" t="s">
        <v>790</v>
      </c>
      <c r="F89" s="40">
        <v>5000</v>
      </c>
      <c r="G89" s="41">
        <v>25</v>
      </c>
      <c r="H89" s="41">
        <f t="shared" si="4"/>
        <v>125000</v>
      </c>
      <c r="I89" s="350" t="s">
        <v>3983</v>
      </c>
      <c r="J89" s="262">
        <v>41856</v>
      </c>
      <c r="K89" s="41">
        <f t="shared" si="5"/>
        <v>125000</v>
      </c>
      <c r="L89" s="224"/>
    </row>
    <row r="90" spans="1:12" ht="34.5" customHeight="1">
      <c r="A90" s="38" t="s">
        <v>878</v>
      </c>
      <c r="B90" s="38" t="str">
        <f>"141"</f>
        <v>141</v>
      </c>
      <c r="C90" s="53" t="str">
        <f>"羅文峰"</f>
        <v>羅文峰</v>
      </c>
      <c r="D90" s="262">
        <v>41856</v>
      </c>
      <c r="E90" s="39" t="s">
        <v>790</v>
      </c>
      <c r="F90" s="40">
        <v>10000</v>
      </c>
      <c r="G90" s="41">
        <v>25</v>
      </c>
      <c r="H90" s="41">
        <f t="shared" si="4"/>
        <v>250000</v>
      </c>
      <c r="I90" s="350" t="s">
        <v>3983</v>
      </c>
      <c r="J90" s="262">
        <v>41856</v>
      </c>
      <c r="K90" s="41">
        <f t="shared" si="5"/>
        <v>250000</v>
      </c>
      <c r="L90" s="224"/>
    </row>
    <row r="91" spans="1:12" ht="34.5" customHeight="1">
      <c r="A91" s="38" t="s">
        <v>879</v>
      </c>
      <c r="B91" s="38" t="str">
        <f>"208"</f>
        <v>208</v>
      </c>
      <c r="C91" s="53" t="str">
        <f>"吳沛蒼"</f>
        <v>吳沛蒼</v>
      </c>
      <c r="D91" s="262">
        <v>41856</v>
      </c>
      <c r="E91" s="39" t="s">
        <v>790</v>
      </c>
      <c r="F91" s="40">
        <v>5000</v>
      </c>
      <c r="G91" s="41">
        <v>25</v>
      </c>
      <c r="H91" s="41">
        <f t="shared" si="4"/>
        <v>125000</v>
      </c>
      <c r="I91" s="350" t="s">
        <v>3983</v>
      </c>
      <c r="J91" s="262">
        <v>41856</v>
      </c>
      <c r="K91" s="41">
        <f t="shared" si="5"/>
        <v>125000</v>
      </c>
      <c r="L91" s="224"/>
    </row>
    <row r="92" spans="1:12" ht="34.5" customHeight="1">
      <c r="A92" s="38" t="s">
        <v>880</v>
      </c>
      <c r="B92" s="38" t="str">
        <f>"189"</f>
        <v>189</v>
      </c>
      <c r="C92" s="53" t="str">
        <f>"劉聰杰"</f>
        <v>劉聰杰</v>
      </c>
      <c r="D92" s="262">
        <v>41856</v>
      </c>
      <c r="E92" s="39" t="s">
        <v>790</v>
      </c>
      <c r="F92" s="40">
        <v>10000</v>
      </c>
      <c r="G92" s="41">
        <v>25</v>
      </c>
      <c r="H92" s="41">
        <f t="shared" si="4"/>
        <v>250000</v>
      </c>
      <c r="I92" s="350" t="s">
        <v>3983</v>
      </c>
      <c r="J92" s="262">
        <v>41856</v>
      </c>
      <c r="K92" s="41">
        <f t="shared" si="5"/>
        <v>250000</v>
      </c>
      <c r="L92" s="224"/>
    </row>
    <row r="93" spans="1:12" ht="34.5" customHeight="1">
      <c r="A93" s="38" t="s">
        <v>881</v>
      </c>
      <c r="B93" s="38" t="str">
        <f>"41"</f>
        <v>41</v>
      </c>
      <c r="C93" s="53" t="str">
        <f>"鍾美玉"</f>
        <v>鍾美玉</v>
      </c>
      <c r="D93" s="262">
        <v>41856</v>
      </c>
      <c r="E93" s="39" t="s">
        <v>790</v>
      </c>
      <c r="F93" s="40">
        <v>5000</v>
      </c>
      <c r="G93" s="41">
        <v>25</v>
      </c>
      <c r="H93" s="41">
        <f t="shared" si="4"/>
        <v>125000</v>
      </c>
      <c r="I93" s="350" t="s">
        <v>3983</v>
      </c>
      <c r="J93" s="262">
        <v>41856</v>
      </c>
      <c r="K93" s="41">
        <f t="shared" si="5"/>
        <v>125000</v>
      </c>
      <c r="L93" s="224"/>
    </row>
    <row r="94" spans="1:12" ht="67.650000000000006" customHeight="1">
      <c r="A94" s="38" t="s">
        <v>882</v>
      </c>
      <c r="B94" s="38" t="str">
        <f>"256"</f>
        <v>256</v>
      </c>
      <c r="C94" s="53" t="str">
        <f>"陳鈞裕"</f>
        <v>陳鈞裕</v>
      </c>
      <c r="D94" s="262">
        <v>41856</v>
      </c>
      <c r="E94" s="39" t="s">
        <v>790</v>
      </c>
      <c r="F94" s="40">
        <v>5000</v>
      </c>
      <c r="G94" s="41">
        <v>25</v>
      </c>
      <c r="H94" s="41">
        <f t="shared" si="4"/>
        <v>125000</v>
      </c>
      <c r="I94" s="350" t="s">
        <v>3983</v>
      </c>
      <c r="J94" s="262">
        <v>41856</v>
      </c>
      <c r="K94" s="41">
        <f t="shared" si="5"/>
        <v>125000</v>
      </c>
      <c r="L94" s="224" t="s">
        <v>2763</v>
      </c>
    </row>
    <row r="95" spans="1:12" ht="34.5" customHeight="1">
      <c r="A95" s="38" t="s">
        <v>883</v>
      </c>
      <c r="B95" s="38" t="str">
        <f>"224"</f>
        <v>224</v>
      </c>
      <c r="C95" s="53" t="str">
        <f>"陳惠春"</f>
        <v>陳惠春</v>
      </c>
      <c r="D95" s="262">
        <v>41856</v>
      </c>
      <c r="E95" s="39" t="s">
        <v>790</v>
      </c>
      <c r="F95" s="40">
        <v>4000</v>
      </c>
      <c r="G95" s="41">
        <v>25</v>
      </c>
      <c r="H95" s="41">
        <f t="shared" si="4"/>
        <v>100000</v>
      </c>
      <c r="I95" s="350" t="s">
        <v>3983</v>
      </c>
      <c r="J95" s="262">
        <v>41856</v>
      </c>
      <c r="K95" s="41">
        <f t="shared" si="5"/>
        <v>100000</v>
      </c>
      <c r="L95" s="224"/>
    </row>
    <row r="96" spans="1:12" ht="34.5" customHeight="1">
      <c r="A96" s="38" t="s">
        <v>884</v>
      </c>
      <c r="B96" s="38" t="str">
        <f>"225"</f>
        <v>225</v>
      </c>
      <c r="C96" s="53" t="str">
        <f>"陳淑如"</f>
        <v>陳淑如</v>
      </c>
      <c r="D96" s="262">
        <v>41856</v>
      </c>
      <c r="E96" s="39" t="s">
        <v>790</v>
      </c>
      <c r="F96" s="40">
        <v>5000</v>
      </c>
      <c r="G96" s="41">
        <v>25</v>
      </c>
      <c r="H96" s="41">
        <f t="shared" si="4"/>
        <v>125000</v>
      </c>
      <c r="I96" s="350" t="s">
        <v>3983</v>
      </c>
      <c r="J96" s="262">
        <v>41856</v>
      </c>
      <c r="K96" s="41">
        <f t="shared" si="5"/>
        <v>125000</v>
      </c>
      <c r="L96" s="224"/>
    </row>
    <row r="97" spans="1:12" ht="80.25" customHeight="1">
      <c r="A97" s="38" t="s">
        <v>885</v>
      </c>
      <c r="B97" s="38" t="str">
        <f>"16"</f>
        <v>16</v>
      </c>
      <c r="C97" s="53" t="str">
        <f>"韓寶玲"</f>
        <v>韓寶玲</v>
      </c>
      <c r="D97" s="262">
        <v>41856</v>
      </c>
      <c r="E97" s="39" t="s">
        <v>790</v>
      </c>
      <c r="F97" s="40">
        <v>2000</v>
      </c>
      <c r="G97" s="41">
        <v>25</v>
      </c>
      <c r="H97" s="41">
        <f t="shared" si="4"/>
        <v>50000</v>
      </c>
      <c r="I97" s="350" t="s">
        <v>3983</v>
      </c>
      <c r="J97" s="262">
        <v>41856</v>
      </c>
      <c r="K97" s="41">
        <f t="shared" si="5"/>
        <v>50000</v>
      </c>
      <c r="L97" s="224" t="s">
        <v>2695</v>
      </c>
    </row>
    <row r="98" spans="1:12" ht="34.5" customHeight="1">
      <c r="A98" s="38" t="s">
        <v>886</v>
      </c>
      <c r="B98" s="38" t="str">
        <f>"368"</f>
        <v>368</v>
      </c>
      <c r="C98" s="53" t="str">
        <f>"宋愛萍"</f>
        <v>宋愛萍</v>
      </c>
      <c r="D98" s="262">
        <v>41856</v>
      </c>
      <c r="E98" s="39" t="s">
        <v>790</v>
      </c>
      <c r="F98" s="40">
        <v>2000</v>
      </c>
      <c r="G98" s="41">
        <v>25</v>
      </c>
      <c r="H98" s="41">
        <f t="shared" si="4"/>
        <v>50000</v>
      </c>
      <c r="I98" s="350" t="s">
        <v>3983</v>
      </c>
      <c r="J98" s="262">
        <v>41856</v>
      </c>
      <c r="K98" s="41">
        <f t="shared" si="5"/>
        <v>50000</v>
      </c>
      <c r="L98" s="224"/>
    </row>
    <row r="99" spans="1:12" ht="34.5" customHeight="1">
      <c r="A99" s="38" t="s">
        <v>887</v>
      </c>
      <c r="B99" s="38" t="str">
        <f>"104"</f>
        <v>104</v>
      </c>
      <c r="C99" s="53" t="str">
        <f>"陳良賓"</f>
        <v>陳良賓</v>
      </c>
      <c r="D99" s="262">
        <v>41856</v>
      </c>
      <c r="E99" s="39" t="s">
        <v>790</v>
      </c>
      <c r="F99" s="40">
        <v>2000</v>
      </c>
      <c r="G99" s="41">
        <v>25</v>
      </c>
      <c r="H99" s="41">
        <f t="shared" si="4"/>
        <v>50000</v>
      </c>
      <c r="I99" s="350" t="s">
        <v>3983</v>
      </c>
      <c r="J99" s="262">
        <v>41856</v>
      </c>
      <c r="K99" s="41">
        <f t="shared" si="5"/>
        <v>50000</v>
      </c>
      <c r="L99" s="224"/>
    </row>
    <row r="100" spans="1:12" ht="34.5" customHeight="1">
      <c r="A100" s="38" t="s">
        <v>888</v>
      </c>
      <c r="B100" s="38" t="str">
        <f>"329"</f>
        <v>329</v>
      </c>
      <c r="C100" s="53" t="str">
        <f>"曾耀慶"</f>
        <v>曾耀慶</v>
      </c>
      <c r="D100" s="262">
        <v>41856</v>
      </c>
      <c r="E100" s="39" t="s">
        <v>790</v>
      </c>
      <c r="F100" s="40">
        <v>5000</v>
      </c>
      <c r="G100" s="41">
        <v>25</v>
      </c>
      <c r="H100" s="41">
        <f t="shared" si="4"/>
        <v>125000</v>
      </c>
      <c r="I100" s="350" t="s">
        <v>3983</v>
      </c>
      <c r="J100" s="262">
        <v>41856</v>
      </c>
      <c r="K100" s="41">
        <f t="shared" si="5"/>
        <v>125000</v>
      </c>
      <c r="L100" s="224"/>
    </row>
    <row r="101" spans="1:12" ht="34.5" customHeight="1">
      <c r="A101" s="38" t="s">
        <v>889</v>
      </c>
      <c r="B101" s="38" t="str">
        <f>"392"</f>
        <v>392</v>
      </c>
      <c r="C101" s="53" t="str">
        <f>"李永澤"</f>
        <v>李永澤</v>
      </c>
      <c r="D101" s="262">
        <v>41856</v>
      </c>
      <c r="E101" s="39" t="s">
        <v>790</v>
      </c>
      <c r="F101" s="40">
        <v>2000</v>
      </c>
      <c r="G101" s="41">
        <v>25</v>
      </c>
      <c r="H101" s="41">
        <f t="shared" si="4"/>
        <v>50000</v>
      </c>
      <c r="I101" s="350" t="s">
        <v>3983</v>
      </c>
      <c r="J101" s="262">
        <v>41856</v>
      </c>
      <c r="K101" s="41">
        <f t="shared" si="5"/>
        <v>50000</v>
      </c>
      <c r="L101" s="224"/>
    </row>
    <row r="102" spans="1:12" ht="34.5" customHeight="1">
      <c r="A102" s="38" t="s">
        <v>890</v>
      </c>
      <c r="B102" s="38" t="str">
        <f>"137"</f>
        <v>137</v>
      </c>
      <c r="C102" s="53" t="str">
        <f>"高欣瑜"</f>
        <v>高欣瑜</v>
      </c>
      <c r="D102" s="262">
        <v>41856</v>
      </c>
      <c r="E102" s="39" t="s">
        <v>790</v>
      </c>
      <c r="F102" s="40">
        <v>1000</v>
      </c>
      <c r="G102" s="41">
        <v>25</v>
      </c>
      <c r="H102" s="41">
        <f t="shared" si="4"/>
        <v>25000</v>
      </c>
      <c r="I102" s="350" t="s">
        <v>3983</v>
      </c>
      <c r="J102" s="262">
        <v>41856</v>
      </c>
      <c r="K102" s="41">
        <f t="shared" si="5"/>
        <v>25000</v>
      </c>
      <c r="L102" s="224"/>
    </row>
    <row r="103" spans="1:12" ht="34.5" customHeight="1">
      <c r="A103" s="38" t="s">
        <v>891</v>
      </c>
      <c r="B103" s="38" t="str">
        <f>"8"</f>
        <v>8</v>
      </c>
      <c r="C103" s="53" t="str">
        <f>"張清波"</f>
        <v>張清波</v>
      </c>
      <c r="D103" s="262">
        <v>41856</v>
      </c>
      <c r="E103" s="39" t="s">
        <v>790</v>
      </c>
      <c r="F103" s="40">
        <v>6000</v>
      </c>
      <c r="G103" s="41">
        <v>25</v>
      </c>
      <c r="H103" s="41">
        <f t="shared" si="4"/>
        <v>150000</v>
      </c>
      <c r="I103" s="350" t="s">
        <v>3983</v>
      </c>
      <c r="J103" s="262">
        <v>41856</v>
      </c>
      <c r="K103" s="41">
        <f t="shared" si="5"/>
        <v>150000</v>
      </c>
      <c r="L103" s="224"/>
    </row>
    <row r="104" spans="1:12" ht="34.5" customHeight="1">
      <c r="A104" s="38" t="s">
        <v>892</v>
      </c>
      <c r="B104" s="38" t="str">
        <f>"18"</f>
        <v>18</v>
      </c>
      <c r="C104" s="53" t="str">
        <f>"張陳雪玉"</f>
        <v>張陳雪玉</v>
      </c>
      <c r="D104" s="262">
        <v>41856</v>
      </c>
      <c r="E104" s="39" t="s">
        <v>790</v>
      </c>
      <c r="F104" s="40">
        <v>3000</v>
      </c>
      <c r="G104" s="41">
        <v>25</v>
      </c>
      <c r="H104" s="41">
        <f t="shared" si="4"/>
        <v>75000</v>
      </c>
      <c r="I104" s="350" t="s">
        <v>3983</v>
      </c>
      <c r="J104" s="262">
        <v>41856</v>
      </c>
      <c r="K104" s="41">
        <f t="shared" si="5"/>
        <v>75000</v>
      </c>
      <c r="L104" s="224"/>
    </row>
    <row r="105" spans="1:12" ht="34.5" customHeight="1">
      <c r="A105" s="38" t="s">
        <v>893</v>
      </c>
      <c r="B105" s="38" t="str">
        <f>"397"</f>
        <v>397</v>
      </c>
      <c r="C105" s="53" t="str">
        <f>"許正義"</f>
        <v>許正義</v>
      </c>
      <c r="D105" s="262">
        <v>41856</v>
      </c>
      <c r="E105" s="39" t="s">
        <v>1049</v>
      </c>
      <c r="F105" s="40">
        <v>2000</v>
      </c>
      <c r="G105" s="41">
        <v>25</v>
      </c>
      <c r="H105" s="41">
        <f t="shared" si="4"/>
        <v>50000</v>
      </c>
      <c r="I105" s="350" t="s">
        <v>3983</v>
      </c>
      <c r="J105" s="262">
        <v>41856</v>
      </c>
      <c r="K105" s="41">
        <f t="shared" si="5"/>
        <v>50000</v>
      </c>
      <c r="L105" s="224"/>
    </row>
    <row r="106" spans="1:12" ht="34.5" customHeight="1">
      <c r="A106" s="38" t="s">
        <v>894</v>
      </c>
      <c r="B106" s="38" t="str">
        <f>"376"</f>
        <v>376</v>
      </c>
      <c r="C106" s="53" t="str">
        <f>"林賜恩"</f>
        <v>林賜恩</v>
      </c>
      <c r="D106" s="262">
        <v>41856</v>
      </c>
      <c r="E106" s="39" t="s">
        <v>1050</v>
      </c>
      <c r="F106" s="40">
        <v>6000</v>
      </c>
      <c r="G106" s="41">
        <v>25</v>
      </c>
      <c r="H106" s="41">
        <f t="shared" si="4"/>
        <v>150000</v>
      </c>
      <c r="I106" s="350" t="s">
        <v>3983</v>
      </c>
      <c r="J106" s="262">
        <v>41856</v>
      </c>
      <c r="K106" s="41">
        <f t="shared" si="5"/>
        <v>150000</v>
      </c>
      <c r="L106" s="224"/>
    </row>
    <row r="107" spans="1:12" ht="34.5" customHeight="1">
      <c r="A107" s="38" t="s">
        <v>895</v>
      </c>
      <c r="B107" s="38" t="str">
        <f>"327"</f>
        <v>327</v>
      </c>
      <c r="C107" s="53" t="str">
        <f>"林依潔"</f>
        <v>林依潔</v>
      </c>
      <c r="D107" s="262">
        <v>41856</v>
      </c>
      <c r="E107" s="39" t="s">
        <v>1051</v>
      </c>
      <c r="F107" s="40">
        <v>5000</v>
      </c>
      <c r="G107" s="41">
        <v>25</v>
      </c>
      <c r="H107" s="41">
        <f t="shared" si="4"/>
        <v>125000</v>
      </c>
      <c r="I107" s="350" t="s">
        <v>3983</v>
      </c>
      <c r="J107" s="262">
        <v>41856</v>
      </c>
      <c r="K107" s="41">
        <f t="shared" si="5"/>
        <v>125000</v>
      </c>
      <c r="L107" s="224"/>
    </row>
    <row r="108" spans="1:12" ht="34.5" customHeight="1">
      <c r="A108" s="38" t="s">
        <v>896</v>
      </c>
      <c r="B108" s="38" t="str">
        <f>"311"</f>
        <v>311</v>
      </c>
      <c r="C108" s="53" t="str">
        <f>"陳祈男"</f>
        <v>陳祈男</v>
      </c>
      <c r="D108" s="262">
        <v>41856</v>
      </c>
      <c r="E108" s="39" t="s">
        <v>1052</v>
      </c>
      <c r="F108" s="40">
        <v>1000</v>
      </c>
      <c r="G108" s="41">
        <v>25</v>
      </c>
      <c r="H108" s="41">
        <f t="shared" si="4"/>
        <v>25000</v>
      </c>
      <c r="I108" s="350" t="s">
        <v>3983</v>
      </c>
      <c r="J108" s="262">
        <v>41856</v>
      </c>
      <c r="K108" s="41">
        <f t="shared" si="5"/>
        <v>25000</v>
      </c>
      <c r="L108" s="224"/>
    </row>
    <row r="109" spans="1:12" ht="87" customHeight="1">
      <c r="A109" s="38" t="s">
        <v>897</v>
      </c>
      <c r="B109" s="38" t="str">
        <f>"359"</f>
        <v>359</v>
      </c>
      <c r="C109" s="53" t="str">
        <f>"王端美"</f>
        <v>王端美</v>
      </c>
      <c r="D109" s="262">
        <v>41857</v>
      </c>
      <c r="E109" s="39" t="s">
        <v>1053</v>
      </c>
      <c r="F109" s="40">
        <v>12000</v>
      </c>
      <c r="G109" s="41">
        <v>25</v>
      </c>
      <c r="H109" s="41">
        <f t="shared" si="4"/>
        <v>300000</v>
      </c>
      <c r="I109" s="350" t="s">
        <v>3983</v>
      </c>
      <c r="J109" s="262">
        <v>41857</v>
      </c>
      <c r="K109" s="41">
        <f t="shared" si="5"/>
        <v>300000</v>
      </c>
      <c r="L109" s="229" t="s">
        <v>2778</v>
      </c>
    </row>
    <row r="110" spans="1:12" ht="34.5" customHeight="1">
      <c r="A110" s="38" t="s">
        <v>898</v>
      </c>
      <c r="B110" s="38" t="str">
        <f>"366"</f>
        <v>366</v>
      </c>
      <c r="C110" s="53" t="str">
        <f>"陳仲卿"</f>
        <v>陳仲卿</v>
      </c>
      <c r="D110" s="262">
        <v>41857</v>
      </c>
      <c r="E110" s="39" t="s">
        <v>1054</v>
      </c>
      <c r="F110" s="40">
        <v>3000</v>
      </c>
      <c r="G110" s="41">
        <v>25</v>
      </c>
      <c r="H110" s="41">
        <f t="shared" si="4"/>
        <v>75000</v>
      </c>
      <c r="I110" s="350" t="s">
        <v>3983</v>
      </c>
      <c r="J110" s="262">
        <v>41857</v>
      </c>
      <c r="K110" s="41">
        <f t="shared" si="5"/>
        <v>75000</v>
      </c>
      <c r="L110" s="224"/>
    </row>
    <row r="111" spans="1:12" ht="34.5" customHeight="1">
      <c r="A111" s="38" t="s">
        <v>899</v>
      </c>
      <c r="B111" s="38" t="str">
        <f>"183"</f>
        <v>183</v>
      </c>
      <c r="C111" s="53" t="str">
        <f>"曾穩銘"</f>
        <v>曾穩銘</v>
      </c>
      <c r="D111" s="262">
        <v>41857</v>
      </c>
      <c r="E111" s="39" t="s">
        <v>1055</v>
      </c>
      <c r="F111" s="40">
        <v>1000</v>
      </c>
      <c r="G111" s="41">
        <v>25</v>
      </c>
      <c r="H111" s="41">
        <f t="shared" si="4"/>
        <v>25000</v>
      </c>
      <c r="I111" s="350" t="s">
        <v>3983</v>
      </c>
      <c r="J111" s="262">
        <v>41857</v>
      </c>
      <c r="K111" s="41">
        <f t="shared" si="5"/>
        <v>25000</v>
      </c>
      <c r="L111" s="224"/>
    </row>
    <row r="112" spans="1:12" ht="34.5" customHeight="1">
      <c r="A112" s="38" t="s">
        <v>900</v>
      </c>
      <c r="B112" s="38" t="str">
        <f>"91"</f>
        <v>91</v>
      </c>
      <c r="C112" s="53" t="str">
        <f>"廖坤立"</f>
        <v>廖坤立</v>
      </c>
      <c r="D112" s="262">
        <v>41857</v>
      </c>
      <c r="E112" s="39" t="s">
        <v>1056</v>
      </c>
      <c r="F112" s="40">
        <v>5000</v>
      </c>
      <c r="G112" s="41">
        <v>25</v>
      </c>
      <c r="H112" s="41">
        <f t="shared" si="4"/>
        <v>125000</v>
      </c>
      <c r="I112" s="350" t="s">
        <v>3983</v>
      </c>
      <c r="J112" s="262">
        <v>41857</v>
      </c>
      <c r="K112" s="41">
        <f t="shared" si="5"/>
        <v>125000</v>
      </c>
      <c r="L112" s="224"/>
    </row>
    <row r="113" spans="1:12" ht="34.5" customHeight="1">
      <c r="A113" s="38" t="s">
        <v>901</v>
      </c>
      <c r="B113" s="38" t="str">
        <f>"130"</f>
        <v>130</v>
      </c>
      <c r="C113" s="53" t="str">
        <f>"莊永隆"</f>
        <v>莊永隆</v>
      </c>
      <c r="D113" s="262">
        <v>41857</v>
      </c>
      <c r="E113" s="39" t="s">
        <v>1057</v>
      </c>
      <c r="F113" s="40">
        <v>2000</v>
      </c>
      <c r="G113" s="41">
        <v>25</v>
      </c>
      <c r="H113" s="41">
        <f t="shared" si="4"/>
        <v>50000</v>
      </c>
      <c r="I113" s="350" t="s">
        <v>3983</v>
      </c>
      <c r="J113" s="262">
        <v>41857</v>
      </c>
      <c r="K113" s="41">
        <f t="shared" si="5"/>
        <v>50000</v>
      </c>
      <c r="L113" s="224"/>
    </row>
    <row r="114" spans="1:12" ht="34.5" customHeight="1">
      <c r="A114" s="38" t="s">
        <v>902</v>
      </c>
      <c r="B114" s="38" t="str">
        <f>"259"</f>
        <v>259</v>
      </c>
      <c r="C114" s="53" t="str">
        <f>"陳彥宏"</f>
        <v>陳彥宏</v>
      </c>
      <c r="D114" s="262">
        <v>41857</v>
      </c>
      <c r="E114" s="39" t="s">
        <v>1058</v>
      </c>
      <c r="F114" s="40">
        <v>4000</v>
      </c>
      <c r="G114" s="41">
        <v>25</v>
      </c>
      <c r="H114" s="41">
        <f t="shared" si="4"/>
        <v>100000</v>
      </c>
      <c r="I114" s="350" t="s">
        <v>3983</v>
      </c>
      <c r="J114" s="262">
        <v>41857</v>
      </c>
      <c r="K114" s="41">
        <f t="shared" si="5"/>
        <v>100000</v>
      </c>
      <c r="L114" s="224"/>
    </row>
    <row r="115" spans="1:12" ht="81.75" customHeight="1">
      <c r="A115" s="38" t="s">
        <v>903</v>
      </c>
      <c r="B115" s="38" t="str">
        <f>"328"</f>
        <v>328</v>
      </c>
      <c r="C115" s="53" t="str">
        <f>"王定忠"</f>
        <v>王定忠</v>
      </c>
      <c r="D115" s="262">
        <v>41857</v>
      </c>
      <c r="E115" s="39" t="s">
        <v>1049</v>
      </c>
      <c r="F115" s="40">
        <v>42000</v>
      </c>
      <c r="G115" s="41">
        <v>25</v>
      </c>
      <c r="H115" s="41">
        <f t="shared" si="4"/>
        <v>1050000</v>
      </c>
      <c r="I115" s="350" t="s">
        <v>3983</v>
      </c>
      <c r="J115" s="262">
        <v>41857</v>
      </c>
      <c r="K115" s="41">
        <f t="shared" si="5"/>
        <v>1050000</v>
      </c>
      <c r="L115" s="229" t="s">
        <v>2774</v>
      </c>
    </row>
    <row r="116" spans="1:12" ht="34.5" customHeight="1">
      <c r="A116" s="38" t="s">
        <v>904</v>
      </c>
      <c r="B116" s="38" t="str">
        <f>"200"</f>
        <v>200</v>
      </c>
      <c r="C116" s="53" t="str">
        <f>"吳景輝"</f>
        <v>吳景輝</v>
      </c>
      <c r="D116" s="262">
        <v>41857</v>
      </c>
      <c r="E116" s="39" t="s">
        <v>1050</v>
      </c>
      <c r="F116" s="40">
        <v>1000</v>
      </c>
      <c r="G116" s="41">
        <v>25</v>
      </c>
      <c r="H116" s="41">
        <f>F116*G116</f>
        <v>25000</v>
      </c>
      <c r="I116" s="350" t="s">
        <v>3983</v>
      </c>
      <c r="J116" s="262">
        <v>41857</v>
      </c>
      <c r="K116" s="41">
        <f t="shared" si="5"/>
        <v>25000</v>
      </c>
      <c r="L116" s="224"/>
    </row>
    <row r="117" spans="1:12" ht="34.5" customHeight="1">
      <c r="A117" s="38" t="s">
        <v>905</v>
      </c>
      <c r="B117" s="38" t="str">
        <f>"71"</f>
        <v>71</v>
      </c>
      <c r="C117" s="53" t="str">
        <f>"王昕遠"</f>
        <v>王昕遠</v>
      </c>
      <c r="D117" s="262">
        <v>41857</v>
      </c>
      <c r="E117" s="39" t="s">
        <v>1051</v>
      </c>
      <c r="F117" s="40">
        <v>3000</v>
      </c>
      <c r="G117" s="41">
        <v>25</v>
      </c>
      <c r="H117" s="41">
        <f t="shared" ref="H117:H129" si="6">F117*G117</f>
        <v>75000</v>
      </c>
      <c r="I117" s="350" t="s">
        <v>3983</v>
      </c>
      <c r="J117" s="262">
        <f t="shared" ref="J117:J162" si="7">D117</f>
        <v>41857</v>
      </c>
      <c r="K117" s="41">
        <f t="shared" si="5"/>
        <v>75000</v>
      </c>
      <c r="L117" s="224"/>
    </row>
    <row r="118" spans="1:12" ht="34.5" customHeight="1">
      <c r="A118" s="38" t="s">
        <v>906</v>
      </c>
      <c r="B118" s="38" t="str">
        <f>"119"</f>
        <v>119</v>
      </c>
      <c r="C118" s="53" t="str">
        <f>"廖芳藝"</f>
        <v>廖芳藝</v>
      </c>
      <c r="D118" s="262">
        <v>41857</v>
      </c>
      <c r="E118" s="39" t="s">
        <v>1052</v>
      </c>
      <c r="F118" s="40">
        <v>2000</v>
      </c>
      <c r="G118" s="41">
        <v>25</v>
      </c>
      <c r="H118" s="41">
        <f t="shared" si="6"/>
        <v>50000</v>
      </c>
      <c r="I118" s="350" t="s">
        <v>3983</v>
      </c>
      <c r="J118" s="262">
        <f t="shared" si="7"/>
        <v>41857</v>
      </c>
      <c r="K118" s="41">
        <f t="shared" si="5"/>
        <v>50000</v>
      </c>
      <c r="L118" s="224"/>
    </row>
    <row r="119" spans="1:12" ht="34.5" customHeight="1">
      <c r="A119" s="38" t="s">
        <v>907</v>
      </c>
      <c r="B119" s="38" t="str">
        <f>"122"</f>
        <v>122</v>
      </c>
      <c r="C119" s="53" t="str">
        <f>"康美玉"</f>
        <v>康美玉</v>
      </c>
      <c r="D119" s="262">
        <v>41857</v>
      </c>
      <c r="E119" s="39" t="s">
        <v>1053</v>
      </c>
      <c r="F119" s="40">
        <v>5000</v>
      </c>
      <c r="G119" s="41">
        <v>25</v>
      </c>
      <c r="H119" s="41">
        <f t="shared" si="6"/>
        <v>125000</v>
      </c>
      <c r="I119" s="350" t="s">
        <v>3983</v>
      </c>
      <c r="J119" s="262">
        <f t="shared" si="7"/>
        <v>41857</v>
      </c>
      <c r="K119" s="41">
        <f t="shared" si="5"/>
        <v>125000</v>
      </c>
      <c r="L119" s="224"/>
    </row>
    <row r="120" spans="1:12" ht="34.5" customHeight="1">
      <c r="A120" s="38" t="s">
        <v>908</v>
      </c>
      <c r="B120" s="38" t="str">
        <f>"236"</f>
        <v>236</v>
      </c>
      <c r="C120" s="53" t="str">
        <f>"方燦堂"</f>
        <v>方燦堂</v>
      </c>
      <c r="D120" s="262">
        <v>41857</v>
      </c>
      <c r="E120" s="39" t="s">
        <v>1054</v>
      </c>
      <c r="F120" s="40">
        <v>10000</v>
      </c>
      <c r="G120" s="41">
        <v>25</v>
      </c>
      <c r="H120" s="41">
        <f t="shared" si="6"/>
        <v>250000</v>
      </c>
      <c r="I120" s="350" t="s">
        <v>3983</v>
      </c>
      <c r="J120" s="262">
        <f t="shared" si="7"/>
        <v>41857</v>
      </c>
      <c r="K120" s="41">
        <f t="shared" si="5"/>
        <v>250000</v>
      </c>
      <c r="L120" s="224"/>
    </row>
    <row r="121" spans="1:12" ht="34.5" customHeight="1">
      <c r="A121" s="38" t="s">
        <v>909</v>
      </c>
      <c r="B121" s="38" t="str">
        <f>"159"</f>
        <v>159</v>
      </c>
      <c r="C121" s="53" t="str">
        <f>"吳文秩"</f>
        <v>吳文秩</v>
      </c>
      <c r="D121" s="262">
        <v>41858</v>
      </c>
      <c r="E121" s="39" t="s">
        <v>1055</v>
      </c>
      <c r="F121" s="40">
        <v>5000</v>
      </c>
      <c r="G121" s="41">
        <v>25</v>
      </c>
      <c r="H121" s="41">
        <f t="shared" si="6"/>
        <v>125000</v>
      </c>
      <c r="I121" s="350" t="s">
        <v>3983</v>
      </c>
      <c r="J121" s="262">
        <f t="shared" si="7"/>
        <v>41858</v>
      </c>
      <c r="K121" s="41">
        <f t="shared" si="5"/>
        <v>125000</v>
      </c>
      <c r="L121" s="224"/>
    </row>
    <row r="122" spans="1:12" ht="34.5" customHeight="1">
      <c r="A122" s="38" t="s">
        <v>910</v>
      </c>
      <c r="B122" s="38" t="str">
        <f>"52"</f>
        <v>52</v>
      </c>
      <c r="C122" s="53" t="str">
        <f>"梁進勝"</f>
        <v>梁進勝</v>
      </c>
      <c r="D122" s="262">
        <v>41858</v>
      </c>
      <c r="E122" s="39" t="s">
        <v>1056</v>
      </c>
      <c r="F122" s="40">
        <v>2000</v>
      </c>
      <c r="G122" s="41">
        <v>25</v>
      </c>
      <c r="H122" s="41">
        <f t="shared" si="6"/>
        <v>50000</v>
      </c>
      <c r="I122" s="350" t="s">
        <v>3983</v>
      </c>
      <c r="J122" s="262">
        <f t="shared" si="7"/>
        <v>41858</v>
      </c>
      <c r="K122" s="41">
        <f t="shared" si="5"/>
        <v>50000</v>
      </c>
      <c r="L122" s="224"/>
    </row>
    <row r="123" spans="1:12" ht="34.5" customHeight="1">
      <c r="A123" s="38" t="s">
        <v>911</v>
      </c>
      <c r="B123" s="38" t="str">
        <f>"194"</f>
        <v>194</v>
      </c>
      <c r="C123" s="53" t="str">
        <f>"陳禎志"</f>
        <v>陳禎志</v>
      </c>
      <c r="D123" s="262">
        <v>41858</v>
      </c>
      <c r="E123" s="39" t="s">
        <v>1057</v>
      </c>
      <c r="F123" s="40">
        <v>1000</v>
      </c>
      <c r="G123" s="41">
        <v>25</v>
      </c>
      <c r="H123" s="41">
        <f t="shared" si="6"/>
        <v>25000</v>
      </c>
      <c r="I123" s="350" t="s">
        <v>3983</v>
      </c>
      <c r="J123" s="262">
        <f t="shared" si="7"/>
        <v>41858</v>
      </c>
      <c r="K123" s="41">
        <f t="shared" si="5"/>
        <v>25000</v>
      </c>
      <c r="L123" s="224"/>
    </row>
    <row r="124" spans="1:12" ht="34.5" customHeight="1">
      <c r="A124" s="38" t="s">
        <v>912</v>
      </c>
      <c r="B124" s="38" t="str">
        <f>"142"</f>
        <v>142</v>
      </c>
      <c r="C124" s="53" t="str">
        <f>"徐弘縣"</f>
        <v>徐弘縣</v>
      </c>
      <c r="D124" s="262">
        <v>41858</v>
      </c>
      <c r="E124" s="39" t="s">
        <v>1058</v>
      </c>
      <c r="F124" s="40">
        <v>1000</v>
      </c>
      <c r="G124" s="41">
        <v>25</v>
      </c>
      <c r="H124" s="41">
        <f t="shared" si="6"/>
        <v>25000</v>
      </c>
      <c r="I124" s="350" t="s">
        <v>3983</v>
      </c>
      <c r="J124" s="262">
        <f t="shared" si="7"/>
        <v>41858</v>
      </c>
      <c r="K124" s="41">
        <f t="shared" si="5"/>
        <v>25000</v>
      </c>
      <c r="L124" s="224"/>
    </row>
    <row r="125" spans="1:12" ht="78.75" customHeight="1">
      <c r="A125" s="38" t="s">
        <v>913</v>
      </c>
      <c r="B125" s="38" t="str">
        <f>"369"</f>
        <v>369</v>
      </c>
      <c r="C125" s="53" t="str">
        <f>"郭炳金"</f>
        <v>郭炳金</v>
      </c>
      <c r="D125" s="262">
        <v>41858</v>
      </c>
      <c r="E125" s="39" t="s">
        <v>1049</v>
      </c>
      <c r="F125" s="40">
        <v>2000</v>
      </c>
      <c r="G125" s="41">
        <v>25</v>
      </c>
      <c r="H125" s="41">
        <f t="shared" si="6"/>
        <v>50000</v>
      </c>
      <c r="I125" s="350" t="s">
        <v>3983</v>
      </c>
      <c r="J125" s="262">
        <f t="shared" si="7"/>
        <v>41858</v>
      </c>
      <c r="K125" s="41">
        <f t="shared" si="5"/>
        <v>50000</v>
      </c>
      <c r="L125" s="229" t="s">
        <v>2718</v>
      </c>
    </row>
    <row r="126" spans="1:12" ht="34.5" customHeight="1">
      <c r="A126" s="38" t="s">
        <v>914</v>
      </c>
      <c r="B126" s="38" t="str">
        <f>"295"</f>
        <v>295</v>
      </c>
      <c r="C126" s="53" t="str">
        <f>"李太陽"</f>
        <v>李太陽</v>
      </c>
      <c r="D126" s="262">
        <v>41858</v>
      </c>
      <c r="E126" s="39" t="s">
        <v>1050</v>
      </c>
      <c r="F126" s="40">
        <v>2000</v>
      </c>
      <c r="G126" s="41">
        <v>25</v>
      </c>
      <c r="H126" s="41">
        <f t="shared" si="6"/>
        <v>50000</v>
      </c>
      <c r="I126" s="350" t="s">
        <v>3983</v>
      </c>
      <c r="J126" s="262">
        <f t="shared" si="7"/>
        <v>41858</v>
      </c>
      <c r="K126" s="41">
        <f t="shared" si="5"/>
        <v>50000</v>
      </c>
      <c r="L126" s="224"/>
    </row>
    <row r="127" spans="1:12" ht="34.5" customHeight="1">
      <c r="A127" s="38" t="s">
        <v>915</v>
      </c>
      <c r="B127" s="38" t="str">
        <f>"230"</f>
        <v>230</v>
      </c>
      <c r="C127" s="53" t="str">
        <f>"陳玉麗"</f>
        <v>陳玉麗</v>
      </c>
      <c r="D127" s="262">
        <v>41858</v>
      </c>
      <c r="E127" s="39" t="s">
        <v>1051</v>
      </c>
      <c r="F127" s="40">
        <v>2000</v>
      </c>
      <c r="G127" s="41">
        <v>25</v>
      </c>
      <c r="H127" s="41">
        <f t="shared" si="6"/>
        <v>50000</v>
      </c>
      <c r="I127" s="350" t="s">
        <v>3983</v>
      </c>
      <c r="J127" s="262">
        <f t="shared" si="7"/>
        <v>41858</v>
      </c>
      <c r="K127" s="41">
        <f t="shared" si="5"/>
        <v>50000</v>
      </c>
      <c r="L127" s="224"/>
    </row>
    <row r="128" spans="1:12" ht="34.5" customHeight="1">
      <c r="A128" s="38" t="s">
        <v>916</v>
      </c>
      <c r="B128" s="38" t="str">
        <f>"354"</f>
        <v>354</v>
      </c>
      <c r="C128" s="53" t="str">
        <f>"吳翠琴"</f>
        <v>吳翠琴</v>
      </c>
      <c r="D128" s="262">
        <v>41858</v>
      </c>
      <c r="E128" s="39" t="s">
        <v>1052</v>
      </c>
      <c r="F128" s="40">
        <v>1000</v>
      </c>
      <c r="G128" s="41">
        <v>25</v>
      </c>
      <c r="H128" s="41">
        <f t="shared" si="6"/>
        <v>25000</v>
      </c>
      <c r="I128" s="350" t="s">
        <v>3983</v>
      </c>
      <c r="J128" s="262">
        <f t="shared" si="7"/>
        <v>41858</v>
      </c>
      <c r="K128" s="41">
        <f t="shared" si="5"/>
        <v>25000</v>
      </c>
      <c r="L128" s="224"/>
    </row>
    <row r="129" spans="1:12" ht="34.5" customHeight="1">
      <c r="A129" s="38" t="s">
        <v>917</v>
      </c>
      <c r="B129" s="38" t="str">
        <f>"312"</f>
        <v>312</v>
      </c>
      <c r="C129" s="53" t="str">
        <f>"許文錦"</f>
        <v>許文錦</v>
      </c>
      <c r="D129" s="262">
        <v>41858</v>
      </c>
      <c r="E129" s="39" t="s">
        <v>1053</v>
      </c>
      <c r="F129" s="40">
        <v>6000</v>
      </c>
      <c r="G129" s="41">
        <v>25</v>
      </c>
      <c r="H129" s="41">
        <f t="shared" si="6"/>
        <v>150000</v>
      </c>
      <c r="I129" s="350" t="s">
        <v>3983</v>
      </c>
      <c r="J129" s="262">
        <f t="shared" si="7"/>
        <v>41858</v>
      </c>
      <c r="K129" s="41">
        <f t="shared" si="5"/>
        <v>150000</v>
      </c>
      <c r="L129" s="224"/>
    </row>
    <row r="130" spans="1:12" ht="34.5" customHeight="1">
      <c r="A130" s="38" t="s">
        <v>918</v>
      </c>
      <c r="B130" s="38" t="str">
        <f>"228"</f>
        <v>228</v>
      </c>
      <c r="C130" s="53" t="str">
        <f>"楊曼玲"</f>
        <v>楊曼玲</v>
      </c>
      <c r="D130" s="262">
        <v>41858</v>
      </c>
      <c r="E130" s="39" t="s">
        <v>1054</v>
      </c>
      <c r="F130" s="40">
        <v>2000</v>
      </c>
      <c r="G130" s="41">
        <v>25</v>
      </c>
      <c r="H130" s="41">
        <f>F130*G130</f>
        <v>50000</v>
      </c>
      <c r="I130" s="350" t="s">
        <v>3983</v>
      </c>
      <c r="J130" s="262">
        <f t="shared" si="7"/>
        <v>41858</v>
      </c>
      <c r="K130" s="41">
        <f t="shared" si="5"/>
        <v>50000</v>
      </c>
      <c r="L130" s="224"/>
    </row>
    <row r="131" spans="1:12" ht="34.5" customHeight="1">
      <c r="A131" s="38" t="s">
        <v>919</v>
      </c>
      <c r="B131" s="38" t="str">
        <f>"204"</f>
        <v>204</v>
      </c>
      <c r="C131" s="53" t="str">
        <f>"陳慕緯"</f>
        <v>陳慕緯</v>
      </c>
      <c r="D131" s="262">
        <v>41858</v>
      </c>
      <c r="E131" s="39" t="s">
        <v>1055</v>
      </c>
      <c r="F131" s="40">
        <v>20000</v>
      </c>
      <c r="G131" s="41">
        <v>25</v>
      </c>
      <c r="H131" s="41">
        <f t="shared" ref="H131:H142" si="8">F131*G131</f>
        <v>500000</v>
      </c>
      <c r="I131" s="350" t="s">
        <v>3983</v>
      </c>
      <c r="J131" s="262">
        <f t="shared" si="7"/>
        <v>41858</v>
      </c>
      <c r="K131" s="41">
        <f t="shared" si="5"/>
        <v>500000</v>
      </c>
      <c r="L131" s="224"/>
    </row>
    <row r="132" spans="1:12" ht="80.25" customHeight="1">
      <c r="A132" s="38" t="s">
        <v>920</v>
      </c>
      <c r="B132" s="38" t="str">
        <f>"158"</f>
        <v>158</v>
      </c>
      <c r="C132" s="53" t="str">
        <f>"莊倉江"</f>
        <v>莊倉江</v>
      </c>
      <c r="D132" s="262">
        <v>41858</v>
      </c>
      <c r="E132" s="39" t="s">
        <v>1056</v>
      </c>
      <c r="F132" s="40">
        <v>3000</v>
      </c>
      <c r="G132" s="41">
        <v>25</v>
      </c>
      <c r="H132" s="41">
        <f t="shared" si="8"/>
        <v>75000</v>
      </c>
      <c r="I132" s="350" t="s">
        <v>3983</v>
      </c>
      <c r="J132" s="262">
        <f t="shared" si="7"/>
        <v>41858</v>
      </c>
      <c r="K132" s="41">
        <f t="shared" si="5"/>
        <v>75000</v>
      </c>
      <c r="L132" s="229" t="s">
        <v>2808</v>
      </c>
    </row>
    <row r="133" spans="1:12" ht="123" customHeight="1">
      <c r="A133" s="38" t="s">
        <v>921</v>
      </c>
      <c r="B133" s="38" t="str">
        <f>"128"</f>
        <v>128</v>
      </c>
      <c r="C133" s="53" t="str">
        <f>"邱必義"</f>
        <v>邱必義</v>
      </c>
      <c r="D133" s="262">
        <v>41858</v>
      </c>
      <c r="E133" s="39" t="s">
        <v>1057</v>
      </c>
      <c r="F133" s="40">
        <v>1000</v>
      </c>
      <c r="G133" s="41">
        <v>25</v>
      </c>
      <c r="H133" s="41">
        <f t="shared" si="8"/>
        <v>25000</v>
      </c>
      <c r="I133" s="350" t="s">
        <v>3983</v>
      </c>
      <c r="J133" s="262">
        <f t="shared" si="7"/>
        <v>41858</v>
      </c>
      <c r="K133" s="41">
        <f t="shared" si="5"/>
        <v>25000</v>
      </c>
      <c r="L133" s="224" t="s">
        <v>2653</v>
      </c>
    </row>
    <row r="134" spans="1:12" ht="34.5" customHeight="1">
      <c r="A134" s="38" t="s">
        <v>922</v>
      </c>
      <c r="B134" s="38" t="str">
        <f>"127"</f>
        <v>127</v>
      </c>
      <c r="C134" s="53" t="str">
        <f>"董國勝"</f>
        <v>董國勝</v>
      </c>
      <c r="D134" s="262">
        <v>41858</v>
      </c>
      <c r="E134" s="39" t="s">
        <v>1058</v>
      </c>
      <c r="F134" s="40">
        <v>1000</v>
      </c>
      <c r="G134" s="41">
        <v>25</v>
      </c>
      <c r="H134" s="41">
        <f t="shared" si="8"/>
        <v>25000</v>
      </c>
      <c r="I134" s="350" t="s">
        <v>3983</v>
      </c>
      <c r="J134" s="262">
        <f t="shared" si="7"/>
        <v>41858</v>
      </c>
      <c r="K134" s="41">
        <f t="shared" si="5"/>
        <v>25000</v>
      </c>
      <c r="L134" s="224"/>
    </row>
    <row r="135" spans="1:12" ht="34.5" customHeight="1">
      <c r="A135" s="38" t="s">
        <v>923</v>
      </c>
      <c r="B135" s="38" t="str">
        <f>"174"</f>
        <v>174</v>
      </c>
      <c r="C135" s="53" t="str">
        <f>"鄭乃銘"</f>
        <v>鄭乃銘</v>
      </c>
      <c r="D135" s="262">
        <v>41858</v>
      </c>
      <c r="E135" s="39" t="s">
        <v>1049</v>
      </c>
      <c r="F135" s="40">
        <v>4000</v>
      </c>
      <c r="G135" s="41">
        <v>25</v>
      </c>
      <c r="H135" s="41">
        <f t="shared" si="8"/>
        <v>100000</v>
      </c>
      <c r="I135" s="350" t="s">
        <v>3983</v>
      </c>
      <c r="J135" s="262">
        <f t="shared" si="7"/>
        <v>41858</v>
      </c>
      <c r="K135" s="41">
        <f t="shared" si="5"/>
        <v>100000</v>
      </c>
      <c r="L135" s="224"/>
    </row>
    <row r="136" spans="1:12" ht="34.5" customHeight="1">
      <c r="A136" s="38" t="s">
        <v>924</v>
      </c>
      <c r="B136" s="38" t="str">
        <f>"185"</f>
        <v>185</v>
      </c>
      <c r="C136" s="53" t="str">
        <f>"邱寀縈"</f>
        <v>邱寀縈</v>
      </c>
      <c r="D136" s="262">
        <v>41858</v>
      </c>
      <c r="E136" s="39" t="s">
        <v>1050</v>
      </c>
      <c r="F136" s="40">
        <v>2000</v>
      </c>
      <c r="G136" s="41">
        <v>25</v>
      </c>
      <c r="H136" s="41">
        <f t="shared" si="8"/>
        <v>50000</v>
      </c>
      <c r="I136" s="350" t="s">
        <v>3983</v>
      </c>
      <c r="J136" s="262">
        <f t="shared" si="7"/>
        <v>41858</v>
      </c>
      <c r="K136" s="41">
        <f t="shared" si="5"/>
        <v>50000</v>
      </c>
      <c r="L136" s="224"/>
    </row>
    <row r="137" spans="1:12" ht="78" customHeight="1">
      <c r="A137" s="38" t="s">
        <v>925</v>
      </c>
      <c r="B137" s="38" t="str">
        <f>"20"</f>
        <v>20</v>
      </c>
      <c r="C137" s="53" t="str">
        <f>"黃順良"</f>
        <v>黃順良</v>
      </c>
      <c r="D137" s="262">
        <v>41859</v>
      </c>
      <c r="E137" s="39" t="s">
        <v>1051</v>
      </c>
      <c r="F137" s="40">
        <v>4000</v>
      </c>
      <c r="G137" s="41">
        <v>25</v>
      </c>
      <c r="H137" s="41">
        <f t="shared" si="8"/>
        <v>100000</v>
      </c>
      <c r="I137" s="350" t="s">
        <v>3983</v>
      </c>
      <c r="J137" s="262">
        <f t="shared" si="7"/>
        <v>41859</v>
      </c>
      <c r="K137" s="41">
        <f t="shared" si="5"/>
        <v>100000</v>
      </c>
      <c r="L137" s="229" t="s">
        <v>2759</v>
      </c>
    </row>
    <row r="138" spans="1:12" ht="34.5" customHeight="1">
      <c r="A138" s="38" t="s">
        <v>926</v>
      </c>
      <c r="B138" s="38" t="str">
        <f>"82"</f>
        <v>82</v>
      </c>
      <c r="C138" s="53" t="str">
        <f>"林文香"</f>
        <v>林文香</v>
      </c>
      <c r="D138" s="262">
        <v>41859</v>
      </c>
      <c r="E138" s="39" t="s">
        <v>1052</v>
      </c>
      <c r="F138" s="40">
        <v>2000</v>
      </c>
      <c r="G138" s="41">
        <v>25</v>
      </c>
      <c r="H138" s="41">
        <f t="shared" si="8"/>
        <v>50000</v>
      </c>
      <c r="I138" s="350" t="s">
        <v>3983</v>
      </c>
      <c r="J138" s="262">
        <f t="shared" si="7"/>
        <v>41859</v>
      </c>
      <c r="K138" s="41">
        <f t="shared" si="5"/>
        <v>50000</v>
      </c>
      <c r="L138" s="224"/>
    </row>
    <row r="139" spans="1:12" ht="34.5" customHeight="1">
      <c r="A139" s="38" t="s">
        <v>927</v>
      </c>
      <c r="B139" s="38" t="str">
        <f>"72"</f>
        <v>72</v>
      </c>
      <c r="C139" s="53" t="str">
        <f>"曾喜樑"</f>
        <v>曾喜樑</v>
      </c>
      <c r="D139" s="262">
        <v>41859</v>
      </c>
      <c r="E139" s="39" t="s">
        <v>1053</v>
      </c>
      <c r="F139" s="40">
        <v>10000</v>
      </c>
      <c r="G139" s="41">
        <v>25</v>
      </c>
      <c r="H139" s="41">
        <f t="shared" si="8"/>
        <v>250000</v>
      </c>
      <c r="I139" s="350" t="s">
        <v>3983</v>
      </c>
      <c r="J139" s="262">
        <f t="shared" si="7"/>
        <v>41859</v>
      </c>
      <c r="K139" s="41">
        <f t="shared" si="5"/>
        <v>250000</v>
      </c>
      <c r="L139" s="224"/>
    </row>
    <row r="140" spans="1:12" ht="97.5" customHeight="1">
      <c r="A140" s="38" t="s">
        <v>928</v>
      </c>
      <c r="B140" s="38" t="str">
        <f>"345"</f>
        <v>345</v>
      </c>
      <c r="C140" s="53" t="str">
        <f>"陳玉燕"</f>
        <v>陳玉燕</v>
      </c>
      <c r="D140" s="262">
        <v>41859</v>
      </c>
      <c r="E140" s="39" t="s">
        <v>1054</v>
      </c>
      <c r="F140" s="40">
        <v>5000</v>
      </c>
      <c r="G140" s="41">
        <v>25</v>
      </c>
      <c r="H140" s="41">
        <f t="shared" si="8"/>
        <v>125000</v>
      </c>
      <c r="I140" s="350" t="s">
        <v>3983</v>
      </c>
      <c r="J140" s="262">
        <f t="shared" si="7"/>
        <v>41859</v>
      </c>
      <c r="K140" s="41">
        <f t="shared" si="5"/>
        <v>125000</v>
      </c>
      <c r="L140" s="229" t="s">
        <v>2768</v>
      </c>
    </row>
    <row r="141" spans="1:12" ht="34.5" customHeight="1">
      <c r="A141" s="38" t="s">
        <v>929</v>
      </c>
      <c r="B141" s="38" t="str">
        <f>"365"</f>
        <v>365</v>
      </c>
      <c r="C141" s="53" t="str">
        <f>"楊秋惠"</f>
        <v>楊秋惠</v>
      </c>
      <c r="D141" s="262">
        <v>41859</v>
      </c>
      <c r="E141" s="39" t="s">
        <v>1055</v>
      </c>
      <c r="F141" s="40">
        <v>2000</v>
      </c>
      <c r="G141" s="41">
        <v>25</v>
      </c>
      <c r="H141" s="41">
        <f t="shared" si="8"/>
        <v>50000</v>
      </c>
      <c r="I141" s="350" t="s">
        <v>3983</v>
      </c>
      <c r="J141" s="262">
        <f t="shared" si="7"/>
        <v>41859</v>
      </c>
      <c r="K141" s="41">
        <f t="shared" si="5"/>
        <v>50000</v>
      </c>
      <c r="L141" s="224"/>
    </row>
    <row r="142" spans="1:12" ht="34.5" customHeight="1">
      <c r="A142" s="38" t="s">
        <v>930</v>
      </c>
      <c r="B142" s="38" t="str">
        <f>"244"</f>
        <v>244</v>
      </c>
      <c r="C142" s="53" t="str">
        <f>"林延鳳"</f>
        <v>林延鳳</v>
      </c>
      <c r="D142" s="262">
        <v>41859</v>
      </c>
      <c r="E142" s="39" t="s">
        <v>1056</v>
      </c>
      <c r="F142" s="40">
        <v>10000</v>
      </c>
      <c r="G142" s="41">
        <v>25</v>
      </c>
      <c r="H142" s="41">
        <f t="shared" si="8"/>
        <v>250000</v>
      </c>
      <c r="I142" s="350" t="s">
        <v>3983</v>
      </c>
      <c r="J142" s="262">
        <f t="shared" si="7"/>
        <v>41859</v>
      </c>
      <c r="K142" s="41">
        <f t="shared" si="5"/>
        <v>250000</v>
      </c>
      <c r="L142" s="224"/>
    </row>
    <row r="143" spans="1:12" ht="34.5" customHeight="1">
      <c r="A143" s="38" t="s">
        <v>931</v>
      </c>
      <c r="B143" s="38" t="str">
        <f>"302"</f>
        <v>302</v>
      </c>
      <c r="C143" s="53" t="str">
        <f>"鄭瑞千"</f>
        <v>鄭瑞千</v>
      </c>
      <c r="D143" s="262">
        <v>41859</v>
      </c>
      <c r="E143" s="39" t="s">
        <v>1057</v>
      </c>
      <c r="F143" s="40">
        <v>3000</v>
      </c>
      <c r="G143" s="41">
        <v>25</v>
      </c>
      <c r="H143" s="41">
        <f>F143*G143</f>
        <v>75000</v>
      </c>
      <c r="I143" s="350" t="s">
        <v>3983</v>
      </c>
      <c r="J143" s="262">
        <f t="shared" si="7"/>
        <v>41859</v>
      </c>
      <c r="K143" s="41">
        <f t="shared" si="5"/>
        <v>75000</v>
      </c>
      <c r="L143" s="224"/>
    </row>
    <row r="144" spans="1:12" ht="34.5" customHeight="1">
      <c r="A144" s="38" t="s">
        <v>932</v>
      </c>
      <c r="B144" s="38" t="str">
        <f>"133"</f>
        <v>133</v>
      </c>
      <c r="C144" s="53" t="str">
        <f>"鄭素萍"</f>
        <v>鄭素萍</v>
      </c>
      <c r="D144" s="262">
        <v>41859</v>
      </c>
      <c r="E144" s="39" t="s">
        <v>1058</v>
      </c>
      <c r="F144" s="40">
        <v>5000</v>
      </c>
      <c r="G144" s="41">
        <v>25</v>
      </c>
      <c r="H144" s="41">
        <f t="shared" ref="H144:H159" si="9">F144*G144</f>
        <v>125000</v>
      </c>
      <c r="I144" s="350" t="s">
        <v>3983</v>
      </c>
      <c r="J144" s="262">
        <f t="shared" si="7"/>
        <v>41859</v>
      </c>
      <c r="K144" s="41">
        <f t="shared" si="5"/>
        <v>125000</v>
      </c>
      <c r="L144" s="224"/>
    </row>
    <row r="145" spans="1:12" ht="34.5" customHeight="1">
      <c r="A145" s="38" t="s">
        <v>933</v>
      </c>
      <c r="B145" s="38" t="str">
        <f>"217"</f>
        <v>217</v>
      </c>
      <c r="C145" s="53" t="str">
        <f>"楊志碩"</f>
        <v>楊志碩</v>
      </c>
      <c r="D145" s="262">
        <v>41859</v>
      </c>
      <c r="E145" s="39" t="s">
        <v>1049</v>
      </c>
      <c r="F145" s="40">
        <v>2000</v>
      </c>
      <c r="G145" s="41">
        <v>25</v>
      </c>
      <c r="H145" s="41">
        <f t="shared" si="9"/>
        <v>50000</v>
      </c>
      <c r="I145" s="350" t="s">
        <v>3983</v>
      </c>
      <c r="J145" s="262">
        <f t="shared" si="7"/>
        <v>41859</v>
      </c>
      <c r="K145" s="41">
        <f t="shared" si="5"/>
        <v>50000</v>
      </c>
      <c r="L145" s="224"/>
    </row>
    <row r="146" spans="1:12" ht="34.5" customHeight="1">
      <c r="A146" s="38" t="s">
        <v>934</v>
      </c>
      <c r="B146" s="38" t="str">
        <f>"182"</f>
        <v>182</v>
      </c>
      <c r="C146" s="53" t="str">
        <f>"簡淑華"</f>
        <v>簡淑華</v>
      </c>
      <c r="D146" s="262">
        <v>41859</v>
      </c>
      <c r="E146" s="39" t="s">
        <v>1050</v>
      </c>
      <c r="F146" s="40">
        <v>10000</v>
      </c>
      <c r="G146" s="41">
        <v>25</v>
      </c>
      <c r="H146" s="41">
        <f t="shared" si="9"/>
        <v>250000</v>
      </c>
      <c r="I146" s="350" t="s">
        <v>3983</v>
      </c>
      <c r="J146" s="262">
        <f t="shared" si="7"/>
        <v>41859</v>
      </c>
      <c r="K146" s="41">
        <f t="shared" si="5"/>
        <v>250000</v>
      </c>
      <c r="L146" s="224"/>
    </row>
    <row r="147" spans="1:12" ht="34.5" customHeight="1">
      <c r="A147" s="38" t="s">
        <v>935</v>
      </c>
      <c r="B147" s="38" t="str">
        <f>"88"</f>
        <v>88</v>
      </c>
      <c r="C147" s="53" t="str">
        <f>"廖繼仕"</f>
        <v>廖繼仕</v>
      </c>
      <c r="D147" s="262">
        <v>41859</v>
      </c>
      <c r="E147" s="39" t="s">
        <v>1051</v>
      </c>
      <c r="F147" s="40">
        <v>3000</v>
      </c>
      <c r="G147" s="41">
        <v>25</v>
      </c>
      <c r="H147" s="41">
        <f t="shared" si="9"/>
        <v>75000</v>
      </c>
      <c r="I147" s="350" t="s">
        <v>3983</v>
      </c>
      <c r="J147" s="262">
        <f t="shared" si="7"/>
        <v>41859</v>
      </c>
      <c r="K147" s="41">
        <f t="shared" si="5"/>
        <v>75000</v>
      </c>
      <c r="L147" s="224"/>
    </row>
    <row r="148" spans="1:12" ht="34.5" customHeight="1">
      <c r="A148" s="38" t="s">
        <v>936</v>
      </c>
      <c r="B148" s="38" t="str">
        <f>"318"</f>
        <v>318</v>
      </c>
      <c r="C148" s="53" t="str">
        <f>"許健國"</f>
        <v>許健國</v>
      </c>
      <c r="D148" s="262">
        <v>41859</v>
      </c>
      <c r="E148" s="39" t="s">
        <v>1052</v>
      </c>
      <c r="F148" s="40">
        <v>8000</v>
      </c>
      <c r="G148" s="41">
        <v>25</v>
      </c>
      <c r="H148" s="41">
        <f t="shared" si="9"/>
        <v>200000</v>
      </c>
      <c r="I148" s="350" t="s">
        <v>3983</v>
      </c>
      <c r="J148" s="262">
        <f t="shared" si="7"/>
        <v>41859</v>
      </c>
      <c r="K148" s="41">
        <f t="shared" si="5"/>
        <v>200000</v>
      </c>
      <c r="L148" s="224"/>
    </row>
    <row r="149" spans="1:12" ht="34.5" customHeight="1">
      <c r="A149" s="38" t="s">
        <v>937</v>
      </c>
      <c r="B149" s="38" t="str">
        <f>"87"</f>
        <v>87</v>
      </c>
      <c r="C149" s="53" t="str">
        <f>"鍾瑞堂"</f>
        <v>鍾瑞堂</v>
      </c>
      <c r="D149" s="262">
        <v>41859</v>
      </c>
      <c r="E149" s="39" t="s">
        <v>1053</v>
      </c>
      <c r="F149" s="40">
        <v>2000</v>
      </c>
      <c r="G149" s="41">
        <v>25</v>
      </c>
      <c r="H149" s="41">
        <f t="shared" si="9"/>
        <v>50000</v>
      </c>
      <c r="I149" s="350" t="s">
        <v>3983</v>
      </c>
      <c r="J149" s="262">
        <f t="shared" si="7"/>
        <v>41859</v>
      </c>
      <c r="K149" s="41">
        <f t="shared" si="5"/>
        <v>50000</v>
      </c>
      <c r="L149" s="224"/>
    </row>
    <row r="150" spans="1:12" ht="34.5" customHeight="1">
      <c r="A150" s="38" t="s">
        <v>938</v>
      </c>
      <c r="B150" s="38" t="str">
        <f>"340"</f>
        <v>340</v>
      </c>
      <c r="C150" s="53" t="str">
        <f>"謝玄昭"</f>
        <v>謝玄昭</v>
      </c>
      <c r="D150" s="262">
        <v>41859</v>
      </c>
      <c r="E150" s="39" t="s">
        <v>1054</v>
      </c>
      <c r="F150" s="40">
        <v>3000</v>
      </c>
      <c r="G150" s="41">
        <v>25</v>
      </c>
      <c r="H150" s="41">
        <f t="shared" si="9"/>
        <v>75000</v>
      </c>
      <c r="I150" s="350" t="s">
        <v>3983</v>
      </c>
      <c r="J150" s="262">
        <f t="shared" si="7"/>
        <v>41859</v>
      </c>
      <c r="K150" s="41">
        <f t="shared" si="5"/>
        <v>75000</v>
      </c>
      <c r="L150" s="224"/>
    </row>
    <row r="151" spans="1:12" ht="34.5" customHeight="1">
      <c r="A151" s="38" t="s">
        <v>939</v>
      </c>
      <c r="B151" s="38" t="str">
        <f>"139"</f>
        <v>139</v>
      </c>
      <c r="C151" s="53" t="str">
        <f>"葉金光"</f>
        <v>葉金光</v>
      </c>
      <c r="D151" s="262">
        <v>41859</v>
      </c>
      <c r="E151" s="39" t="s">
        <v>1055</v>
      </c>
      <c r="F151" s="40">
        <v>6000</v>
      </c>
      <c r="G151" s="41">
        <v>25</v>
      </c>
      <c r="H151" s="41">
        <f t="shared" si="9"/>
        <v>150000</v>
      </c>
      <c r="I151" s="350" t="s">
        <v>3983</v>
      </c>
      <c r="J151" s="262">
        <f t="shared" si="7"/>
        <v>41859</v>
      </c>
      <c r="K151" s="41">
        <f t="shared" si="5"/>
        <v>150000</v>
      </c>
      <c r="L151" s="224"/>
    </row>
    <row r="152" spans="1:12" ht="34.5" customHeight="1">
      <c r="A152" s="38" t="s">
        <v>940</v>
      </c>
      <c r="B152" s="38" t="str">
        <f>"309"</f>
        <v>309</v>
      </c>
      <c r="C152" s="53" t="str">
        <f>"王裕仁"</f>
        <v>王裕仁</v>
      </c>
      <c r="D152" s="262">
        <v>41859</v>
      </c>
      <c r="E152" s="39" t="s">
        <v>1056</v>
      </c>
      <c r="F152" s="40">
        <v>10000</v>
      </c>
      <c r="G152" s="41">
        <v>25</v>
      </c>
      <c r="H152" s="41">
        <f t="shared" si="9"/>
        <v>250000</v>
      </c>
      <c r="I152" s="350" t="s">
        <v>3983</v>
      </c>
      <c r="J152" s="262">
        <f t="shared" si="7"/>
        <v>41859</v>
      </c>
      <c r="K152" s="41">
        <f t="shared" ref="K152:K173" si="10">H152</f>
        <v>250000</v>
      </c>
      <c r="L152" s="224"/>
    </row>
    <row r="153" spans="1:12" ht="34.5" customHeight="1">
      <c r="A153" s="38" t="s">
        <v>941</v>
      </c>
      <c r="B153" s="38" t="str">
        <f>"54"</f>
        <v>54</v>
      </c>
      <c r="C153" s="53" t="str">
        <f>"李陳正香"</f>
        <v>李陳正香</v>
      </c>
      <c r="D153" s="262">
        <v>41859</v>
      </c>
      <c r="E153" s="39" t="s">
        <v>1057</v>
      </c>
      <c r="F153" s="40">
        <v>8000</v>
      </c>
      <c r="G153" s="41">
        <v>25</v>
      </c>
      <c r="H153" s="41">
        <f t="shared" si="9"/>
        <v>200000</v>
      </c>
      <c r="I153" s="350" t="s">
        <v>3983</v>
      </c>
      <c r="J153" s="262">
        <f t="shared" si="7"/>
        <v>41859</v>
      </c>
      <c r="K153" s="41">
        <f t="shared" si="10"/>
        <v>200000</v>
      </c>
      <c r="L153" s="224"/>
    </row>
    <row r="154" spans="1:12" ht="34.5" customHeight="1">
      <c r="A154" s="38" t="s">
        <v>942</v>
      </c>
      <c r="B154" s="38" t="str">
        <f>"316"</f>
        <v>316</v>
      </c>
      <c r="C154" s="53" t="str">
        <f>"尤銘德"</f>
        <v>尤銘德</v>
      </c>
      <c r="D154" s="262">
        <v>41861</v>
      </c>
      <c r="E154" s="39" t="s">
        <v>1058</v>
      </c>
      <c r="F154" s="40">
        <v>5000</v>
      </c>
      <c r="G154" s="41">
        <v>25</v>
      </c>
      <c r="H154" s="41">
        <f t="shared" si="9"/>
        <v>125000</v>
      </c>
      <c r="I154" s="350" t="s">
        <v>3983</v>
      </c>
      <c r="J154" s="262">
        <f t="shared" si="7"/>
        <v>41861</v>
      </c>
      <c r="K154" s="41">
        <f t="shared" si="10"/>
        <v>125000</v>
      </c>
      <c r="L154" s="224"/>
    </row>
    <row r="155" spans="1:12" ht="34.5" customHeight="1">
      <c r="A155" s="38" t="s">
        <v>943</v>
      </c>
      <c r="B155" s="38" t="str">
        <f>"223"</f>
        <v>223</v>
      </c>
      <c r="C155" s="53" t="str">
        <f>"陳淑濤"</f>
        <v>陳淑濤</v>
      </c>
      <c r="D155" s="262">
        <v>41862</v>
      </c>
      <c r="E155" s="39" t="s">
        <v>1049</v>
      </c>
      <c r="F155" s="40">
        <v>5000</v>
      </c>
      <c r="G155" s="41">
        <v>25</v>
      </c>
      <c r="H155" s="41">
        <f t="shared" si="9"/>
        <v>125000</v>
      </c>
      <c r="I155" s="350" t="s">
        <v>3983</v>
      </c>
      <c r="J155" s="262">
        <f t="shared" si="7"/>
        <v>41862</v>
      </c>
      <c r="K155" s="41">
        <f t="shared" si="10"/>
        <v>125000</v>
      </c>
      <c r="L155" s="224"/>
    </row>
    <row r="156" spans="1:12" ht="63" customHeight="1">
      <c r="A156" s="38" t="s">
        <v>944</v>
      </c>
      <c r="B156" s="38" t="str">
        <f>"211"</f>
        <v>211</v>
      </c>
      <c r="C156" s="53" t="str">
        <f>"王冬立"</f>
        <v>王冬立</v>
      </c>
      <c r="D156" s="262">
        <v>41862</v>
      </c>
      <c r="E156" s="39" t="s">
        <v>1050</v>
      </c>
      <c r="F156" s="40">
        <v>3000</v>
      </c>
      <c r="G156" s="41">
        <v>25</v>
      </c>
      <c r="H156" s="41">
        <f t="shared" si="9"/>
        <v>75000</v>
      </c>
      <c r="I156" s="350" t="s">
        <v>3983</v>
      </c>
      <c r="J156" s="262">
        <f t="shared" si="7"/>
        <v>41862</v>
      </c>
      <c r="K156" s="41">
        <f t="shared" si="10"/>
        <v>75000</v>
      </c>
      <c r="L156" s="224" t="s">
        <v>2667</v>
      </c>
    </row>
    <row r="157" spans="1:12" ht="34.5" customHeight="1">
      <c r="A157" s="38" t="s">
        <v>945</v>
      </c>
      <c r="B157" s="38" t="str">
        <f>"297"</f>
        <v>297</v>
      </c>
      <c r="C157" s="53" t="str">
        <f>"黃揆勻"</f>
        <v>黃揆勻</v>
      </c>
      <c r="D157" s="262">
        <v>41862</v>
      </c>
      <c r="E157" s="39" t="s">
        <v>1051</v>
      </c>
      <c r="F157" s="40">
        <v>1000</v>
      </c>
      <c r="G157" s="41">
        <v>25</v>
      </c>
      <c r="H157" s="41">
        <f t="shared" si="9"/>
        <v>25000</v>
      </c>
      <c r="I157" s="350" t="s">
        <v>3983</v>
      </c>
      <c r="J157" s="262">
        <f t="shared" si="7"/>
        <v>41862</v>
      </c>
      <c r="K157" s="41">
        <f t="shared" si="10"/>
        <v>25000</v>
      </c>
      <c r="L157" s="224"/>
    </row>
    <row r="158" spans="1:12" ht="34.5" customHeight="1">
      <c r="A158" s="38" t="s">
        <v>946</v>
      </c>
      <c r="B158" s="38" t="str">
        <f>"186"</f>
        <v>186</v>
      </c>
      <c r="C158" s="53" t="str">
        <f>"林錦裕"</f>
        <v>林錦裕</v>
      </c>
      <c r="D158" s="262">
        <v>41862</v>
      </c>
      <c r="E158" s="39" t="s">
        <v>1052</v>
      </c>
      <c r="F158" s="40">
        <v>5000</v>
      </c>
      <c r="G158" s="41">
        <v>25</v>
      </c>
      <c r="H158" s="41">
        <f t="shared" si="9"/>
        <v>125000</v>
      </c>
      <c r="I158" s="350" t="s">
        <v>3983</v>
      </c>
      <c r="J158" s="262">
        <f t="shared" si="7"/>
        <v>41862</v>
      </c>
      <c r="K158" s="41">
        <f t="shared" si="10"/>
        <v>125000</v>
      </c>
      <c r="L158" s="224"/>
    </row>
    <row r="159" spans="1:12" ht="34.5" customHeight="1">
      <c r="A159" s="38" t="s">
        <v>947</v>
      </c>
      <c r="B159" s="38" t="str">
        <f>"25"</f>
        <v>25</v>
      </c>
      <c r="C159" s="53" t="str">
        <f>"陳孟雪"</f>
        <v>陳孟雪</v>
      </c>
      <c r="D159" s="262">
        <v>41862</v>
      </c>
      <c r="E159" s="39" t="s">
        <v>1053</v>
      </c>
      <c r="F159" s="40">
        <v>1000</v>
      </c>
      <c r="G159" s="41">
        <v>25</v>
      </c>
      <c r="H159" s="41">
        <f t="shared" si="9"/>
        <v>25000</v>
      </c>
      <c r="I159" s="350" t="s">
        <v>3983</v>
      </c>
      <c r="J159" s="262">
        <f t="shared" si="7"/>
        <v>41862</v>
      </c>
      <c r="K159" s="41">
        <f t="shared" si="10"/>
        <v>25000</v>
      </c>
      <c r="L159" s="224"/>
    </row>
    <row r="160" spans="1:12" ht="67.75" customHeight="1">
      <c r="A160" s="38" t="s">
        <v>948</v>
      </c>
      <c r="B160" s="38" t="str">
        <f>"94"</f>
        <v>94</v>
      </c>
      <c r="C160" s="53" t="str">
        <f>"黃曉萍"</f>
        <v>黃曉萍</v>
      </c>
      <c r="D160" s="262">
        <v>41862</v>
      </c>
      <c r="E160" s="39" t="s">
        <v>1054</v>
      </c>
      <c r="F160" s="40">
        <v>2000</v>
      </c>
      <c r="G160" s="41">
        <v>25</v>
      </c>
      <c r="H160" s="41">
        <f>F160*G160</f>
        <v>50000</v>
      </c>
      <c r="I160" s="350" t="s">
        <v>3983</v>
      </c>
      <c r="J160" s="262">
        <f t="shared" si="7"/>
        <v>41862</v>
      </c>
      <c r="K160" s="41">
        <f t="shared" si="10"/>
        <v>50000</v>
      </c>
      <c r="L160" s="229" t="s">
        <v>2811</v>
      </c>
    </row>
    <row r="161" spans="1:12" ht="34.5" customHeight="1">
      <c r="A161" s="38" t="s">
        <v>949</v>
      </c>
      <c r="B161" s="38" t="str">
        <f>"251"</f>
        <v>251</v>
      </c>
      <c r="C161" s="53" t="str">
        <f>"姚文清"</f>
        <v>姚文清</v>
      </c>
      <c r="D161" s="262">
        <v>41862</v>
      </c>
      <c r="E161" s="39" t="s">
        <v>1055</v>
      </c>
      <c r="F161" s="40">
        <v>5000</v>
      </c>
      <c r="G161" s="41">
        <v>25</v>
      </c>
      <c r="H161" s="41">
        <f t="shared" ref="H161:H172" si="11">F161*G161</f>
        <v>125000</v>
      </c>
      <c r="I161" s="350" t="s">
        <v>3983</v>
      </c>
      <c r="J161" s="262">
        <f t="shared" si="7"/>
        <v>41862</v>
      </c>
      <c r="K161" s="41">
        <f t="shared" si="10"/>
        <v>125000</v>
      </c>
      <c r="L161" s="224"/>
    </row>
    <row r="162" spans="1:12" ht="34.5" customHeight="1">
      <c r="A162" s="38" t="s">
        <v>950</v>
      </c>
      <c r="B162" s="38" t="str">
        <f>"36"</f>
        <v>36</v>
      </c>
      <c r="C162" s="53" t="str">
        <f>"蔡文益"</f>
        <v>蔡文益</v>
      </c>
      <c r="D162" s="262">
        <v>41862</v>
      </c>
      <c r="E162" s="39" t="s">
        <v>1056</v>
      </c>
      <c r="F162" s="40">
        <v>10000</v>
      </c>
      <c r="G162" s="41">
        <v>25</v>
      </c>
      <c r="H162" s="41">
        <f t="shared" si="11"/>
        <v>250000</v>
      </c>
      <c r="I162" s="350" t="s">
        <v>3983</v>
      </c>
      <c r="J162" s="262">
        <f t="shared" si="7"/>
        <v>41862</v>
      </c>
      <c r="K162" s="41">
        <f t="shared" si="10"/>
        <v>250000</v>
      </c>
      <c r="L162" s="224"/>
    </row>
    <row r="163" spans="1:12" ht="34.5" customHeight="1">
      <c r="A163" s="38" t="s">
        <v>951</v>
      </c>
      <c r="B163" s="38" t="str">
        <f>"356"</f>
        <v>356</v>
      </c>
      <c r="C163" s="53" t="str">
        <f>"黃阿勤"</f>
        <v>黃阿勤</v>
      </c>
      <c r="D163" s="262">
        <v>41862</v>
      </c>
      <c r="E163" s="39" t="s">
        <v>1057</v>
      </c>
      <c r="F163" s="40">
        <v>10000</v>
      </c>
      <c r="G163" s="41">
        <v>25</v>
      </c>
      <c r="H163" s="41">
        <f t="shared" si="11"/>
        <v>250000</v>
      </c>
      <c r="I163" s="350" t="s">
        <v>3983</v>
      </c>
      <c r="J163" s="262">
        <v>41862</v>
      </c>
      <c r="K163" s="41">
        <f t="shared" si="10"/>
        <v>250000</v>
      </c>
      <c r="L163" s="224"/>
    </row>
    <row r="164" spans="1:12" ht="34.5" customHeight="1">
      <c r="A164" s="38" t="s">
        <v>952</v>
      </c>
      <c r="B164" s="38" t="str">
        <f>"178"</f>
        <v>178</v>
      </c>
      <c r="C164" s="53" t="str">
        <f>"蔡佩蓉"</f>
        <v>蔡佩蓉</v>
      </c>
      <c r="D164" s="262">
        <v>41862</v>
      </c>
      <c r="E164" s="39" t="s">
        <v>1058</v>
      </c>
      <c r="F164" s="40">
        <v>5000</v>
      </c>
      <c r="G164" s="41">
        <v>25</v>
      </c>
      <c r="H164" s="41">
        <f t="shared" si="11"/>
        <v>125000</v>
      </c>
      <c r="I164" s="350" t="s">
        <v>3983</v>
      </c>
      <c r="J164" s="262">
        <f t="shared" ref="J164:J170" si="12">D164</f>
        <v>41862</v>
      </c>
      <c r="K164" s="41">
        <f t="shared" si="10"/>
        <v>125000</v>
      </c>
      <c r="L164" s="224"/>
    </row>
    <row r="165" spans="1:12" ht="34.5" customHeight="1">
      <c r="A165" s="38" t="s">
        <v>953</v>
      </c>
      <c r="B165" s="38" t="str">
        <f>"179"</f>
        <v>179</v>
      </c>
      <c r="C165" s="53" t="str">
        <f>"蔡長霖"</f>
        <v>蔡長霖</v>
      </c>
      <c r="D165" s="262">
        <v>41862</v>
      </c>
      <c r="E165" s="39" t="s">
        <v>1049</v>
      </c>
      <c r="F165" s="40">
        <v>5000</v>
      </c>
      <c r="G165" s="41">
        <v>25</v>
      </c>
      <c r="H165" s="41">
        <f t="shared" si="11"/>
        <v>125000</v>
      </c>
      <c r="I165" s="350" t="s">
        <v>3983</v>
      </c>
      <c r="J165" s="262">
        <f t="shared" si="12"/>
        <v>41862</v>
      </c>
      <c r="K165" s="41">
        <f t="shared" si="10"/>
        <v>125000</v>
      </c>
      <c r="L165" s="224"/>
    </row>
    <row r="166" spans="1:12" ht="34.5" customHeight="1">
      <c r="A166" s="38" t="s">
        <v>954</v>
      </c>
      <c r="B166" s="38" t="str">
        <f>"143"</f>
        <v>143</v>
      </c>
      <c r="C166" s="53" t="str">
        <f>"陳檉熹"</f>
        <v>陳檉熹</v>
      </c>
      <c r="D166" s="262">
        <v>41862</v>
      </c>
      <c r="E166" s="39" t="s">
        <v>1050</v>
      </c>
      <c r="F166" s="40">
        <v>1000</v>
      </c>
      <c r="G166" s="41">
        <v>25</v>
      </c>
      <c r="H166" s="41">
        <f t="shared" si="11"/>
        <v>25000</v>
      </c>
      <c r="I166" s="350" t="s">
        <v>3983</v>
      </c>
      <c r="J166" s="262">
        <f t="shared" si="12"/>
        <v>41862</v>
      </c>
      <c r="K166" s="41">
        <f t="shared" si="10"/>
        <v>25000</v>
      </c>
      <c r="L166" s="224"/>
    </row>
    <row r="167" spans="1:12" ht="34.5" customHeight="1">
      <c r="A167" s="38" t="s">
        <v>955</v>
      </c>
      <c r="B167" s="38" t="str">
        <f>"232"</f>
        <v>232</v>
      </c>
      <c r="C167" s="53" t="str">
        <f>"黃明智"</f>
        <v>黃明智</v>
      </c>
      <c r="D167" s="262">
        <v>41862</v>
      </c>
      <c r="E167" s="39" t="s">
        <v>1051</v>
      </c>
      <c r="F167" s="40">
        <v>2000</v>
      </c>
      <c r="G167" s="41">
        <v>25</v>
      </c>
      <c r="H167" s="41">
        <f t="shared" si="11"/>
        <v>50000</v>
      </c>
      <c r="I167" s="350" t="s">
        <v>3983</v>
      </c>
      <c r="J167" s="262">
        <f t="shared" si="12"/>
        <v>41862</v>
      </c>
      <c r="K167" s="41">
        <f t="shared" si="10"/>
        <v>50000</v>
      </c>
      <c r="L167" s="224"/>
    </row>
    <row r="168" spans="1:12" ht="34.5" customHeight="1">
      <c r="A168" s="38" t="s">
        <v>956</v>
      </c>
      <c r="B168" s="38" t="str">
        <f>"83"</f>
        <v>83</v>
      </c>
      <c r="C168" s="53" t="str">
        <f>"曾文清"</f>
        <v>曾文清</v>
      </c>
      <c r="D168" s="262">
        <v>41862</v>
      </c>
      <c r="E168" s="39" t="s">
        <v>1052</v>
      </c>
      <c r="F168" s="40">
        <v>1000</v>
      </c>
      <c r="G168" s="41">
        <v>25</v>
      </c>
      <c r="H168" s="41">
        <f t="shared" si="11"/>
        <v>25000</v>
      </c>
      <c r="I168" s="350" t="s">
        <v>3983</v>
      </c>
      <c r="J168" s="262">
        <f t="shared" si="12"/>
        <v>41862</v>
      </c>
      <c r="K168" s="41">
        <f t="shared" si="10"/>
        <v>25000</v>
      </c>
      <c r="L168" s="224"/>
    </row>
    <row r="169" spans="1:12" ht="34.5" customHeight="1">
      <c r="A169" s="38" t="s">
        <v>957</v>
      </c>
      <c r="B169" s="38" t="str">
        <f>"40"</f>
        <v>40</v>
      </c>
      <c r="C169" s="53" t="str">
        <f>"張潘喜英"</f>
        <v>張潘喜英</v>
      </c>
      <c r="D169" s="262">
        <v>41862</v>
      </c>
      <c r="E169" s="39" t="s">
        <v>1053</v>
      </c>
      <c r="F169" s="40">
        <v>2000</v>
      </c>
      <c r="G169" s="41">
        <v>25</v>
      </c>
      <c r="H169" s="41">
        <f t="shared" si="11"/>
        <v>50000</v>
      </c>
      <c r="I169" s="350" t="s">
        <v>3983</v>
      </c>
      <c r="J169" s="262">
        <f t="shared" si="12"/>
        <v>41862</v>
      </c>
      <c r="K169" s="41">
        <f t="shared" si="10"/>
        <v>50000</v>
      </c>
      <c r="L169" s="224"/>
    </row>
    <row r="170" spans="1:12" ht="64.75" customHeight="1">
      <c r="A170" s="38" t="s">
        <v>958</v>
      </c>
      <c r="B170" s="38" t="str">
        <f>"68"</f>
        <v>68</v>
      </c>
      <c r="C170" s="53" t="str">
        <f>"陳宏洋"</f>
        <v>陳宏洋</v>
      </c>
      <c r="D170" s="262">
        <v>41862</v>
      </c>
      <c r="E170" s="39" t="s">
        <v>1054</v>
      </c>
      <c r="F170" s="40">
        <v>2000</v>
      </c>
      <c r="G170" s="41">
        <v>25</v>
      </c>
      <c r="H170" s="41">
        <f t="shared" si="11"/>
        <v>50000</v>
      </c>
      <c r="I170" s="350" t="s">
        <v>3983</v>
      </c>
      <c r="J170" s="262">
        <f t="shared" si="12"/>
        <v>41862</v>
      </c>
      <c r="K170" s="41">
        <f t="shared" si="10"/>
        <v>50000</v>
      </c>
      <c r="L170" s="224" t="s">
        <v>2649</v>
      </c>
    </row>
    <row r="171" spans="1:12" ht="34.5" customHeight="1">
      <c r="A171" s="38" t="s">
        <v>959</v>
      </c>
      <c r="B171" s="38" t="str">
        <f>"96"</f>
        <v>96</v>
      </c>
      <c r="C171" s="53" t="str">
        <f>"郭如玲"</f>
        <v>郭如玲</v>
      </c>
      <c r="D171" s="262">
        <v>41862</v>
      </c>
      <c r="E171" s="39" t="s">
        <v>1055</v>
      </c>
      <c r="F171" s="40">
        <v>20000</v>
      </c>
      <c r="G171" s="41">
        <v>25</v>
      </c>
      <c r="H171" s="41">
        <f t="shared" si="11"/>
        <v>500000</v>
      </c>
      <c r="I171" s="350" t="s">
        <v>3983</v>
      </c>
      <c r="J171" s="262">
        <v>41862</v>
      </c>
      <c r="K171" s="41">
        <f t="shared" si="10"/>
        <v>500000</v>
      </c>
      <c r="L171" s="224"/>
    </row>
    <row r="172" spans="1:12" ht="34.5" customHeight="1">
      <c r="A172" s="38" t="s">
        <v>960</v>
      </c>
      <c r="B172" s="38" t="str">
        <f>"337"</f>
        <v>337</v>
      </c>
      <c r="C172" s="53" t="str">
        <f>"翁明昆"</f>
        <v>翁明昆</v>
      </c>
      <c r="D172" s="262">
        <v>41862</v>
      </c>
      <c r="E172" s="39" t="s">
        <v>1056</v>
      </c>
      <c r="F172" s="40">
        <v>5000</v>
      </c>
      <c r="G172" s="41">
        <v>25</v>
      </c>
      <c r="H172" s="41">
        <f t="shared" si="11"/>
        <v>125000</v>
      </c>
      <c r="I172" s="350" t="s">
        <v>3983</v>
      </c>
      <c r="J172" s="262">
        <f>D172</f>
        <v>41862</v>
      </c>
      <c r="K172" s="41">
        <f t="shared" si="10"/>
        <v>125000</v>
      </c>
      <c r="L172" s="224"/>
    </row>
    <row r="173" spans="1:12" ht="34.5" customHeight="1">
      <c r="A173" s="38" t="s">
        <v>961</v>
      </c>
      <c r="B173" s="38" t="str">
        <f>"391"</f>
        <v>391</v>
      </c>
      <c r="C173" s="53" t="str">
        <f>"楊小宜"</f>
        <v>楊小宜</v>
      </c>
      <c r="D173" s="262">
        <v>41862</v>
      </c>
      <c r="E173" s="39" t="s">
        <v>1057</v>
      </c>
      <c r="F173" s="40">
        <v>3000</v>
      </c>
      <c r="G173" s="41">
        <v>25</v>
      </c>
      <c r="H173" s="41">
        <f>F173*G173</f>
        <v>75000</v>
      </c>
      <c r="I173" s="350" t="s">
        <v>3983</v>
      </c>
      <c r="J173" s="262">
        <f>D173</f>
        <v>41862</v>
      </c>
      <c r="K173" s="41">
        <f t="shared" si="10"/>
        <v>75000</v>
      </c>
      <c r="L173" s="224"/>
    </row>
    <row r="174" spans="1:12" ht="107.25" customHeight="1">
      <c r="A174" s="366" t="s">
        <v>962</v>
      </c>
      <c r="B174" s="366" t="str">
        <f>"406"</f>
        <v>406</v>
      </c>
      <c r="C174" s="369" t="str">
        <f>"高素雲"</f>
        <v>高素雲</v>
      </c>
      <c r="D174" s="387">
        <v>41862</v>
      </c>
      <c r="E174" s="366" t="s">
        <v>1058</v>
      </c>
      <c r="F174" s="375">
        <v>6000</v>
      </c>
      <c r="G174" s="378">
        <v>25</v>
      </c>
      <c r="H174" s="378">
        <f>F174*G174</f>
        <v>150000</v>
      </c>
      <c r="I174" s="350" t="s">
        <v>3983</v>
      </c>
      <c r="J174" s="387">
        <f>D174</f>
        <v>41862</v>
      </c>
      <c r="K174" s="378">
        <f>H174</f>
        <v>150000</v>
      </c>
      <c r="L174" s="224" t="s">
        <v>2799</v>
      </c>
    </row>
    <row r="175" spans="1:12" ht="100.5" customHeight="1">
      <c r="A175" s="368"/>
      <c r="B175" s="368"/>
      <c r="C175" s="371"/>
      <c r="D175" s="388"/>
      <c r="E175" s="368"/>
      <c r="F175" s="377"/>
      <c r="G175" s="380"/>
      <c r="H175" s="380"/>
      <c r="I175" s="350" t="s">
        <v>3983</v>
      </c>
      <c r="J175" s="388"/>
      <c r="K175" s="380"/>
      <c r="L175" s="224" t="s">
        <v>2800</v>
      </c>
    </row>
    <row r="176" spans="1:12" ht="34.5" customHeight="1">
      <c r="A176" s="42" t="s">
        <v>963</v>
      </c>
      <c r="B176" s="42" t="str">
        <f>"168"</f>
        <v>168</v>
      </c>
      <c r="C176" s="54" t="str">
        <f>"莊德謀"</f>
        <v>莊德謀</v>
      </c>
      <c r="D176" s="263">
        <v>41862</v>
      </c>
      <c r="E176" s="43" t="s">
        <v>1049</v>
      </c>
      <c r="F176" s="44">
        <v>1000</v>
      </c>
      <c r="G176" s="45">
        <v>25</v>
      </c>
      <c r="H176" s="45">
        <f t="shared" ref="H176:H181" si="13">F176*G176</f>
        <v>25000</v>
      </c>
      <c r="I176" s="350" t="s">
        <v>3983</v>
      </c>
      <c r="J176" s="263">
        <f t="shared" ref="J176:J181" si="14">D176</f>
        <v>41862</v>
      </c>
      <c r="K176" s="45">
        <f>H176</f>
        <v>25000</v>
      </c>
      <c r="L176" s="225" t="s">
        <v>1059</v>
      </c>
    </row>
    <row r="177" spans="1:12" ht="34.5" customHeight="1">
      <c r="A177" s="38" t="s">
        <v>964</v>
      </c>
      <c r="B177" s="38" t="str">
        <f>"187"</f>
        <v>187</v>
      </c>
      <c r="C177" s="53" t="str">
        <f>"尤伍能"</f>
        <v>尤伍能</v>
      </c>
      <c r="D177" s="262">
        <v>41862</v>
      </c>
      <c r="E177" s="39" t="s">
        <v>1050</v>
      </c>
      <c r="F177" s="40">
        <v>2000</v>
      </c>
      <c r="G177" s="41">
        <v>25</v>
      </c>
      <c r="H177" s="45">
        <f t="shared" si="13"/>
        <v>50000</v>
      </c>
      <c r="I177" s="350" t="s">
        <v>3983</v>
      </c>
      <c r="J177" s="262">
        <f t="shared" si="14"/>
        <v>41862</v>
      </c>
      <c r="K177" s="41">
        <f>H177</f>
        <v>50000</v>
      </c>
      <c r="L177" s="224"/>
    </row>
    <row r="178" spans="1:12" ht="75" customHeight="1">
      <c r="A178" s="38" t="s">
        <v>965</v>
      </c>
      <c r="B178" s="38" t="str">
        <f>"155"</f>
        <v>155</v>
      </c>
      <c r="C178" s="53" t="str">
        <f>"駱詠潔"</f>
        <v>駱詠潔</v>
      </c>
      <c r="D178" s="262">
        <v>41862</v>
      </c>
      <c r="E178" s="39" t="s">
        <v>1051</v>
      </c>
      <c r="F178" s="40">
        <v>5000</v>
      </c>
      <c r="G178" s="41">
        <v>25</v>
      </c>
      <c r="H178" s="45">
        <f t="shared" si="13"/>
        <v>125000</v>
      </c>
      <c r="I178" s="350" t="s">
        <v>3983</v>
      </c>
      <c r="J178" s="262">
        <f t="shared" si="14"/>
        <v>41862</v>
      </c>
      <c r="K178" s="41">
        <f t="shared" ref="K178:K203" si="15">H178</f>
        <v>125000</v>
      </c>
      <c r="L178" s="229" t="s">
        <v>2793</v>
      </c>
    </row>
    <row r="179" spans="1:12" ht="34.5" customHeight="1">
      <c r="A179" s="38" t="s">
        <v>966</v>
      </c>
      <c r="B179" s="38" t="str">
        <f>"78"</f>
        <v>78</v>
      </c>
      <c r="C179" s="53" t="str">
        <f>"官裕宗"</f>
        <v>官裕宗</v>
      </c>
      <c r="D179" s="262">
        <v>41862</v>
      </c>
      <c r="E179" s="39" t="s">
        <v>1052</v>
      </c>
      <c r="F179" s="40">
        <v>15000</v>
      </c>
      <c r="G179" s="41">
        <v>25</v>
      </c>
      <c r="H179" s="45">
        <f t="shared" si="13"/>
        <v>375000</v>
      </c>
      <c r="I179" s="350" t="s">
        <v>3983</v>
      </c>
      <c r="J179" s="262">
        <f t="shared" si="14"/>
        <v>41862</v>
      </c>
      <c r="K179" s="41">
        <f t="shared" si="15"/>
        <v>375000</v>
      </c>
      <c r="L179" s="224"/>
    </row>
    <row r="180" spans="1:12" ht="34.5" customHeight="1">
      <c r="A180" s="38" t="s">
        <v>967</v>
      </c>
      <c r="B180" s="38" t="str">
        <f>"106"</f>
        <v>106</v>
      </c>
      <c r="C180" s="53" t="str">
        <f>"陳復章"</f>
        <v>陳復章</v>
      </c>
      <c r="D180" s="262">
        <v>41862</v>
      </c>
      <c r="E180" s="39" t="s">
        <v>1053</v>
      </c>
      <c r="F180" s="40">
        <v>1000</v>
      </c>
      <c r="G180" s="41">
        <v>25</v>
      </c>
      <c r="H180" s="45">
        <f t="shared" si="13"/>
        <v>25000</v>
      </c>
      <c r="I180" s="350" t="s">
        <v>3983</v>
      </c>
      <c r="J180" s="262">
        <f t="shared" si="14"/>
        <v>41862</v>
      </c>
      <c r="K180" s="41">
        <f t="shared" si="15"/>
        <v>25000</v>
      </c>
      <c r="L180" s="224"/>
    </row>
    <row r="181" spans="1:12" ht="43.5" customHeight="1">
      <c r="A181" s="391" t="s">
        <v>1060</v>
      </c>
      <c r="B181" s="391" t="str">
        <f>"169"</f>
        <v>169</v>
      </c>
      <c r="C181" s="393" t="str">
        <f>"李德昱"</f>
        <v>李德昱</v>
      </c>
      <c r="D181" s="395" t="s">
        <v>1061</v>
      </c>
      <c r="E181" s="391" t="s">
        <v>1053</v>
      </c>
      <c r="F181" s="397">
        <v>2000</v>
      </c>
      <c r="G181" s="389">
        <v>25</v>
      </c>
      <c r="H181" s="389">
        <f t="shared" si="13"/>
        <v>50000</v>
      </c>
      <c r="I181" s="350" t="s">
        <v>3983</v>
      </c>
      <c r="J181" s="395" t="str">
        <f t="shared" si="14"/>
        <v>2014/8/11、8/13</v>
      </c>
      <c r="K181" s="389">
        <f>H181</f>
        <v>50000</v>
      </c>
      <c r="L181" s="226" t="s">
        <v>1062</v>
      </c>
    </row>
    <row r="182" spans="1:12" ht="42" customHeight="1">
      <c r="A182" s="392"/>
      <c r="B182" s="392"/>
      <c r="C182" s="394"/>
      <c r="D182" s="396"/>
      <c r="E182" s="392"/>
      <c r="F182" s="398"/>
      <c r="G182" s="390"/>
      <c r="H182" s="390"/>
      <c r="I182" s="350" t="s">
        <v>3983</v>
      </c>
      <c r="J182" s="396"/>
      <c r="K182" s="390"/>
      <c r="L182" s="226" t="s">
        <v>1063</v>
      </c>
    </row>
    <row r="183" spans="1:12" ht="68.25" customHeight="1">
      <c r="A183" s="38" t="s">
        <v>968</v>
      </c>
      <c r="B183" s="38" t="str">
        <f>"98"</f>
        <v>98</v>
      </c>
      <c r="C183" s="53" t="str">
        <f>"莊重信"</f>
        <v>莊重信</v>
      </c>
      <c r="D183" s="262">
        <v>41862</v>
      </c>
      <c r="E183" s="39" t="s">
        <v>1055</v>
      </c>
      <c r="F183" s="40">
        <v>6000</v>
      </c>
      <c r="G183" s="41">
        <v>25</v>
      </c>
      <c r="H183" s="41">
        <f>F183*G183</f>
        <v>150000</v>
      </c>
      <c r="I183" s="350" t="s">
        <v>3983</v>
      </c>
      <c r="J183" s="262">
        <f t="shared" ref="J183:J203" si="16">D183</f>
        <v>41862</v>
      </c>
      <c r="K183" s="41">
        <f t="shared" si="15"/>
        <v>150000</v>
      </c>
      <c r="L183" s="229" t="s">
        <v>2781</v>
      </c>
    </row>
    <row r="184" spans="1:12" ht="34.5" customHeight="1">
      <c r="A184" s="38" t="s">
        <v>969</v>
      </c>
      <c r="B184" s="38" t="str">
        <f>"184"</f>
        <v>184</v>
      </c>
      <c r="C184" s="53" t="str">
        <f>"吳勝傑"</f>
        <v>吳勝傑</v>
      </c>
      <c r="D184" s="262">
        <v>41862</v>
      </c>
      <c r="E184" s="39" t="s">
        <v>1056</v>
      </c>
      <c r="F184" s="40">
        <v>4000</v>
      </c>
      <c r="G184" s="41">
        <v>25</v>
      </c>
      <c r="H184" s="41">
        <f t="shared" ref="H184:H203" si="17">F184*G184</f>
        <v>100000</v>
      </c>
      <c r="I184" s="350" t="s">
        <v>3983</v>
      </c>
      <c r="J184" s="262">
        <f t="shared" si="16"/>
        <v>41862</v>
      </c>
      <c r="K184" s="41">
        <f t="shared" si="15"/>
        <v>100000</v>
      </c>
      <c r="L184" s="224"/>
    </row>
    <row r="185" spans="1:12" ht="34.5" customHeight="1">
      <c r="A185" s="38" t="s">
        <v>970</v>
      </c>
      <c r="B185" s="38" t="str">
        <f>"237"</f>
        <v>237</v>
      </c>
      <c r="C185" s="53" t="str">
        <f>"洪仁成"</f>
        <v>洪仁成</v>
      </c>
      <c r="D185" s="262">
        <v>41862</v>
      </c>
      <c r="E185" s="39" t="s">
        <v>1057</v>
      </c>
      <c r="F185" s="40">
        <v>5000</v>
      </c>
      <c r="G185" s="41">
        <v>25</v>
      </c>
      <c r="H185" s="41">
        <f t="shared" si="17"/>
        <v>125000</v>
      </c>
      <c r="I185" s="350" t="s">
        <v>3983</v>
      </c>
      <c r="J185" s="262">
        <f t="shared" si="16"/>
        <v>41862</v>
      </c>
      <c r="K185" s="41">
        <f t="shared" si="15"/>
        <v>125000</v>
      </c>
      <c r="L185" s="224"/>
    </row>
    <row r="186" spans="1:12" ht="36" customHeight="1">
      <c r="A186" s="38" t="s">
        <v>971</v>
      </c>
      <c r="B186" s="38" t="str">
        <f>"79"</f>
        <v>79</v>
      </c>
      <c r="C186" s="53" t="str">
        <f>"李孟訓"</f>
        <v>李孟訓</v>
      </c>
      <c r="D186" s="262">
        <v>41862</v>
      </c>
      <c r="E186" s="39" t="s">
        <v>1058</v>
      </c>
      <c r="F186" s="40">
        <v>5000</v>
      </c>
      <c r="G186" s="41">
        <v>25</v>
      </c>
      <c r="H186" s="41">
        <f t="shared" si="17"/>
        <v>125000</v>
      </c>
      <c r="I186" s="350" t="s">
        <v>3983</v>
      </c>
      <c r="J186" s="262">
        <f t="shared" si="16"/>
        <v>41862</v>
      </c>
      <c r="K186" s="41">
        <f t="shared" si="15"/>
        <v>125000</v>
      </c>
      <c r="L186" s="224"/>
    </row>
    <row r="187" spans="1:12" ht="46.5" customHeight="1">
      <c r="A187" s="38" t="s">
        <v>972</v>
      </c>
      <c r="B187" s="38" t="str">
        <f>"138"</f>
        <v>138</v>
      </c>
      <c r="C187" s="53" t="str">
        <f>"李桂鶯"</f>
        <v>李桂鶯</v>
      </c>
      <c r="D187" s="262">
        <v>41862</v>
      </c>
      <c r="E187" s="39" t="s">
        <v>1049</v>
      </c>
      <c r="F187" s="40">
        <v>15000</v>
      </c>
      <c r="G187" s="41">
        <v>25</v>
      </c>
      <c r="H187" s="41">
        <f t="shared" si="17"/>
        <v>375000</v>
      </c>
      <c r="I187" s="350" t="s">
        <v>3983</v>
      </c>
      <c r="J187" s="262">
        <f t="shared" si="16"/>
        <v>41862</v>
      </c>
      <c r="K187" s="41">
        <f t="shared" si="15"/>
        <v>375000</v>
      </c>
      <c r="L187" s="224"/>
    </row>
    <row r="188" spans="1:12" ht="46.5" customHeight="1">
      <c r="A188" s="38" t="s">
        <v>973</v>
      </c>
      <c r="B188" s="38" t="str">
        <f>"347"</f>
        <v>347</v>
      </c>
      <c r="C188" s="53" t="str">
        <f>"張建成"</f>
        <v>張建成</v>
      </c>
      <c r="D188" s="262">
        <v>41862</v>
      </c>
      <c r="E188" s="39" t="s">
        <v>1050</v>
      </c>
      <c r="F188" s="40">
        <v>5000</v>
      </c>
      <c r="G188" s="41">
        <v>25</v>
      </c>
      <c r="H188" s="41">
        <f t="shared" si="17"/>
        <v>125000</v>
      </c>
      <c r="I188" s="350" t="s">
        <v>3983</v>
      </c>
      <c r="J188" s="262">
        <f>D188</f>
        <v>41862</v>
      </c>
      <c r="K188" s="41">
        <f>H188</f>
        <v>125000</v>
      </c>
      <c r="L188" s="224"/>
    </row>
    <row r="189" spans="1:12" ht="81.75" customHeight="1">
      <c r="A189" s="38" t="s">
        <v>974</v>
      </c>
      <c r="B189" s="38" t="str">
        <f>"249"</f>
        <v>249</v>
      </c>
      <c r="C189" s="53" t="str">
        <f>"伍正康"</f>
        <v>伍正康</v>
      </c>
      <c r="D189" s="262">
        <v>41862</v>
      </c>
      <c r="E189" s="39" t="s">
        <v>1051</v>
      </c>
      <c r="F189" s="40">
        <v>5000</v>
      </c>
      <c r="G189" s="41">
        <v>25</v>
      </c>
      <c r="H189" s="41">
        <f t="shared" si="17"/>
        <v>125000</v>
      </c>
      <c r="I189" s="350" t="s">
        <v>3983</v>
      </c>
      <c r="J189" s="262">
        <f t="shared" si="16"/>
        <v>41862</v>
      </c>
      <c r="K189" s="41">
        <f t="shared" si="15"/>
        <v>125000</v>
      </c>
      <c r="L189" s="224" t="s">
        <v>2683</v>
      </c>
    </row>
    <row r="190" spans="1:12" ht="46.5" customHeight="1">
      <c r="A190" s="38" t="s">
        <v>975</v>
      </c>
      <c r="B190" s="38" t="str">
        <f>"338"</f>
        <v>338</v>
      </c>
      <c r="C190" s="53" t="str">
        <f>"羅誘貽"</f>
        <v>羅誘貽</v>
      </c>
      <c r="D190" s="262">
        <v>41862</v>
      </c>
      <c r="E190" s="39" t="s">
        <v>1052</v>
      </c>
      <c r="F190" s="40">
        <v>2000</v>
      </c>
      <c r="G190" s="41">
        <v>25</v>
      </c>
      <c r="H190" s="41">
        <f t="shared" si="17"/>
        <v>50000</v>
      </c>
      <c r="I190" s="350" t="s">
        <v>3983</v>
      </c>
      <c r="J190" s="262">
        <f t="shared" si="16"/>
        <v>41862</v>
      </c>
      <c r="K190" s="41">
        <f t="shared" si="15"/>
        <v>50000</v>
      </c>
      <c r="L190" s="224"/>
    </row>
    <row r="191" spans="1:12" ht="46.5" customHeight="1">
      <c r="A191" s="38" t="s">
        <v>976</v>
      </c>
      <c r="B191" s="38" t="str">
        <f>"77"</f>
        <v>77</v>
      </c>
      <c r="C191" s="53" t="str">
        <f>"陳信宏"</f>
        <v>陳信宏</v>
      </c>
      <c r="D191" s="262">
        <v>41862</v>
      </c>
      <c r="E191" s="39" t="s">
        <v>1053</v>
      </c>
      <c r="F191" s="40">
        <v>2000</v>
      </c>
      <c r="G191" s="41">
        <v>25</v>
      </c>
      <c r="H191" s="41">
        <f t="shared" si="17"/>
        <v>50000</v>
      </c>
      <c r="I191" s="350" t="s">
        <v>3983</v>
      </c>
      <c r="J191" s="262">
        <f t="shared" si="16"/>
        <v>41862</v>
      </c>
      <c r="K191" s="41">
        <f t="shared" si="15"/>
        <v>50000</v>
      </c>
      <c r="L191" s="224"/>
    </row>
    <row r="192" spans="1:12" ht="46.5" customHeight="1">
      <c r="A192" s="38" t="s">
        <v>977</v>
      </c>
      <c r="B192" s="38" t="str">
        <f>"257"</f>
        <v>257</v>
      </c>
      <c r="C192" s="53" t="str">
        <f>"李湘淇"</f>
        <v>李湘淇</v>
      </c>
      <c r="D192" s="262">
        <v>41862</v>
      </c>
      <c r="E192" s="39" t="s">
        <v>1054</v>
      </c>
      <c r="F192" s="40">
        <v>2000</v>
      </c>
      <c r="G192" s="41">
        <v>25</v>
      </c>
      <c r="H192" s="41">
        <f t="shared" si="17"/>
        <v>50000</v>
      </c>
      <c r="I192" s="350" t="s">
        <v>3983</v>
      </c>
      <c r="J192" s="262">
        <f t="shared" si="16"/>
        <v>41862</v>
      </c>
      <c r="K192" s="41">
        <f t="shared" si="15"/>
        <v>50000</v>
      </c>
      <c r="L192" s="224"/>
    </row>
    <row r="193" spans="1:12" ht="46.5" customHeight="1">
      <c r="A193" s="38" t="s">
        <v>978</v>
      </c>
      <c r="B193" s="38" t="str">
        <f>"274"</f>
        <v>274</v>
      </c>
      <c r="C193" s="53" t="str">
        <f>"張嘉農"</f>
        <v>張嘉農</v>
      </c>
      <c r="D193" s="262">
        <v>41862</v>
      </c>
      <c r="E193" s="39" t="s">
        <v>1055</v>
      </c>
      <c r="F193" s="40">
        <v>10000</v>
      </c>
      <c r="G193" s="41">
        <v>25</v>
      </c>
      <c r="H193" s="41">
        <f t="shared" si="17"/>
        <v>250000</v>
      </c>
      <c r="I193" s="350" t="s">
        <v>3983</v>
      </c>
      <c r="J193" s="262">
        <f t="shared" si="16"/>
        <v>41862</v>
      </c>
      <c r="K193" s="41">
        <f t="shared" si="15"/>
        <v>250000</v>
      </c>
      <c r="L193" s="224"/>
    </row>
    <row r="194" spans="1:12" ht="76.650000000000006" customHeight="1">
      <c r="A194" s="38" t="s">
        <v>979</v>
      </c>
      <c r="B194" s="38" t="str">
        <f>"348"</f>
        <v>348</v>
      </c>
      <c r="C194" s="53" t="str">
        <f>"鄭明華"</f>
        <v>鄭明華</v>
      </c>
      <c r="D194" s="262">
        <v>41862</v>
      </c>
      <c r="E194" s="39" t="s">
        <v>1056</v>
      </c>
      <c r="F194" s="40">
        <v>7000</v>
      </c>
      <c r="G194" s="41">
        <v>25</v>
      </c>
      <c r="H194" s="41">
        <f t="shared" si="17"/>
        <v>175000</v>
      </c>
      <c r="I194" s="350" t="s">
        <v>3983</v>
      </c>
      <c r="J194" s="262">
        <f t="shared" si="16"/>
        <v>41862</v>
      </c>
      <c r="K194" s="41">
        <f t="shared" si="15"/>
        <v>175000</v>
      </c>
      <c r="L194" s="224" t="s">
        <v>2853</v>
      </c>
    </row>
    <row r="195" spans="1:12" ht="46.5" customHeight="1">
      <c r="A195" s="38" t="s">
        <v>980</v>
      </c>
      <c r="B195" s="38" t="str">
        <f>"23"</f>
        <v>23</v>
      </c>
      <c r="C195" s="53" t="str">
        <f>"黃秀芬"</f>
        <v>黃秀芬</v>
      </c>
      <c r="D195" s="262">
        <v>41862</v>
      </c>
      <c r="E195" s="39" t="s">
        <v>1057</v>
      </c>
      <c r="F195" s="40">
        <v>5000</v>
      </c>
      <c r="G195" s="41">
        <v>25</v>
      </c>
      <c r="H195" s="41">
        <f t="shared" si="17"/>
        <v>125000</v>
      </c>
      <c r="I195" s="350" t="s">
        <v>3983</v>
      </c>
      <c r="J195" s="262">
        <f t="shared" si="16"/>
        <v>41862</v>
      </c>
      <c r="K195" s="41">
        <f t="shared" si="15"/>
        <v>125000</v>
      </c>
      <c r="L195" s="224"/>
    </row>
    <row r="196" spans="1:12" ht="46.5" customHeight="1">
      <c r="A196" s="38" t="s">
        <v>981</v>
      </c>
      <c r="B196" s="38" t="str">
        <f>"49"</f>
        <v>49</v>
      </c>
      <c r="C196" s="53" t="str">
        <f>"紀榮昆"</f>
        <v>紀榮昆</v>
      </c>
      <c r="D196" s="262">
        <v>41862</v>
      </c>
      <c r="E196" s="39" t="s">
        <v>1058</v>
      </c>
      <c r="F196" s="40">
        <v>2000</v>
      </c>
      <c r="G196" s="41">
        <v>25</v>
      </c>
      <c r="H196" s="41">
        <f t="shared" si="17"/>
        <v>50000</v>
      </c>
      <c r="I196" s="350" t="s">
        <v>3983</v>
      </c>
      <c r="J196" s="262">
        <f t="shared" si="16"/>
        <v>41862</v>
      </c>
      <c r="K196" s="41">
        <f t="shared" si="15"/>
        <v>50000</v>
      </c>
      <c r="L196" s="224"/>
    </row>
    <row r="197" spans="1:12" ht="46.5" customHeight="1">
      <c r="A197" s="38" t="s">
        <v>982</v>
      </c>
      <c r="B197" s="38" t="str">
        <f>"213"</f>
        <v>213</v>
      </c>
      <c r="C197" s="53" t="str">
        <f>"洪榮森"</f>
        <v>洪榮森</v>
      </c>
      <c r="D197" s="262">
        <v>41862</v>
      </c>
      <c r="E197" s="39" t="s">
        <v>1049</v>
      </c>
      <c r="F197" s="40">
        <v>10000</v>
      </c>
      <c r="G197" s="41">
        <v>25</v>
      </c>
      <c r="H197" s="41">
        <f t="shared" si="17"/>
        <v>250000</v>
      </c>
      <c r="I197" s="350" t="s">
        <v>3983</v>
      </c>
      <c r="J197" s="262">
        <f t="shared" si="16"/>
        <v>41862</v>
      </c>
      <c r="K197" s="41">
        <f t="shared" si="15"/>
        <v>250000</v>
      </c>
      <c r="L197" s="224"/>
    </row>
    <row r="198" spans="1:12" ht="46.5" customHeight="1">
      <c r="A198" s="38" t="s">
        <v>983</v>
      </c>
      <c r="B198" s="38" t="str">
        <f>"278"</f>
        <v>278</v>
      </c>
      <c r="C198" s="53" t="str">
        <f>"翁清龍"</f>
        <v>翁清龍</v>
      </c>
      <c r="D198" s="262">
        <v>41862</v>
      </c>
      <c r="E198" s="39" t="s">
        <v>1050</v>
      </c>
      <c r="F198" s="40">
        <v>1000</v>
      </c>
      <c r="G198" s="41">
        <v>25</v>
      </c>
      <c r="H198" s="41">
        <f t="shared" si="17"/>
        <v>25000</v>
      </c>
      <c r="I198" s="350" t="s">
        <v>3983</v>
      </c>
      <c r="J198" s="262">
        <f t="shared" si="16"/>
        <v>41862</v>
      </c>
      <c r="K198" s="41">
        <f t="shared" si="15"/>
        <v>25000</v>
      </c>
      <c r="L198" s="224"/>
    </row>
    <row r="199" spans="1:12" ht="46.5" customHeight="1">
      <c r="A199" s="38" t="s">
        <v>984</v>
      </c>
      <c r="B199" s="38" t="str">
        <f>"167"</f>
        <v>167</v>
      </c>
      <c r="C199" s="53" t="str">
        <f>"蔡佩伶"</f>
        <v>蔡佩伶</v>
      </c>
      <c r="D199" s="262">
        <v>41862</v>
      </c>
      <c r="E199" s="39" t="s">
        <v>1051</v>
      </c>
      <c r="F199" s="40">
        <v>1000</v>
      </c>
      <c r="G199" s="41">
        <v>25</v>
      </c>
      <c r="H199" s="41">
        <f t="shared" si="17"/>
        <v>25000</v>
      </c>
      <c r="I199" s="350" t="s">
        <v>3983</v>
      </c>
      <c r="J199" s="262">
        <f t="shared" si="16"/>
        <v>41862</v>
      </c>
      <c r="K199" s="41">
        <f t="shared" si="15"/>
        <v>25000</v>
      </c>
      <c r="L199" s="224"/>
    </row>
    <row r="200" spans="1:12" ht="46.5" customHeight="1">
      <c r="A200" s="38" t="s">
        <v>985</v>
      </c>
      <c r="B200" s="38" t="str">
        <f>"371"</f>
        <v>371</v>
      </c>
      <c r="C200" s="53" t="str">
        <f>"郭華彥"</f>
        <v>郭華彥</v>
      </c>
      <c r="D200" s="262">
        <v>41862</v>
      </c>
      <c r="E200" s="39" t="s">
        <v>1052</v>
      </c>
      <c r="F200" s="40">
        <v>10000</v>
      </c>
      <c r="G200" s="41">
        <v>25</v>
      </c>
      <c r="H200" s="41">
        <f t="shared" si="17"/>
        <v>250000</v>
      </c>
      <c r="I200" s="350" t="s">
        <v>3983</v>
      </c>
      <c r="J200" s="262">
        <f t="shared" si="16"/>
        <v>41862</v>
      </c>
      <c r="K200" s="41">
        <f t="shared" si="15"/>
        <v>250000</v>
      </c>
      <c r="L200" s="224"/>
    </row>
    <row r="201" spans="1:12" ht="46.5" customHeight="1">
      <c r="A201" s="38" t="s">
        <v>986</v>
      </c>
      <c r="B201" s="38" t="str">
        <f>"350"</f>
        <v>350</v>
      </c>
      <c r="C201" s="53" t="str">
        <f>"林登川"</f>
        <v>林登川</v>
      </c>
      <c r="D201" s="262">
        <v>41862</v>
      </c>
      <c r="E201" s="39" t="s">
        <v>1053</v>
      </c>
      <c r="F201" s="40">
        <v>4000</v>
      </c>
      <c r="G201" s="41">
        <v>25</v>
      </c>
      <c r="H201" s="41">
        <f t="shared" si="17"/>
        <v>100000</v>
      </c>
      <c r="I201" s="350" t="s">
        <v>3983</v>
      </c>
      <c r="J201" s="262">
        <f t="shared" si="16"/>
        <v>41862</v>
      </c>
      <c r="K201" s="41">
        <f t="shared" si="15"/>
        <v>100000</v>
      </c>
      <c r="L201" s="224"/>
    </row>
    <row r="202" spans="1:12" ht="46.5" customHeight="1">
      <c r="A202" s="38" t="s">
        <v>987</v>
      </c>
      <c r="B202" s="38" t="str">
        <f>"405"</f>
        <v>405</v>
      </c>
      <c r="C202" s="53" t="str">
        <f>"李俊賢"</f>
        <v>李俊賢</v>
      </c>
      <c r="D202" s="262">
        <v>41862</v>
      </c>
      <c r="E202" s="39" t="s">
        <v>1054</v>
      </c>
      <c r="F202" s="40">
        <v>10000</v>
      </c>
      <c r="G202" s="41">
        <v>25</v>
      </c>
      <c r="H202" s="41">
        <f t="shared" si="17"/>
        <v>250000</v>
      </c>
      <c r="I202" s="350" t="s">
        <v>3983</v>
      </c>
      <c r="J202" s="262">
        <f t="shared" si="16"/>
        <v>41862</v>
      </c>
      <c r="K202" s="41">
        <f t="shared" si="15"/>
        <v>250000</v>
      </c>
      <c r="L202" s="224"/>
    </row>
    <row r="203" spans="1:12" ht="46.5" customHeight="1">
      <c r="A203" s="38" t="s">
        <v>988</v>
      </c>
      <c r="B203" s="38" t="str">
        <f>"11"</f>
        <v>11</v>
      </c>
      <c r="C203" s="53" t="str">
        <f>"呂理維"</f>
        <v>呂理維</v>
      </c>
      <c r="D203" s="262">
        <v>41862</v>
      </c>
      <c r="E203" s="39" t="s">
        <v>1055</v>
      </c>
      <c r="F203" s="40">
        <v>1000</v>
      </c>
      <c r="G203" s="41">
        <v>25</v>
      </c>
      <c r="H203" s="41">
        <f t="shared" si="17"/>
        <v>25000</v>
      </c>
      <c r="I203" s="350" t="s">
        <v>3983</v>
      </c>
      <c r="J203" s="262">
        <f t="shared" si="16"/>
        <v>41862</v>
      </c>
      <c r="K203" s="41">
        <f t="shared" si="15"/>
        <v>25000</v>
      </c>
      <c r="L203" s="224"/>
    </row>
    <row r="204" spans="1:12" ht="77.25" customHeight="1">
      <c r="A204" s="38" t="s">
        <v>989</v>
      </c>
      <c r="B204" s="38" t="str">
        <f>"360"</f>
        <v>360</v>
      </c>
      <c r="C204" s="53" t="str">
        <f>"李瓊雲"</f>
        <v>李瓊雲</v>
      </c>
      <c r="D204" s="262">
        <v>41862</v>
      </c>
      <c r="E204" s="39" t="s">
        <v>1056</v>
      </c>
      <c r="F204" s="40">
        <v>2000</v>
      </c>
      <c r="G204" s="41">
        <v>25</v>
      </c>
      <c r="H204" s="41">
        <f t="shared" ref="H204:H235" si="18">F204*G204</f>
        <v>50000</v>
      </c>
      <c r="I204" s="350" t="s">
        <v>3983</v>
      </c>
      <c r="J204" s="262">
        <f t="shared" ref="J204:J247" si="19">D204</f>
        <v>41862</v>
      </c>
      <c r="K204" s="41">
        <f t="shared" ref="K204:K235" si="20">H204</f>
        <v>50000</v>
      </c>
      <c r="L204" s="229" t="s">
        <v>2709</v>
      </c>
    </row>
    <row r="205" spans="1:12" ht="46.5" customHeight="1">
      <c r="A205" s="38" t="s">
        <v>990</v>
      </c>
      <c r="B205" s="38" t="str">
        <f>"140"</f>
        <v>140</v>
      </c>
      <c r="C205" s="53" t="str">
        <f>"佘桂芳"</f>
        <v>佘桂芳</v>
      </c>
      <c r="D205" s="262">
        <v>41862</v>
      </c>
      <c r="E205" s="39" t="s">
        <v>1057</v>
      </c>
      <c r="F205" s="40">
        <v>20000</v>
      </c>
      <c r="G205" s="41">
        <v>25</v>
      </c>
      <c r="H205" s="41">
        <f t="shared" si="18"/>
        <v>500000</v>
      </c>
      <c r="I205" s="350" t="s">
        <v>3983</v>
      </c>
      <c r="J205" s="262">
        <f t="shared" si="19"/>
        <v>41862</v>
      </c>
      <c r="K205" s="41">
        <f t="shared" si="20"/>
        <v>500000</v>
      </c>
      <c r="L205" s="224"/>
    </row>
    <row r="206" spans="1:12" ht="46.5" customHeight="1">
      <c r="A206" s="38" t="s">
        <v>991</v>
      </c>
      <c r="B206" s="38" t="str">
        <f>"181"</f>
        <v>181</v>
      </c>
      <c r="C206" s="53" t="str">
        <f>"呂浚雄"</f>
        <v>呂浚雄</v>
      </c>
      <c r="D206" s="262">
        <v>41862</v>
      </c>
      <c r="E206" s="39" t="s">
        <v>1058</v>
      </c>
      <c r="F206" s="40">
        <v>13000</v>
      </c>
      <c r="G206" s="41">
        <v>25</v>
      </c>
      <c r="H206" s="41">
        <f t="shared" si="18"/>
        <v>325000</v>
      </c>
      <c r="I206" s="350" t="s">
        <v>3983</v>
      </c>
      <c r="J206" s="262">
        <f t="shared" si="19"/>
        <v>41862</v>
      </c>
      <c r="K206" s="41">
        <f t="shared" si="20"/>
        <v>325000</v>
      </c>
      <c r="L206" s="224"/>
    </row>
    <row r="207" spans="1:12" ht="46.5" customHeight="1">
      <c r="A207" s="38" t="s">
        <v>992</v>
      </c>
      <c r="B207" s="38" t="str">
        <f>"307"</f>
        <v>307</v>
      </c>
      <c r="C207" s="53" t="str">
        <f>"許秋霞"</f>
        <v>許秋霞</v>
      </c>
      <c r="D207" s="262">
        <v>41862</v>
      </c>
      <c r="E207" s="39" t="s">
        <v>1049</v>
      </c>
      <c r="F207" s="40">
        <v>5000</v>
      </c>
      <c r="G207" s="41">
        <v>25</v>
      </c>
      <c r="H207" s="41">
        <f t="shared" si="18"/>
        <v>125000</v>
      </c>
      <c r="I207" s="350" t="s">
        <v>3983</v>
      </c>
      <c r="J207" s="262">
        <f t="shared" si="19"/>
        <v>41862</v>
      </c>
      <c r="K207" s="41">
        <f t="shared" si="20"/>
        <v>125000</v>
      </c>
      <c r="L207" s="224"/>
    </row>
    <row r="208" spans="1:12" ht="46.5" customHeight="1">
      <c r="A208" s="42" t="s">
        <v>1064</v>
      </c>
      <c r="B208" s="42" t="str">
        <f>"399"</f>
        <v>399</v>
      </c>
      <c r="C208" s="54" t="str">
        <f>"李偉齊"</f>
        <v>李偉齊</v>
      </c>
      <c r="D208" s="263">
        <v>41863</v>
      </c>
      <c r="E208" s="43" t="s">
        <v>1049</v>
      </c>
      <c r="F208" s="44">
        <v>1000</v>
      </c>
      <c r="G208" s="45">
        <v>25</v>
      </c>
      <c r="H208" s="41">
        <f t="shared" si="18"/>
        <v>25000</v>
      </c>
      <c r="I208" s="350" t="s">
        <v>3983</v>
      </c>
      <c r="J208" s="263">
        <f t="shared" si="19"/>
        <v>41863</v>
      </c>
      <c r="K208" s="45">
        <f t="shared" si="20"/>
        <v>25000</v>
      </c>
      <c r="L208" s="226"/>
    </row>
    <row r="209" spans="1:12" ht="46.5" customHeight="1">
      <c r="A209" s="42" t="s">
        <v>1065</v>
      </c>
      <c r="B209" s="42" t="str">
        <f>"353"</f>
        <v>353</v>
      </c>
      <c r="C209" s="54" t="str">
        <f>"蘇清文"</f>
        <v>蘇清文</v>
      </c>
      <c r="D209" s="263">
        <v>41863</v>
      </c>
      <c r="E209" s="43" t="s">
        <v>1049</v>
      </c>
      <c r="F209" s="44">
        <v>1000</v>
      </c>
      <c r="G209" s="45">
        <v>25</v>
      </c>
      <c r="H209" s="41">
        <f t="shared" si="18"/>
        <v>25000</v>
      </c>
      <c r="I209" s="350" t="s">
        <v>3983</v>
      </c>
      <c r="J209" s="263">
        <f t="shared" si="19"/>
        <v>41863</v>
      </c>
      <c r="K209" s="45">
        <f t="shared" si="20"/>
        <v>25000</v>
      </c>
      <c r="L209" s="226"/>
    </row>
    <row r="210" spans="1:12" ht="76.650000000000006" customHeight="1">
      <c r="A210" s="38" t="s">
        <v>1066</v>
      </c>
      <c r="B210" s="38" t="str">
        <f>"195"</f>
        <v>195</v>
      </c>
      <c r="C210" s="53" t="str">
        <f>"陳坤龍"</f>
        <v>陳坤龍</v>
      </c>
      <c r="D210" s="262">
        <v>41863</v>
      </c>
      <c r="E210" s="39" t="s">
        <v>1049</v>
      </c>
      <c r="F210" s="40">
        <v>10000</v>
      </c>
      <c r="G210" s="41">
        <v>25</v>
      </c>
      <c r="H210" s="41">
        <f t="shared" si="18"/>
        <v>250000</v>
      </c>
      <c r="I210" s="350" t="s">
        <v>3983</v>
      </c>
      <c r="J210" s="262">
        <f t="shared" si="19"/>
        <v>41863</v>
      </c>
      <c r="K210" s="41">
        <f t="shared" si="20"/>
        <v>250000</v>
      </c>
      <c r="L210" s="229" t="s">
        <v>2848</v>
      </c>
    </row>
    <row r="211" spans="1:12" ht="46.5" customHeight="1">
      <c r="A211" s="38" t="s">
        <v>993</v>
      </c>
      <c r="B211" s="38" t="str">
        <f>"144"</f>
        <v>144</v>
      </c>
      <c r="C211" s="53" t="str">
        <f>"戴亦均"</f>
        <v>戴亦均</v>
      </c>
      <c r="D211" s="262">
        <v>41863</v>
      </c>
      <c r="E211" s="39" t="s">
        <v>1053</v>
      </c>
      <c r="F211" s="40">
        <v>2000</v>
      </c>
      <c r="G211" s="41">
        <v>25</v>
      </c>
      <c r="H211" s="41">
        <f t="shared" si="18"/>
        <v>50000</v>
      </c>
      <c r="I211" s="350" t="s">
        <v>3983</v>
      </c>
      <c r="J211" s="262">
        <f t="shared" si="19"/>
        <v>41863</v>
      </c>
      <c r="K211" s="41">
        <f t="shared" si="20"/>
        <v>50000</v>
      </c>
      <c r="L211" s="224"/>
    </row>
    <row r="212" spans="1:12" ht="46.5" customHeight="1">
      <c r="A212" s="38" t="s">
        <v>994</v>
      </c>
      <c r="B212" s="38" t="str">
        <f>"171"</f>
        <v>171</v>
      </c>
      <c r="C212" s="53" t="str">
        <f>"李純綾"</f>
        <v>李純綾</v>
      </c>
      <c r="D212" s="262">
        <v>41863</v>
      </c>
      <c r="E212" s="39" t="s">
        <v>1054</v>
      </c>
      <c r="F212" s="40">
        <v>4000</v>
      </c>
      <c r="G212" s="41">
        <v>25</v>
      </c>
      <c r="H212" s="41">
        <f t="shared" si="18"/>
        <v>100000</v>
      </c>
      <c r="I212" s="350" t="s">
        <v>3983</v>
      </c>
      <c r="J212" s="262">
        <f t="shared" si="19"/>
        <v>41863</v>
      </c>
      <c r="K212" s="41">
        <f t="shared" si="20"/>
        <v>100000</v>
      </c>
      <c r="L212" s="224"/>
    </row>
    <row r="213" spans="1:12" ht="75" customHeight="1">
      <c r="A213" s="38" t="s">
        <v>995</v>
      </c>
      <c r="B213" s="38" t="str">
        <f>"344"</f>
        <v>344</v>
      </c>
      <c r="C213" s="53" t="str">
        <f>"謝秀菊"</f>
        <v>謝秀菊</v>
      </c>
      <c r="D213" s="262">
        <v>41863</v>
      </c>
      <c r="E213" s="39" t="s">
        <v>1055</v>
      </c>
      <c r="F213" s="40">
        <v>4000</v>
      </c>
      <c r="G213" s="41">
        <v>25</v>
      </c>
      <c r="H213" s="41">
        <f t="shared" si="18"/>
        <v>100000</v>
      </c>
      <c r="I213" s="350" t="s">
        <v>3983</v>
      </c>
      <c r="J213" s="262">
        <f t="shared" si="19"/>
        <v>41863</v>
      </c>
      <c r="K213" s="41">
        <f t="shared" si="20"/>
        <v>100000</v>
      </c>
      <c r="L213" s="229" t="s">
        <v>2771</v>
      </c>
    </row>
    <row r="214" spans="1:12" ht="46.5" customHeight="1">
      <c r="A214" s="38" t="s">
        <v>996</v>
      </c>
      <c r="B214" s="38" t="str">
        <f>"202"</f>
        <v>202</v>
      </c>
      <c r="C214" s="53" t="str">
        <f>"陳怡君"</f>
        <v>陳怡君</v>
      </c>
      <c r="D214" s="262">
        <v>41863</v>
      </c>
      <c r="E214" s="39" t="s">
        <v>1056</v>
      </c>
      <c r="F214" s="40">
        <v>2000</v>
      </c>
      <c r="G214" s="41">
        <v>25</v>
      </c>
      <c r="H214" s="41">
        <f t="shared" si="18"/>
        <v>50000</v>
      </c>
      <c r="I214" s="350" t="s">
        <v>3983</v>
      </c>
      <c r="J214" s="262">
        <f t="shared" si="19"/>
        <v>41863</v>
      </c>
      <c r="K214" s="41">
        <f t="shared" si="20"/>
        <v>50000</v>
      </c>
      <c r="L214" s="224"/>
    </row>
    <row r="215" spans="1:12" ht="46.5" customHeight="1">
      <c r="A215" s="38" t="s">
        <v>997</v>
      </c>
      <c r="B215" s="38" t="str">
        <f>"402"</f>
        <v>402</v>
      </c>
      <c r="C215" s="53" t="str">
        <f>"陳麗卿"</f>
        <v>陳麗卿</v>
      </c>
      <c r="D215" s="262">
        <v>41863</v>
      </c>
      <c r="E215" s="39" t="s">
        <v>1057</v>
      </c>
      <c r="F215" s="40">
        <v>4000</v>
      </c>
      <c r="G215" s="41">
        <v>25</v>
      </c>
      <c r="H215" s="41">
        <f t="shared" si="18"/>
        <v>100000</v>
      </c>
      <c r="I215" s="350" t="s">
        <v>3983</v>
      </c>
      <c r="J215" s="262">
        <f t="shared" si="19"/>
        <v>41863</v>
      </c>
      <c r="K215" s="41">
        <f t="shared" si="20"/>
        <v>100000</v>
      </c>
      <c r="L215" s="224"/>
    </row>
    <row r="216" spans="1:12" ht="46.5" customHeight="1">
      <c r="A216" s="38" t="s">
        <v>998</v>
      </c>
      <c r="B216" s="38" t="str">
        <f>"293"</f>
        <v>293</v>
      </c>
      <c r="C216" s="53" t="str">
        <f>"張陳麗香"</f>
        <v>張陳麗香</v>
      </c>
      <c r="D216" s="262">
        <v>41863</v>
      </c>
      <c r="E216" s="39" t="s">
        <v>1058</v>
      </c>
      <c r="F216" s="40">
        <v>5000</v>
      </c>
      <c r="G216" s="41">
        <v>25</v>
      </c>
      <c r="H216" s="41">
        <f t="shared" si="18"/>
        <v>125000</v>
      </c>
      <c r="I216" s="350" t="s">
        <v>3983</v>
      </c>
      <c r="J216" s="262">
        <f t="shared" si="19"/>
        <v>41863</v>
      </c>
      <c r="K216" s="41">
        <f t="shared" si="20"/>
        <v>125000</v>
      </c>
      <c r="L216" s="224"/>
    </row>
    <row r="217" spans="1:12" ht="46.5" customHeight="1">
      <c r="A217" s="42" t="s">
        <v>1067</v>
      </c>
      <c r="B217" s="42" t="str">
        <f>"374"</f>
        <v>374</v>
      </c>
      <c r="C217" s="54" t="str">
        <f>"陳萍琳"</f>
        <v>陳萍琳</v>
      </c>
      <c r="D217" s="263">
        <v>41863</v>
      </c>
      <c r="E217" s="43" t="s">
        <v>1058</v>
      </c>
      <c r="F217" s="44">
        <v>2000</v>
      </c>
      <c r="G217" s="45">
        <v>25</v>
      </c>
      <c r="H217" s="41">
        <f t="shared" si="18"/>
        <v>50000</v>
      </c>
      <c r="I217" s="350" t="s">
        <v>3983</v>
      </c>
      <c r="J217" s="263">
        <f t="shared" si="19"/>
        <v>41863</v>
      </c>
      <c r="K217" s="45">
        <f t="shared" si="20"/>
        <v>50000</v>
      </c>
      <c r="L217" s="226"/>
    </row>
    <row r="218" spans="1:12" ht="46.5" customHeight="1">
      <c r="A218" s="38" t="s">
        <v>1068</v>
      </c>
      <c r="B218" s="38" t="str">
        <f>"254"</f>
        <v>254</v>
      </c>
      <c r="C218" s="53" t="str">
        <f>"劉美玲"</f>
        <v>劉美玲</v>
      </c>
      <c r="D218" s="262">
        <v>41863</v>
      </c>
      <c r="E218" s="39" t="s">
        <v>1058</v>
      </c>
      <c r="F218" s="40">
        <v>1000</v>
      </c>
      <c r="G218" s="41">
        <v>25</v>
      </c>
      <c r="H218" s="41">
        <f t="shared" si="18"/>
        <v>25000</v>
      </c>
      <c r="I218" s="350" t="s">
        <v>3983</v>
      </c>
      <c r="J218" s="262">
        <f t="shared" si="19"/>
        <v>41863</v>
      </c>
      <c r="K218" s="41">
        <f t="shared" si="20"/>
        <v>25000</v>
      </c>
      <c r="L218" s="224"/>
    </row>
    <row r="219" spans="1:12" ht="46.5" customHeight="1">
      <c r="A219" s="38" t="s">
        <v>999</v>
      </c>
      <c r="B219" s="38" t="str">
        <f>"21"</f>
        <v>21</v>
      </c>
      <c r="C219" s="53" t="str">
        <f>"張書鑑"</f>
        <v>張書鑑</v>
      </c>
      <c r="D219" s="262">
        <v>41863</v>
      </c>
      <c r="E219" s="39" t="s">
        <v>1051</v>
      </c>
      <c r="F219" s="40">
        <v>15000</v>
      </c>
      <c r="G219" s="41">
        <v>25</v>
      </c>
      <c r="H219" s="41">
        <f t="shared" si="18"/>
        <v>375000</v>
      </c>
      <c r="I219" s="350" t="s">
        <v>3983</v>
      </c>
      <c r="J219" s="262">
        <f t="shared" si="19"/>
        <v>41863</v>
      </c>
      <c r="K219" s="41">
        <f t="shared" si="20"/>
        <v>375000</v>
      </c>
      <c r="L219" s="224"/>
    </row>
    <row r="220" spans="1:12" ht="84" customHeight="1">
      <c r="A220" s="38" t="s">
        <v>1000</v>
      </c>
      <c r="B220" s="38" t="str">
        <f>"46"</f>
        <v>46</v>
      </c>
      <c r="C220" s="53" t="str">
        <f>"高玉綢"</f>
        <v>高玉綢</v>
      </c>
      <c r="D220" s="262">
        <v>41863</v>
      </c>
      <c r="E220" s="39" t="s">
        <v>1052</v>
      </c>
      <c r="F220" s="40">
        <v>8000</v>
      </c>
      <c r="G220" s="41">
        <v>25</v>
      </c>
      <c r="H220" s="41">
        <f t="shared" si="18"/>
        <v>200000</v>
      </c>
      <c r="I220" s="350" t="s">
        <v>3983</v>
      </c>
      <c r="J220" s="262">
        <f t="shared" si="19"/>
        <v>41863</v>
      </c>
      <c r="K220" s="41">
        <f t="shared" si="20"/>
        <v>200000</v>
      </c>
      <c r="L220" s="224" t="s">
        <v>2675</v>
      </c>
    </row>
    <row r="221" spans="1:12" ht="46.5" customHeight="1">
      <c r="A221" s="38" t="s">
        <v>1001</v>
      </c>
      <c r="B221" s="38" t="str">
        <f>"175"</f>
        <v>175</v>
      </c>
      <c r="C221" s="53" t="str">
        <f>"米彥彰"</f>
        <v>米彥彰</v>
      </c>
      <c r="D221" s="262">
        <v>41863</v>
      </c>
      <c r="E221" s="39" t="s">
        <v>1053</v>
      </c>
      <c r="F221" s="40">
        <v>3000</v>
      </c>
      <c r="G221" s="41">
        <v>25</v>
      </c>
      <c r="H221" s="41">
        <f t="shared" si="18"/>
        <v>75000</v>
      </c>
      <c r="I221" s="350" t="s">
        <v>3983</v>
      </c>
      <c r="J221" s="262">
        <f t="shared" si="19"/>
        <v>41863</v>
      </c>
      <c r="K221" s="41">
        <f t="shared" si="20"/>
        <v>75000</v>
      </c>
      <c r="L221" s="224"/>
    </row>
    <row r="222" spans="1:12" ht="46.5" customHeight="1">
      <c r="A222" s="38" t="s">
        <v>1002</v>
      </c>
      <c r="B222" s="38" t="str">
        <f>"99"</f>
        <v>99</v>
      </c>
      <c r="C222" s="53" t="str">
        <f>"高光陸"</f>
        <v>高光陸</v>
      </c>
      <c r="D222" s="262">
        <v>41863</v>
      </c>
      <c r="E222" s="39" t="s">
        <v>1054</v>
      </c>
      <c r="F222" s="40">
        <v>4000</v>
      </c>
      <c r="G222" s="41">
        <v>25</v>
      </c>
      <c r="H222" s="41">
        <f t="shared" si="18"/>
        <v>100000</v>
      </c>
      <c r="I222" s="350" t="s">
        <v>3983</v>
      </c>
      <c r="J222" s="262">
        <f t="shared" si="19"/>
        <v>41863</v>
      </c>
      <c r="K222" s="41">
        <f t="shared" si="20"/>
        <v>100000</v>
      </c>
      <c r="L222" s="224"/>
    </row>
    <row r="223" spans="1:12" ht="46.5" customHeight="1">
      <c r="A223" s="38" t="s">
        <v>1003</v>
      </c>
      <c r="B223" s="38" t="str">
        <f>"145"</f>
        <v>145</v>
      </c>
      <c r="C223" s="53" t="str">
        <f>"彭詳和"</f>
        <v>彭詳和</v>
      </c>
      <c r="D223" s="262">
        <v>41863</v>
      </c>
      <c r="E223" s="39" t="s">
        <v>1055</v>
      </c>
      <c r="F223" s="40">
        <v>2000</v>
      </c>
      <c r="G223" s="41">
        <v>25</v>
      </c>
      <c r="H223" s="41">
        <f t="shared" si="18"/>
        <v>50000</v>
      </c>
      <c r="I223" s="350" t="s">
        <v>3983</v>
      </c>
      <c r="J223" s="262">
        <f t="shared" si="19"/>
        <v>41863</v>
      </c>
      <c r="K223" s="41">
        <f t="shared" si="20"/>
        <v>50000</v>
      </c>
      <c r="L223" s="224"/>
    </row>
    <row r="224" spans="1:12" ht="46.5" customHeight="1">
      <c r="A224" s="38" t="s">
        <v>1004</v>
      </c>
      <c r="B224" s="38" t="str">
        <f>"118"</f>
        <v>118</v>
      </c>
      <c r="C224" s="53" t="str">
        <f>"黃俊仁"</f>
        <v>黃俊仁</v>
      </c>
      <c r="D224" s="262">
        <v>41863</v>
      </c>
      <c r="E224" s="39" t="s">
        <v>1056</v>
      </c>
      <c r="F224" s="40">
        <v>2000</v>
      </c>
      <c r="G224" s="41">
        <v>25</v>
      </c>
      <c r="H224" s="41">
        <f t="shared" si="18"/>
        <v>50000</v>
      </c>
      <c r="I224" s="350" t="s">
        <v>3983</v>
      </c>
      <c r="J224" s="262">
        <f t="shared" si="19"/>
        <v>41863</v>
      </c>
      <c r="K224" s="41">
        <f t="shared" si="20"/>
        <v>50000</v>
      </c>
      <c r="L224" s="224"/>
    </row>
    <row r="225" spans="1:12" ht="46.5" customHeight="1">
      <c r="A225" s="38" t="s">
        <v>1005</v>
      </c>
      <c r="B225" s="38" t="str">
        <f>"273"</f>
        <v>273</v>
      </c>
      <c r="C225" s="53" t="str">
        <f>"吳霖"</f>
        <v>吳霖</v>
      </c>
      <c r="D225" s="262">
        <v>41863</v>
      </c>
      <c r="E225" s="39" t="s">
        <v>1057</v>
      </c>
      <c r="F225" s="40">
        <v>2000</v>
      </c>
      <c r="G225" s="41">
        <v>25</v>
      </c>
      <c r="H225" s="41">
        <f t="shared" si="18"/>
        <v>50000</v>
      </c>
      <c r="I225" s="350" t="s">
        <v>3983</v>
      </c>
      <c r="J225" s="262">
        <f t="shared" si="19"/>
        <v>41863</v>
      </c>
      <c r="K225" s="41">
        <f t="shared" si="20"/>
        <v>50000</v>
      </c>
      <c r="L225" s="224"/>
    </row>
    <row r="226" spans="1:12" ht="46.5" customHeight="1">
      <c r="A226" s="38" t="s">
        <v>1006</v>
      </c>
      <c r="B226" s="38" t="str">
        <f>"32"</f>
        <v>32</v>
      </c>
      <c r="C226" s="53" t="str">
        <f>"張煥洲"</f>
        <v>張煥洲</v>
      </c>
      <c r="D226" s="262">
        <v>41863</v>
      </c>
      <c r="E226" s="39" t="s">
        <v>1058</v>
      </c>
      <c r="F226" s="40">
        <v>7000</v>
      </c>
      <c r="G226" s="41">
        <v>25</v>
      </c>
      <c r="H226" s="41">
        <f t="shared" si="18"/>
        <v>175000</v>
      </c>
      <c r="I226" s="350" t="s">
        <v>3983</v>
      </c>
      <c r="J226" s="262">
        <f t="shared" si="19"/>
        <v>41863</v>
      </c>
      <c r="K226" s="41">
        <f t="shared" si="20"/>
        <v>175000</v>
      </c>
      <c r="L226" s="224"/>
    </row>
    <row r="227" spans="1:12" ht="95.25" customHeight="1">
      <c r="A227" s="38" t="s">
        <v>1007</v>
      </c>
      <c r="B227" s="38" t="str">
        <f>"152"</f>
        <v>152</v>
      </c>
      <c r="C227" s="53" t="str">
        <f>"劉建良"</f>
        <v>劉建良</v>
      </c>
      <c r="D227" s="262">
        <v>41863</v>
      </c>
      <c r="E227" s="39" t="s">
        <v>1049</v>
      </c>
      <c r="F227" s="40">
        <v>5000</v>
      </c>
      <c r="G227" s="41">
        <v>25</v>
      </c>
      <c r="H227" s="41">
        <f t="shared" si="18"/>
        <v>125000</v>
      </c>
      <c r="I227" s="350" t="s">
        <v>3983</v>
      </c>
      <c r="J227" s="262">
        <f t="shared" si="19"/>
        <v>41863</v>
      </c>
      <c r="K227" s="41">
        <f t="shared" si="20"/>
        <v>125000</v>
      </c>
      <c r="L227" s="229" t="s">
        <v>2796</v>
      </c>
    </row>
    <row r="228" spans="1:12" ht="46.5" customHeight="1">
      <c r="A228" s="38" t="s">
        <v>1008</v>
      </c>
      <c r="B228" s="38" t="str">
        <f>"76"</f>
        <v>76</v>
      </c>
      <c r="C228" s="53" t="str">
        <f>"卓維煌"</f>
        <v>卓維煌</v>
      </c>
      <c r="D228" s="262">
        <v>41863</v>
      </c>
      <c r="E228" s="39" t="s">
        <v>1050</v>
      </c>
      <c r="F228" s="40">
        <v>20000</v>
      </c>
      <c r="G228" s="41">
        <v>25</v>
      </c>
      <c r="H228" s="41">
        <f t="shared" si="18"/>
        <v>500000</v>
      </c>
      <c r="I228" s="350" t="s">
        <v>3983</v>
      </c>
      <c r="J228" s="262">
        <f t="shared" si="19"/>
        <v>41863</v>
      </c>
      <c r="K228" s="41">
        <f t="shared" si="20"/>
        <v>500000</v>
      </c>
      <c r="L228" s="224"/>
    </row>
    <row r="229" spans="1:12" ht="46.5" customHeight="1">
      <c r="A229" s="38" t="s">
        <v>1009</v>
      </c>
      <c r="B229" s="38" t="str">
        <f>"364"</f>
        <v>364</v>
      </c>
      <c r="C229" s="53" t="str">
        <f>"南仲明"</f>
        <v>南仲明</v>
      </c>
      <c r="D229" s="262">
        <v>41863</v>
      </c>
      <c r="E229" s="39" t="s">
        <v>1051</v>
      </c>
      <c r="F229" s="40">
        <v>2000</v>
      </c>
      <c r="G229" s="41">
        <v>25</v>
      </c>
      <c r="H229" s="41">
        <f t="shared" si="18"/>
        <v>50000</v>
      </c>
      <c r="I229" s="350" t="s">
        <v>3983</v>
      </c>
      <c r="J229" s="262">
        <f t="shared" si="19"/>
        <v>41863</v>
      </c>
      <c r="K229" s="41">
        <f t="shared" si="20"/>
        <v>50000</v>
      </c>
      <c r="L229" s="224"/>
    </row>
    <row r="230" spans="1:12" ht="46.5" customHeight="1">
      <c r="A230" s="38" t="s">
        <v>1010</v>
      </c>
      <c r="B230" s="38" t="str">
        <f>"277"</f>
        <v>277</v>
      </c>
      <c r="C230" s="53" t="str">
        <f>"盧坤泰"</f>
        <v>盧坤泰</v>
      </c>
      <c r="D230" s="262">
        <v>41863</v>
      </c>
      <c r="E230" s="39" t="s">
        <v>1052</v>
      </c>
      <c r="F230" s="40">
        <v>2000</v>
      </c>
      <c r="G230" s="41">
        <v>25</v>
      </c>
      <c r="H230" s="41">
        <f t="shared" si="18"/>
        <v>50000</v>
      </c>
      <c r="I230" s="350" t="s">
        <v>3983</v>
      </c>
      <c r="J230" s="262">
        <f t="shared" si="19"/>
        <v>41863</v>
      </c>
      <c r="K230" s="41">
        <f t="shared" si="20"/>
        <v>50000</v>
      </c>
      <c r="L230" s="224"/>
    </row>
    <row r="231" spans="1:12" ht="46.5" customHeight="1">
      <c r="A231" s="38" t="s">
        <v>1011</v>
      </c>
      <c r="B231" s="38" t="str">
        <f>"199"</f>
        <v>199</v>
      </c>
      <c r="C231" s="53" t="str">
        <f>"施繼正"</f>
        <v>施繼正</v>
      </c>
      <c r="D231" s="262">
        <v>41863</v>
      </c>
      <c r="E231" s="39" t="s">
        <v>1053</v>
      </c>
      <c r="F231" s="40">
        <v>1000</v>
      </c>
      <c r="G231" s="41">
        <v>25</v>
      </c>
      <c r="H231" s="41">
        <f t="shared" si="18"/>
        <v>25000</v>
      </c>
      <c r="I231" s="350" t="s">
        <v>3983</v>
      </c>
      <c r="J231" s="262">
        <f t="shared" si="19"/>
        <v>41863</v>
      </c>
      <c r="K231" s="41">
        <f t="shared" si="20"/>
        <v>25000</v>
      </c>
      <c r="L231" s="224"/>
    </row>
    <row r="232" spans="1:12" ht="46.5" customHeight="1">
      <c r="A232" s="38" t="s">
        <v>1012</v>
      </c>
      <c r="B232" s="38" t="str">
        <f>"116"</f>
        <v>116</v>
      </c>
      <c r="C232" s="53" t="str">
        <f>"賴脩評"</f>
        <v>賴脩評</v>
      </c>
      <c r="D232" s="262">
        <v>41863</v>
      </c>
      <c r="E232" s="39" t="s">
        <v>1054</v>
      </c>
      <c r="F232" s="40">
        <v>2000</v>
      </c>
      <c r="G232" s="41">
        <v>25</v>
      </c>
      <c r="H232" s="41">
        <f t="shared" si="18"/>
        <v>50000</v>
      </c>
      <c r="I232" s="350" t="s">
        <v>3983</v>
      </c>
      <c r="J232" s="262">
        <f t="shared" si="19"/>
        <v>41863</v>
      </c>
      <c r="K232" s="41">
        <f t="shared" si="20"/>
        <v>50000</v>
      </c>
      <c r="L232" s="224"/>
    </row>
    <row r="233" spans="1:12" ht="46.5" customHeight="1">
      <c r="A233" s="38" t="s">
        <v>1013</v>
      </c>
      <c r="B233" s="38" t="str">
        <f>"265"</f>
        <v>265</v>
      </c>
      <c r="C233" s="53" t="str">
        <f>"邱世宗"</f>
        <v>邱世宗</v>
      </c>
      <c r="D233" s="262">
        <v>41863</v>
      </c>
      <c r="E233" s="39" t="s">
        <v>1055</v>
      </c>
      <c r="F233" s="40">
        <v>20000</v>
      </c>
      <c r="G233" s="41">
        <v>25</v>
      </c>
      <c r="H233" s="41">
        <f t="shared" si="18"/>
        <v>500000</v>
      </c>
      <c r="I233" s="350" t="s">
        <v>3983</v>
      </c>
      <c r="J233" s="262">
        <f t="shared" si="19"/>
        <v>41863</v>
      </c>
      <c r="K233" s="41">
        <f t="shared" si="20"/>
        <v>500000</v>
      </c>
      <c r="L233" s="224"/>
    </row>
    <row r="234" spans="1:12" ht="46.5" customHeight="1">
      <c r="A234" s="38" t="s">
        <v>1014</v>
      </c>
      <c r="B234" s="38" t="str">
        <f>"266"</f>
        <v>266</v>
      </c>
      <c r="C234" s="53" t="str">
        <f>"邱子瑜"</f>
        <v>邱子瑜</v>
      </c>
      <c r="D234" s="262">
        <v>41863</v>
      </c>
      <c r="E234" s="39" t="s">
        <v>1056</v>
      </c>
      <c r="F234" s="40">
        <v>10000</v>
      </c>
      <c r="G234" s="41">
        <v>25</v>
      </c>
      <c r="H234" s="41">
        <f t="shared" si="18"/>
        <v>250000</v>
      </c>
      <c r="I234" s="350" t="s">
        <v>3983</v>
      </c>
      <c r="J234" s="262">
        <f t="shared" si="19"/>
        <v>41863</v>
      </c>
      <c r="K234" s="41">
        <f t="shared" si="20"/>
        <v>250000</v>
      </c>
      <c r="L234" s="224"/>
    </row>
    <row r="235" spans="1:12" ht="46.5" customHeight="1">
      <c r="A235" s="38" t="s">
        <v>1015</v>
      </c>
      <c r="B235" s="38" t="str">
        <f>"62"</f>
        <v>62</v>
      </c>
      <c r="C235" s="53" t="str">
        <f>"詹榮泉"</f>
        <v>詹榮泉</v>
      </c>
      <c r="D235" s="262">
        <v>41863</v>
      </c>
      <c r="E235" s="39" t="s">
        <v>1057</v>
      </c>
      <c r="F235" s="40">
        <v>4000</v>
      </c>
      <c r="G235" s="41">
        <v>25</v>
      </c>
      <c r="H235" s="41">
        <f t="shared" si="18"/>
        <v>100000</v>
      </c>
      <c r="I235" s="350" t="s">
        <v>3983</v>
      </c>
      <c r="J235" s="262">
        <f t="shared" si="19"/>
        <v>41863</v>
      </c>
      <c r="K235" s="41">
        <f t="shared" si="20"/>
        <v>100000</v>
      </c>
      <c r="L235" s="224"/>
    </row>
    <row r="236" spans="1:12" ht="46.5" customHeight="1">
      <c r="A236" s="38" t="s">
        <v>1016</v>
      </c>
      <c r="B236" s="38" t="str">
        <f>"382"</f>
        <v>382</v>
      </c>
      <c r="C236" s="53" t="str">
        <f>"陳素蓁"</f>
        <v>陳素蓁</v>
      </c>
      <c r="D236" s="262">
        <v>41863</v>
      </c>
      <c r="E236" s="39" t="s">
        <v>1058</v>
      </c>
      <c r="F236" s="40">
        <v>5000</v>
      </c>
      <c r="G236" s="41">
        <v>25</v>
      </c>
      <c r="H236" s="41">
        <f t="shared" ref="H236:H267" si="21">F236*G236</f>
        <v>125000</v>
      </c>
      <c r="I236" s="350" t="s">
        <v>3983</v>
      </c>
      <c r="J236" s="262">
        <f t="shared" si="19"/>
        <v>41863</v>
      </c>
      <c r="K236" s="41">
        <f t="shared" ref="K236:K267" si="22">H236</f>
        <v>125000</v>
      </c>
      <c r="L236" s="224"/>
    </row>
    <row r="237" spans="1:12" ht="46.5" customHeight="1">
      <c r="A237" s="38" t="s">
        <v>1017</v>
      </c>
      <c r="B237" s="38" t="str">
        <f>"379"</f>
        <v>379</v>
      </c>
      <c r="C237" s="53" t="str">
        <f>"劉文虎"</f>
        <v>劉文虎</v>
      </c>
      <c r="D237" s="262">
        <v>41863</v>
      </c>
      <c r="E237" s="39" t="s">
        <v>1049</v>
      </c>
      <c r="F237" s="40">
        <v>3000</v>
      </c>
      <c r="G237" s="41">
        <v>25</v>
      </c>
      <c r="H237" s="41">
        <f t="shared" si="21"/>
        <v>75000</v>
      </c>
      <c r="I237" s="350" t="s">
        <v>3983</v>
      </c>
      <c r="J237" s="262">
        <f t="shared" si="19"/>
        <v>41863</v>
      </c>
      <c r="K237" s="41">
        <f t="shared" si="22"/>
        <v>75000</v>
      </c>
      <c r="L237" s="224"/>
    </row>
    <row r="238" spans="1:12" ht="46.5" customHeight="1">
      <c r="A238" s="38" t="s">
        <v>1018</v>
      </c>
      <c r="B238" s="38" t="str">
        <f>"29"</f>
        <v>29</v>
      </c>
      <c r="C238" s="53" t="str">
        <f>"李淑錦"</f>
        <v>李淑錦</v>
      </c>
      <c r="D238" s="262">
        <v>41863</v>
      </c>
      <c r="E238" s="39" t="s">
        <v>1050</v>
      </c>
      <c r="F238" s="40">
        <v>10000</v>
      </c>
      <c r="G238" s="41">
        <v>25</v>
      </c>
      <c r="H238" s="41">
        <f t="shared" si="21"/>
        <v>250000</v>
      </c>
      <c r="I238" s="350" t="s">
        <v>3983</v>
      </c>
      <c r="J238" s="262">
        <f t="shared" si="19"/>
        <v>41863</v>
      </c>
      <c r="K238" s="41">
        <f t="shared" si="22"/>
        <v>250000</v>
      </c>
      <c r="L238" s="224"/>
    </row>
    <row r="239" spans="1:12" ht="46.5" customHeight="1">
      <c r="A239" s="38" t="s">
        <v>1019</v>
      </c>
      <c r="B239" s="38" t="str">
        <f>"51"</f>
        <v>51</v>
      </c>
      <c r="C239" s="53" t="str">
        <f>"葉梅蘭"</f>
        <v>葉梅蘭</v>
      </c>
      <c r="D239" s="262">
        <v>41863</v>
      </c>
      <c r="E239" s="39" t="s">
        <v>1051</v>
      </c>
      <c r="F239" s="40">
        <v>5000</v>
      </c>
      <c r="G239" s="41">
        <v>25</v>
      </c>
      <c r="H239" s="41">
        <f t="shared" si="21"/>
        <v>125000</v>
      </c>
      <c r="I239" s="350" t="s">
        <v>3983</v>
      </c>
      <c r="J239" s="262">
        <f t="shared" si="19"/>
        <v>41863</v>
      </c>
      <c r="K239" s="41">
        <f t="shared" si="22"/>
        <v>125000</v>
      </c>
      <c r="L239" s="224" t="s">
        <v>1069</v>
      </c>
    </row>
    <row r="240" spans="1:12" ht="46.5" customHeight="1">
      <c r="A240" s="38" t="s">
        <v>1020</v>
      </c>
      <c r="B240" s="38" t="str">
        <f>"349"</f>
        <v>349</v>
      </c>
      <c r="C240" s="53" t="str">
        <f>"楊正傑"</f>
        <v>楊正傑</v>
      </c>
      <c r="D240" s="262">
        <v>41863</v>
      </c>
      <c r="E240" s="39" t="s">
        <v>1052</v>
      </c>
      <c r="F240" s="40">
        <v>4000</v>
      </c>
      <c r="G240" s="41">
        <v>25</v>
      </c>
      <c r="H240" s="41">
        <f t="shared" si="21"/>
        <v>100000</v>
      </c>
      <c r="I240" s="350" t="s">
        <v>3983</v>
      </c>
      <c r="J240" s="262">
        <f t="shared" si="19"/>
        <v>41863</v>
      </c>
      <c r="K240" s="41">
        <f t="shared" si="22"/>
        <v>100000</v>
      </c>
      <c r="L240" s="224" t="s">
        <v>1070</v>
      </c>
    </row>
    <row r="241" spans="1:12" ht="81.75" customHeight="1">
      <c r="A241" s="38" t="s">
        <v>1021</v>
      </c>
      <c r="B241" s="38" t="str">
        <f>"385"</f>
        <v>385</v>
      </c>
      <c r="C241" s="53" t="str">
        <f>"林榮茂"</f>
        <v>林榮茂</v>
      </c>
      <c r="D241" s="262">
        <v>41863</v>
      </c>
      <c r="E241" s="39" t="s">
        <v>1053</v>
      </c>
      <c r="F241" s="40">
        <v>10000</v>
      </c>
      <c r="G241" s="41">
        <v>25</v>
      </c>
      <c r="H241" s="41">
        <f t="shared" si="21"/>
        <v>250000</v>
      </c>
      <c r="I241" s="350" t="s">
        <v>3983</v>
      </c>
      <c r="J241" s="262">
        <f t="shared" si="19"/>
        <v>41863</v>
      </c>
      <c r="K241" s="41">
        <f t="shared" si="22"/>
        <v>250000</v>
      </c>
      <c r="L241" s="239" t="s">
        <v>2672</v>
      </c>
    </row>
    <row r="242" spans="1:12" ht="46.5" customHeight="1">
      <c r="A242" s="38" t="s">
        <v>1022</v>
      </c>
      <c r="B242" s="38" t="str">
        <f>"166"</f>
        <v>166</v>
      </c>
      <c r="C242" s="53" t="str">
        <f>"郭金峯"</f>
        <v>郭金峯</v>
      </c>
      <c r="D242" s="262">
        <v>41863</v>
      </c>
      <c r="E242" s="39" t="s">
        <v>1054</v>
      </c>
      <c r="F242" s="40">
        <v>7000</v>
      </c>
      <c r="G242" s="41">
        <v>25</v>
      </c>
      <c r="H242" s="41">
        <f t="shared" si="21"/>
        <v>175000</v>
      </c>
      <c r="I242" s="350" t="s">
        <v>3983</v>
      </c>
      <c r="J242" s="262">
        <f t="shared" si="19"/>
        <v>41863</v>
      </c>
      <c r="K242" s="41">
        <f t="shared" si="22"/>
        <v>175000</v>
      </c>
      <c r="L242" s="224"/>
    </row>
    <row r="243" spans="1:12" ht="46.5" customHeight="1">
      <c r="A243" s="38" t="s">
        <v>1023</v>
      </c>
      <c r="B243" s="38" t="str">
        <f>"157"</f>
        <v>157</v>
      </c>
      <c r="C243" s="53" t="str">
        <f>"楊名嶂"</f>
        <v>楊名嶂</v>
      </c>
      <c r="D243" s="262">
        <v>41863</v>
      </c>
      <c r="E243" s="39" t="s">
        <v>1055</v>
      </c>
      <c r="F243" s="40">
        <v>1000</v>
      </c>
      <c r="G243" s="41">
        <v>25</v>
      </c>
      <c r="H243" s="41">
        <f t="shared" si="21"/>
        <v>25000</v>
      </c>
      <c r="I243" s="350" t="s">
        <v>3983</v>
      </c>
      <c r="J243" s="262">
        <f t="shared" si="19"/>
        <v>41863</v>
      </c>
      <c r="K243" s="41">
        <f t="shared" si="22"/>
        <v>25000</v>
      </c>
      <c r="L243" s="224"/>
    </row>
    <row r="244" spans="1:12" ht="46.5" customHeight="1">
      <c r="A244" s="38" t="s">
        <v>1024</v>
      </c>
      <c r="B244" s="38" t="str">
        <f>"330"</f>
        <v>330</v>
      </c>
      <c r="C244" s="53" t="str">
        <f>"蔡魁馗"</f>
        <v>蔡魁馗</v>
      </c>
      <c r="D244" s="262">
        <v>41863</v>
      </c>
      <c r="E244" s="39" t="s">
        <v>1056</v>
      </c>
      <c r="F244" s="40">
        <v>1000</v>
      </c>
      <c r="G244" s="41">
        <v>25</v>
      </c>
      <c r="H244" s="41">
        <f t="shared" si="21"/>
        <v>25000</v>
      </c>
      <c r="I244" s="350" t="s">
        <v>3983</v>
      </c>
      <c r="J244" s="262">
        <f t="shared" si="19"/>
        <v>41863</v>
      </c>
      <c r="K244" s="41">
        <f t="shared" si="22"/>
        <v>25000</v>
      </c>
      <c r="L244" s="224"/>
    </row>
    <row r="245" spans="1:12" ht="46.5" customHeight="1">
      <c r="A245" s="38" t="s">
        <v>1025</v>
      </c>
      <c r="B245" s="38" t="str">
        <f>"39"</f>
        <v>39</v>
      </c>
      <c r="C245" s="53" t="str">
        <f>"賴美珍"</f>
        <v>賴美珍</v>
      </c>
      <c r="D245" s="262">
        <v>41863</v>
      </c>
      <c r="E245" s="39" t="s">
        <v>1057</v>
      </c>
      <c r="F245" s="40">
        <v>2000</v>
      </c>
      <c r="G245" s="41">
        <v>25</v>
      </c>
      <c r="H245" s="41">
        <f t="shared" si="21"/>
        <v>50000</v>
      </c>
      <c r="I245" s="350" t="s">
        <v>3983</v>
      </c>
      <c r="J245" s="262">
        <f t="shared" si="19"/>
        <v>41863</v>
      </c>
      <c r="K245" s="41">
        <f t="shared" si="22"/>
        <v>50000</v>
      </c>
      <c r="L245" s="224"/>
    </row>
    <row r="246" spans="1:12" ht="46.5" customHeight="1">
      <c r="A246" s="38" t="s">
        <v>1026</v>
      </c>
      <c r="B246" s="38" t="str">
        <f>"60"</f>
        <v>60</v>
      </c>
      <c r="C246" s="53" t="str">
        <f>"陳群濠"</f>
        <v>陳群濠</v>
      </c>
      <c r="D246" s="262">
        <v>41863</v>
      </c>
      <c r="E246" s="39" t="s">
        <v>1058</v>
      </c>
      <c r="F246" s="40">
        <v>1000</v>
      </c>
      <c r="G246" s="41">
        <v>25</v>
      </c>
      <c r="H246" s="41">
        <f t="shared" si="21"/>
        <v>25000</v>
      </c>
      <c r="I246" s="350" t="s">
        <v>3983</v>
      </c>
      <c r="J246" s="262">
        <f t="shared" si="19"/>
        <v>41863</v>
      </c>
      <c r="K246" s="41">
        <f t="shared" si="22"/>
        <v>25000</v>
      </c>
      <c r="L246" s="224"/>
    </row>
    <row r="247" spans="1:12" ht="46.5" customHeight="1">
      <c r="A247" s="38" t="s">
        <v>1027</v>
      </c>
      <c r="B247" s="38" t="str">
        <f>"206"</f>
        <v>206</v>
      </c>
      <c r="C247" s="53" t="str">
        <f>"林薰洲"</f>
        <v>林薰洲</v>
      </c>
      <c r="D247" s="262">
        <v>41863</v>
      </c>
      <c r="E247" s="39" t="s">
        <v>1049</v>
      </c>
      <c r="F247" s="40">
        <v>4000</v>
      </c>
      <c r="G247" s="41">
        <v>25</v>
      </c>
      <c r="H247" s="41">
        <f t="shared" si="21"/>
        <v>100000</v>
      </c>
      <c r="I247" s="350" t="s">
        <v>3983</v>
      </c>
      <c r="J247" s="262">
        <f t="shared" si="19"/>
        <v>41863</v>
      </c>
      <c r="K247" s="41">
        <f t="shared" si="22"/>
        <v>100000</v>
      </c>
      <c r="L247" s="224"/>
    </row>
    <row r="248" spans="1:12" ht="111" customHeight="1">
      <c r="A248" s="38" t="s">
        <v>1028</v>
      </c>
      <c r="B248" s="38" t="str">
        <f>"339"</f>
        <v>339</v>
      </c>
      <c r="C248" s="53" t="s">
        <v>2852</v>
      </c>
      <c r="D248" s="262">
        <v>41863</v>
      </c>
      <c r="E248" s="39" t="s">
        <v>1050</v>
      </c>
      <c r="F248" s="40">
        <v>5000</v>
      </c>
      <c r="G248" s="41">
        <v>25</v>
      </c>
      <c r="H248" s="41">
        <f t="shared" si="21"/>
        <v>125000</v>
      </c>
      <c r="I248" s="350" t="s">
        <v>3983</v>
      </c>
      <c r="J248" s="262">
        <v>41863</v>
      </c>
      <c r="K248" s="41">
        <f t="shared" si="22"/>
        <v>125000</v>
      </c>
      <c r="L248" s="224" t="s">
        <v>2713</v>
      </c>
    </row>
    <row r="249" spans="1:12" ht="46.5" customHeight="1">
      <c r="A249" s="42" t="s">
        <v>1071</v>
      </c>
      <c r="B249" s="42" t="str">
        <f>"262"</f>
        <v>262</v>
      </c>
      <c r="C249" s="54" t="str">
        <f>"江佳倫"</f>
        <v>江佳倫</v>
      </c>
      <c r="D249" s="263">
        <v>41863</v>
      </c>
      <c r="E249" s="43" t="s">
        <v>1050</v>
      </c>
      <c r="F249" s="44">
        <v>5000</v>
      </c>
      <c r="G249" s="45">
        <v>25</v>
      </c>
      <c r="H249" s="41">
        <f t="shared" si="21"/>
        <v>125000</v>
      </c>
      <c r="I249" s="350" t="s">
        <v>3983</v>
      </c>
      <c r="J249" s="263">
        <f t="shared" ref="J249:J272" si="23">D249</f>
        <v>41863</v>
      </c>
      <c r="K249" s="45">
        <f t="shared" si="22"/>
        <v>125000</v>
      </c>
      <c r="L249" s="226" t="s">
        <v>1072</v>
      </c>
    </row>
    <row r="250" spans="1:12" ht="92.25" customHeight="1">
      <c r="A250" s="38" t="s">
        <v>1073</v>
      </c>
      <c r="B250" s="38" t="str">
        <f>"176"</f>
        <v>176</v>
      </c>
      <c r="C250" s="53" t="str">
        <f>"林麗雲"</f>
        <v>林麗雲</v>
      </c>
      <c r="D250" s="262">
        <v>41863</v>
      </c>
      <c r="E250" s="39" t="s">
        <v>1050</v>
      </c>
      <c r="F250" s="40">
        <v>2000</v>
      </c>
      <c r="G250" s="41">
        <v>25</v>
      </c>
      <c r="H250" s="41">
        <f t="shared" si="21"/>
        <v>50000</v>
      </c>
      <c r="I250" s="350" t="s">
        <v>3983</v>
      </c>
      <c r="J250" s="262">
        <f t="shared" si="23"/>
        <v>41863</v>
      </c>
      <c r="K250" s="41">
        <f t="shared" si="22"/>
        <v>50000</v>
      </c>
      <c r="L250" s="224" t="s">
        <v>2727</v>
      </c>
    </row>
    <row r="251" spans="1:12" ht="46.5" customHeight="1">
      <c r="A251" s="38" t="s">
        <v>1029</v>
      </c>
      <c r="B251" s="38" t="str">
        <f>"285"</f>
        <v>285</v>
      </c>
      <c r="C251" s="53" t="str">
        <f>"郭和田"</f>
        <v>郭和田</v>
      </c>
      <c r="D251" s="262">
        <v>41863</v>
      </c>
      <c r="E251" s="39" t="s">
        <v>1051</v>
      </c>
      <c r="F251" s="40">
        <v>2000</v>
      </c>
      <c r="G251" s="41">
        <v>25</v>
      </c>
      <c r="H251" s="41">
        <f t="shared" si="21"/>
        <v>50000</v>
      </c>
      <c r="I251" s="350" t="s">
        <v>3983</v>
      </c>
      <c r="J251" s="262">
        <f t="shared" si="23"/>
        <v>41863</v>
      </c>
      <c r="K251" s="41">
        <f t="shared" si="22"/>
        <v>50000</v>
      </c>
      <c r="L251" s="224"/>
    </row>
    <row r="252" spans="1:12" ht="46.5" customHeight="1">
      <c r="A252" s="38" t="s">
        <v>1030</v>
      </c>
      <c r="B252" s="38" t="str">
        <f>"271"</f>
        <v>271</v>
      </c>
      <c r="C252" s="53" t="str">
        <f>"劉鳳美"</f>
        <v>劉鳳美</v>
      </c>
      <c r="D252" s="262">
        <v>41863</v>
      </c>
      <c r="E252" s="39" t="s">
        <v>1052</v>
      </c>
      <c r="F252" s="40">
        <v>10000</v>
      </c>
      <c r="G252" s="41">
        <v>25</v>
      </c>
      <c r="H252" s="41">
        <f t="shared" si="21"/>
        <v>250000</v>
      </c>
      <c r="I252" s="350" t="s">
        <v>3983</v>
      </c>
      <c r="J252" s="262">
        <f t="shared" si="23"/>
        <v>41863</v>
      </c>
      <c r="K252" s="41">
        <f t="shared" si="22"/>
        <v>250000</v>
      </c>
      <c r="L252" s="224"/>
    </row>
    <row r="253" spans="1:12" ht="46.5" customHeight="1">
      <c r="A253" s="38" t="s">
        <v>1031</v>
      </c>
      <c r="B253" s="38" t="str">
        <f>"336"</f>
        <v>336</v>
      </c>
      <c r="C253" s="53" t="str">
        <f>"龔麗芬"</f>
        <v>龔麗芬</v>
      </c>
      <c r="D253" s="262">
        <v>41863</v>
      </c>
      <c r="E253" s="39" t="s">
        <v>1053</v>
      </c>
      <c r="F253" s="40">
        <v>7000</v>
      </c>
      <c r="G253" s="41">
        <v>25</v>
      </c>
      <c r="H253" s="41">
        <f t="shared" si="21"/>
        <v>175000</v>
      </c>
      <c r="I253" s="350" t="s">
        <v>3983</v>
      </c>
      <c r="J253" s="262">
        <f t="shared" si="23"/>
        <v>41863</v>
      </c>
      <c r="K253" s="41">
        <f t="shared" si="22"/>
        <v>175000</v>
      </c>
      <c r="L253" s="224"/>
    </row>
    <row r="254" spans="1:12" ht="46.5" customHeight="1">
      <c r="A254" s="38" t="s">
        <v>1032</v>
      </c>
      <c r="B254" s="38" t="str">
        <f>"403"</f>
        <v>403</v>
      </c>
      <c r="C254" s="53" t="str">
        <f>"陳美香"</f>
        <v>陳美香</v>
      </c>
      <c r="D254" s="262">
        <v>41863</v>
      </c>
      <c r="E254" s="39" t="s">
        <v>1054</v>
      </c>
      <c r="F254" s="40">
        <v>2000</v>
      </c>
      <c r="G254" s="41">
        <v>25</v>
      </c>
      <c r="H254" s="41">
        <f t="shared" si="21"/>
        <v>50000</v>
      </c>
      <c r="I254" s="350" t="s">
        <v>3983</v>
      </c>
      <c r="J254" s="262">
        <f t="shared" si="23"/>
        <v>41863</v>
      </c>
      <c r="K254" s="41">
        <f t="shared" si="22"/>
        <v>50000</v>
      </c>
      <c r="L254" s="224"/>
    </row>
    <row r="255" spans="1:12" ht="34.5" customHeight="1">
      <c r="A255" s="38" t="s">
        <v>1033</v>
      </c>
      <c r="B255" s="38" t="str">
        <f>"387"</f>
        <v>387</v>
      </c>
      <c r="C255" s="53" t="str">
        <f>"廖良習"</f>
        <v>廖良習</v>
      </c>
      <c r="D255" s="262">
        <v>41863</v>
      </c>
      <c r="E255" s="39" t="s">
        <v>1055</v>
      </c>
      <c r="F255" s="40">
        <v>3000</v>
      </c>
      <c r="G255" s="41">
        <v>25</v>
      </c>
      <c r="H255" s="41">
        <f t="shared" si="21"/>
        <v>75000</v>
      </c>
      <c r="I255" s="350" t="s">
        <v>3983</v>
      </c>
      <c r="J255" s="262">
        <f t="shared" si="23"/>
        <v>41863</v>
      </c>
      <c r="K255" s="41">
        <f t="shared" si="22"/>
        <v>75000</v>
      </c>
      <c r="L255" s="224"/>
    </row>
    <row r="256" spans="1:12" ht="34.5" customHeight="1">
      <c r="A256" s="38" t="s">
        <v>1034</v>
      </c>
      <c r="B256" s="38" t="str">
        <f>"372"</f>
        <v>372</v>
      </c>
      <c r="C256" s="53" t="str">
        <f>"陳已淳"</f>
        <v>陳已淳</v>
      </c>
      <c r="D256" s="262">
        <v>41863</v>
      </c>
      <c r="E256" s="39" t="s">
        <v>1056</v>
      </c>
      <c r="F256" s="40">
        <v>5000</v>
      </c>
      <c r="G256" s="41">
        <v>25</v>
      </c>
      <c r="H256" s="41">
        <f t="shared" si="21"/>
        <v>125000</v>
      </c>
      <c r="I256" s="350" t="s">
        <v>3983</v>
      </c>
      <c r="J256" s="262">
        <f t="shared" si="23"/>
        <v>41863</v>
      </c>
      <c r="K256" s="41">
        <f t="shared" si="22"/>
        <v>125000</v>
      </c>
      <c r="L256" s="224"/>
    </row>
    <row r="257" spans="1:12" ht="34.5" customHeight="1">
      <c r="A257" s="38" t="s">
        <v>1035</v>
      </c>
      <c r="B257" s="38" t="str">
        <f>"334"</f>
        <v>334</v>
      </c>
      <c r="C257" s="53" t="str">
        <f>"游秀玉"</f>
        <v>游秀玉</v>
      </c>
      <c r="D257" s="262">
        <v>41863</v>
      </c>
      <c r="E257" s="39" t="s">
        <v>1057</v>
      </c>
      <c r="F257" s="40">
        <v>2000</v>
      </c>
      <c r="G257" s="41">
        <v>25</v>
      </c>
      <c r="H257" s="41">
        <f t="shared" si="21"/>
        <v>50000</v>
      </c>
      <c r="I257" s="350" t="s">
        <v>3983</v>
      </c>
      <c r="J257" s="262">
        <f t="shared" si="23"/>
        <v>41863</v>
      </c>
      <c r="K257" s="41">
        <f t="shared" si="22"/>
        <v>50000</v>
      </c>
      <c r="L257" s="224" t="s">
        <v>2743</v>
      </c>
    </row>
    <row r="258" spans="1:12" ht="34.5" customHeight="1">
      <c r="A258" s="38" t="s">
        <v>1036</v>
      </c>
      <c r="B258" s="38" t="str">
        <f>"332"</f>
        <v>332</v>
      </c>
      <c r="C258" s="53" t="str">
        <f>"沈倫正"</f>
        <v>沈倫正</v>
      </c>
      <c r="D258" s="262">
        <v>41864</v>
      </c>
      <c r="E258" s="39" t="s">
        <v>1058</v>
      </c>
      <c r="F258" s="40">
        <v>5000</v>
      </c>
      <c r="G258" s="41">
        <v>25</v>
      </c>
      <c r="H258" s="41">
        <f t="shared" si="21"/>
        <v>125000</v>
      </c>
      <c r="I258" s="350" t="s">
        <v>3983</v>
      </c>
      <c r="J258" s="262">
        <f t="shared" si="23"/>
        <v>41864</v>
      </c>
      <c r="K258" s="41">
        <f t="shared" si="22"/>
        <v>125000</v>
      </c>
      <c r="L258" s="224"/>
    </row>
    <row r="259" spans="1:12" ht="34.5" customHeight="1">
      <c r="A259" s="38" t="s">
        <v>1037</v>
      </c>
      <c r="B259" s="38" t="str">
        <f>"212"</f>
        <v>212</v>
      </c>
      <c r="C259" s="53" t="str">
        <f>"許美珠"</f>
        <v>許美珠</v>
      </c>
      <c r="D259" s="262">
        <v>41864</v>
      </c>
      <c r="E259" s="39" t="s">
        <v>1049</v>
      </c>
      <c r="F259" s="40">
        <v>5000</v>
      </c>
      <c r="G259" s="41">
        <v>25</v>
      </c>
      <c r="H259" s="41">
        <f t="shared" si="21"/>
        <v>125000</v>
      </c>
      <c r="I259" s="350" t="s">
        <v>3983</v>
      </c>
      <c r="J259" s="262">
        <f t="shared" si="23"/>
        <v>41864</v>
      </c>
      <c r="K259" s="41">
        <f t="shared" si="22"/>
        <v>125000</v>
      </c>
      <c r="L259" s="224"/>
    </row>
    <row r="260" spans="1:12" ht="84" customHeight="1">
      <c r="A260" s="42" t="s">
        <v>1074</v>
      </c>
      <c r="B260" s="42" t="str">
        <f>"313"</f>
        <v>313</v>
      </c>
      <c r="C260" s="54" t="str">
        <f>"李月星"</f>
        <v>李月星</v>
      </c>
      <c r="D260" s="263">
        <v>41864</v>
      </c>
      <c r="E260" s="43" t="s">
        <v>1049</v>
      </c>
      <c r="F260" s="44">
        <v>1000</v>
      </c>
      <c r="G260" s="45">
        <v>25</v>
      </c>
      <c r="H260" s="41">
        <f t="shared" si="21"/>
        <v>25000</v>
      </c>
      <c r="I260" s="350" t="s">
        <v>3983</v>
      </c>
      <c r="J260" s="263">
        <f t="shared" si="23"/>
        <v>41864</v>
      </c>
      <c r="K260" s="45">
        <f t="shared" si="22"/>
        <v>25000</v>
      </c>
      <c r="L260" s="226" t="s">
        <v>2510</v>
      </c>
    </row>
    <row r="261" spans="1:12" ht="34.5" customHeight="1">
      <c r="A261" s="38" t="s">
        <v>1075</v>
      </c>
      <c r="B261" s="38" t="str">
        <f>"384"</f>
        <v>384</v>
      </c>
      <c r="C261" s="53" t="str">
        <f>"莊登富"</f>
        <v>莊登富</v>
      </c>
      <c r="D261" s="262">
        <v>41864</v>
      </c>
      <c r="E261" s="39" t="s">
        <v>1049</v>
      </c>
      <c r="F261" s="40">
        <v>2000</v>
      </c>
      <c r="G261" s="41">
        <v>25</v>
      </c>
      <c r="H261" s="41">
        <f t="shared" si="21"/>
        <v>50000</v>
      </c>
      <c r="I261" s="350" t="s">
        <v>3983</v>
      </c>
      <c r="J261" s="262">
        <f t="shared" si="23"/>
        <v>41864</v>
      </c>
      <c r="K261" s="41">
        <f t="shared" si="22"/>
        <v>50000</v>
      </c>
      <c r="L261" s="224"/>
    </row>
    <row r="262" spans="1:12" ht="34.5" customHeight="1">
      <c r="A262" s="38" t="s">
        <v>1038</v>
      </c>
      <c r="B262" s="38" t="str">
        <f>"215"</f>
        <v>215</v>
      </c>
      <c r="C262" s="53" t="str">
        <f>"謝宗雄"</f>
        <v>謝宗雄</v>
      </c>
      <c r="D262" s="262">
        <v>41865</v>
      </c>
      <c r="E262" s="39" t="s">
        <v>1052</v>
      </c>
      <c r="F262" s="40">
        <v>10000</v>
      </c>
      <c r="G262" s="41">
        <v>25</v>
      </c>
      <c r="H262" s="41">
        <f t="shared" si="21"/>
        <v>250000</v>
      </c>
      <c r="I262" s="350" t="s">
        <v>3983</v>
      </c>
      <c r="J262" s="262">
        <f t="shared" si="23"/>
        <v>41865</v>
      </c>
      <c r="K262" s="41">
        <f t="shared" si="22"/>
        <v>250000</v>
      </c>
      <c r="L262" s="224"/>
    </row>
    <row r="263" spans="1:12" ht="34.5" customHeight="1">
      <c r="A263" s="38" t="s">
        <v>1039</v>
      </c>
      <c r="B263" s="38" t="str">
        <f>"239"</f>
        <v>239</v>
      </c>
      <c r="C263" s="53" t="str">
        <f>"范登閔"</f>
        <v>范登閔</v>
      </c>
      <c r="D263" s="262">
        <v>41865</v>
      </c>
      <c r="E263" s="39" t="s">
        <v>1053</v>
      </c>
      <c r="F263" s="40">
        <v>2000</v>
      </c>
      <c r="G263" s="41">
        <v>25</v>
      </c>
      <c r="H263" s="41">
        <f t="shared" si="21"/>
        <v>50000</v>
      </c>
      <c r="I263" s="350" t="s">
        <v>3983</v>
      </c>
      <c r="J263" s="262">
        <f t="shared" si="23"/>
        <v>41865</v>
      </c>
      <c r="K263" s="41">
        <f t="shared" si="22"/>
        <v>50000</v>
      </c>
      <c r="L263" s="224"/>
    </row>
    <row r="264" spans="1:12" ht="34.5" customHeight="1">
      <c r="A264" s="38" t="s">
        <v>1040</v>
      </c>
      <c r="B264" s="38" t="str">
        <f>"129"</f>
        <v>129</v>
      </c>
      <c r="C264" s="53" t="str">
        <f>"顏春花"</f>
        <v>顏春花</v>
      </c>
      <c r="D264" s="262">
        <v>41865</v>
      </c>
      <c r="E264" s="39" t="s">
        <v>1054</v>
      </c>
      <c r="F264" s="40">
        <v>5000</v>
      </c>
      <c r="G264" s="41">
        <v>25</v>
      </c>
      <c r="H264" s="41">
        <f t="shared" si="21"/>
        <v>125000</v>
      </c>
      <c r="I264" s="350" t="s">
        <v>3983</v>
      </c>
      <c r="J264" s="262">
        <f t="shared" si="23"/>
        <v>41865</v>
      </c>
      <c r="K264" s="41">
        <f t="shared" si="22"/>
        <v>125000</v>
      </c>
      <c r="L264" s="224"/>
    </row>
    <row r="265" spans="1:12" ht="34.5" customHeight="1">
      <c r="A265" s="38" t="s">
        <v>1041</v>
      </c>
      <c r="B265" s="38" t="str">
        <f>"13"</f>
        <v>13</v>
      </c>
      <c r="C265" s="53" t="str">
        <f>"賴宥材"</f>
        <v>賴宥材</v>
      </c>
      <c r="D265" s="262">
        <v>41865</v>
      </c>
      <c r="E265" s="39" t="s">
        <v>1055</v>
      </c>
      <c r="F265" s="40">
        <v>1000</v>
      </c>
      <c r="G265" s="41">
        <v>25</v>
      </c>
      <c r="H265" s="41">
        <f t="shared" si="21"/>
        <v>25000</v>
      </c>
      <c r="I265" s="350" t="s">
        <v>3983</v>
      </c>
      <c r="J265" s="262">
        <f t="shared" si="23"/>
        <v>41865</v>
      </c>
      <c r="K265" s="41">
        <f t="shared" si="22"/>
        <v>25000</v>
      </c>
      <c r="L265" s="224"/>
    </row>
    <row r="266" spans="1:12" ht="34.5" customHeight="1">
      <c r="A266" s="38" t="s">
        <v>1042</v>
      </c>
      <c r="B266" s="38" t="str">
        <f>"136"</f>
        <v>136</v>
      </c>
      <c r="C266" s="53" t="str">
        <f>"陳易儀"</f>
        <v>陳易儀</v>
      </c>
      <c r="D266" s="262">
        <v>41866</v>
      </c>
      <c r="E266" s="39" t="s">
        <v>1056</v>
      </c>
      <c r="F266" s="40">
        <v>1000</v>
      </c>
      <c r="G266" s="41">
        <v>25</v>
      </c>
      <c r="H266" s="41">
        <f t="shared" si="21"/>
        <v>25000</v>
      </c>
      <c r="I266" s="350" t="s">
        <v>3983</v>
      </c>
      <c r="J266" s="262">
        <f t="shared" si="23"/>
        <v>41866</v>
      </c>
      <c r="K266" s="41">
        <f t="shared" si="22"/>
        <v>25000</v>
      </c>
      <c r="L266" s="224"/>
    </row>
    <row r="267" spans="1:12" ht="34.5" customHeight="1">
      <c r="A267" s="38" t="s">
        <v>1043</v>
      </c>
      <c r="B267" s="38" t="str">
        <f>"272"</f>
        <v>272</v>
      </c>
      <c r="C267" s="53" t="str">
        <f>"方秀娟"</f>
        <v>方秀娟</v>
      </c>
      <c r="D267" s="262">
        <v>41866</v>
      </c>
      <c r="E267" s="39" t="s">
        <v>1057</v>
      </c>
      <c r="F267" s="40">
        <v>3000</v>
      </c>
      <c r="G267" s="41">
        <v>25</v>
      </c>
      <c r="H267" s="41">
        <f t="shared" si="21"/>
        <v>75000</v>
      </c>
      <c r="I267" s="350" t="s">
        <v>3983</v>
      </c>
      <c r="J267" s="262">
        <f t="shared" si="23"/>
        <v>41866</v>
      </c>
      <c r="K267" s="41">
        <f t="shared" si="22"/>
        <v>75000</v>
      </c>
      <c r="L267" s="224"/>
    </row>
    <row r="268" spans="1:12" ht="34.5" customHeight="1">
      <c r="A268" s="38" t="s">
        <v>1044</v>
      </c>
      <c r="B268" s="38" t="str">
        <f>"375"</f>
        <v>375</v>
      </c>
      <c r="C268" s="53" t="str">
        <f>"張木生"</f>
        <v>張木生</v>
      </c>
      <c r="D268" s="262">
        <v>41866</v>
      </c>
      <c r="E268" s="39" t="s">
        <v>1058</v>
      </c>
      <c r="F268" s="40">
        <v>5000</v>
      </c>
      <c r="G268" s="41">
        <v>25</v>
      </c>
      <c r="H268" s="41">
        <f t="shared" ref="H268:H272" si="24">F268*G268</f>
        <v>125000</v>
      </c>
      <c r="I268" s="350" t="s">
        <v>3983</v>
      </c>
      <c r="J268" s="262">
        <f t="shared" si="23"/>
        <v>41866</v>
      </c>
      <c r="K268" s="41">
        <f t="shared" ref="K268:K272" si="25">H268</f>
        <v>125000</v>
      </c>
      <c r="L268" s="224"/>
    </row>
    <row r="269" spans="1:12" ht="34.5" customHeight="1">
      <c r="A269" s="38" t="s">
        <v>1045</v>
      </c>
      <c r="B269" s="38" t="str">
        <f>"390"</f>
        <v>390</v>
      </c>
      <c r="C269" s="53" t="str">
        <f>"鄭巧巧"</f>
        <v>鄭巧巧</v>
      </c>
      <c r="D269" s="262">
        <v>41869</v>
      </c>
      <c r="E269" s="39" t="s">
        <v>1049</v>
      </c>
      <c r="F269" s="40">
        <v>2000</v>
      </c>
      <c r="G269" s="41">
        <v>25</v>
      </c>
      <c r="H269" s="41">
        <f t="shared" si="24"/>
        <v>50000</v>
      </c>
      <c r="I269" s="350" t="s">
        <v>3983</v>
      </c>
      <c r="J269" s="262">
        <f t="shared" si="23"/>
        <v>41869</v>
      </c>
      <c r="K269" s="41">
        <f t="shared" si="25"/>
        <v>50000</v>
      </c>
      <c r="L269" s="224"/>
    </row>
    <row r="270" spans="1:12" ht="34.5" customHeight="1">
      <c r="A270" s="38" t="s">
        <v>1046</v>
      </c>
      <c r="B270" s="38" t="str">
        <f>"303"</f>
        <v>303</v>
      </c>
      <c r="C270" s="53" t="str">
        <f>"茹道泰"</f>
        <v>茹道泰</v>
      </c>
      <c r="D270" s="262">
        <v>41869</v>
      </c>
      <c r="E270" s="39" t="s">
        <v>1050</v>
      </c>
      <c r="F270" s="40">
        <v>2000</v>
      </c>
      <c r="G270" s="41">
        <v>25</v>
      </c>
      <c r="H270" s="41">
        <f t="shared" si="24"/>
        <v>50000</v>
      </c>
      <c r="I270" s="350" t="s">
        <v>3983</v>
      </c>
      <c r="J270" s="262">
        <f t="shared" si="23"/>
        <v>41869</v>
      </c>
      <c r="K270" s="41">
        <f t="shared" si="25"/>
        <v>50000</v>
      </c>
      <c r="L270" s="224"/>
    </row>
    <row r="271" spans="1:12" ht="34.5" customHeight="1">
      <c r="A271" s="38" t="s">
        <v>1047</v>
      </c>
      <c r="B271" s="38" t="str">
        <f>"226"</f>
        <v>226</v>
      </c>
      <c r="C271" s="53" t="str">
        <f>"鄭國中"</f>
        <v>鄭國中</v>
      </c>
      <c r="D271" s="262">
        <v>41871</v>
      </c>
      <c r="E271" s="39" t="s">
        <v>1051</v>
      </c>
      <c r="F271" s="40">
        <v>20000</v>
      </c>
      <c r="G271" s="41">
        <v>25</v>
      </c>
      <c r="H271" s="41">
        <f t="shared" si="24"/>
        <v>500000</v>
      </c>
      <c r="I271" s="350" t="s">
        <v>3983</v>
      </c>
      <c r="J271" s="262">
        <f t="shared" si="23"/>
        <v>41871</v>
      </c>
      <c r="K271" s="41">
        <f t="shared" si="25"/>
        <v>500000</v>
      </c>
      <c r="L271" s="224"/>
    </row>
    <row r="272" spans="1:12" ht="34.5" customHeight="1">
      <c r="A272" s="38" t="s">
        <v>1048</v>
      </c>
      <c r="B272" s="38" t="str">
        <f>"258"</f>
        <v>258</v>
      </c>
      <c r="C272" s="53" t="str">
        <f>"李如玉"</f>
        <v>李如玉</v>
      </c>
      <c r="D272" s="262">
        <v>41871</v>
      </c>
      <c r="E272" s="39" t="s">
        <v>1052</v>
      </c>
      <c r="F272" s="40">
        <v>20000</v>
      </c>
      <c r="G272" s="41">
        <v>25</v>
      </c>
      <c r="H272" s="41">
        <f t="shared" si="24"/>
        <v>500000</v>
      </c>
      <c r="I272" s="350" t="s">
        <v>3983</v>
      </c>
      <c r="J272" s="262">
        <f t="shared" si="23"/>
        <v>41871</v>
      </c>
      <c r="K272" s="41">
        <f t="shared" si="25"/>
        <v>500000</v>
      </c>
      <c r="L272" s="224"/>
    </row>
    <row r="273" spans="1:12" ht="34.5" customHeight="1">
      <c r="A273" s="361" t="s">
        <v>1076</v>
      </c>
      <c r="B273" s="361"/>
      <c r="C273" s="361"/>
      <c r="D273" s="361"/>
      <c r="E273" s="361"/>
      <c r="F273" s="40">
        <f>SUM(F4:F19, F20:F22, F23:F272)</f>
        <v>1337000</v>
      </c>
      <c r="G273" s="46"/>
      <c r="H273" s="45">
        <f>SUM(H4:H272)</f>
        <v>33425000</v>
      </c>
      <c r="I273" s="47"/>
      <c r="J273" s="46"/>
      <c r="K273" s="45">
        <f>SUM(K4:K272)</f>
        <v>33425000</v>
      </c>
      <c r="L273" s="227"/>
    </row>
    <row r="274" spans="1:12" ht="34.5" customHeight="1">
      <c r="A274" s="48" t="s">
        <v>1077</v>
      </c>
    </row>
    <row r="275" spans="1:12" ht="34.5" customHeight="1">
      <c r="F275" s="52"/>
    </row>
  </sheetData>
  <autoFilter ref="A3:L186"/>
  <sortState ref="A204:L276">
    <sortCondition ref="D204:D276"/>
  </sortState>
  <mergeCells count="42">
    <mergeCell ref="A273:E273"/>
    <mergeCell ref="F181:F182"/>
    <mergeCell ref="G181:G182"/>
    <mergeCell ref="H181:H182"/>
    <mergeCell ref="J181:J182"/>
    <mergeCell ref="K181:K182"/>
    <mergeCell ref="A181:A182"/>
    <mergeCell ref="B181:B182"/>
    <mergeCell ref="C181:C182"/>
    <mergeCell ref="D181:D182"/>
    <mergeCell ref="E181:E182"/>
    <mergeCell ref="F174:F175"/>
    <mergeCell ref="G174:G175"/>
    <mergeCell ref="H174:H175"/>
    <mergeCell ref="J174:J175"/>
    <mergeCell ref="K174:K175"/>
    <mergeCell ref="A174:A175"/>
    <mergeCell ref="B174:B175"/>
    <mergeCell ref="C174:C175"/>
    <mergeCell ref="D174:D175"/>
    <mergeCell ref="E174:E175"/>
    <mergeCell ref="F20:F22"/>
    <mergeCell ref="G20:G22"/>
    <mergeCell ref="H20:H22"/>
    <mergeCell ref="J20:J22"/>
    <mergeCell ref="K20:K22"/>
    <mergeCell ref="A20:A22"/>
    <mergeCell ref="B20:B22"/>
    <mergeCell ref="C20:C22"/>
    <mergeCell ref="D20:D22"/>
    <mergeCell ref="E20:E22"/>
    <mergeCell ref="A1:L1"/>
    <mergeCell ref="A2:A3"/>
    <mergeCell ref="B2:B3"/>
    <mergeCell ref="C2:C3"/>
    <mergeCell ref="D2:D3"/>
    <mergeCell ref="E2:E3"/>
    <mergeCell ref="F2:F3"/>
    <mergeCell ref="G2:G3"/>
    <mergeCell ref="H2:H3"/>
    <mergeCell ref="I2:K2"/>
    <mergeCell ref="L2:L3"/>
  </mergeCells>
  <phoneticPr fontId="1" type="noConversion"/>
  <printOptions horizontalCentered="1"/>
  <pageMargins left="0.35433070866141736" right="0.35433070866141736" top="0.78740157480314965" bottom="0.98425196850393704" header="0.51181102362204722" footer="0.51181102362204722"/>
  <pageSetup paperSize="9" scale="60" fitToHeight="20" orientation="portrait" blackAndWhite="1" r:id="rId1"/>
  <headerFooter alignWithMargins="0">
    <oddFooter>&amp;C&amp;P</oddFooter>
  </headerFooter>
  <rowBreaks count="1" manualBreakCount="1">
    <brk id="173" max="11"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topLeftCell="A7" zoomScale="110" zoomScaleNormal="110" workbookViewId="0">
      <selection activeCell="F15" sqref="F15"/>
    </sheetView>
  </sheetViews>
  <sheetFormatPr defaultRowHeight="17"/>
  <cols>
    <col min="1" max="1" width="8" customWidth="1"/>
    <col min="2" max="2" width="10.36328125" customWidth="1"/>
    <col min="3" max="3" width="10.6328125" customWidth="1"/>
    <col min="4" max="4" width="12.90625" customWidth="1"/>
    <col min="5" max="5" width="12.453125" customWidth="1"/>
    <col min="6" max="6" width="11.36328125" customWidth="1"/>
    <col min="7" max="7" width="14.81640625" customWidth="1"/>
  </cols>
  <sheetData>
    <row r="1" spans="1:7" ht="17.5" thickBot="1">
      <c r="A1" t="s">
        <v>3025</v>
      </c>
    </row>
    <row r="2" spans="1:7" ht="17.5" thickBot="1">
      <c r="A2" s="22" t="s">
        <v>16</v>
      </c>
      <c r="B2" s="23" t="s">
        <v>18</v>
      </c>
      <c r="C2" s="23" t="s">
        <v>19</v>
      </c>
      <c r="D2" s="23" t="s">
        <v>20</v>
      </c>
      <c r="E2" s="23" t="s">
        <v>21</v>
      </c>
      <c r="F2" s="23" t="s">
        <v>22</v>
      </c>
      <c r="G2" s="24" t="s">
        <v>23</v>
      </c>
    </row>
    <row r="3" spans="1:7">
      <c r="A3" s="18">
        <v>1</v>
      </c>
      <c r="B3" s="19" t="s">
        <v>8</v>
      </c>
      <c r="C3" s="19" t="s">
        <v>25</v>
      </c>
      <c r="D3" s="11" t="s">
        <v>26</v>
      </c>
      <c r="E3" s="12">
        <v>100000</v>
      </c>
      <c r="F3" s="11">
        <v>10.199999999999999</v>
      </c>
      <c r="G3" s="13">
        <v>1020000</v>
      </c>
    </row>
    <row r="4" spans="1:7">
      <c r="A4" s="20">
        <v>2</v>
      </c>
      <c r="B4" s="21" t="s">
        <v>8</v>
      </c>
      <c r="C4" s="21" t="s">
        <v>27</v>
      </c>
      <c r="D4" s="1" t="s">
        <v>26</v>
      </c>
      <c r="E4" s="2">
        <v>30000</v>
      </c>
      <c r="F4" s="1">
        <v>10.199999999999999</v>
      </c>
      <c r="G4" s="4">
        <v>306000</v>
      </c>
    </row>
    <row r="5" spans="1:7">
      <c r="A5" s="20">
        <v>3</v>
      </c>
      <c r="B5" s="21" t="s">
        <v>8</v>
      </c>
      <c r="C5" s="21" t="s">
        <v>28</v>
      </c>
      <c r="D5" s="1" t="s">
        <v>26</v>
      </c>
      <c r="E5" s="2">
        <v>80000</v>
      </c>
      <c r="F5" s="1">
        <v>10.199999999999999</v>
      </c>
      <c r="G5" s="4">
        <v>816000</v>
      </c>
    </row>
    <row r="6" spans="1:7">
      <c r="A6" s="20">
        <v>4</v>
      </c>
      <c r="B6" s="21" t="s">
        <v>8</v>
      </c>
      <c r="C6" s="21" t="s">
        <v>29</v>
      </c>
      <c r="D6" s="1" t="s">
        <v>26</v>
      </c>
      <c r="E6" s="2">
        <v>80000</v>
      </c>
      <c r="F6" s="1">
        <v>10.199999999999999</v>
      </c>
      <c r="G6" s="4">
        <v>816000</v>
      </c>
    </row>
    <row r="7" spans="1:7">
      <c r="A7" s="20">
        <v>5</v>
      </c>
      <c r="B7" s="21" t="s">
        <v>8</v>
      </c>
      <c r="C7" s="21" t="s">
        <v>30</v>
      </c>
      <c r="D7" s="1" t="s">
        <v>26</v>
      </c>
      <c r="E7" s="2">
        <v>100000</v>
      </c>
      <c r="F7" s="1">
        <v>10.199999999999999</v>
      </c>
      <c r="G7" s="4">
        <v>1020000</v>
      </c>
    </row>
    <row r="8" spans="1:7">
      <c r="A8" s="20">
        <v>6</v>
      </c>
      <c r="B8" s="21" t="s">
        <v>8</v>
      </c>
      <c r="C8" s="21" t="s">
        <v>1564</v>
      </c>
      <c r="D8" s="1" t="s">
        <v>26</v>
      </c>
      <c r="E8" s="2">
        <v>10000</v>
      </c>
      <c r="F8" s="1">
        <v>10.199999999999999</v>
      </c>
      <c r="G8" s="4">
        <v>102000</v>
      </c>
    </row>
    <row r="9" spans="1:7" ht="17.5" thickBot="1">
      <c r="A9" s="5"/>
      <c r="B9" s="7"/>
      <c r="C9" s="7"/>
      <c r="D9" s="7" t="s">
        <v>31</v>
      </c>
      <c r="E9" s="16">
        <f>SUM(E3:E8)</f>
        <v>400000</v>
      </c>
      <c r="F9" s="16"/>
      <c r="G9" s="17">
        <f>SUM(G3:G8)</f>
        <v>4080000</v>
      </c>
    </row>
    <row r="10" spans="1:7">
      <c r="A10" t="s">
        <v>1195</v>
      </c>
    </row>
    <row r="11" spans="1:7" ht="33.65" customHeight="1">
      <c r="A11" s="399" t="s">
        <v>1194</v>
      </c>
      <c r="B11" s="399"/>
      <c r="C11" s="399"/>
      <c r="D11" s="399"/>
      <c r="E11" s="399"/>
      <c r="F11" s="399"/>
      <c r="G11" s="399"/>
    </row>
  </sheetData>
  <mergeCells count="1">
    <mergeCell ref="A11:G11"/>
  </mergeCells>
  <phoneticPr fontId="1" type="noConversion"/>
  <pageMargins left="0.70866141732283472" right="0.70866141732283472" top="0.74803149606299213" bottom="0.74803149606299213" header="0.31496062992125984" footer="0.31496062992125984"/>
  <pageSetup paperSize="9" orientation="portrait" r:id="rId1"/>
  <headerFooter>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
  <sheetViews>
    <sheetView topLeftCell="A7" zoomScale="110" zoomScaleNormal="110" workbookViewId="0">
      <selection activeCell="G18" sqref="G18"/>
    </sheetView>
  </sheetViews>
  <sheetFormatPr defaultRowHeight="17"/>
  <cols>
    <col min="1" max="1" width="7.453125" customWidth="1"/>
    <col min="2" max="2" width="10" customWidth="1"/>
    <col min="3" max="3" width="11.453125" customWidth="1"/>
    <col min="4" max="4" width="12.1796875" customWidth="1"/>
    <col min="5" max="5" width="12.453125" customWidth="1"/>
    <col min="6" max="6" width="9.453125" customWidth="1"/>
    <col min="7" max="7" width="16" customWidth="1"/>
  </cols>
  <sheetData>
    <row r="1" spans="1:7" ht="39.65" customHeight="1" thickBot="1">
      <c r="A1" s="400" t="s">
        <v>3026</v>
      </c>
      <c r="B1" s="400"/>
      <c r="C1" s="400"/>
      <c r="D1" s="400"/>
      <c r="E1" s="400"/>
      <c r="F1" s="400"/>
      <c r="G1" s="400"/>
    </row>
    <row r="2" spans="1:7" ht="17.5" thickBot="1">
      <c r="A2" s="22" t="s">
        <v>16</v>
      </c>
      <c r="B2" s="23" t="s">
        <v>18</v>
      </c>
      <c r="C2" s="23" t="s">
        <v>19</v>
      </c>
      <c r="D2" s="23" t="s">
        <v>20</v>
      </c>
      <c r="E2" s="23" t="s">
        <v>21</v>
      </c>
      <c r="F2" s="23" t="s">
        <v>22</v>
      </c>
      <c r="G2" s="24" t="s">
        <v>23</v>
      </c>
    </row>
    <row r="3" spans="1:7">
      <c r="A3" s="18">
        <v>1</v>
      </c>
      <c r="B3" s="19" t="s">
        <v>8</v>
      </c>
      <c r="C3" s="19" t="s">
        <v>0</v>
      </c>
      <c r="D3" s="11" t="s">
        <v>9</v>
      </c>
      <c r="E3" s="12">
        <v>600000</v>
      </c>
      <c r="F3" s="11">
        <v>15</v>
      </c>
      <c r="G3" s="13">
        <v>9000000</v>
      </c>
    </row>
    <row r="4" spans="1:7">
      <c r="A4" s="20">
        <v>2</v>
      </c>
      <c r="B4" s="21" t="s">
        <v>1</v>
      </c>
      <c r="C4" s="21" t="s">
        <v>0</v>
      </c>
      <c r="D4" s="1" t="s">
        <v>2</v>
      </c>
      <c r="E4" s="2">
        <v>500000</v>
      </c>
      <c r="F4" s="1">
        <v>15</v>
      </c>
      <c r="G4" s="4">
        <v>7500000</v>
      </c>
    </row>
    <row r="5" spans="1:7">
      <c r="A5" s="20">
        <v>3</v>
      </c>
      <c r="B5" s="21" t="s">
        <v>1</v>
      </c>
      <c r="C5" s="21" t="s">
        <v>0</v>
      </c>
      <c r="D5" s="1" t="s">
        <v>3</v>
      </c>
      <c r="E5" s="2">
        <v>500000</v>
      </c>
      <c r="F5" s="1">
        <v>15</v>
      </c>
      <c r="G5" s="4">
        <v>7500000</v>
      </c>
    </row>
    <row r="6" spans="1:7">
      <c r="A6" s="20">
        <v>4</v>
      </c>
      <c r="B6" s="21" t="s">
        <v>1</v>
      </c>
      <c r="C6" s="21" t="s">
        <v>0</v>
      </c>
      <c r="D6" s="1" t="s">
        <v>4</v>
      </c>
      <c r="E6" s="2">
        <v>400000</v>
      </c>
      <c r="F6" s="1">
        <v>15</v>
      </c>
      <c r="G6" s="4">
        <v>6000000</v>
      </c>
    </row>
    <row r="7" spans="1:7">
      <c r="A7" s="20">
        <v>5</v>
      </c>
      <c r="B7" s="21" t="s">
        <v>1</v>
      </c>
      <c r="C7" s="21" t="s">
        <v>0</v>
      </c>
      <c r="D7" s="1" t="s">
        <v>5</v>
      </c>
      <c r="E7" s="2">
        <v>199000</v>
      </c>
      <c r="F7" s="1">
        <v>15</v>
      </c>
      <c r="G7" s="4">
        <v>2985000</v>
      </c>
    </row>
    <row r="8" spans="1:7">
      <c r="A8" s="20">
        <v>6</v>
      </c>
      <c r="B8" s="21" t="s">
        <v>1</v>
      </c>
      <c r="C8" s="21" t="s">
        <v>0</v>
      </c>
      <c r="D8" s="1" t="s">
        <v>6</v>
      </c>
      <c r="E8" s="2">
        <v>1000</v>
      </c>
      <c r="F8" s="1">
        <v>15</v>
      </c>
      <c r="G8" s="4">
        <v>15000</v>
      </c>
    </row>
    <row r="9" spans="1:7">
      <c r="A9" s="20">
        <v>7</v>
      </c>
      <c r="B9" s="21" t="s">
        <v>1</v>
      </c>
      <c r="C9" s="21" t="s">
        <v>0</v>
      </c>
      <c r="D9" s="1" t="s">
        <v>7</v>
      </c>
      <c r="E9" s="2">
        <v>400000</v>
      </c>
      <c r="F9" s="1">
        <v>15</v>
      </c>
      <c r="G9" s="4">
        <v>6000000</v>
      </c>
    </row>
    <row r="10" spans="1:7">
      <c r="A10" s="20">
        <v>8</v>
      </c>
      <c r="B10" s="21" t="s">
        <v>8</v>
      </c>
      <c r="C10" s="21" t="s">
        <v>0</v>
      </c>
      <c r="D10" s="1" t="s">
        <v>10</v>
      </c>
      <c r="E10" s="2">
        <v>500000</v>
      </c>
      <c r="F10" s="1">
        <v>15</v>
      </c>
      <c r="G10" s="4">
        <v>7500000</v>
      </c>
    </row>
    <row r="11" spans="1:7">
      <c r="A11" s="20">
        <v>9</v>
      </c>
      <c r="B11" s="21" t="s">
        <v>8</v>
      </c>
      <c r="C11" s="21" t="s">
        <v>0</v>
      </c>
      <c r="D11" s="1" t="s">
        <v>11</v>
      </c>
      <c r="E11" s="2">
        <v>300000</v>
      </c>
      <c r="F11" s="1">
        <v>15</v>
      </c>
      <c r="G11" s="4">
        <v>4500000</v>
      </c>
    </row>
    <row r="12" spans="1:7">
      <c r="A12" s="20">
        <v>10</v>
      </c>
      <c r="B12" s="21" t="s">
        <v>8</v>
      </c>
      <c r="C12" s="21" t="s">
        <v>0</v>
      </c>
      <c r="D12" s="1" t="s">
        <v>12</v>
      </c>
      <c r="E12" s="2">
        <v>200000</v>
      </c>
      <c r="F12" s="1">
        <v>15</v>
      </c>
      <c r="G12" s="4">
        <v>3000000</v>
      </c>
    </row>
    <row r="13" spans="1:7">
      <c r="A13" s="20">
        <v>11</v>
      </c>
      <c r="B13" s="21" t="s">
        <v>8</v>
      </c>
      <c r="C13" s="21" t="s">
        <v>0</v>
      </c>
      <c r="D13" s="1" t="s">
        <v>13</v>
      </c>
      <c r="E13" s="2">
        <v>200000</v>
      </c>
      <c r="F13" s="1">
        <v>15</v>
      </c>
      <c r="G13" s="4">
        <v>3000000</v>
      </c>
    </row>
    <row r="14" spans="1:7">
      <c r="A14" s="20">
        <v>12</v>
      </c>
      <c r="B14" s="21" t="s">
        <v>8</v>
      </c>
      <c r="C14" s="21" t="s">
        <v>14</v>
      </c>
      <c r="D14" s="1" t="s">
        <v>15</v>
      </c>
      <c r="E14" s="2">
        <v>30000</v>
      </c>
      <c r="F14" s="1">
        <v>15</v>
      </c>
      <c r="G14" s="4">
        <v>450000</v>
      </c>
    </row>
    <row r="15" spans="1:7" ht="17.5" thickBot="1">
      <c r="A15" s="5"/>
      <c r="B15" s="6"/>
      <c r="C15" s="6"/>
      <c r="D15" s="7" t="s">
        <v>24</v>
      </c>
      <c r="E15" s="8">
        <f>SUM(E3:E14)</f>
        <v>3830000</v>
      </c>
      <c r="F15" s="6"/>
      <c r="G15" s="9">
        <f>SUM(G3:G14)</f>
        <v>57450000</v>
      </c>
    </row>
    <row r="16" spans="1:7">
      <c r="A16" t="s">
        <v>17</v>
      </c>
    </row>
  </sheetData>
  <sortState ref="A3:G14">
    <sortCondition ref="D3:D14"/>
  </sortState>
  <mergeCells count="1">
    <mergeCell ref="A1:G1"/>
  </mergeCells>
  <phoneticPr fontId="1" type="noConversion"/>
  <pageMargins left="0.70866141732283472" right="0.70866141732283472" top="0.74803149606299213" bottom="0.74803149606299213" header="0.31496062992125984" footer="0.31496062992125984"/>
  <pageSetup paperSize="9" orientation="portrait" r:id="rId1"/>
  <headerFooter>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24"/>
  <sheetViews>
    <sheetView topLeftCell="A115" zoomScale="110" zoomScaleNormal="110" workbookViewId="0">
      <selection activeCell="L126" sqref="L126"/>
    </sheetView>
  </sheetViews>
  <sheetFormatPr defaultRowHeight="17"/>
  <cols>
    <col min="1" max="1" width="7.1796875" customWidth="1"/>
    <col min="2" max="2" width="9.1796875" customWidth="1"/>
    <col min="3" max="3" width="9.6328125" customWidth="1"/>
    <col min="4" max="4" width="11.453125" customWidth="1"/>
    <col min="5" max="5" width="11.81640625" customWidth="1"/>
    <col min="6" max="6" width="11.08984375" customWidth="1"/>
    <col min="7" max="7" width="13" customWidth="1"/>
    <col min="8" max="8" width="14.1796875" customWidth="1"/>
  </cols>
  <sheetData>
    <row r="1" spans="1:8" ht="23" customHeight="1" thickBot="1">
      <c r="A1" t="s">
        <v>3027</v>
      </c>
    </row>
    <row r="2" spans="1:8">
      <c r="A2" s="265" t="s">
        <v>2854</v>
      </c>
      <c r="B2" s="264" t="s">
        <v>2872</v>
      </c>
      <c r="C2" s="264" t="s">
        <v>2871</v>
      </c>
      <c r="D2" s="264" t="s">
        <v>2870</v>
      </c>
      <c r="E2" s="264" t="s">
        <v>2869</v>
      </c>
      <c r="F2" s="264" t="s">
        <v>2868</v>
      </c>
      <c r="G2" s="264" t="s">
        <v>2867</v>
      </c>
      <c r="H2" s="266" t="s">
        <v>2866</v>
      </c>
    </row>
    <row r="3" spans="1:8">
      <c r="A3" s="3">
        <v>1</v>
      </c>
      <c r="B3" s="1" t="s">
        <v>0</v>
      </c>
      <c r="C3" s="1" t="s">
        <v>90</v>
      </c>
      <c r="D3" s="1" t="s">
        <v>91</v>
      </c>
      <c r="E3" s="2">
        <v>100000</v>
      </c>
      <c r="F3" s="1">
        <v>23</v>
      </c>
      <c r="G3" s="2">
        <v>2300000</v>
      </c>
      <c r="H3" s="271" t="s">
        <v>3075</v>
      </c>
    </row>
    <row r="4" spans="1:8">
      <c r="A4" s="3">
        <v>2</v>
      </c>
      <c r="B4" s="1" t="s">
        <v>0</v>
      </c>
      <c r="C4" s="1" t="s">
        <v>90</v>
      </c>
      <c r="D4" s="1" t="s">
        <v>92</v>
      </c>
      <c r="E4" s="2">
        <v>100000</v>
      </c>
      <c r="F4" s="1">
        <v>23</v>
      </c>
      <c r="G4" s="2">
        <v>2300000</v>
      </c>
      <c r="H4" s="271" t="s">
        <v>3075</v>
      </c>
    </row>
    <row r="5" spans="1:8">
      <c r="A5" s="3">
        <v>3</v>
      </c>
      <c r="B5" s="1" t="s">
        <v>0</v>
      </c>
      <c r="C5" s="1" t="s">
        <v>32</v>
      </c>
      <c r="D5" s="1" t="s">
        <v>33</v>
      </c>
      <c r="E5" s="2">
        <v>10000</v>
      </c>
      <c r="F5" s="1">
        <v>23</v>
      </c>
      <c r="G5" s="2">
        <v>230000</v>
      </c>
      <c r="H5" s="4"/>
    </row>
    <row r="6" spans="1:8">
      <c r="A6" s="3">
        <v>4</v>
      </c>
      <c r="B6" s="1" t="s">
        <v>0</v>
      </c>
      <c r="C6" s="1" t="s">
        <v>112</v>
      </c>
      <c r="D6" s="1" t="s">
        <v>33</v>
      </c>
      <c r="E6" s="2">
        <v>10000</v>
      </c>
      <c r="F6" s="1">
        <v>23</v>
      </c>
      <c r="G6" s="2">
        <v>230000</v>
      </c>
      <c r="H6" s="4"/>
    </row>
    <row r="7" spans="1:8">
      <c r="A7" s="3">
        <v>5</v>
      </c>
      <c r="B7" s="1" t="s">
        <v>0</v>
      </c>
      <c r="C7" s="1" t="s">
        <v>101</v>
      </c>
      <c r="D7" s="1" t="s">
        <v>102</v>
      </c>
      <c r="E7" s="2">
        <v>15000</v>
      </c>
      <c r="F7" s="1">
        <v>23</v>
      </c>
      <c r="G7" s="2">
        <v>345000</v>
      </c>
      <c r="H7" s="4"/>
    </row>
    <row r="8" spans="1:8">
      <c r="A8" s="3">
        <v>6</v>
      </c>
      <c r="B8" s="1" t="s">
        <v>0</v>
      </c>
      <c r="C8" s="1" t="s">
        <v>90</v>
      </c>
      <c r="D8" s="1" t="s">
        <v>93</v>
      </c>
      <c r="E8" s="2">
        <v>65000</v>
      </c>
      <c r="F8" s="1">
        <v>23</v>
      </c>
      <c r="G8" s="2">
        <v>1495000</v>
      </c>
      <c r="H8" s="271" t="s">
        <v>3075</v>
      </c>
    </row>
    <row r="9" spans="1:8">
      <c r="A9" s="3">
        <v>7</v>
      </c>
      <c r="B9" s="1" t="s">
        <v>0</v>
      </c>
      <c r="C9" s="1" t="s">
        <v>90</v>
      </c>
      <c r="D9" s="1" t="s">
        <v>94</v>
      </c>
      <c r="E9" s="2">
        <v>100000</v>
      </c>
      <c r="F9" s="1">
        <v>23</v>
      </c>
      <c r="G9" s="2">
        <v>2300000</v>
      </c>
      <c r="H9" s="271" t="s">
        <v>3075</v>
      </c>
    </row>
    <row r="10" spans="1:8">
      <c r="A10" s="3">
        <v>8</v>
      </c>
      <c r="B10" s="1" t="s">
        <v>0</v>
      </c>
      <c r="C10" s="1" t="s">
        <v>32</v>
      </c>
      <c r="D10" s="1" t="s">
        <v>34</v>
      </c>
      <c r="E10" s="2">
        <v>10000</v>
      </c>
      <c r="F10" s="1">
        <v>23</v>
      </c>
      <c r="G10" s="2">
        <v>230000</v>
      </c>
      <c r="H10" s="4"/>
    </row>
    <row r="11" spans="1:8">
      <c r="A11" s="3">
        <v>9</v>
      </c>
      <c r="B11" s="1" t="s">
        <v>0</v>
      </c>
      <c r="C11" s="1" t="s">
        <v>90</v>
      </c>
      <c r="D11" s="1" t="s">
        <v>34</v>
      </c>
      <c r="E11" s="2">
        <v>90000</v>
      </c>
      <c r="F11" s="1">
        <v>23</v>
      </c>
      <c r="G11" s="2">
        <v>2070000</v>
      </c>
      <c r="H11" s="271" t="s">
        <v>3075</v>
      </c>
    </row>
    <row r="12" spans="1:8">
      <c r="A12" s="3">
        <v>10</v>
      </c>
      <c r="B12" s="1" t="s">
        <v>0</v>
      </c>
      <c r="C12" s="1" t="s">
        <v>90</v>
      </c>
      <c r="D12" s="1" t="s">
        <v>95</v>
      </c>
      <c r="E12" s="2">
        <v>90000</v>
      </c>
      <c r="F12" s="1">
        <v>23</v>
      </c>
      <c r="G12" s="2">
        <v>2070000</v>
      </c>
      <c r="H12" s="271" t="s">
        <v>3075</v>
      </c>
    </row>
    <row r="13" spans="1:8">
      <c r="A13" s="3">
        <v>11</v>
      </c>
      <c r="B13" s="1" t="s">
        <v>0</v>
      </c>
      <c r="C13" s="1" t="s">
        <v>101</v>
      </c>
      <c r="D13" s="1" t="s">
        <v>95</v>
      </c>
      <c r="E13" s="2">
        <v>10000</v>
      </c>
      <c r="F13" s="1">
        <v>23</v>
      </c>
      <c r="G13" s="2">
        <v>230000</v>
      </c>
      <c r="H13" s="4"/>
    </row>
    <row r="14" spans="1:8">
      <c r="A14" s="3">
        <v>12</v>
      </c>
      <c r="B14" s="1" t="s">
        <v>0</v>
      </c>
      <c r="C14" s="1" t="s">
        <v>32</v>
      </c>
      <c r="D14" s="1" t="s">
        <v>35</v>
      </c>
      <c r="E14" s="2">
        <v>10000</v>
      </c>
      <c r="F14" s="1">
        <v>23</v>
      </c>
      <c r="G14" s="2">
        <v>230000</v>
      </c>
      <c r="H14" s="4"/>
    </row>
    <row r="15" spans="1:8">
      <c r="A15" s="3">
        <v>13</v>
      </c>
      <c r="B15" s="1" t="s">
        <v>0</v>
      </c>
      <c r="C15" s="1" t="s">
        <v>84</v>
      </c>
      <c r="D15" s="1" t="s">
        <v>35</v>
      </c>
      <c r="E15" s="2">
        <v>5000</v>
      </c>
      <c r="F15" s="1">
        <v>23</v>
      </c>
      <c r="G15" s="2">
        <v>115000</v>
      </c>
      <c r="H15" s="4"/>
    </row>
    <row r="16" spans="1:8">
      <c r="A16" s="3">
        <v>14</v>
      </c>
      <c r="B16" s="1" t="s">
        <v>0</v>
      </c>
      <c r="C16" s="1" t="s">
        <v>90</v>
      </c>
      <c r="D16" s="1" t="s">
        <v>35</v>
      </c>
      <c r="E16" s="2">
        <v>35000</v>
      </c>
      <c r="F16" s="1">
        <v>23</v>
      </c>
      <c r="G16" s="2">
        <v>805000</v>
      </c>
      <c r="H16" s="271" t="s">
        <v>3075</v>
      </c>
    </row>
    <row r="17" spans="1:8">
      <c r="A17" s="3">
        <v>15</v>
      </c>
      <c r="B17" s="1" t="s">
        <v>0</v>
      </c>
      <c r="C17" s="1" t="s">
        <v>101</v>
      </c>
      <c r="D17" s="1" t="s">
        <v>35</v>
      </c>
      <c r="E17" s="2">
        <v>10000</v>
      </c>
      <c r="F17" s="1">
        <v>23</v>
      </c>
      <c r="G17" s="2">
        <v>230000</v>
      </c>
      <c r="H17" s="4"/>
    </row>
    <row r="18" spans="1:8">
      <c r="A18" s="3">
        <v>16</v>
      </c>
      <c r="B18" s="1" t="s">
        <v>0</v>
      </c>
      <c r="C18" s="1" t="s">
        <v>112</v>
      </c>
      <c r="D18" s="1" t="s">
        <v>35</v>
      </c>
      <c r="E18" s="2">
        <v>10000</v>
      </c>
      <c r="F18" s="1">
        <v>23</v>
      </c>
      <c r="G18" s="2">
        <v>230000</v>
      </c>
      <c r="H18" s="4"/>
    </row>
    <row r="19" spans="1:8">
      <c r="A19" s="3">
        <v>17</v>
      </c>
      <c r="B19" s="1" t="s">
        <v>0</v>
      </c>
      <c r="C19" s="1" t="s">
        <v>32</v>
      </c>
      <c r="D19" s="1" t="s">
        <v>36</v>
      </c>
      <c r="E19" s="2">
        <v>10000</v>
      </c>
      <c r="F19" s="1">
        <v>23</v>
      </c>
      <c r="G19" s="2">
        <v>230000</v>
      </c>
      <c r="H19" s="4"/>
    </row>
    <row r="20" spans="1:8">
      <c r="A20" s="3">
        <v>18</v>
      </c>
      <c r="B20" s="1" t="s">
        <v>0</v>
      </c>
      <c r="C20" s="1" t="s">
        <v>32</v>
      </c>
      <c r="D20" s="1" t="s">
        <v>37</v>
      </c>
      <c r="E20" s="2">
        <v>20000</v>
      </c>
      <c r="F20" s="1">
        <v>23</v>
      </c>
      <c r="G20" s="2">
        <v>460000</v>
      </c>
      <c r="H20" s="4"/>
    </row>
    <row r="21" spans="1:8">
      <c r="A21" s="3">
        <v>19</v>
      </c>
      <c r="B21" s="1" t="s">
        <v>0</v>
      </c>
      <c r="C21" s="1" t="s">
        <v>90</v>
      </c>
      <c r="D21" s="1" t="s">
        <v>37</v>
      </c>
      <c r="E21" s="2">
        <v>50000</v>
      </c>
      <c r="F21" s="1">
        <v>23</v>
      </c>
      <c r="G21" s="2">
        <v>1150000</v>
      </c>
      <c r="H21" s="271" t="s">
        <v>3075</v>
      </c>
    </row>
    <row r="22" spans="1:8">
      <c r="A22" s="3">
        <v>20</v>
      </c>
      <c r="B22" s="1" t="s">
        <v>0</v>
      </c>
      <c r="C22" s="1" t="s">
        <v>90</v>
      </c>
      <c r="D22" s="1" t="s">
        <v>96</v>
      </c>
      <c r="E22" s="2">
        <v>50000</v>
      </c>
      <c r="F22" s="1">
        <v>23</v>
      </c>
      <c r="G22" s="2">
        <v>1150000</v>
      </c>
      <c r="H22" s="271" t="s">
        <v>3075</v>
      </c>
    </row>
    <row r="23" spans="1:8">
      <c r="A23" s="3">
        <v>21</v>
      </c>
      <c r="B23" s="1" t="s">
        <v>0</v>
      </c>
      <c r="C23" s="1" t="s">
        <v>84</v>
      </c>
      <c r="D23" s="1" t="s">
        <v>85</v>
      </c>
      <c r="E23" s="2">
        <v>20000</v>
      </c>
      <c r="F23" s="1">
        <v>23</v>
      </c>
      <c r="G23" s="2">
        <v>460000</v>
      </c>
      <c r="H23" s="4"/>
    </row>
    <row r="24" spans="1:8">
      <c r="A24" s="3">
        <v>22</v>
      </c>
      <c r="B24" s="1" t="s">
        <v>0</v>
      </c>
      <c r="C24" s="1" t="s">
        <v>32</v>
      </c>
      <c r="D24" s="1" t="s">
        <v>38</v>
      </c>
      <c r="E24" s="2">
        <v>30000</v>
      </c>
      <c r="F24" s="1">
        <v>23</v>
      </c>
      <c r="G24" s="2">
        <v>690000</v>
      </c>
      <c r="H24" s="4"/>
    </row>
    <row r="25" spans="1:8">
      <c r="A25" s="3">
        <v>23</v>
      </c>
      <c r="B25" s="1" t="s">
        <v>0</v>
      </c>
      <c r="C25" s="1" t="s">
        <v>84</v>
      </c>
      <c r="D25" s="1" t="s">
        <v>86</v>
      </c>
      <c r="E25" s="2">
        <v>2000</v>
      </c>
      <c r="F25" s="1">
        <v>23</v>
      </c>
      <c r="G25" s="2">
        <v>46000</v>
      </c>
      <c r="H25" s="4"/>
    </row>
    <row r="26" spans="1:8">
      <c r="A26" s="3">
        <v>24</v>
      </c>
      <c r="B26" s="1" t="s">
        <v>0</v>
      </c>
      <c r="C26" s="1" t="s">
        <v>90</v>
      </c>
      <c r="D26" s="1" t="s">
        <v>97</v>
      </c>
      <c r="E26" s="2">
        <v>48000</v>
      </c>
      <c r="F26" s="1">
        <v>23</v>
      </c>
      <c r="G26" s="2">
        <v>1104000</v>
      </c>
      <c r="H26" s="271" t="s">
        <v>3075</v>
      </c>
    </row>
    <row r="27" spans="1:8">
      <c r="A27" s="3">
        <v>25</v>
      </c>
      <c r="B27" s="1" t="s">
        <v>0</v>
      </c>
      <c r="C27" s="1" t="s">
        <v>90</v>
      </c>
      <c r="D27" s="1" t="s">
        <v>98</v>
      </c>
      <c r="E27" s="2">
        <v>50000</v>
      </c>
      <c r="F27" s="1">
        <v>23</v>
      </c>
      <c r="G27" s="2">
        <v>1150000</v>
      </c>
      <c r="H27" s="271" t="s">
        <v>3075</v>
      </c>
    </row>
    <row r="28" spans="1:8">
      <c r="A28" s="3">
        <v>26</v>
      </c>
      <c r="B28" s="1" t="s">
        <v>0</v>
      </c>
      <c r="C28" s="1" t="s">
        <v>84</v>
      </c>
      <c r="D28" s="1" t="s">
        <v>87</v>
      </c>
      <c r="E28" s="2">
        <v>2000</v>
      </c>
      <c r="F28" s="1">
        <v>23</v>
      </c>
      <c r="G28" s="2">
        <v>46000</v>
      </c>
      <c r="H28" s="4"/>
    </row>
    <row r="29" spans="1:8">
      <c r="A29" s="3">
        <v>27</v>
      </c>
      <c r="B29" s="1" t="s">
        <v>0</v>
      </c>
      <c r="C29" s="1" t="s">
        <v>90</v>
      </c>
      <c r="D29" s="1" t="s">
        <v>99</v>
      </c>
      <c r="E29" s="2">
        <v>18000</v>
      </c>
      <c r="F29" s="1">
        <v>23</v>
      </c>
      <c r="G29" s="2">
        <v>414000</v>
      </c>
      <c r="H29" s="271" t="s">
        <v>3075</v>
      </c>
    </row>
    <row r="30" spans="1:8">
      <c r="A30" s="3">
        <v>28</v>
      </c>
      <c r="B30" s="1" t="s">
        <v>0</v>
      </c>
      <c r="C30" s="1" t="s">
        <v>90</v>
      </c>
      <c r="D30" s="1" t="s">
        <v>100</v>
      </c>
      <c r="E30" s="2">
        <v>30000</v>
      </c>
      <c r="F30" s="1">
        <v>23</v>
      </c>
      <c r="G30" s="2">
        <v>690000</v>
      </c>
      <c r="H30" s="271" t="s">
        <v>3075</v>
      </c>
    </row>
    <row r="31" spans="1:8">
      <c r="A31" s="3">
        <v>29</v>
      </c>
      <c r="B31" s="1" t="s">
        <v>0</v>
      </c>
      <c r="C31" s="1" t="s">
        <v>101</v>
      </c>
      <c r="D31" s="1" t="s">
        <v>103</v>
      </c>
      <c r="E31" s="2">
        <v>10000</v>
      </c>
      <c r="F31" s="1">
        <v>23</v>
      </c>
      <c r="G31" s="2">
        <v>230000</v>
      </c>
      <c r="H31" s="4"/>
    </row>
    <row r="32" spans="1:8">
      <c r="A32" s="3">
        <v>30</v>
      </c>
      <c r="B32" s="1" t="s">
        <v>0</v>
      </c>
      <c r="C32" s="1" t="s">
        <v>32</v>
      </c>
      <c r="D32" s="1" t="s">
        <v>39</v>
      </c>
      <c r="E32" s="2">
        <v>20000</v>
      </c>
      <c r="F32" s="1">
        <v>23</v>
      </c>
      <c r="G32" s="2">
        <v>460000</v>
      </c>
      <c r="H32" s="4"/>
    </row>
    <row r="33" spans="1:8">
      <c r="A33" s="3">
        <v>31</v>
      </c>
      <c r="B33" s="1" t="s">
        <v>0</v>
      </c>
      <c r="C33" s="1" t="s">
        <v>90</v>
      </c>
      <c r="D33" s="1" t="s">
        <v>39</v>
      </c>
      <c r="E33" s="2">
        <v>20000</v>
      </c>
      <c r="F33" s="1">
        <v>23</v>
      </c>
      <c r="G33" s="2">
        <v>460000</v>
      </c>
      <c r="H33" s="271" t="s">
        <v>3075</v>
      </c>
    </row>
    <row r="34" spans="1:8">
      <c r="A34" s="3">
        <v>32</v>
      </c>
      <c r="B34" s="1" t="s">
        <v>0</v>
      </c>
      <c r="C34" s="1" t="s">
        <v>84</v>
      </c>
      <c r="D34" s="1" t="s">
        <v>88</v>
      </c>
      <c r="E34" s="2">
        <v>1000</v>
      </c>
      <c r="F34" s="1">
        <v>23</v>
      </c>
      <c r="G34" s="2">
        <v>23000</v>
      </c>
      <c r="H34" s="4"/>
    </row>
    <row r="35" spans="1:8">
      <c r="A35" s="3">
        <v>33</v>
      </c>
      <c r="B35" s="1" t="s">
        <v>0</v>
      </c>
      <c r="C35" s="1" t="s">
        <v>2863</v>
      </c>
      <c r="D35" s="1" t="s">
        <v>88</v>
      </c>
      <c r="E35" s="2">
        <v>49000</v>
      </c>
      <c r="F35" s="1">
        <v>23</v>
      </c>
      <c r="G35" s="2">
        <v>1127000</v>
      </c>
      <c r="H35" s="271" t="s">
        <v>3075</v>
      </c>
    </row>
    <row r="36" spans="1:8">
      <c r="A36" s="3">
        <v>34</v>
      </c>
      <c r="B36" s="1" t="s">
        <v>0</v>
      </c>
      <c r="C36" s="1" t="s">
        <v>112</v>
      </c>
      <c r="D36" s="1" t="s">
        <v>113</v>
      </c>
      <c r="E36" s="2">
        <v>10000</v>
      </c>
      <c r="F36" s="1">
        <v>23</v>
      </c>
      <c r="G36" s="2">
        <v>230000</v>
      </c>
      <c r="H36" s="4"/>
    </row>
    <row r="37" spans="1:8">
      <c r="A37" s="3">
        <v>35</v>
      </c>
      <c r="B37" s="1" t="s">
        <v>0</v>
      </c>
      <c r="C37" s="1" t="s">
        <v>114</v>
      </c>
      <c r="D37" s="1" t="s">
        <v>113</v>
      </c>
      <c r="E37" s="2">
        <v>50000</v>
      </c>
      <c r="F37" s="1">
        <v>23</v>
      </c>
      <c r="G37" s="2">
        <v>1150000</v>
      </c>
      <c r="H37" s="271" t="s">
        <v>3075</v>
      </c>
    </row>
    <row r="38" spans="1:8">
      <c r="A38" s="3">
        <v>36</v>
      </c>
      <c r="B38" s="1" t="s">
        <v>0</v>
      </c>
      <c r="C38" s="1" t="s">
        <v>32</v>
      </c>
      <c r="D38" s="1" t="s">
        <v>40</v>
      </c>
      <c r="E38" s="2">
        <v>10000</v>
      </c>
      <c r="F38" s="1">
        <v>23</v>
      </c>
      <c r="G38" s="2">
        <v>230000</v>
      </c>
      <c r="H38" s="4"/>
    </row>
    <row r="39" spans="1:8">
      <c r="A39" s="3">
        <v>37</v>
      </c>
      <c r="B39" s="1" t="s">
        <v>0</v>
      </c>
      <c r="C39" s="1" t="s">
        <v>32</v>
      </c>
      <c r="D39" s="1" t="s">
        <v>41</v>
      </c>
      <c r="E39" s="2">
        <v>5000</v>
      </c>
      <c r="F39" s="1">
        <v>23</v>
      </c>
      <c r="G39" s="2">
        <v>115000</v>
      </c>
      <c r="H39" s="4"/>
    </row>
    <row r="40" spans="1:8">
      <c r="A40" s="3">
        <v>38</v>
      </c>
      <c r="B40" s="1" t="s">
        <v>0</v>
      </c>
      <c r="C40" s="1" t="s">
        <v>114</v>
      </c>
      <c r="D40" s="1" t="s">
        <v>41</v>
      </c>
      <c r="E40" s="2">
        <v>15000</v>
      </c>
      <c r="F40" s="1">
        <v>23</v>
      </c>
      <c r="G40" s="2">
        <v>345000</v>
      </c>
      <c r="H40" s="271" t="s">
        <v>3075</v>
      </c>
    </row>
    <row r="41" spans="1:8">
      <c r="A41" s="3">
        <v>39</v>
      </c>
      <c r="B41" s="1" t="s">
        <v>0</v>
      </c>
      <c r="C41" s="1" t="s">
        <v>84</v>
      </c>
      <c r="D41" s="1" t="s">
        <v>89</v>
      </c>
      <c r="E41" s="2">
        <v>2000</v>
      </c>
      <c r="F41" s="1">
        <v>23</v>
      </c>
      <c r="G41" s="2">
        <v>46000</v>
      </c>
      <c r="H41" s="4"/>
    </row>
    <row r="42" spans="1:8">
      <c r="A42" s="3">
        <v>40</v>
      </c>
      <c r="B42" s="1" t="s">
        <v>0</v>
      </c>
      <c r="C42" s="1" t="s">
        <v>114</v>
      </c>
      <c r="D42" s="1" t="s">
        <v>89</v>
      </c>
      <c r="E42" s="2">
        <v>8000</v>
      </c>
      <c r="F42" s="1">
        <v>23</v>
      </c>
      <c r="G42" s="2">
        <v>184000</v>
      </c>
      <c r="H42" s="271" t="s">
        <v>3075</v>
      </c>
    </row>
    <row r="43" spans="1:8">
      <c r="A43" s="3">
        <v>41</v>
      </c>
      <c r="B43" s="1" t="s">
        <v>0</v>
      </c>
      <c r="C43" s="1" t="s">
        <v>32</v>
      </c>
      <c r="D43" s="1" t="s">
        <v>42</v>
      </c>
      <c r="E43" s="2">
        <v>10000</v>
      </c>
      <c r="F43" s="1">
        <v>23</v>
      </c>
      <c r="G43" s="2">
        <v>230000</v>
      </c>
      <c r="H43" s="4"/>
    </row>
    <row r="44" spans="1:8">
      <c r="A44" s="3">
        <v>42</v>
      </c>
      <c r="B44" s="1" t="s">
        <v>0</v>
      </c>
      <c r="C44" s="1" t="s">
        <v>2859</v>
      </c>
      <c r="D44" s="1" t="s">
        <v>42</v>
      </c>
      <c r="E44" s="2">
        <v>40000</v>
      </c>
      <c r="F44" s="1">
        <v>23</v>
      </c>
      <c r="G44" s="2">
        <v>920000</v>
      </c>
      <c r="H44" s="271" t="s">
        <v>3075</v>
      </c>
    </row>
    <row r="45" spans="1:8">
      <c r="A45" s="3">
        <v>43</v>
      </c>
      <c r="B45" s="1" t="s">
        <v>0</v>
      </c>
      <c r="C45" s="1" t="s">
        <v>32</v>
      </c>
      <c r="D45" s="1" t="s">
        <v>43</v>
      </c>
      <c r="E45" s="2">
        <v>25000</v>
      </c>
      <c r="F45" s="1">
        <v>23</v>
      </c>
      <c r="G45" s="2">
        <v>575000</v>
      </c>
      <c r="H45" s="4"/>
    </row>
    <row r="46" spans="1:8">
      <c r="A46" s="3">
        <v>44</v>
      </c>
      <c r="B46" s="1" t="s">
        <v>0</v>
      </c>
      <c r="C46" s="1" t="s">
        <v>101</v>
      </c>
      <c r="D46" s="1" t="s">
        <v>43</v>
      </c>
      <c r="E46" s="2">
        <v>15000</v>
      </c>
      <c r="F46" s="1">
        <v>23</v>
      </c>
      <c r="G46" s="2">
        <v>345000</v>
      </c>
      <c r="H46" s="4"/>
    </row>
    <row r="47" spans="1:8">
      <c r="A47" s="3">
        <v>45</v>
      </c>
      <c r="B47" s="1" t="s">
        <v>0</v>
      </c>
      <c r="C47" s="1" t="s">
        <v>112</v>
      </c>
      <c r="D47" s="1" t="s">
        <v>43</v>
      </c>
      <c r="E47" s="2">
        <v>10000</v>
      </c>
      <c r="F47" s="1">
        <v>23</v>
      </c>
      <c r="G47" s="2">
        <v>230000</v>
      </c>
      <c r="H47" s="4"/>
    </row>
    <row r="48" spans="1:8">
      <c r="A48" s="3">
        <v>46</v>
      </c>
      <c r="B48" s="1" t="s">
        <v>0</v>
      </c>
      <c r="C48" s="1" t="s">
        <v>32</v>
      </c>
      <c r="D48" s="1" t="s">
        <v>44</v>
      </c>
      <c r="E48" s="2">
        <v>20000</v>
      </c>
      <c r="F48" s="1">
        <v>23</v>
      </c>
      <c r="G48" s="2">
        <v>460000</v>
      </c>
      <c r="H48" s="4"/>
    </row>
    <row r="49" spans="1:8">
      <c r="A49" s="3">
        <v>47</v>
      </c>
      <c r="B49" s="1" t="s">
        <v>0</v>
      </c>
      <c r="C49" s="1" t="s">
        <v>101</v>
      </c>
      <c r="D49" s="1" t="s">
        <v>104</v>
      </c>
      <c r="E49" s="2">
        <v>10000</v>
      </c>
      <c r="F49" s="1">
        <v>23</v>
      </c>
      <c r="G49" s="2">
        <v>230000</v>
      </c>
      <c r="H49" s="4"/>
    </row>
    <row r="50" spans="1:8">
      <c r="A50" s="3">
        <v>48</v>
      </c>
      <c r="B50" s="1" t="s">
        <v>0</v>
      </c>
      <c r="C50" s="1" t="s">
        <v>32</v>
      </c>
      <c r="D50" s="1" t="s">
        <v>45</v>
      </c>
      <c r="E50" s="2">
        <v>40000</v>
      </c>
      <c r="F50" s="1">
        <v>23</v>
      </c>
      <c r="G50" s="2">
        <v>920000</v>
      </c>
      <c r="H50" s="4"/>
    </row>
    <row r="51" spans="1:8">
      <c r="A51" s="3">
        <v>49</v>
      </c>
      <c r="B51" s="1" t="s">
        <v>0</v>
      </c>
      <c r="C51" s="1" t="s">
        <v>101</v>
      </c>
      <c r="D51" s="1" t="s">
        <v>45</v>
      </c>
      <c r="E51" s="2">
        <v>20000</v>
      </c>
      <c r="F51" s="1">
        <v>23</v>
      </c>
      <c r="G51" s="2">
        <v>460000</v>
      </c>
      <c r="H51" s="4"/>
    </row>
    <row r="52" spans="1:8">
      <c r="A52" s="3">
        <v>50</v>
      </c>
      <c r="B52" s="1" t="s">
        <v>0</v>
      </c>
      <c r="C52" s="1" t="s">
        <v>101</v>
      </c>
      <c r="D52" s="1" t="s">
        <v>105</v>
      </c>
      <c r="E52" s="2">
        <v>20000</v>
      </c>
      <c r="F52" s="1">
        <v>23</v>
      </c>
      <c r="G52" s="2">
        <v>460000</v>
      </c>
      <c r="H52" s="4"/>
    </row>
    <row r="53" spans="1:8">
      <c r="A53" s="3">
        <v>51</v>
      </c>
      <c r="B53" s="1" t="s">
        <v>0</v>
      </c>
      <c r="C53" s="1" t="s">
        <v>32</v>
      </c>
      <c r="D53" s="1" t="s">
        <v>46</v>
      </c>
      <c r="E53" s="2">
        <v>75000</v>
      </c>
      <c r="F53" s="1">
        <v>23</v>
      </c>
      <c r="G53" s="2">
        <v>1725000</v>
      </c>
      <c r="H53" s="4"/>
    </row>
    <row r="54" spans="1:8">
      <c r="A54" s="3">
        <v>52</v>
      </c>
      <c r="B54" s="1" t="s">
        <v>0</v>
      </c>
      <c r="C54" s="1" t="s">
        <v>2864</v>
      </c>
      <c r="D54" s="1" t="s">
        <v>46</v>
      </c>
      <c r="E54" s="2">
        <v>5000</v>
      </c>
      <c r="F54" s="1">
        <v>23</v>
      </c>
      <c r="G54" s="2">
        <v>115000</v>
      </c>
      <c r="H54" s="4"/>
    </row>
    <row r="55" spans="1:8">
      <c r="A55" s="3">
        <v>53</v>
      </c>
      <c r="B55" s="1" t="s">
        <v>0</v>
      </c>
      <c r="C55" s="1" t="s">
        <v>32</v>
      </c>
      <c r="D55" s="1" t="s">
        <v>47</v>
      </c>
      <c r="E55" s="2">
        <v>50000</v>
      </c>
      <c r="F55" s="1">
        <v>23</v>
      </c>
      <c r="G55" s="2">
        <v>1150000</v>
      </c>
      <c r="H55" s="4"/>
    </row>
    <row r="56" spans="1:8">
      <c r="A56" s="3">
        <v>54</v>
      </c>
      <c r="B56" s="1" t="s">
        <v>0</v>
      </c>
      <c r="C56" s="1" t="s">
        <v>101</v>
      </c>
      <c r="D56" s="1" t="s">
        <v>47</v>
      </c>
      <c r="E56" s="2">
        <v>10000</v>
      </c>
      <c r="F56" s="1">
        <v>23</v>
      </c>
      <c r="G56" s="2">
        <v>230000</v>
      </c>
      <c r="H56" s="4"/>
    </row>
    <row r="57" spans="1:8">
      <c r="A57" s="3">
        <v>55</v>
      </c>
      <c r="B57" s="1" t="s">
        <v>0</v>
      </c>
      <c r="C57" s="1" t="s">
        <v>32</v>
      </c>
      <c r="D57" s="1" t="s">
        <v>48</v>
      </c>
      <c r="E57" s="2">
        <v>40000</v>
      </c>
      <c r="F57" s="1">
        <v>23</v>
      </c>
      <c r="G57" s="2">
        <v>920000</v>
      </c>
      <c r="H57" s="4"/>
    </row>
    <row r="58" spans="1:8">
      <c r="A58" s="3">
        <v>56</v>
      </c>
      <c r="B58" s="1" t="s">
        <v>0</v>
      </c>
      <c r="C58" s="1" t="s">
        <v>32</v>
      </c>
      <c r="D58" s="1" t="s">
        <v>49</v>
      </c>
      <c r="E58" s="2">
        <v>10000</v>
      </c>
      <c r="F58" s="1">
        <v>23</v>
      </c>
      <c r="G58" s="2">
        <v>230000</v>
      </c>
      <c r="H58" s="4"/>
    </row>
    <row r="59" spans="1:8">
      <c r="A59" s="3">
        <v>57</v>
      </c>
      <c r="B59" s="1" t="s">
        <v>0</v>
      </c>
      <c r="C59" s="1" t="s">
        <v>32</v>
      </c>
      <c r="D59" s="1" t="s">
        <v>50</v>
      </c>
      <c r="E59" s="2">
        <v>20000</v>
      </c>
      <c r="F59" s="1">
        <v>23</v>
      </c>
      <c r="G59" s="2">
        <v>460000</v>
      </c>
      <c r="H59" s="4"/>
    </row>
    <row r="60" spans="1:8">
      <c r="A60" s="3">
        <v>58</v>
      </c>
      <c r="B60" s="1" t="s">
        <v>0</v>
      </c>
      <c r="C60" s="1" t="s">
        <v>32</v>
      </c>
      <c r="D60" s="1" t="s">
        <v>51</v>
      </c>
      <c r="E60" s="2">
        <v>20000</v>
      </c>
      <c r="F60" s="1">
        <v>23</v>
      </c>
      <c r="G60" s="2">
        <v>460000</v>
      </c>
      <c r="H60" s="4"/>
    </row>
    <row r="61" spans="1:8">
      <c r="A61" s="3">
        <v>59</v>
      </c>
      <c r="B61" s="1" t="s">
        <v>0</v>
      </c>
      <c r="C61" s="1" t="s">
        <v>32</v>
      </c>
      <c r="D61" s="1" t="s">
        <v>52</v>
      </c>
      <c r="E61" s="2">
        <v>20000</v>
      </c>
      <c r="F61" s="1">
        <v>23</v>
      </c>
      <c r="G61" s="2">
        <v>460000</v>
      </c>
      <c r="H61" s="4"/>
    </row>
    <row r="62" spans="1:8">
      <c r="A62" s="3">
        <v>60</v>
      </c>
      <c r="B62" s="1" t="s">
        <v>0</v>
      </c>
      <c r="C62" s="1" t="s">
        <v>32</v>
      </c>
      <c r="D62" s="1" t="s">
        <v>53</v>
      </c>
      <c r="E62" s="2">
        <v>20000</v>
      </c>
      <c r="F62" s="1">
        <v>23</v>
      </c>
      <c r="G62" s="2">
        <v>460000</v>
      </c>
      <c r="H62" s="4"/>
    </row>
    <row r="63" spans="1:8">
      <c r="A63" s="3">
        <v>61</v>
      </c>
      <c r="B63" s="1" t="s">
        <v>0</v>
      </c>
      <c r="C63" s="1" t="s">
        <v>32</v>
      </c>
      <c r="D63" s="1" t="s">
        <v>54</v>
      </c>
      <c r="E63" s="2">
        <v>20000</v>
      </c>
      <c r="F63" s="1">
        <v>23</v>
      </c>
      <c r="G63" s="2">
        <v>460000</v>
      </c>
      <c r="H63" s="4"/>
    </row>
    <row r="64" spans="1:8">
      <c r="A64" s="3">
        <v>62</v>
      </c>
      <c r="B64" s="1" t="s">
        <v>0</v>
      </c>
      <c r="C64" s="1" t="s">
        <v>32</v>
      </c>
      <c r="D64" s="1" t="s">
        <v>55</v>
      </c>
      <c r="E64" s="2">
        <v>30000</v>
      </c>
      <c r="F64" s="1">
        <v>23</v>
      </c>
      <c r="G64" s="2">
        <v>690000</v>
      </c>
      <c r="H64" s="4"/>
    </row>
    <row r="65" spans="1:8">
      <c r="A65" s="3">
        <v>63</v>
      </c>
      <c r="B65" s="1" t="s">
        <v>0</v>
      </c>
      <c r="C65" s="1" t="s">
        <v>32</v>
      </c>
      <c r="D65" s="1" t="s">
        <v>56</v>
      </c>
      <c r="E65" s="2">
        <v>20000</v>
      </c>
      <c r="F65" s="1">
        <v>23</v>
      </c>
      <c r="G65" s="2">
        <v>460000</v>
      </c>
      <c r="H65" s="4"/>
    </row>
    <row r="66" spans="1:8">
      <c r="A66" s="3">
        <v>64</v>
      </c>
      <c r="B66" s="1" t="s">
        <v>0</v>
      </c>
      <c r="C66" s="1" t="s">
        <v>32</v>
      </c>
      <c r="D66" s="1" t="s">
        <v>57</v>
      </c>
      <c r="E66" s="2">
        <v>50000</v>
      </c>
      <c r="F66" s="1">
        <v>23</v>
      </c>
      <c r="G66" s="2">
        <v>1150000</v>
      </c>
      <c r="H66" s="4"/>
    </row>
    <row r="67" spans="1:8" ht="16.25" customHeight="1">
      <c r="A67" s="3">
        <v>65</v>
      </c>
      <c r="B67" s="1" t="s">
        <v>0</v>
      </c>
      <c r="C67" s="1" t="s">
        <v>32</v>
      </c>
      <c r="D67" s="1" t="s">
        <v>58</v>
      </c>
      <c r="E67" s="2">
        <v>20000</v>
      </c>
      <c r="F67" s="1">
        <v>23</v>
      </c>
      <c r="G67" s="2">
        <v>460000</v>
      </c>
      <c r="H67" s="4"/>
    </row>
    <row r="68" spans="1:8">
      <c r="A68" s="3">
        <v>66</v>
      </c>
      <c r="B68" s="1" t="s">
        <v>0</v>
      </c>
      <c r="C68" s="1" t="s">
        <v>32</v>
      </c>
      <c r="D68" s="1" t="s">
        <v>59</v>
      </c>
      <c r="E68" s="2">
        <v>30000</v>
      </c>
      <c r="F68" s="1">
        <v>23</v>
      </c>
      <c r="G68" s="2">
        <v>690000</v>
      </c>
      <c r="H68" s="4"/>
    </row>
    <row r="69" spans="1:8">
      <c r="A69" s="3">
        <v>67</v>
      </c>
      <c r="B69" s="1" t="s">
        <v>0</v>
      </c>
      <c r="C69" s="1" t="s">
        <v>101</v>
      </c>
      <c r="D69" s="1" t="s">
        <v>59</v>
      </c>
      <c r="E69" s="2">
        <v>10000</v>
      </c>
      <c r="F69" s="1">
        <v>23</v>
      </c>
      <c r="G69" s="2">
        <v>230000</v>
      </c>
      <c r="H69" s="4"/>
    </row>
    <row r="70" spans="1:8">
      <c r="A70" s="3">
        <v>68</v>
      </c>
      <c r="B70" s="1" t="s">
        <v>0</v>
      </c>
      <c r="C70" s="1" t="s">
        <v>32</v>
      </c>
      <c r="D70" s="1" t="s">
        <v>60</v>
      </c>
      <c r="E70" s="2">
        <v>10000</v>
      </c>
      <c r="F70" s="1">
        <v>23</v>
      </c>
      <c r="G70" s="2">
        <v>230000</v>
      </c>
      <c r="H70" s="4"/>
    </row>
    <row r="71" spans="1:8">
      <c r="A71" s="3">
        <v>69</v>
      </c>
      <c r="B71" s="1" t="s">
        <v>0</v>
      </c>
      <c r="C71" s="1" t="s">
        <v>32</v>
      </c>
      <c r="D71" s="1" t="s">
        <v>61</v>
      </c>
      <c r="E71" s="2">
        <v>29000</v>
      </c>
      <c r="F71" s="1">
        <v>23</v>
      </c>
      <c r="G71" s="2">
        <v>667000</v>
      </c>
      <c r="H71" s="4"/>
    </row>
    <row r="72" spans="1:8">
      <c r="A72" s="3">
        <v>70</v>
      </c>
      <c r="B72" s="1" t="s">
        <v>0</v>
      </c>
      <c r="C72" s="1" t="s">
        <v>2860</v>
      </c>
      <c r="D72" s="1" t="s">
        <v>61</v>
      </c>
      <c r="E72" s="2">
        <v>1000</v>
      </c>
      <c r="F72" s="1">
        <v>23</v>
      </c>
      <c r="G72" s="2">
        <v>23000</v>
      </c>
      <c r="H72" s="4"/>
    </row>
    <row r="73" spans="1:8">
      <c r="A73" s="3">
        <v>71</v>
      </c>
      <c r="B73" s="1" t="s">
        <v>0</v>
      </c>
      <c r="C73" s="1" t="s">
        <v>32</v>
      </c>
      <c r="D73" s="1" t="s">
        <v>62</v>
      </c>
      <c r="E73" s="2">
        <v>20000</v>
      </c>
      <c r="F73" s="1">
        <v>23</v>
      </c>
      <c r="G73" s="2">
        <v>460000</v>
      </c>
      <c r="H73" s="4"/>
    </row>
    <row r="74" spans="1:8">
      <c r="A74" s="3">
        <v>72</v>
      </c>
      <c r="B74" s="1" t="s">
        <v>0</v>
      </c>
      <c r="C74" s="1" t="s">
        <v>32</v>
      </c>
      <c r="D74" s="1" t="s">
        <v>63</v>
      </c>
      <c r="E74" s="2">
        <v>30000</v>
      </c>
      <c r="F74" s="1">
        <v>23</v>
      </c>
      <c r="G74" s="2">
        <v>690000</v>
      </c>
      <c r="H74" s="4"/>
    </row>
    <row r="75" spans="1:8">
      <c r="A75" s="3">
        <v>73</v>
      </c>
      <c r="B75" s="1" t="s">
        <v>0</v>
      </c>
      <c r="C75" s="1" t="s">
        <v>32</v>
      </c>
      <c r="D75" s="1" t="s">
        <v>64</v>
      </c>
      <c r="E75" s="2">
        <v>20000</v>
      </c>
      <c r="F75" s="1">
        <v>23</v>
      </c>
      <c r="G75" s="2">
        <v>460000</v>
      </c>
      <c r="H75" s="4"/>
    </row>
    <row r="76" spans="1:8">
      <c r="A76" s="3">
        <v>74</v>
      </c>
      <c r="B76" s="1" t="s">
        <v>0</v>
      </c>
      <c r="C76" s="1" t="s">
        <v>32</v>
      </c>
      <c r="D76" s="1" t="s">
        <v>5</v>
      </c>
      <c r="E76" s="2">
        <v>20000</v>
      </c>
      <c r="F76" s="1">
        <v>23</v>
      </c>
      <c r="G76" s="2">
        <v>460000</v>
      </c>
      <c r="H76" s="4"/>
    </row>
    <row r="77" spans="1:8">
      <c r="A77" s="3">
        <v>75</v>
      </c>
      <c r="B77" s="1" t="s">
        <v>0</v>
      </c>
      <c r="C77" s="1" t="s">
        <v>32</v>
      </c>
      <c r="D77" s="1" t="s">
        <v>65</v>
      </c>
      <c r="E77" s="2">
        <v>39000</v>
      </c>
      <c r="F77" s="1">
        <v>23</v>
      </c>
      <c r="G77" s="2">
        <v>897000</v>
      </c>
      <c r="H77" s="4"/>
    </row>
    <row r="78" spans="1:8">
      <c r="A78" s="3">
        <v>76</v>
      </c>
      <c r="B78" s="1" t="s">
        <v>0</v>
      </c>
      <c r="C78" s="1" t="s">
        <v>101</v>
      </c>
      <c r="D78" s="1" t="s">
        <v>65</v>
      </c>
      <c r="E78" s="2">
        <v>1000</v>
      </c>
      <c r="F78" s="1">
        <v>23</v>
      </c>
      <c r="G78" s="2">
        <v>23000</v>
      </c>
      <c r="H78" s="4"/>
    </row>
    <row r="79" spans="1:8">
      <c r="A79" s="3">
        <v>77</v>
      </c>
      <c r="B79" s="1" t="s">
        <v>0</v>
      </c>
      <c r="C79" s="1" t="s">
        <v>32</v>
      </c>
      <c r="D79" s="1" t="s">
        <v>66</v>
      </c>
      <c r="E79" s="2">
        <v>70000</v>
      </c>
      <c r="F79" s="1">
        <v>23</v>
      </c>
      <c r="G79" s="2">
        <v>1610000</v>
      </c>
      <c r="H79" s="4"/>
    </row>
    <row r="80" spans="1:8">
      <c r="A80" s="3">
        <v>78</v>
      </c>
      <c r="B80" s="1" t="s">
        <v>0</v>
      </c>
      <c r="C80" s="1" t="s">
        <v>32</v>
      </c>
      <c r="D80" s="1" t="s">
        <v>6</v>
      </c>
      <c r="E80" s="2">
        <v>20000</v>
      </c>
      <c r="F80" s="1">
        <v>23</v>
      </c>
      <c r="G80" s="2">
        <v>460000</v>
      </c>
      <c r="H80" s="4"/>
    </row>
    <row r="81" spans="1:8">
      <c r="A81" s="3">
        <v>79</v>
      </c>
      <c r="B81" s="1" t="s">
        <v>0</v>
      </c>
      <c r="C81" s="1" t="s">
        <v>101</v>
      </c>
      <c r="D81" s="1" t="s">
        <v>6</v>
      </c>
      <c r="E81" s="2">
        <v>10000</v>
      </c>
      <c r="F81" s="1">
        <v>23</v>
      </c>
      <c r="G81" s="2">
        <v>230000</v>
      </c>
      <c r="H81" s="4"/>
    </row>
    <row r="82" spans="1:8">
      <c r="A82" s="3">
        <v>80</v>
      </c>
      <c r="B82" s="1" t="s">
        <v>0</v>
      </c>
      <c r="C82" s="1" t="s">
        <v>2862</v>
      </c>
      <c r="D82" s="1" t="s">
        <v>26</v>
      </c>
      <c r="E82" s="2">
        <v>13000</v>
      </c>
      <c r="F82" s="1">
        <v>23</v>
      </c>
      <c r="G82" s="2">
        <v>299000</v>
      </c>
      <c r="H82" s="4"/>
    </row>
    <row r="83" spans="1:8">
      <c r="A83" s="3">
        <v>81</v>
      </c>
      <c r="B83" s="1" t="s">
        <v>0</v>
      </c>
      <c r="C83" s="1" t="s">
        <v>106</v>
      </c>
      <c r="D83" s="1" t="s">
        <v>107</v>
      </c>
      <c r="E83" s="2">
        <v>10000</v>
      </c>
      <c r="F83" s="1">
        <v>23</v>
      </c>
      <c r="G83" s="2">
        <v>230000</v>
      </c>
      <c r="H83" s="4"/>
    </row>
    <row r="84" spans="1:8">
      <c r="A84" s="3">
        <v>82</v>
      </c>
      <c r="B84" s="1" t="s">
        <v>0</v>
      </c>
      <c r="C84" s="1" t="s">
        <v>32</v>
      </c>
      <c r="D84" s="1" t="s">
        <v>67</v>
      </c>
      <c r="E84" s="2">
        <v>17000</v>
      </c>
      <c r="F84" s="1">
        <v>23</v>
      </c>
      <c r="G84" s="2">
        <v>391000</v>
      </c>
      <c r="H84" s="4"/>
    </row>
    <row r="85" spans="1:8">
      <c r="A85" s="3">
        <v>83</v>
      </c>
      <c r="B85" s="1" t="s">
        <v>0</v>
      </c>
      <c r="C85" s="1" t="s">
        <v>106</v>
      </c>
      <c r="D85" s="1" t="s">
        <v>67</v>
      </c>
      <c r="E85" s="2">
        <v>5000</v>
      </c>
      <c r="F85" s="1">
        <v>23</v>
      </c>
      <c r="G85" s="2">
        <v>115000</v>
      </c>
      <c r="H85" s="4"/>
    </row>
    <row r="86" spans="1:8">
      <c r="A86" s="3">
        <v>84</v>
      </c>
      <c r="B86" s="1" t="s">
        <v>0</v>
      </c>
      <c r="C86" s="1" t="s">
        <v>106</v>
      </c>
      <c r="D86" s="1" t="s">
        <v>108</v>
      </c>
      <c r="E86" s="2">
        <v>6000</v>
      </c>
      <c r="F86" s="1">
        <v>23</v>
      </c>
      <c r="G86" s="2">
        <v>138000</v>
      </c>
      <c r="H86" s="4"/>
    </row>
    <row r="87" spans="1:8">
      <c r="A87" s="3">
        <v>85</v>
      </c>
      <c r="B87" s="1" t="s">
        <v>0</v>
      </c>
      <c r="C87" s="1" t="s">
        <v>32</v>
      </c>
      <c r="D87" s="1" t="s">
        <v>68</v>
      </c>
      <c r="E87" s="2">
        <v>13000</v>
      </c>
      <c r="F87" s="1">
        <v>23</v>
      </c>
      <c r="G87" s="2">
        <v>299000</v>
      </c>
      <c r="H87" s="4"/>
    </row>
    <row r="88" spans="1:8">
      <c r="A88" s="3">
        <v>86</v>
      </c>
      <c r="B88" s="1" t="s">
        <v>0</v>
      </c>
      <c r="C88" s="1" t="s">
        <v>32</v>
      </c>
      <c r="D88" s="1" t="s">
        <v>69</v>
      </c>
      <c r="E88" s="2">
        <v>6000</v>
      </c>
      <c r="F88" s="1">
        <v>23</v>
      </c>
      <c r="G88" s="2">
        <v>138000</v>
      </c>
      <c r="H88" s="4"/>
    </row>
    <row r="89" spans="1:8">
      <c r="A89" s="3">
        <v>87</v>
      </c>
      <c r="B89" s="1" t="s">
        <v>0</v>
      </c>
      <c r="C89" s="1" t="s">
        <v>32</v>
      </c>
      <c r="D89" s="1" t="s">
        <v>7</v>
      </c>
      <c r="E89" s="2">
        <v>200000</v>
      </c>
      <c r="F89" s="1">
        <v>23</v>
      </c>
      <c r="G89" s="2">
        <v>4600000</v>
      </c>
      <c r="H89" s="4"/>
    </row>
    <row r="90" spans="1:8">
      <c r="A90" s="3">
        <v>88</v>
      </c>
      <c r="B90" s="1" t="s">
        <v>0</v>
      </c>
      <c r="C90" s="1" t="s">
        <v>106</v>
      </c>
      <c r="D90" s="1" t="s">
        <v>109</v>
      </c>
      <c r="E90" s="2">
        <v>3000</v>
      </c>
      <c r="F90" s="1">
        <v>23</v>
      </c>
      <c r="G90" s="2">
        <v>69000</v>
      </c>
      <c r="H90" s="4"/>
    </row>
    <row r="91" spans="1:8">
      <c r="A91" s="3">
        <v>89</v>
      </c>
      <c r="B91" s="1" t="s">
        <v>0</v>
      </c>
      <c r="C91" s="1" t="s">
        <v>32</v>
      </c>
      <c r="D91" s="1" t="s">
        <v>70</v>
      </c>
      <c r="E91" s="2">
        <v>27000</v>
      </c>
      <c r="F91" s="1">
        <v>23</v>
      </c>
      <c r="G91" s="2">
        <v>621000</v>
      </c>
      <c r="H91" s="4"/>
    </row>
    <row r="92" spans="1:8">
      <c r="A92" s="3">
        <v>90</v>
      </c>
      <c r="B92" s="1" t="s">
        <v>0</v>
      </c>
      <c r="C92" s="1" t="s">
        <v>106</v>
      </c>
      <c r="D92" s="1" t="s">
        <v>70</v>
      </c>
      <c r="E92" s="2">
        <v>37000</v>
      </c>
      <c r="F92" s="1">
        <v>23</v>
      </c>
      <c r="G92" s="2">
        <v>851000</v>
      </c>
      <c r="H92" s="4"/>
    </row>
    <row r="93" spans="1:8">
      <c r="A93" s="3">
        <v>91</v>
      </c>
      <c r="B93" s="1" t="s">
        <v>0</v>
      </c>
      <c r="C93" s="1" t="s">
        <v>32</v>
      </c>
      <c r="D93" s="1" t="s">
        <v>71</v>
      </c>
      <c r="E93" s="2">
        <v>30000</v>
      </c>
      <c r="F93" s="1">
        <v>23</v>
      </c>
      <c r="G93" s="2">
        <v>690000</v>
      </c>
      <c r="H93" s="4"/>
    </row>
    <row r="94" spans="1:8">
      <c r="A94" s="3">
        <v>92</v>
      </c>
      <c r="B94" s="1" t="s">
        <v>0</v>
      </c>
      <c r="C94" s="1" t="s">
        <v>106</v>
      </c>
      <c r="D94" s="1" t="s">
        <v>71</v>
      </c>
      <c r="E94" s="2">
        <v>1000</v>
      </c>
      <c r="F94" s="1">
        <v>23</v>
      </c>
      <c r="G94" s="2">
        <v>23000</v>
      </c>
      <c r="H94" s="4"/>
    </row>
    <row r="95" spans="1:8">
      <c r="A95" s="3">
        <v>93</v>
      </c>
      <c r="B95" s="1" t="s">
        <v>0</v>
      </c>
      <c r="C95" s="1" t="s">
        <v>32</v>
      </c>
      <c r="D95" s="1" t="s">
        <v>72</v>
      </c>
      <c r="E95" s="2">
        <v>3000</v>
      </c>
      <c r="F95" s="1">
        <v>23</v>
      </c>
      <c r="G95" s="2">
        <v>69000</v>
      </c>
      <c r="H95" s="4"/>
    </row>
    <row r="96" spans="1:8">
      <c r="A96" s="3">
        <v>94</v>
      </c>
      <c r="B96" s="1" t="s">
        <v>0</v>
      </c>
      <c r="C96" s="1" t="s">
        <v>32</v>
      </c>
      <c r="D96" s="1" t="s">
        <v>72</v>
      </c>
      <c r="E96" s="2">
        <v>54000</v>
      </c>
      <c r="F96" s="1">
        <v>23</v>
      </c>
      <c r="G96" s="2">
        <v>1242000</v>
      </c>
      <c r="H96" s="4"/>
    </row>
    <row r="97" spans="1:8">
      <c r="A97" s="3">
        <v>95</v>
      </c>
      <c r="B97" s="1" t="s">
        <v>0</v>
      </c>
      <c r="C97" s="1" t="s">
        <v>32</v>
      </c>
      <c r="D97" s="1" t="s">
        <v>73</v>
      </c>
      <c r="E97" s="2">
        <v>9000</v>
      </c>
      <c r="F97" s="1">
        <v>23</v>
      </c>
      <c r="G97" s="2">
        <v>207000</v>
      </c>
      <c r="H97" s="4"/>
    </row>
    <row r="98" spans="1:8">
      <c r="A98" s="3">
        <v>96</v>
      </c>
      <c r="B98" s="1" t="s">
        <v>0</v>
      </c>
      <c r="C98" s="1" t="s">
        <v>32</v>
      </c>
      <c r="D98" s="1" t="s">
        <v>74</v>
      </c>
      <c r="E98" s="2">
        <v>36000</v>
      </c>
      <c r="F98" s="1">
        <v>23</v>
      </c>
      <c r="G98" s="2">
        <v>828000</v>
      </c>
      <c r="H98" s="4"/>
    </row>
    <row r="99" spans="1:8">
      <c r="A99" s="3">
        <v>97</v>
      </c>
      <c r="B99" s="1" t="s">
        <v>0</v>
      </c>
      <c r="C99" s="1" t="s">
        <v>32</v>
      </c>
      <c r="D99" s="1" t="s">
        <v>10</v>
      </c>
      <c r="E99" s="2">
        <v>160000</v>
      </c>
      <c r="F99" s="1">
        <v>23</v>
      </c>
      <c r="G99" s="2">
        <v>3680000</v>
      </c>
      <c r="H99" s="4"/>
    </row>
    <row r="100" spans="1:8">
      <c r="A100" s="3">
        <v>98</v>
      </c>
      <c r="B100" s="1" t="s">
        <v>0</v>
      </c>
      <c r="C100" s="1" t="s">
        <v>106</v>
      </c>
      <c r="D100" s="1" t="s">
        <v>10</v>
      </c>
      <c r="E100" s="2">
        <v>40000</v>
      </c>
      <c r="F100" s="1">
        <v>23</v>
      </c>
      <c r="G100" s="2">
        <v>920000</v>
      </c>
      <c r="H100" s="4"/>
    </row>
    <row r="101" spans="1:8">
      <c r="A101" s="3">
        <v>99</v>
      </c>
      <c r="B101" s="1" t="s">
        <v>0</v>
      </c>
      <c r="C101" s="1" t="s">
        <v>32</v>
      </c>
      <c r="D101" s="1" t="s">
        <v>75</v>
      </c>
      <c r="E101" s="2">
        <v>10000</v>
      </c>
      <c r="F101" s="1">
        <v>23</v>
      </c>
      <c r="G101" s="2">
        <v>230000</v>
      </c>
      <c r="H101" s="4"/>
    </row>
    <row r="102" spans="1:8">
      <c r="A102" s="3">
        <v>100</v>
      </c>
      <c r="B102" s="1" t="s">
        <v>0</v>
      </c>
      <c r="C102" s="1" t="s">
        <v>32</v>
      </c>
      <c r="D102" s="1" t="s">
        <v>76</v>
      </c>
      <c r="E102" s="2">
        <v>31000</v>
      </c>
      <c r="F102" s="1">
        <v>23</v>
      </c>
      <c r="G102" s="2">
        <v>713000</v>
      </c>
      <c r="H102" s="4"/>
    </row>
    <row r="103" spans="1:8">
      <c r="A103" s="3">
        <v>101</v>
      </c>
      <c r="B103" s="1" t="s">
        <v>0</v>
      </c>
      <c r="C103" s="1" t="s">
        <v>32</v>
      </c>
      <c r="D103" s="1" t="s">
        <v>77</v>
      </c>
      <c r="E103" s="2">
        <v>9000</v>
      </c>
      <c r="F103" s="1">
        <v>23</v>
      </c>
      <c r="G103" s="2">
        <v>207000</v>
      </c>
      <c r="H103" s="4"/>
    </row>
    <row r="104" spans="1:8">
      <c r="A104" s="3">
        <v>102</v>
      </c>
      <c r="B104" s="1" t="s">
        <v>0</v>
      </c>
      <c r="C104" s="1" t="s">
        <v>106</v>
      </c>
      <c r="D104" s="1" t="s">
        <v>77</v>
      </c>
      <c r="E104" s="2">
        <v>10000</v>
      </c>
      <c r="F104" s="1">
        <v>23</v>
      </c>
      <c r="G104" s="2">
        <v>230000</v>
      </c>
      <c r="H104" s="4"/>
    </row>
    <row r="105" spans="1:8">
      <c r="A105" s="3">
        <v>103</v>
      </c>
      <c r="B105" s="1" t="s">
        <v>0</v>
      </c>
      <c r="C105" s="1" t="s">
        <v>106</v>
      </c>
      <c r="D105" s="1" t="s">
        <v>110</v>
      </c>
      <c r="E105" s="2">
        <v>20000</v>
      </c>
      <c r="F105" s="1">
        <v>23</v>
      </c>
      <c r="G105" s="2">
        <v>460000</v>
      </c>
      <c r="H105" s="4"/>
    </row>
    <row r="106" spans="1:8">
      <c r="A106" s="3">
        <v>104</v>
      </c>
      <c r="B106" s="1" t="s">
        <v>0</v>
      </c>
      <c r="C106" s="1" t="s">
        <v>32</v>
      </c>
      <c r="D106" s="1" t="s">
        <v>78</v>
      </c>
      <c r="E106" s="2">
        <v>20000</v>
      </c>
      <c r="F106" s="1">
        <v>23</v>
      </c>
      <c r="G106" s="2">
        <v>460000</v>
      </c>
      <c r="H106" s="4"/>
    </row>
    <row r="107" spans="1:8">
      <c r="A107" s="3">
        <v>105</v>
      </c>
      <c r="B107" s="1" t="s">
        <v>0</v>
      </c>
      <c r="C107" s="1" t="s">
        <v>32</v>
      </c>
      <c r="D107" s="1" t="s">
        <v>78</v>
      </c>
      <c r="E107" s="2">
        <v>100000</v>
      </c>
      <c r="F107" s="1">
        <v>23</v>
      </c>
      <c r="G107" s="2">
        <v>2300000</v>
      </c>
      <c r="H107" s="4"/>
    </row>
    <row r="108" spans="1:8">
      <c r="A108" s="3">
        <v>106</v>
      </c>
      <c r="B108" s="1" t="s">
        <v>0</v>
      </c>
      <c r="C108" s="1" t="s">
        <v>106</v>
      </c>
      <c r="D108" s="1" t="s">
        <v>78</v>
      </c>
      <c r="E108" s="2">
        <v>100000</v>
      </c>
      <c r="F108" s="1">
        <v>23</v>
      </c>
      <c r="G108" s="2">
        <v>2300000</v>
      </c>
      <c r="H108" s="4"/>
    </row>
    <row r="109" spans="1:8">
      <c r="A109" s="3">
        <v>107</v>
      </c>
      <c r="B109" s="1" t="s">
        <v>0</v>
      </c>
      <c r="C109" s="1" t="s">
        <v>32</v>
      </c>
      <c r="D109" s="1" t="s">
        <v>79</v>
      </c>
      <c r="E109" s="2">
        <v>100000</v>
      </c>
      <c r="F109" s="1">
        <v>23</v>
      </c>
      <c r="G109" s="2">
        <v>2300000</v>
      </c>
      <c r="H109" s="4"/>
    </row>
    <row r="110" spans="1:8">
      <c r="A110" s="3">
        <v>108</v>
      </c>
      <c r="B110" s="1" t="s">
        <v>0</v>
      </c>
      <c r="C110" s="1" t="s">
        <v>106</v>
      </c>
      <c r="D110" s="1" t="s">
        <v>111</v>
      </c>
      <c r="E110" s="2">
        <v>100000</v>
      </c>
      <c r="F110" s="1">
        <v>23</v>
      </c>
      <c r="G110" s="2">
        <v>2300000</v>
      </c>
      <c r="H110" s="4"/>
    </row>
    <row r="111" spans="1:8">
      <c r="A111" s="3">
        <v>109</v>
      </c>
      <c r="B111" s="1" t="s">
        <v>0</v>
      </c>
      <c r="C111" s="1" t="s">
        <v>32</v>
      </c>
      <c r="D111" s="1" t="s">
        <v>80</v>
      </c>
      <c r="E111" s="2">
        <v>50000</v>
      </c>
      <c r="F111" s="1">
        <v>23</v>
      </c>
      <c r="G111" s="2">
        <v>1150000</v>
      </c>
      <c r="H111" s="4"/>
    </row>
    <row r="112" spans="1:8">
      <c r="A112" s="3">
        <v>110</v>
      </c>
      <c r="B112" s="1" t="s">
        <v>0</v>
      </c>
      <c r="C112" s="1" t="s">
        <v>106</v>
      </c>
      <c r="D112" s="1" t="s">
        <v>80</v>
      </c>
      <c r="E112" s="2">
        <v>50000</v>
      </c>
      <c r="F112" s="1">
        <v>23</v>
      </c>
      <c r="G112" s="2">
        <v>1150000</v>
      </c>
      <c r="H112" s="4"/>
    </row>
    <row r="113" spans="1:8">
      <c r="A113" s="3">
        <v>111</v>
      </c>
      <c r="B113" s="1" t="s">
        <v>0</v>
      </c>
      <c r="C113" s="1" t="s">
        <v>32</v>
      </c>
      <c r="D113" s="1" t="s">
        <v>81</v>
      </c>
      <c r="E113" s="2">
        <v>80000</v>
      </c>
      <c r="F113" s="1">
        <v>23</v>
      </c>
      <c r="G113" s="2">
        <v>1840000</v>
      </c>
      <c r="H113" s="4"/>
    </row>
    <row r="114" spans="1:8">
      <c r="A114" s="3">
        <v>112</v>
      </c>
      <c r="B114" s="1" t="s">
        <v>0</v>
      </c>
      <c r="C114" s="1" t="s">
        <v>106</v>
      </c>
      <c r="D114" s="1" t="s">
        <v>81</v>
      </c>
      <c r="E114" s="2">
        <v>50000</v>
      </c>
      <c r="F114" s="1">
        <v>23</v>
      </c>
      <c r="G114" s="2">
        <v>1150000</v>
      </c>
      <c r="H114" s="4"/>
    </row>
    <row r="115" spans="1:8" ht="26.5" customHeight="1">
      <c r="A115" s="3">
        <v>113</v>
      </c>
      <c r="B115" s="1" t="s">
        <v>0</v>
      </c>
      <c r="C115" s="1" t="s">
        <v>32</v>
      </c>
      <c r="D115" s="1" t="s">
        <v>82</v>
      </c>
      <c r="E115" s="2">
        <v>30000</v>
      </c>
      <c r="F115" s="1">
        <v>23</v>
      </c>
      <c r="G115" s="2">
        <v>690000</v>
      </c>
      <c r="H115" s="4"/>
    </row>
    <row r="116" spans="1:8" ht="26.5" customHeight="1">
      <c r="A116" s="3">
        <v>114</v>
      </c>
      <c r="B116" s="1" t="s">
        <v>0</v>
      </c>
      <c r="C116" s="1" t="s">
        <v>106</v>
      </c>
      <c r="D116" s="1" t="s">
        <v>82</v>
      </c>
      <c r="E116" s="2">
        <v>40000</v>
      </c>
      <c r="F116" s="1">
        <v>23</v>
      </c>
      <c r="G116" s="2">
        <v>920000</v>
      </c>
      <c r="H116" s="4"/>
    </row>
    <row r="117" spans="1:8" ht="26.5" customHeight="1">
      <c r="A117" s="3">
        <v>115</v>
      </c>
      <c r="B117" s="1" t="s">
        <v>0</v>
      </c>
      <c r="C117" s="1" t="s">
        <v>2865</v>
      </c>
      <c r="D117" s="1" t="s">
        <v>83</v>
      </c>
      <c r="E117" s="2">
        <v>80000</v>
      </c>
      <c r="F117" s="1">
        <v>23</v>
      </c>
      <c r="G117" s="2">
        <v>1840000</v>
      </c>
      <c r="H117" s="4"/>
    </row>
    <row r="118" spans="1:8" ht="26.5" customHeight="1">
      <c r="A118" s="3">
        <v>116</v>
      </c>
      <c r="B118" s="1" t="s">
        <v>0</v>
      </c>
      <c r="C118" s="1" t="s">
        <v>2861</v>
      </c>
      <c r="D118" s="1" t="s">
        <v>83</v>
      </c>
      <c r="E118" s="2">
        <v>120000</v>
      </c>
      <c r="F118" s="1">
        <v>23</v>
      </c>
      <c r="G118" s="2">
        <v>2760000</v>
      </c>
      <c r="H118" s="4"/>
    </row>
    <row r="119" spans="1:8" ht="17.5" thickBot="1">
      <c r="A119" s="267"/>
      <c r="B119" s="402" t="s">
        <v>2858</v>
      </c>
      <c r="C119" s="403"/>
      <c r="D119" s="404"/>
      <c r="E119" s="268">
        <f>SUM(E3:E118)</f>
        <v>3800000</v>
      </c>
      <c r="F119" s="269"/>
      <c r="G119" s="268">
        <f>SUM(G3:G118)</f>
        <v>87400000</v>
      </c>
      <c r="H119" s="270"/>
    </row>
    <row r="120" spans="1:8">
      <c r="A120" s="34" t="s">
        <v>2857</v>
      </c>
      <c r="B120" s="88" t="s">
        <v>2856</v>
      </c>
    </row>
    <row r="121" spans="1:8">
      <c r="A121" s="35" t="s">
        <v>2855</v>
      </c>
      <c r="B121" s="401" t="s">
        <v>3980</v>
      </c>
      <c r="C121" s="401"/>
      <c r="D121" s="401"/>
      <c r="E121" s="401"/>
      <c r="F121" s="401"/>
      <c r="G121" s="401"/>
      <c r="H121" s="401"/>
    </row>
    <row r="122" spans="1:8" ht="48.9" customHeight="1">
      <c r="A122" s="35" t="s">
        <v>3074</v>
      </c>
      <c r="B122" s="405" t="s">
        <v>3765</v>
      </c>
      <c r="C122" s="405"/>
      <c r="D122" s="405"/>
      <c r="E122" s="405"/>
      <c r="F122" s="405"/>
      <c r="G122" s="405"/>
      <c r="H122" s="405"/>
    </row>
    <row r="124" spans="1:8">
      <c r="G124" s="272"/>
    </row>
  </sheetData>
  <sortState ref="A3:H118">
    <sortCondition ref="D3:D118"/>
  </sortState>
  <mergeCells count="3">
    <mergeCell ref="B121:H121"/>
    <mergeCell ref="B119:D119"/>
    <mergeCell ref="B122:H122"/>
  </mergeCells>
  <phoneticPr fontId="1" type="noConversion"/>
  <pageMargins left="0.70866141732283472" right="0.70866141732283472" top="0.74803149606299213" bottom="0.74803149606299213" header="0.31496062992125984" footer="0.31496062992125984"/>
  <pageSetup paperSize="9" scale="99" fitToHeight="10" orientation="portrait" r:id="rId1"/>
  <headerFooter>
    <oddFooter>&amp;C&amp;P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682"/>
  <sheetViews>
    <sheetView showWhiteSpace="0" view="pageBreakPreview" topLeftCell="A626" zoomScale="115" zoomScaleNormal="70" zoomScaleSheetLayoutView="115" zoomScalePageLayoutView="70" workbookViewId="0">
      <selection activeCell="K629" sqref="K629"/>
    </sheetView>
  </sheetViews>
  <sheetFormatPr defaultColWidth="8.90625" defaultRowHeight="17"/>
  <cols>
    <col min="1" max="1" width="5.453125" style="154" customWidth="1"/>
    <col min="2" max="2" width="10" style="154" customWidth="1"/>
    <col min="3" max="3" width="11" style="154" customWidth="1"/>
    <col min="4" max="4" width="7.36328125" style="155" customWidth="1"/>
    <col min="5" max="5" width="9.08984375" style="156" customWidth="1"/>
    <col min="6" max="6" width="9.81640625" style="156" customWidth="1"/>
    <col min="7" max="7" width="6.36328125" style="156" customWidth="1"/>
    <col min="8" max="8" width="13.1796875" style="156" customWidth="1"/>
    <col min="9" max="9" width="11" style="155" hidden="1" customWidth="1"/>
    <col min="10" max="10" width="12.90625" style="155" hidden="1" customWidth="1"/>
    <col min="11" max="11" width="28.453125" style="337" customWidth="1"/>
    <col min="12" max="12" width="14.453125" style="337" customWidth="1"/>
    <col min="13" max="13" width="6.08984375" style="337" hidden="1" customWidth="1"/>
    <col min="14" max="14" width="11" style="159" hidden="1" customWidth="1"/>
    <col min="15" max="15" width="10.81640625" style="159" hidden="1" customWidth="1"/>
    <col min="16" max="16" width="9.81640625" style="160" customWidth="1"/>
    <col min="17" max="17" width="10.81640625" style="161" hidden="1" customWidth="1"/>
    <col min="18" max="18" width="7.1796875" style="203" hidden="1" customWidth="1"/>
    <col min="19" max="19" width="8.1796875" style="203" hidden="1" customWidth="1"/>
    <col min="20" max="20" width="5.453125" style="203" hidden="1" customWidth="1"/>
    <col min="21" max="22" width="10" style="203" hidden="1" customWidth="1"/>
    <col min="23" max="23" width="13.453125" style="203" hidden="1" customWidth="1"/>
    <col min="24" max="25" width="13.453125" style="203" customWidth="1"/>
    <col min="26" max="255" width="8.90625" style="203"/>
    <col min="256" max="256" width="5.453125" style="203" customWidth="1"/>
    <col min="257" max="257" width="10" style="203" customWidth="1"/>
    <col min="258" max="258" width="9.453125" style="203" customWidth="1"/>
    <col min="259" max="259" width="6.90625" style="203" customWidth="1"/>
    <col min="260" max="260" width="9.08984375" style="203" customWidth="1"/>
    <col min="261" max="261" width="9.81640625" style="203" customWidth="1"/>
    <col min="262" max="262" width="7.81640625" style="203" customWidth="1"/>
    <col min="263" max="263" width="10.90625" style="203" customWidth="1"/>
    <col min="264" max="265" width="0" style="203" hidden="1" customWidth="1"/>
    <col min="266" max="266" width="28.453125" style="203" customWidth="1"/>
    <col min="267" max="267" width="14.453125" style="203" customWidth="1"/>
    <col min="268" max="270" width="0" style="203" hidden="1" customWidth="1"/>
    <col min="271" max="271" width="10.81640625" style="203" customWidth="1"/>
    <col min="272" max="272" width="0" style="203" hidden="1" customWidth="1"/>
    <col min="273" max="273" width="7.1796875" style="203" customWidth="1"/>
    <col min="274" max="274" width="8.1796875" style="203" customWidth="1"/>
    <col min="275" max="275" width="5.453125" style="203" customWidth="1"/>
    <col min="276" max="277" width="10" style="203" customWidth="1"/>
    <col min="278" max="281" width="13.453125" style="203" customWidth="1"/>
    <col min="282" max="511" width="8.90625" style="203"/>
    <col min="512" max="512" width="5.453125" style="203" customWidth="1"/>
    <col min="513" max="513" width="10" style="203" customWidth="1"/>
    <col min="514" max="514" width="9.453125" style="203" customWidth="1"/>
    <col min="515" max="515" width="6.90625" style="203" customWidth="1"/>
    <col min="516" max="516" width="9.08984375" style="203" customWidth="1"/>
    <col min="517" max="517" width="9.81640625" style="203" customWidth="1"/>
    <col min="518" max="518" width="7.81640625" style="203" customWidth="1"/>
    <col min="519" max="519" width="10.90625" style="203" customWidth="1"/>
    <col min="520" max="521" width="0" style="203" hidden="1" customWidth="1"/>
    <col min="522" max="522" width="28.453125" style="203" customWidth="1"/>
    <col min="523" max="523" width="14.453125" style="203" customWidth="1"/>
    <col min="524" max="526" width="0" style="203" hidden="1" customWidth="1"/>
    <col min="527" max="527" width="10.81640625" style="203" customWidth="1"/>
    <col min="528" max="528" width="0" style="203" hidden="1" customWidth="1"/>
    <col min="529" max="529" width="7.1796875" style="203" customWidth="1"/>
    <col min="530" max="530" width="8.1796875" style="203" customWidth="1"/>
    <col min="531" max="531" width="5.453125" style="203" customWidth="1"/>
    <col min="532" max="533" width="10" style="203" customWidth="1"/>
    <col min="534" max="537" width="13.453125" style="203" customWidth="1"/>
    <col min="538" max="767" width="8.90625" style="203"/>
    <col min="768" max="768" width="5.453125" style="203" customWidth="1"/>
    <col min="769" max="769" width="10" style="203" customWidth="1"/>
    <col min="770" max="770" width="9.453125" style="203" customWidth="1"/>
    <col min="771" max="771" width="6.90625" style="203" customWidth="1"/>
    <col min="772" max="772" width="9.08984375" style="203" customWidth="1"/>
    <col min="773" max="773" width="9.81640625" style="203" customWidth="1"/>
    <col min="774" max="774" width="7.81640625" style="203" customWidth="1"/>
    <col min="775" max="775" width="10.90625" style="203" customWidth="1"/>
    <col min="776" max="777" width="0" style="203" hidden="1" customWidth="1"/>
    <col min="778" max="778" width="28.453125" style="203" customWidth="1"/>
    <col min="779" max="779" width="14.453125" style="203" customWidth="1"/>
    <col min="780" max="782" width="0" style="203" hidden="1" customWidth="1"/>
    <col min="783" max="783" width="10.81640625" style="203" customWidth="1"/>
    <col min="784" max="784" width="0" style="203" hidden="1" customWidth="1"/>
    <col min="785" max="785" width="7.1796875" style="203" customWidth="1"/>
    <col min="786" max="786" width="8.1796875" style="203" customWidth="1"/>
    <col min="787" max="787" width="5.453125" style="203" customWidth="1"/>
    <col min="788" max="789" width="10" style="203" customWidth="1"/>
    <col min="790" max="793" width="13.453125" style="203" customWidth="1"/>
    <col min="794" max="1023" width="8.90625" style="203"/>
    <col min="1024" max="1024" width="5.453125" style="203" customWidth="1"/>
    <col min="1025" max="1025" width="10" style="203" customWidth="1"/>
    <col min="1026" max="1026" width="9.453125" style="203" customWidth="1"/>
    <col min="1027" max="1027" width="6.90625" style="203" customWidth="1"/>
    <col min="1028" max="1028" width="9.08984375" style="203" customWidth="1"/>
    <col min="1029" max="1029" width="9.81640625" style="203" customWidth="1"/>
    <col min="1030" max="1030" width="7.81640625" style="203" customWidth="1"/>
    <col min="1031" max="1031" width="10.90625" style="203" customWidth="1"/>
    <col min="1032" max="1033" width="0" style="203" hidden="1" customWidth="1"/>
    <col min="1034" max="1034" width="28.453125" style="203" customWidth="1"/>
    <col min="1035" max="1035" width="14.453125" style="203" customWidth="1"/>
    <col min="1036" max="1038" width="0" style="203" hidden="1" customWidth="1"/>
    <col min="1039" max="1039" width="10.81640625" style="203" customWidth="1"/>
    <col min="1040" max="1040" width="0" style="203" hidden="1" customWidth="1"/>
    <col min="1041" max="1041" width="7.1796875" style="203" customWidth="1"/>
    <col min="1042" max="1042" width="8.1796875" style="203" customWidth="1"/>
    <col min="1043" max="1043" width="5.453125" style="203" customWidth="1"/>
    <col min="1044" max="1045" width="10" style="203" customWidth="1"/>
    <col min="1046" max="1049" width="13.453125" style="203" customWidth="1"/>
    <col min="1050" max="1279" width="8.90625" style="203"/>
    <col min="1280" max="1280" width="5.453125" style="203" customWidth="1"/>
    <col min="1281" max="1281" width="10" style="203" customWidth="1"/>
    <col min="1282" max="1282" width="9.453125" style="203" customWidth="1"/>
    <col min="1283" max="1283" width="6.90625" style="203" customWidth="1"/>
    <col min="1284" max="1284" width="9.08984375" style="203" customWidth="1"/>
    <col min="1285" max="1285" width="9.81640625" style="203" customWidth="1"/>
    <col min="1286" max="1286" width="7.81640625" style="203" customWidth="1"/>
    <col min="1287" max="1287" width="10.90625" style="203" customWidth="1"/>
    <col min="1288" max="1289" width="0" style="203" hidden="1" customWidth="1"/>
    <col min="1290" max="1290" width="28.453125" style="203" customWidth="1"/>
    <col min="1291" max="1291" width="14.453125" style="203" customWidth="1"/>
    <col min="1292" max="1294" width="0" style="203" hidden="1" customWidth="1"/>
    <col min="1295" max="1295" width="10.81640625" style="203" customWidth="1"/>
    <col min="1296" max="1296" width="0" style="203" hidden="1" customWidth="1"/>
    <col min="1297" max="1297" width="7.1796875" style="203" customWidth="1"/>
    <col min="1298" max="1298" width="8.1796875" style="203" customWidth="1"/>
    <col min="1299" max="1299" width="5.453125" style="203" customWidth="1"/>
    <col min="1300" max="1301" width="10" style="203" customWidth="1"/>
    <col min="1302" max="1305" width="13.453125" style="203" customWidth="1"/>
    <col min="1306" max="1535" width="8.90625" style="203"/>
    <col min="1536" max="1536" width="5.453125" style="203" customWidth="1"/>
    <col min="1537" max="1537" width="10" style="203" customWidth="1"/>
    <col min="1538" max="1538" width="9.453125" style="203" customWidth="1"/>
    <col min="1539" max="1539" width="6.90625" style="203" customWidth="1"/>
    <col min="1540" max="1540" width="9.08984375" style="203" customWidth="1"/>
    <col min="1541" max="1541" width="9.81640625" style="203" customWidth="1"/>
    <col min="1542" max="1542" width="7.81640625" style="203" customWidth="1"/>
    <col min="1543" max="1543" width="10.90625" style="203" customWidth="1"/>
    <col min="1544" max="1545" width="0" style="203" hidden="1" customWidth="1"/>
    <col min="1546" max="1546" width="28.453125" style="203" customWidth="1"/>
    <col min="1547" max="1547" width="14.453125" style="203" customWidth="1"/>
    <col min="1548" max="1550" width="0" style="203" hidden="1" customWidth="1"/>
    <col min="1551" max="1551" width="10.81640625" style="203" customWidth="1"/>
    <col min="1552" max="1552" width="0" style="203" hidden="1" customWidth="1"/>
    <col min="1553" max="1553" width="7.1796875" style="203" customWidth="1"/>
    <col min="1554" max="1554" width="8.1796875" style="203" customWidth="1"/>
    <col min="1555" max="1555" width="5.453125" style="203" customWidth="1"/>
    <col min="1556" max="1557" width="10" style="203" customWidth="1"/>
    <col min="1558" max="1561" width="13.453125" style="203" customWidth="1"/>
    <col min="1562" max="1791" width="8.90625" style="203"/>
    <col min="1792" max="1792" width="5.453125" style="203" customWidth="1"/>
    <col min="1793" max="1793" width="10" style="203" customWidth="1"/>
    <col min="1794" max="1794" width="9.453125" style="203" customWidth="1"/>
    <col min="1795" max="1795" width="6.90625" style="203" customWidth="1"/>
    <col min="1796" max="1796" width="9.08984375" style="203" customWidth="1"/>
    <col min="1797" max="1797" width="9.81640625" style="203" customWidth="1"/>
    <col min="1798" max="1798" width="7.81640625" style="203" customWidth="1"/>
    <col min="1799" max="1799" width="10.90625" style="203" customWidth="1"/>
    <col min="1800" max="1801" width="0" style="203" hidden="1" customWidth="1"/>
    <col min="1802" max="1802" width="28.453125" style="203" customWidth="1"/>
    <col min="1803" max="1803" width="14.453125" style="203" customWidth="1"/>
    <col min="1804" max="1806" width="0" style="203" hidden="1" customWidth="1"/>
    <col min="1807" max="1807" width="10.81640625" style="203" customWidth="1"/>
    <col min="1808" max="1808" width="0" style="203" hidden="1" customWidth="1"/>
    <col min="1809" max="1809" width="7.1796875" style="203" customWidth="1"/>
    <col min="1810" max="1810" width="8.1796875" style="203" customWidth="1"/>
    <col min="1811" max="1811" width="5.453125" style="203" customWidth="1"/>
    <col min="1812" max="1813" width="10" style="203" customWidth="1"/>
    <col min="1814" max="1817" width="13.453125" style="203" customWidth="1"/>
    <col min="1818" max="2047" width="8.90625" style="203"/>
    <col min="2048" max="2048" width="5.453125" style="203" customWidth="1"/>
    <col min="2049" max="2049" width="10" style="203" customWidth="1"/>
    <col min="2050" max="2050" width="9.453125" style="203" customWidth="1"/>
    <col min="2051" max="2051" width="6.90625" style="203" customWidth="1"/>
    <col min="2052" max="2052" width="9.08984375" style="203" customWidth="1"/>
    <col min="2053" max="2053" width="9.81640625" style="203" customWidth="1"/>
    <col min="2054" max="2054" width="7.81640625" style="203" customWidth="1"/>
    <col min="2055" max="2055" width="10.90625" style="203" customWidth="1"/>
    <col min="2056" max="2057" width="0" style="203" hidden="1" customWidth="1"/>
    <col min="2058" max="2058" width="28.453125" style="203" customWidth="1"/>
    <col min="2059" max="2059" width="14.453125" style="203" customWidth="1"/>
    <col min="2060" max="2062" width="0" style="203" hidden="1" customWidth="1"/>
    <col min="2063" max="2063" width="10.81640625" style="203" customWidth="1"/>
    <col min="2064" max="2064" width="0" style="203" hidden="1" customWidth="1"/>
    <col min="2065" max="2065" width="7.1796875" style="203" customWidth="1"/>
    <col min="2066" max="2066" width="8.1796875" style="203" customWidth="1"/>
    <col min="2067" max="2067" width="5.453125" style="203" customWidth="1"/>
    <col min="2068" max="2069" width="10" style="203" customWidth="1"/>
    <col min="2070" max="2073" width="13.453125" style="203" customWidth="1"/>
    <col min="2074" max="2303" width="8.90625" style="203"/>
    <col min="2304" max="2304" width="5.453125" style="203" customWidth="1"/>
    <col min="2305" max="2305" width="10" style="203" customWidth="1"/>
    <col min="2306" max="2306" width="9.453125" style="203" customWidth="1"/>
    <col min="2307" max="2307" width="6.90625" style="203" customWidth="1"/>
    <col min="2308" max="2308" width="9.08984375" style="203" customWidth="1"/>
    <col min="2309" max="2309" width="9.81640625" style="203" customWidth="1"/>
    <col min="2310" max="2310" width="7.81640625" style="203" customWidth="1"/>
    <col min="2311" max="2311" width="10.90625" style="203" customWidth="1"/>
    <col min="2312" max="2313" width="0" style="203" hidden="1" customWidth="1"/>
    <col min="2314" max="2314" width="28.453125" style="203" customWidth="1"/>
    <col min="2315" max="2315" width="14.453125" style="203" customWidth="1"/>
    <col min="2316" max="2318" width="0" style="203" hidden="1" customWidth="1"/>
    <col min="2319" max="2319" width="10.81640625" style="203" customWidth="1"/>
    <col min="2320" max="2320" width="0" style="203" hidden="1" customWidth="1"/>
    <col min="2321" max="2321" width="7.1796875" style="203" customWidth="1"/>
    <col min="2322" max="2322" width="8.1796875" style="203" customWidth="1"/>
    <col min="2323" max="2323" width="5.453125" style="203" customWidth="1"/>
    <col min="2324" max="2325" width="10" style="203" customWidth="1"/>
    <col min="2326" max="2329" width="13.453125" style="203" customWidth="1"/>
    <col min="2330" max="2559" width="8.90625" style="203"/>
    <col min="2560" max="2560" width="5.453125" style="203" customWidth="1"/>
    <col min="2561" max="2561" width="10" style="203" customWidth="1"/>
    <col min="2562" max="2562" width="9.453125" style="203" customWidth="1"/>
    <col min="2563" max="2563" width="6.90625" style="203" customWidth="1"/>
    <col min="2564" max="2564" width="9.08984375" style="203" customWidth="1"/>
    <col min="2565" max="2565" width="9.81640625" style="203" customWidth="1"/>
    <col min="2566" max="2566" width="7.81640625" style="203" customWidth="1"/>
    <col min="2567" max="2567" width="10.90625" style="203" customWidth="1"/>
    <col min="2568" max="2569" width="0" style="203" hidden="1" customWidth="1"/>
    <col min="2570" max="2570" width="28.453125" style="203" customWidth="1"/>
    <col min="2571" max="2571" width="14.453125" style="203" customWidth="1"/>
    <col min="2572" max="2574" width="0" style="203" hidden="1" customWidth="1"/>
    <col min="2575" max="2575" width="10.81640625" style="203" customWidth="1"/>
    <col min="2576" max="2576" width="0" style="203" hidden="1" customWidth="1"/>
    <col min="2577" max="2577" width="7.1796875" style="203" customWidth="1"/>
    <col min="2578" max="2578" width="8.1796875" style="203" customWidth="1"/>
    <col min="2579" max="2579" width="5.453125" style="203" customWidth="1"/>
    <col min="2580" max="2581" width="10" style="203" customWidth="1"/>
    <col min="2582" max="2585" width="13.453125" style="203" customWidth="1"/>
    <col min="2586" max="2815" width="8.90625" style="203"/>
    <col min="2816" max="2816" width="5.453125" style="203" customWidth="1"/>
    <col min="2817" max="2817" width="10" style="203" customWidth="1"/>
    <col min="2818" max="2818" width="9.453125" style="203" customWidth="1"/>
    <col min="2819" max="2819" width="6.90625" style="203" customWidth="1"/>
    <col min="2820" max="2820" width="9.08984375" style="203" customWidth="1"/>
    <col min="2821" max="2821" width="9.81640625" style="203" customWidth="1"/>
    <col min="2822" max="2822" width="7.81640625" style="203" customWidth="1"/>
    <col min="2823" max="2823" width="10.90625" style="203" customWidth="1"/>
    <col min="2824" max="2825" width="0" style="203" hidden="1" customWidth="1"/>
    <col min="2826" max="2826" width="28.453125" style="203" customWidth="1"/>
    <col min="2827" max="2827" width="14.453125" style="203" customWidth="1"/>
    <col min="2828" max="2830" width="0" style="203" hidden="1" customWidth="1"/>
    <col min="2831" max="2831" width="10.81640625" style="203" customWidth="1"/>
    <col min="2832" max="2832" width="0" style="203" hidden="1" customWidth="1"/>
    <col min="2833" max="2833" width="7.1796875" style="203" customWidth="1"/>
    <col min="2834" max="2834" width="8.1796875" style="203" customWidth="1"/>
    <col min="2835" max="2835" width="5.453125" style="203" customWidth="1"/>
    <col min="2836" max="2837" width="10" style="203" customWidth="1"/>
    <col min="2838" max="2841" width="13.453125" style="203" customWidth="1"/>
    <col min="2842" max="3071" width="8.90625" style="203"/>
    <col min="3072" max="3072" width="5.453125" style="203" customWidth="1"/>
    <col min="3073" max="3073" width="10" style="203" customWidth="1"/>
    <col min="3074" max="3074" width="9.453125" style="203" customWidth="1"/>
    <col min="3075" max="3075" width="6.90625" style="203" customWidth="1"/>
    <col min="3076" max="3076" width="9.08984375" style="203" customWidth="1"/>
    <col min="3077" max="3077" width="9.81640625" style="203" customWidth="1"/>
    <col min="3078" max="3078" width="7.81640625" style="203" customWidth="1"/>
    <col min="3079" max="3079" width="10.90625" style="203" customWidth="1"/>
    <col min="3080" max="3081" width="0" style="203" hidden="1" customWidth="1"/>
    <col min="3082" max="3082" width="28.453125" style="203" customWidth="1"/>
    <col min="3083" max="3083" width="14.453125" style="203" customWidth="1"/>
    <col min="3084" max="3086" width="0" style="203" hidden="1" customWidth="1"/>
    <col min="3087" max="3087" width="10.81640625" style="203" customWidth="1"/>
    <col min="3088" max="3088" width="0" style="203" hidden="1" customWidth="1"/>
    <col min="3089" max="3089" width="7.1796875" style="203" customWidth="1"/>
    <col min="3090" max="3090" width="8.1796875" style="203" customWidth="1"/>
    <col min="3091" max="3091" width="5.453125" style="203" customWidth="1"/>
    <col min="3092" max="3093" width="10" style="203" customWidth="1"/>
    <col min="3094" max="3097" width="13.453125" style="203" customWidth="1"/>
    <col min="3098" max="3327" width="8.90625" style="203"/>
    <col min="3328" max="3328" width="5.453125" style="203" customWidth="1"/>
    <col min="3329" max="3329" width="10" style="203" customWidth="1"/>
    <col min="3330" max="3330" width="9.453125" style="203" customWidth="1"/>
    <col min="3331" max="3331" width="6.90625" style="203" customWidth="1"/>
    <col min="3332" max="3332" width="9.08984375" style="203" customWidth="1"/>
    <col min="3333" max="3333" width="9.81640625" style="203" customWidth="1"/>
    <col min="3334" max="3334" width="7.81640625" style="203" customWidth="1"/>
    <col min="3335" max="3335" width="10.90625" style="203" customWidth="1"/>
    <col min="3336" max="3337" width="0" style="203" hidden="1" customWidth="1"/>
    <col min="3338" max="3338" width="28.453125" style="203" customWidth="1"/>
    <col min="3339" max="3339" width="14.453125" style="203" customWidth="1"/>
    <col min="3340" max="3342" width="0" style="203" hidden="1" customWidth="1"/>
    <col min="3343" max="3343" width="10.81640625" style="203" customWidth="1"/>
    <col min="3344" max="3344" width="0" style="203" hidden="1" customWidth="1"/>
    <col min="3345" max="3345" width="7.1796875" style="203" customWidth="1"/>
    <col min="3346" max="3346" width="8.1796875" style="203" customWidth="1"/>
    <col min="3347" max="3347" width="5.453125" style="203" customWidth="1"/>
    <col min="3348" max="3349" width="10" style="203" customWidth="1"/>
    <col min="3350" max="3353" width="13.453125" style="203" customWidth="1"/>
    <col min="3354" max="3583" width="8.90625" style="203"/>
    <col min="3584" max="3584" width="5.453125" style="203" customWidth="1"/>
    <col min="3585" max="3585" width="10" style="203" customWidth="1"/>
    <col min="3586" max="3586" width="9.453125" style="203" customWidth="1"/>
    <col min="3587" max="3587" width="6.90625" style="203" customWidth="1"/>
    <col min="3588" max="3588" width="9.08984375" style="203" customWidth="1"/>
    <col min="3589" max="3589" width="9.81640625" style="203" customWidth="1"/>
    <col min="3590" max="3590" width="7.81640625" style="203" customWidth="1"/>
    <col min="3591" max="3591" width="10.90625" style="203" customWidth="1"/>
    <col min="3592" max="3593" width="0" style="203" hidden="1" customWidth="1"/>
    <col min="3594" max="3594" width="28.453125" style="203" customWidth="1"/>
    <col min="3595" max="3595" width="14.453125" style="203" customWidth="1"/>
    <col min="3596" max="3598" width="0" style="203" hidden="1" customWidth="1"/>
    <col min="3599" max="3599" width="10.81640625" style="203" customWidth="1"/>
    <col min="3600" max="3600" width="0" style="203" hidden="1" customWidth="1"/>
    <col min="3601" max="3601" width="7.1796875" style="203" customWidth="1"/>
    <col min="3602" max="3602" width="8.1796875" style="203" customWidth="1"/>
    <col min="3603" max="3603" width="5.453125" style="203" customWidth="1"/>
    <col min="3604" max="3605" width="10" style="203" customWidth="1"/>
    <col min="3606" max="3609" width="13.453125" style="203" customWidth="1"/>
    <col min="3610" max="3839" width="8.90625" style="203"/>
    <col min="3840" max="3840" width="5.453125" style="203" customWidth="1"/>
    <col min="3841" max="3841" width="10" style="203" customWidth="1"/>
    <col min="3842" max="3842" width="9.453125" style="203" customWidth="1"/>
    <col min="3843" max="3843" width="6.90625" style="203" customWidth="1"/>
    <col min="3844" max="3844" width="9.08984375" style="203" customWidth="1"/>
    <col min="3845" max="3845" width="9.81640625" style="203" customWidth="1"/>
    <col min="3846" max="3846" width="7.81640625" style="203" customWidth="1"/>
    <col min="3847" max="3847" width="10.90625" style="203" customWidth="1"/>
    <col min="3848" max="3849" width="0" style="203" hidden="1" customWidth="1"/>
    <col min="3850" max="3850" width="28.453125" style="203" customWidth="1"/>
    <col min="3851" max="3851" width="14.453125" style="203" customWidth="1"/>
    <col min="3852" max="3854" width="0" style="203" hidden="1" customWidth="1"/>
    <col min="3855" max="3855" width="10.81640625" style="203" customWidth="1"/>
    <col min="3856" max="3856" width="0" style="203" hidden="1" customWidth="1"/>
    <col min="3857" max="3857" width="7.1796875" style="203" customWidth="1"/>
    <col min="3858" max="3858" width="8.1796875" style="203" customWidth="1"/>
    <col min="3859" max="3859" width="5.453125" style="203" customWidth="1"/>
    <col min="3860" max="3861" width="10" style="203" customWidth="1"/>
    <col min="3862" max="3865" width="13.453125" style="203" customWidth="1"/>
    <col min="3866" max="4095" width="8.90625" style="203"/>
    <col min="4096" max="4096" width="5.453125" style="203" customWidth="1"/>
    <col min="4097" max="4097" width="10" style="203" customWidth="1"/>
    <col min="4098" max="4098" width="9.453125" style="203" customWidth="1"/>
    <col min="4099" max="4099" width="6.90625" style="203" customWidth="1"/>
    <col min="4100" max="4100" width="9.08984375" style="203" customWidth="1"/>
    <col min="4101" max="4101" width="9.81640625" style="203" customWidth="1"/>
    <col min="4102" max="4102" width="7.81640625" style="203" customWidth="1"/>
    <col min="4103" max="4103" width="10.90625" style="203" customWidth="1"/>
    <col min="4104" max="4105" width="0" style="203" hidden="1" customWidth="1"/>
    <col min="4106" max="4106" width="28.453125" style="203" customWidth="1"/>
    <col min="4107" max="4107" width="14.453125" style="203" customWidth="1"/>
    <col min="4108" max="4110" width="0" style="203" hidden="1" customWidth="1"/>
    <col min="4111" max="4111" width="10.81640625" style="203" customWidth="1"/>
    <col min="4112" max="4112" width="0" style="203" hidden="1" customWidth="1"/>
    <col min="4113" max="4113" width="7.1796875" style="203" customWidth="1"/>
    <col min="4114" max="4114" width="8.1796875" style="203" customWidth="1"/>
    <col min="4115" max="4115" width="5.453125" style="203" customWidth="1"/>
    <col min="4116" max="4117" width="10" style="203" customWidth="1"/>
    <col min="4118" max="4121" width="13.453125" style="203" customWidth="1"/>
    <col min="4122" max="4351" width="8.90625" style="203"/>
    <col min="4352" max="4352" width="5.453125" style="203" customWidth="1"/>
    <col min="4353" max="4353" width="10" style="203" customWidth="1"/>
    <col min="4354" max="4354" width="9.453125" style="203" customWidth="1"/>
    <col min="4355" max="4355" width="6.90625" style="203" customWidth="1"/>
    <col min="4356" max="4356" width="9.08984375" style="203" customWidth="1"/>
    <col min="4357" max="4357" width="9.81640625" style="203" customWidth="1"/>
    <col min="4358" max="4358" width="7.81640625" style="203" customWidth="1"/>
    <col min="4359" max="4359" width="10.90625" style="203" customWidth="1"/>
    <col min="4360" max="4361" width="0" style="203" hidden="1" customWidth="1"/>
    <col min="4362" max="4362" width="28.453125" style="203" customWidth="1"/>
    <col min="4363" max="4363" width="14.453125" style="203" customWidth="1"/>
    <col min="4364" max="4366" width="0" style="203" hidden="1" customWidth="1"/>
    <col min="4367" max="4367" width="10.81640625" style="203" customWidth="1"/>
    <col min="4368" max="4368" width="0" style="203" hidden="1" customWidth="1"/>
    <col min="4369" max="4369" width="7.1796875" style="203" customWidth="1"/>
    <col min="4370" max="4370" width="8.1796875" style="203" customWidth="1"/>
    <col min="4371" max="4371" width="5.453125" style="203" customWidth="1"/>
    <col min="4372" max="4373" width="10" style="203" customWidth="1"/>
    <col min="4374" max="4377" width="13.453125" style="203" customWidth="1"/>
    <col min="4378" max="4607" width="8.90625" style="203"/>
    <col min="4608" max="4608" width="5.453125" style="203" customWidth="1"/>
    <col min="4609" max="4609" width="10" style="203" customWidth="1"/>
    <col min="4610" max="4610" width="9.453125" style="203" customWidth="1"/>
    <col min="4611" max="4611" width="6.90625" style="203" customWidth="1"/>
    <col min="4612" max="4612" width="9.08984375" style="203" customWidth="1"/>
    <col min="4613" max="4613" width="9.81640625" style="203" customWidth="1"/>
    <col min="4614" max="4614" width="7.81640625" style="203" customWidth="1"/>
    <col min="4615" max="4615" width="10.90625" style="203" customWidth="1"/>
    <col min="4616" max="4617" width="0" style="203" hidden="1" customWidth="1"/>
    <col min="4618" max="4618" width="28.453125" style="203" customWidth="1"/>
    <col min="4619" max="4619" width="14.453125" style="203" customWidth="1"/>
    <col min="4620" max="4622" width="0" style="203" hidden="1" customWidth="1"/>
    <col min="4623" max="4623" width="10.81640625" style="203" customWidth="1"/>
    <col min="4624" max="4624" width="0" style="203" hidden="1" customWidth="1"/>
    <col min="4625" max="4625" width="7.1796875" style="203" customWidth="1"/>
    <col min="4626" max="4626" width="8.1796875" style="203" customWidth="1"/>
    <col min="4627" max="4627" width="5.453125" style="203" customWidth="1"/>
    <col min="4628" max="4629" width="10" style="203" customWidth="1"/>
    <col min="4630" max="4633" width="13.453125" style="203" customWidth="1"/>
    <col min="4634" max="4863" width="8.90625" style="203"/>
    <col min="4864" max="4864" width="5.453125" style="203" customWidth="1"/>
    <col min="4865" max="4865" width="10" style="203" customWidth="1"/>
    <col min="4866" max="4866" width="9.453125" style="203" customWidth="1"/>
    <col min="4867" max="4867" width="6.90625" style="203" customWidth="1"/>
    <col min="4868" max="4868" width="9.08984375" style="203" customWidth="1"/>
    <col min="4869" max="4869" width="9.81640625" style="203" customWidth="1"/>
    <col min="4870" max="4870" width="7.81640625" style="203" customWidth="1"/>
    <col min="4871" max="4871" width="10.90625" style="203" customWidth="1"/>
    <col min="4872" max="4873" width="0" style="203" hidden="1" customWidth="1"/>
    <col min="4874" max="4874" width="28.453125" style="203" customWidth="1"/>
    <col min="4875" max="4875" width="14.453125" style="203" customWidth="1"/>
    <col min="4876" max="4878" width="0" style="203" hidden="1" customWidth="1"/>
    <col min="4879" max="4879" width="10.81640625" style="203" customWidth="1"/>
    <col min="4880" max="4880" width="0" style="203" hidden="1" customWidth="1"/>
    <col min="4881" max="4881" width="7.1796875" style="203" customWidth="1"/>
    <col min="4882" max="4882" width="8.1796875" style="203" customWidth="1"/>
    <col min="4883" max="4883" width="5.453125" style="203" customWidth="1"/>
    <col min="4884" max="4885" width="10" style="203" customWidth="1"/>
    <col min="4886" max="4889" width="13.453125" style="203" customWidth="1"/>
    <col min="4890" max="5119" width="8.90625" style="203"/>
    <col min="5120" max="5120" width="5.453125" style="203" customWidth="1"/>
    <col min="5121" max="5121" width="10" style="203" customWidth="1"/>
    <col min="5122" max="5122" width="9.453125" style="203" customWidth="1"/>
    <col min="5123" max="5123" width="6.90625" style="203" customWidth="1"/>
    <col min="5124" max="5124" width="9.08984375" style="203" customWidth="1"/>
    <col min="5125" max="5125" width="9.81640625" style="203" customWidth="1"/>
    <col min="5126" max="5126" width="7.81640625" style="203" customWidth="1"/>
    <col min="5127" max="5127" width="10.90625" style="203" customWidth="1"/>
    <col min="5128" max="5129" width="0" style="203" hidden="1" customWidth="1"/>
    <col min="5130" max="5130" width="28.453125" style="203" customWidth="1"/>
    <col min="5131" max="5131" width="14.453125" style="203" customWidth="1"/>
    <col min="5132" max="5134" width="0" style="203" hidden="1" customWidth="1"/>
    <col min="5135" max="5135" width="10.81640625" style="203" customWidth="1"/>
    <col min="5136" max="5136" width="0" style="203" hidden="1" customWidth="1"/>
    <col min="5137" max="5137" width="7.1796875" style="203" customWidth="1"/>
    <col min="5138" max="5138" width="8.1796875" style="203" customWidth="1"/>
    <col min="5139" max="5139" width="5.453125" style="203" customWidth="1"/>
    <col min="5140" max="5141" width="10" style="203" customWidth="1"/>
    <col min="5142" max="5145" width="13.453125" style="203" customWidth="1"/>
    <col min="5146" max="5375" width="8.90625" style="203"/>
    <col min="5376" max="5376" width="5.453125" style="203" customWidth="1"/>
    <col min="5377" max="5377" width="10" style="203" customWidth="1"/>
    <col min="5378" max="5378" width="9.453125" style="203" customWidth="1"/>
    <col min="5379" max="5379" width="6.90625" style="203" customWidth="1"/>
    <col min="5380" max="5380" width="9.08984375" style="203" customWidth="1"/>
    <col min="5381" max="5381" width="9.81640625" style="203" customWidth="1"/>
    <col min="5382" max="5382" width="7.81640625" style="203" customWidth="1"/>
    <col min="5383" max="5383" width="10.90625" style="203" customWidth="1"/>
    <col min="5384" max="5385" width="0" style="203" hidden="1" customWidth="1"/>
    <col min="5386" max="5386" width="28.453125" style="203" customWidth="1"/>
    <col min="5387" max="5387" width="14.453125" style="203" customWidth="1"/>
    <col min="5388" max="5390" width="0" style="203" hidden="1" customWidth="1"/>
    <col min="5391" max="5391" width="10.81640625" style="203" customWidth="1"/>
    <col min="5392" max="5392" width="0" style="203" hidden="1" customWidth="1"/>
    <col min="5393" max="5393" width="7.1796875" style="203" customWidth="1"/>
    <col min="5394" max="5394" width="8.1796875" style="203" customWidth="1"/>
    <col min="5395" max="5395" width="5.453125" style="203" customWidth="1"/>
    <col min="5396" max="5397" width="10" style="203" customWidth="1"/>
    <col min="5398" max="5401" width="13.453125" style="203" customWidth="1"/>
    <col min="5402" max="5631" width="8.90625" style="203"/>
    <col min="5632" max="5632" width="5.453125" style="203" customWidth="1"/>
    <col min="5633" max="5633" width="10" style="203" customWidth="1"/>
    <col min="5634" max="5634" width="9.453125" style="203" customWidth="1"/>
    <col min="5635" max="5635" width="6.90625" style="203" customWidth="1"/>
    <col min="5636" max="5636" width="9.08984375" style="203" customWidth="1"/>
    <col min="5637" max="5637" width="9.81640625" style="203" customWidth="1"/>
    <col min="5638" max="5638" width="7.81640625" style="203" customWidth="1"/>
    <col min="5639" max="5639" width="10.90625" style="203" customWidth="1"/>
    <col min="5640" max="5641" width="0" style="203" hidden="1" customWidth="1"/>
    <col min="5642" max="5642" width="28.453125" style="203" customWidth="1"/>
    <col min="5643" max="5643" width="14.453125" style="203" customWidth="1"/>
    <col min="5644" max="5646" width="0" style="203" hidden="1" customWidth="1"/>
    <col min="5647" max="5647" width="10.81640625" style="203" customWidth="1"/>
    <col min="5648" max="5648" width="0" style="203" hidden="1" customWidth="1"/>
    <col min="5649" max="5649" width="7.1796875" style="203" customWidth="1"/>
    <col min="5650" max="5650" width="8.1796875" style="203" customWidth="1"/>
    <col min="5651" max="5651" width="5.453125" style="203" customWidth="1"/>
    <col min="5652" max="5653" width="10" style="203" customWidth="1"/>
    <col min="5654" max="5657" width="13.453125" style="203" customWidth="1"/>
    <col min="5658" max="5887" width="8.90625" style="203"/>
    <col min="5888" max="5888" width="5.453125" style="203" customWidth="1"/>
    <col min="5889" max="5889" width="10" style="203" customWidth="1"/>
    <col min="5890" max="5890" width="9.453125" style="203" customWidth="1"/>
    <col min="5891" max="5891" width="6.90625" style="203" customWidth="1"/>
    <col min="5892" max="5892" width="9.08984375" style="203" customWidth="1"/>
    <col min="5893" max="5893" width="9.81640625" style="203" customWidth="1"/>
    <col min="5894" max="5894" width="7.81640625" style="203" customWidth="1"/>
    <col min="5895" max="5895" width="10.90625" style="203" customWidth="1"/>
    <col min="5896" max="5897" width="0" style="203" hidden="1" customWidth="1"/>
    <col min="5898" max="5898" width="28.453125" style="203" customWidth="1"/>
    <col min="5899" max="5899" width="14.453125" style="203" customWidth="1"/>
    <col min="5900" max="5902" width="0" style="203" hidden="1" customWidth="1"/>
    <col min="5903" max="5903" width="10.81640625" style="203" customWidth="1"/>
    <col min="5904" max="5904" width="0" style="203" hidden="1" customWidth="1"/>
    <col min="5905" max="5905" width="7.1796875" style="203" customWidth="1"/>
    <col min="5906" max="5906" width="8.1796875" style="203" customWidth="1"/>
    <col min="5907" max="5907" width="5.453125" style="203" customWidth="1"/>
    <col min="5908" max="5909" width="10" style="203" customWidth="1"/>
    <col min="5910" max="5913" width="13.453125" style="203" customWidth="1"/>
    <col min="5914" max="6143" width="8.90625" style="203"/>
    <col min="6144" max="6144" width="5.453125" style="203" customWidth="1"/>
    <col min="6145" max="6145" width="10" style="203" customWidth="1"/>
    <col min="6146" max="6146" width="9.453125" style="203" customWidth="1"/>
    <col min="6147" max="6147" width="6.90625" style="203" customWidth="1"/>
    <col min="6148" max="6148" width="9.08984375" style="203" customWidth="1"/>
    <col min="6149" max="6149" width="9.81640625" style="203" customWidth="1"/>
    <col min="6150" max="6150" width="7.81640625" style="203" customWidth="1"/>
    <col min="6151" max="6151" width="10.90625" style="203" customWidth="1"/>
    <col min="6152" max="6153" width="0" style="203" hidden="1" customWidth="1"/>
    <col min="6154" max="6154" width="28.453125" style="203" customWidth="1"/>
    <col min="6155" max="6155" width="14.453125" style="203" customWidth="1"/>
    <col min="6156" max="6158" width="0" style="203" hidden="1" customWidth="1"/>
    <col min="6159" max="6159" width="10.81640625" style="203" customWidth="1"/>
    <col min="6160" max="6160" width="0" style="203" hidden="1" customWidth="1"/>
    <col min="6161" max="6161" width="7.1796875" style="203" customWidth="1"/>
    <col min="6162" max="6162" width="8.1796875" style="203" customWidth="1"/>
    <col min="6163" max="6163" width="5.453125" style="203" customWidth="1"/>
    <col min="6164" max="6165" width="10" style="203" customWidth="1"/>
    <col min="6166" max="6169" width="13.453125" style="203" customWidth="1"/>
    <col min="6170" max="6399" width="8.90625" style="203"/>
    <col min="6400" max="6400" width="5.453125" style="203" customWidth="1"/>
    <col min="6401" max="6401" width="10" style="203" customWidth="1"/>
    <col min="6402" max="6402" width="9.453125" style="203" customWidth="1"/>
    <col min="6403" max="6403" width="6.90625" style="203" customWidth="1"/>
    <col min="6404" max="6404" width="9.08984375" style="203" customWidth="1"/>
    <col min="6405" max="6405" width="9.81640625" style="203" customWidth="1"/>
    <col min="6406" max="6406" width="7.81640625" style="203" customWidth="1"/>
    <col min="6407" max="6407" width="10.90625" style="203" customWidth="1"/>
    <col min="6408" max="6409" width="0" style="203" hidden="1" customWidth="1"/>
    <col min="6410" max="6410" width="28.453125" style="203" customWidth="1"/>
    <col min="6411" max="6411" width="14.453125" style="203" customWidth="1"/>
    <col min="6412" max="6414" width="0" style="203" hidden="1" customWidth="1"/>
    <col min="6415" max="6415" width="10.81640625" style="203" customWidth="1"/>
    <col min="6416" max="6416" width="0" style="203" hidden="1" customWidth="1"/>
    <col min="6417" max="6417" width="7.1796875" style="203" customWidth="1"/>
    <col min="6418" max="6418" width="8.1796875" style="203" customWidth="1"/>
    <col min="6419" max="6419" width="5.453125" style="203" customWidth="1"/>
    <col min="6420" max="6421" width="10" style="203" customWidth="1"/>
    <col min="6422" max="6425" width="13.453125" style="203" customWidth="1"/>
    <col min="6426" max="6655" width="8.90625" style="203"/>
    <col min="6656" max="6656" width="5.453125" style="203" customWidth="1"/>
    <col min="6657" max="6657" width="10" style="203" customWidth="1"/>
    <col min="6658" max="6658" width="9.453125" style="203" customWidth="1"/>
    <col min="6659" max="6659" width="6.90625" style="203" customWidth="1"/>
    <col min="6660" max="6660" width="9.08984375" style="203" customWidth="1"/>
    <col min="6661" max="6661" width="9.81640625" style="203" customWidth="1"/>
    <col min="6662" max="6662" width="7.81640625" style="203" customWidth="1"/>
    <col min="6663" max="6663" width="10.90625" style="203" customWidth="1"/>
    <col min="6664" max="6665" width="0" style="203" hidden="1" customWidth="1"/>
    <col min="6666" max="6666" width="28.453125" style="203" customWidth="1"/>
    <col min="6667" max="6667" width="14.453125" style="203" customWidth="1"/>
    <col min="6668" max="6670" width="0" style="203" hidden="1" customWidth="1"/>
    <col min="6671" max="6671" width="10.81640625" style="203" customWidth="1"/>
    <col min="6672" max="6672" width="0" style="203" hidden="1" customWidth="1"/>
    <col min="6673" max="6673" width="7.1796875" style="203" customWidth="1"/>
    <col min="6674" max="6674" width="8.1796875" style="203" customWidth="1"/>
    <col min="6675" max="6675" width="5.453125" style="203" customWidth="1"/>
    <col min="6676" max="6677" width="10" style="203" customWidth="1"/>
    <col min="6678" max="6681" width="13.453125" style="203" customWidth="1"/>
    <col min="6682" max="6911" width="8.90625" style="203"/>
    <col min="6912" max="6912" width="5.453125" style="203" customWidth="1"/>
    <col min="6913" max="6913" width="10" style="203" customWidth="1"/>
    <col min="6914" max="6914" width="9.453125" style="203" customWidth="1"/>
    <col min="6915" max="6915" width="6.90625" style="203" customWidth="1"/>
    <col min="6916" max="6916" width="9.08984375" style="203" customWidth="1"/>
    <col min="6917" max="6917" width="9.81640625" style="203" customWidth="1"/>
    <col min="6918" max="6918" width="7.81640625" style="203" customWidth="1"/>
    <col min="6919" max="6919" width="10.90625" style="203" customWidth="1"/>
    <col min="6920" max="6921" width="0" style="203" hidden="1" customWidth="1"/>
    <col min="6922" max="6922" width="28.453125" style="203" customWidth="1"/>
    <col min="6923" max="6923" width="14.453125" style="203" customWidth="1"/>
    <col min="6924" max="6926" width="0" style="203" hidden="1" customWidth="1"/>
    <col min="6927" max="6927" width="10.81640625" style="203" customWidth="1"/>
    <col min="6928" max="6928" width="0" style="203" hidden="1" customWidth="1"/>
    <col min="6929" max="6929" width="7.1796875" style="203" customWidth="1"/>
    <col min="6930" max="6930" width="8.1796875" style="203" customWidth="1"/>
    <col min="6931" max="6931" width="5.453125" style="203" customWidth="1"/>
    <col min="6932" max="6933" width="10" style="203" customWidth="1"/>
    <col min="6934" max="6937" width="13.453125" style="203" customWidth="1"/>
    <col min="6938" max="7167" width="8.90625" style="203"/>
    <col min="7168" max="7168" width="5.453125" style="203" customWidth="1"/>
    <col min="7169" max="7169" width="10" style="203" customWidth="1"/>
    <col min="7170" max="7170" width="9.453125" style="203" customWidth="1"/>
    <col min="7171" max="7171" width="6.90625" style="203" customWidth="1"/>
    <col min="7172" max="7172" width="9.08984375" style="203" customWidth="1"/>
    <col min="7173" max="7173" width="9.81640625" style="203" customWidth="1"/>
    <col min="7174" max="7174" width="7.81640625" style="203" customWidth="1"/>
    <col min="7175" max="7175" width="10.90625" style="203" customWidth="1"/>
    <col min="7176" max="7177" width="0" style="203" hidden="1" customWidth="1"/>
    <col min="7178" max="7178" width="28.453125" style="203" customWidth="1"/>
    <col min="7179" max="7179" width="14.453125" style="203" customWidth="1"/>
    <col min="7180" max="7182" width="0" style="203" hidden="1" customWidth="1"/>
    <col min="7183" max="7183" width="10.81640625" style="203" customWidth="1"/>
    <col min="7184" max="7184" width="0" style="203" hidden="1" customWidth="1"/>
    <col min="7185" max="7185" width="7.1796875" style="203" customWidth="1"/>
    <col min="7186" max="7186" width="8.1796875" style="203" customWidth="1"/>
    <col min="7187" max="7187" width="5.453125" style="203" customWidth="1"/>
    <col min="7188" max="7189" width="10" style="203" customWidth="1"/>
    <col min="7190" max="7193" width="13.453125" style="203" customWidth="1"/>
    <col min="7194" max="7423" width="8.90625" style="203"/>
    <col min="7424" max="7424" width="5.453125" style="203" customWidth="1"/>
    <col min="7425" max="7425" width="10" style="203" customWidth="1"/>
    <col min="7426" max="7426" width="9.453125" style="203" customWidth="1"/>
    <col min="7427" max="7427" width="6.90625" style="203" customWidth="1"/>
    <col min="7428" max="7428" width="9.08984375" style="203" customWidth="1"/>
    <col min="7429" max="7429" width="9.81640625" style="203" customWidth="1"/>
    <col min="7430" max="7430" width="7.81640625" style="203" customWidth="1"/>
    <col min="7431" max="7431" width="10.90625" style="203" customWidth="1"/>
    <col min="7432" max="7433" width="0" style="203" hidden="1" customWidth="1"/>
    <col min="7434" max="7434" width="28.453125" style="203" customWidth="1"/>
    <col min="7435" max="7435" width="14.453125" style="203" customWidth="1"/>
    <col min="7436" max="7438" width="0" style="203" hidden="1" customWidth="1"/>
    <col min="7439" max="7439" width="10.81640625" style="203" customWidth="1"/>
    <col min="7440" max="7440" width="0" style="203" hidden="1" customWidth="1"/>
    <col min="7441" max="7441" width="7.1796875" style="203" customWidth="1"/>
    <col min="7442" max="7442" width="8.1796875" style="203" customWidth="1"/>
    <col min="7443" max="7443" width="5.453125" style="203" customWidth="1"/>
    <col min="7444" max="7445" width="10" style="203" customWidth="1"/>
    <col min="7446" max="7449" width="13.453125" style="203" customWidth="1"/>
    <col min="7450" max="7679" width="8.90625" style="203"/>
    <col min="7680" max="7680" width="5.453125" style="203" customWidth="1"/>
    <col min="7681" max="7681" width="10" style="203" customWidth="1"/>
    <col min="7682" max="7682" width="9.453125" style="203" customWidth="1"/>
    <col min="7683" max="7683" width="6.90625" style="203" customWidth="1"/>
    <col min="7684" max="7684" width="9.08984375" style="203" customWidth="1"/>
    <col min="7685" max="7685" width="9.81640625" style="203" customWidth="1"/>
    <col min="7686" max="7686" width="7.81640625" style="203" customWidth="1"/>
    <col min="7687" max="7687" width="10.90625" style="203" customWidth="1"/>
    <col min="7688" max="7689" width="0" style="203" hidden="1" customWidth="1"/>
    <col min="7690" max="7690" width="28.453125" style="203" customWidth="1"/>
    <col min="7691" max="7691" width="14.453125" style="203" customWidth="1"/>
    <col min="7692" max="7694" width="0" style="203" hidden="1" customWidth="1"/>
    <col min="7695" max="7695" width="10.81640625" style="203" customWidth="1"/>
    <col min="7696" max="7696" width="0" style="203" hidden="1" customWidth="1"/>
    <col min="7697" max="7697" width="7.1796875" style="203" customWidth="1"/>
    <col min="7698" max="7698" width="8.1796875" style="203" customWidth="1"/>
    <col min="7699" max="7699" width="5.453125" style="203" customWidth="1"/>
    <col min="7700" max="7701" width="10" style="203" customWidth="1"/>
    <col min="7702" max="7705" width="13.453125" style="203" customWidth="1"/>
    <col min="7706" max="7935" width="8.90625" style="203"/>
    <col min="7936" max="7936" width="5.453125" style="203" customWidth="1"/>
    <col min="7937" max="7937" width="10" style="203" customWidth="1"/>
    <col min="7938" max="7938" width="9.453125" style="203" customWidth="1"/>
    <col min="7939" max="7939" width="6.90625" style="203" customWidth="1"/>
    <col min="7940" max="7940" width="9.08984375" style="203" customWidth="1"/>
    <col min="7941" max="7941" width="9.81640625" style="203" customWidth="1"/>
    <col min="7942" max="7942" width="7.81640625" style="203" customWidth="1"/>
    <col min="7943" max="7943" width="10.90625" style="203" customWidth="1"/>
    <col min="7944" max="7945" width="0" style="203" hidden="1" customWidth="1"/>
    <col min="7946" max="7946" width="28.453125" style="203" customWidth="1"/>
    <col min="7947" max="7947" width="14.453125" style="203" customWidth="1"/>
    <col min="7948" max="7950" width="0" style="203" hidden="1" customWidth="1"/>
    <col min="7951" max="7951" width="10.81640625" style="203" customWidth="1"/>
    <col min="7952" max="7952" width="0" style="203" hidden="1" customWidth="1"/>
    <col min="7953" max="7953" width="7.1796875" style="203" customWidth="1"/>
    <col min="7954" max="7954" width="8.1796875" style="203" customWidth="1"/>
    <col min="7955" max="7955" width="5.453125" style="203" customWidth="1"/>
    <col min="7956" max="7957" width="10" style="203" customWidth="1"/>
    <col min="7958" max="7961" width="13.453125" style="203" customWidth="1"/>
    <col min="7962" max="8191" width="8.90625" style="203"/>
    <col min="8192" max="8192" width="5.453125" style="203" customWidth="1"/>
    <col min="8193" max="8193" width="10" style="203" customWidth="1"/>
    <col min="8194" max="8194" width="9.453125" style="203" customWidth="1"/>
    <col min="8195" max="8195" width="6.90625" style="203" customWidth="1"/>
    <col min="8196" max="8196" width="9.08984375" style="203" customWidth="1"/>
    <col min="8197" max="8197" width="9.81640625" style="203" customWidth="1"/>
    <col min="8198" max="8198" width="7.81640625" style="203" customWidth="1"/>
    <col min="8199" max="8199" width="10.90625" style="203" customWidth="1"/>
    <col min="8200" max="8201" width="0" style="203" hidden="1" customWidth="1"/>
    <col min="8202" max="8202" width="28.453125" style="203" customWidth="1"/>
    <col min="8203" max="8203" width="14.453125" style="203" customWidth="1"/>
    <col min="8204" max="8206" width="0" style="203" hidden="1" customWidth="1"/>
    <col min="8207" max="8207" width="10.81640625" style="203" customWidth="1"/>
    <col min="8208" max="8208" width="0" style="203" hidden="1" customWidth="1"/>
    <col min="8209" max="8209" width="7.1796875" style="203" customWidth="1"/>
    <col min="8210" max="8210" width="8.1796875" style="203" customWidth="1"/>
    <col min="8211" max="8211" width="5.453125" style="203" customWidth="1"/>
    <col min="8212" max="8213" width="10" style="203" customWidth="1"/>
    <col min="8214" max="8217" width="13.453125" style="203" customWidth="1"/>
    <col min="8218" max="8447" width="8.90625" style="203"/>
    <col min="8448" max="8448" width="5.453125" style="203" customWidth="1"/>
    <col min="8449" max="8449" width="10" style="203" customWidth="1"/>
    <col min="8450" max="8450" width="9.453125" style="203" customWidth="1"/>
    <col min="8451" max="8451" width="6.90625" style="203" customWidth="1"/>
    <col min="8452" max="8452" width="9.08984375" style="203" customWidth="1"/>
    <col min="8453" max="8453" width="9.81640625" style="203" customWidth="1"/>
    <col min="8454" max="8454" width="7.81640625" style="203" customWidth="1"/>
    <col min="8455" max="8455" width="10.90625" style="203" customWidth="1"/>
    <col min="8456" max="8457" width="0" style="203" hidden="1" customWidth="1"/>
    <col min="8458" max="8458" width="28.453125" style="203" customWidth="1"/>
    <col min="8459" max="8459" width="14.453125" style="203" customWidth="1"/>
    <col min="8460" max="8462" width="0" style="203" hidden="1" customWidth="1"/>
    <col min="8463" max="8463" width="10.81640625" style="203" customWidth="1"/>
    <col min="8464" max="8464" width="0" style="203" hidden="1" customWidth="1"/>
    <col min="8465" max="8465" width="7.1796875" style="203" customWidth="1"/>
    <col min="8466" max="8466" width="8.1796875" style="203" customWidth="1"/>
    <col min="8467" max="8467" width="5.453125" style="203" customWidth="1"/>
    <col min="8468" max="8469" width="10" style="203" customWidth="1"/>
    <col min="8470" max="8473" width="13.453125" style="203" customWidth="1"/>
    <col min="8474" max="8703" width="8.90625" style="203"/>
    <col min="8704" max="8704" width="5.453125" style="203" customWidth="1"/>
    <col min="8705" max="8705" width="10" style="203" customWidth="1"/>
    <col min="8706" max="8706" width="9.453125" style="203" customWidth="1"/>
    <col min="8707" max="8707" width="6.90625" style="203" customWidth="1"/>
    <col min="8708" max="8708" width="9.08984375" style="203" customWidth="1"/>
    <col min="8709" max="8709" width="9.81640625" style="203" customWidth="1"/>
    <col min="8710" max="8710" width="7.81640625" style="203" customWidth="1"/>
    <col min="8711" max="8711" width="10.90625" style="203" customWidth="1"/>
    <col min="8712" max="8713" width="0" style="203" hidden="1" customWidth="1"/>
    <col min="8714" max="8714" width="28.453125" style="203" customWidth="1"/>
    <col min="8715" max="8715" width="14.453125" style="203" customWidth="1"/>
    <col min="8716" max="8718" width="0" style="203" hidden="1" customWidth="1"/>
    <col min="8719" max="8719" width="10.81640625" style="203" customWidth="1"/>
    <col min="8720" max="8720" width="0" style="203" hidden="1" customWidth="1"/>
    <col min="8721" max="8721" width="7.1796875" style="203" customWidth="1"/>
    <col min="8722" max="8722" width="8.1796875" style="203" customWidth="1"/>
    <col min="8723" max="8723" width="5.453125" style="203" customWidth="1"/>
    <col min="8724" max="8725" width="10" style="203" customWidth="1"/>
    <col min="8726" max="8729" width="13.453125" style="203" customWidth="1"/>
    <col min="8730" max="8959" width="8.90625" style="203"/>
    <col min="8960" max="8960" width="5.453125" style="203" customWidth="1"/>
    <col min="8961" max="8961" width="10" style="203" customWidth="1"/>
    <col min="8962" max="8962" width="9.453125" style="203" customWidth="1"/>
    <col min="8963" max="8963" width="6.90625" style="203" customWidth="1"/>
    <col min="8964" max="8964" width="9.08984375" style="203" customWidth="1"/>
    <col min="8965" max="8965" width="9.81640625" style="203" customWidth="1"/>
    <col min="8966" max="8966" width="7.81640625" style="203" customWidth="1"/>
    <col min="8967" max="8967" width="10.90625" style="203" customWidth="1"/>
    <col min="8968" max="8969" width="0" style="203" hidden="1" customWidth="1"/>
    <col min="8970" max="8970" width="28.453125" style="203" customWidth="1"/>
    <col min="8971" max="8971" width="14.453125" style="203" customWidth="1"/>
    <col min="8972" max="8974" width="0" style="203" hidden="1" customWidth="1"/>
    <col min="8975" max="8975" width="10.81640625" style="203" customWidth="1"/>
    <col min="8976" max="8976" width="0" style="203" hidden="1" customWidth="1"/>
    <col min="8977" max="8977" width="7.1796875" style="203" customWidth="1"/>
    <col min="8978" max="8978" width="8.1796875" style="203" customWidth="1"/>
    <col min="8979" max="8979" width="5.453125" style="203" customWidth="1"/>
    <col min="8980" max="8981" width="10" style="203" customWidth="1"/>
    <col min="8982" max="8985" width="13.453125" style="203" customWidth="1"/>
    <col min="8986" max="9215" width="8.90625" style="203"/>
    <col min="9216" max="9216" width="5.453125" style="203" customWidth="1"/>
    <col min="9217" max="9217" width="10" style="203" customWidth="1"/>
    <col min="9218" max="9218" width="9.453125" style="203" customWidth="1"/>
    <col min="9219" max="9219" width="6.90625" style="203" customWidth="1"/>
    <col min="9220" max="9220" width="9.08984375" style="203" customWidth="1"/>
    <col min="9221" max="9221" width="9.81640625" style="203" customWidth="1"/>
    <col min="9222" max="9222" width="7.81640625" style="203" customWidth="1"/>
    <col min="9223" max="9223" width="10.90625" style="203" customWidth="1"/>
    <col min="9224" max="9225" width="0" style="203" hidden="1" customWidth="1"/>
    <col min="9226" max="9226" width="28.453125" style="203" customWidth="1"/>
    <col min="9227" max="9227" width="14.453125" style="203" customWidth="1"/>
    <col min="9228" max="9230" width="0" style="203" hidden="1" customWidth="1"/>
    <col min="9231" max="9231" width="10.81640625" style="203" customWidth="1"/>
    <col min="9232" max="9232" width="0" style="203" hidden="1" customWidth="1"/>
    <col min="9233" max="9233" width="7.1796875" style="203" customWidth="1"/>
    <col min="9234" max="9234" width="8.1796875" style="203" customWidth="1"/>
    <col min="9235" max="9235" width="5.453125" style="203" customWidth="1"/>
    <col min="9236" max="9237" width="10" style="203" customWidth="1"/>
    <col min="9238" max="9241" width="13.453125" style="203" customWidth="1"/>
    <col min="9242" max="9471" width="8.90625" style="203"/>
    <col min="9472" max="9472" width="5.453125" style="203" customWidth="1"/>
    <col min="9473" max="9473" width="10" style="203" customWidth="1"/>
    <col min="9474" max="9474" width="9.453125" style="203" customWidth="1"/>
    <col min="9475" max="9475" width="6.90625" style="203" customWidth="1"/>
    <col min="9476" max="9476" width="9.08984375" style="203" customWidth="1"/>
    <col min="9477" max="9477" width="9.81640625" style="203" customWidth="1"/>
    <col min="9478" max="9478" width="7.81640625" style="203" customWidth="1"/>
    <col min="9479" max="9479" width="10.90625" style="203" customWidth="1"/>
    <col min="9480" max="9481" width="0" style="203" hidden="1" customWidth="1"/>
    <col min="9482" max="9482" width="28.453125" style="203" customWidth="1"/>
    <col min="9483" max="9483" width="14.453125" style="203" customWidth="1"/>
    <col min="9484" max="9486" width="0" style="203" hidden="1" customWidth="1"/>
    <col min="9487" max="9487" width="10.81640625" style="203" customWidth="1"/>
    <col min="9488" max="9488" width="0" style="203" hidden="1" customWidth="1"/>
    <col min="9489" max="9489" width="7.1796875" style="203" customWidth="1"/>
    <col min="9490" max="9490" width="8.1796875" style="203" customWidth="1"/>
    <col min="9491" max="9491" width="5.453125" style="203" customWidth="1"/>
    <col min="9492" max="9493" width="10" style="203" customWidth="1"/>
    <col min="9494" max="9497" width="13.453125" style="203" customWidth="1"/>
    <col min="9498" max="9727" width="8.90625" style="203"/>
    <col min="9728" max="9728" width="5.453125" style="203" customWidth="1"/>
    <col min="9729" max="9729" width="10" style="203" customWidth="1"/>
    <col min="9730" max="9730" width="9.453125" style="203" customWidth="1"/>
    <col min="9731" max="9731" width="6.90625" style="203" customWidth="1"/>
    <col min="9732" max="9732" width="9.08984375" style="203" customWidth="1"/>
    <col min="9733" max="9733" width="9.81640625" style="203" customWidth="1"/>
    <col min="9734" max="9734" width="7.81640625" style="203" customWidth="1"/>
    <col min="9735" max="9735" width="10.90625" style="203" customWidth="1"/>
    <col min="9736" max="9737" width="0" style="203" hidden="1" customWidth="1"/>
    <col min="9738" max="9738" width="28.453125" style="203" customWidth="1"/>
    <col min="9739" max="9739" width="14.453125" style="203" customWidth="1"/>
    <col min="9740" max="9742" width="0" style="203" hidden="1" customWidth="1"/>
    <col min="9743" max="9743" width="10.81640625" style="203" customWidth="1"/>
    <col min="9744" max="9744" width="0" style="203" hidden="1" customWidth="1"/>
    <col min="9745" max="9745" width="7.1796875" style="203" customWidth="1"/>
    <col min="9746" max="9746" width="8.1796875" style="203" customWidth="1"/>
    <col min="9747" max="9747" width="5.453125" style="203" customWidth="1"/>
    <col min="9748" max="9749" width="10" style="203" customWidth="1"/>
    <col min="9750" max="9753" width="13.453125" style="203" customWidth="1"/>
    <col min="9754" max="9983" width="8.90625" style="203"/>
    <col min="9984" max="9984" width="5.453125" style="203" customWidth="1"/>
    <col min="9985" max="9985" width="10" style="203" customWidth="1"/>
    <col min="9986" max="9986" width="9.453125" style="203" customWidth="1"/>
    <col min="9987" max="9987" width="6.90625" style="203" customWidth="1"/>
    <col min="9988" max="9988" width="9.08984375" style="203" customWidth="1"/>
    <col min="9989" max="9989" width="9.81640625" style="203" customWidth="1"/>
    <col min="9990" max="9990" width="7.81640625" style="203" customWidth="1"/>
    <col min="9991" max="9991" width="10.90625" style="203" customWidth="1"/>
    <col min="9992" max="9993" width="0" style="203" hidden="1" customWidth="1"/>
    <col min="9994" max="9994" width="28.453125" style="203" customWidth="1"/>
    <col min="9995" max="9995" width="14.453125" style="203" customWidth="1"/>
    <col min="9996" max="9998" width="0" style="203" hidden="1" customWidth="1"/>
    <col min="9999" max="9999" width="10.81640625" style="203" customWidth="1"/>
    <col min="10000" max="10000" width="0" style="203" hidden="1" customWidth="1"/>
    <col min="10001" max="10001" width="7.1796875" style="203" customWidth="1"/>
    <col min="10002" max="10002" width="8.1796875" style="203" customWidth="1"/>
    <col min="10003" max="10003" width="5.453125" style="203" customWidth="1"/>
    <col min="10004" max="10005" width="10" style="203" customWidth="1"/>
    <col min="10006" max="10009" width="13.453125" style="203" customWidth="1"/>
    <col min="10010" max="10239" width="8.90625" style="203"/>
    <col min="10240" max="10240" width="5.453125" style="203" customWidth="1"/>
    <col min="10241" max="10241" width="10" style="203" customWidth="1"/>
    <col min="10242" max="10242" width="9.453125" style="203" customWidth="1"/>
    <col min="10243" max="10243" width="6.90625" style="203" customWidth="1"/>
    <col min="10244" max="10244" width="9.08984375" style="203" customWidth="1"/>
    <col min="10245" max="10245" width="9.81640625" style="203" customWidth="1"/>
    <col min="10246" max="10246" width="7.81640625" style="203" customWidth="1"/>
    <col min="10247" max="10247" width="10.90625" style="203" customWidth="1"/>
    <col min="10248" max="10249" width="0" style="203" hidden="1" customWidth="1"/>
    <col min="10250" max="10250" width="28.453125" style="203" customWidth="1"/>
    <col min="10251" max="10251" width="14.453125" style="203" customWidth="1"/>
    <col min="10252" max="10254" width="0" style="203" hidden="1" customWidth="1"/>
    <col min="10255" max="10255" width="10.81640625" style="203" customWidth="1"/>
    <col min="10256" max="10256" width="0" style="203" hidden="1" customWidth="1"/>
    <col min="10257" max="10257" width="7.1796875" style="203" customWidth="1"/>
    <col min="10258" max="10258" width="8.1796875" style="203" customWidth="1"/>
    <col min="10259" max="10259" width="5.453125" style="203" customWidth="1"/>
    <col min="10260" max="10261" width="10" style="203" customWidth="1"/>
    <col min="10262" max="10265" width="13.453125" style="203" customWidth="1"/>
    <col min="10266" max="10495" width="8.90625" style="203"/>
    <col min="10496" max="10496" width="5.453125" style="203" customWidth="1"/>
    <col min="10497" max="10497" width="10" style="203" customWidth="1"/>
    <col min="10498" max="10498" width="9.453125" style="203" customWidth="1"/>
    <col min="10499" max="10499" width="6.90625" style="203" customWidth="1"/>
    <col min="10500" max="10500" width="9.08984375" style="203" customWidth="1"/>
    <col min="10501" max="10501" width="9.81640625" style="203" customWidth="1"/>
    <col min="10502" max="10502" width="7.81640625" style="203" customWidth="1"/>
    <col min="10503" max="10503" width="10.90625" style="203" customWidth="1"/>
    <col min="10504" max="10505" width="0" style="203" hidden="1" customWidth="1"/>
    <col min="10506" max="10506" width="28.453125" style="203" customWidth="1"/>
    <col min="10507" max="10507" width="14.453125" style="203" customWidth="1"/>
    <col min="10508" max="10510" width="0" style="203" hidden="1" customWidth="1"/>
    <col min="10511" max="10511" width="10.81640625" style="203" customWidth="1"/>
    <col min="10512" max="10512" width="0" style="203" hidden="1" customWidth="1"/>
    <col min="10513" max="10513" width="7.1796875" style="203" customWidth="1"/>
    <col min="10514" max="10514" width="8.1796875" style="203" customWidth="1"/>
    <col min="10515" max="10515" width="5.453125" style="203" customWidth="1"/>
    <col min="10516" max="10517" width="10" style="203" customWidth="1"/>
    <col min="10518" max="10521" width="13.453125" style="203" customWidth="1"/>
    <col min="10522" max="10751" width="8.90625" style="203"/>
    <col min="10752" max="10752" width="5.453125" style="203" customWidth="1"/>
    <col min="10753" max="10753" width="10" style="203" customWidth="1"/>
    <col min="10754" max="10754" width="9.453125" style="203" customWidth="1"/>
    <col min="10755" max="10755" width="6.90625" style="203" customWidth="1"/>
    <col min="10756" max="10756" width="9.08984375" style="203" customWidth="1"/>
    <col min="10757" max="10757" width="9.81640625" style="203" customWidth="1"/>
    <col min="10758" max="10758" width="7.81640625" style="203" customWidth="1"/>
    <col min="10759" max="10759" width="10.90625" style="203" customWidth="1"/>
    <col min="10760" max="10761" width="0" style="203" hidden="1" customWidth="1"/>
    <col min="10762" max="10762" width="28.453125" style="203" customWidth="1"/>
    <col min="10763" max="10763" width="14.453125" style="203" customWidth="1"/>
    <col min="10764" max="10766" width="0" style="203" hidden="1" customWidth="1"/>
    <col min="10767" max="10767" width="10.81640625" style="203" customWidth="1"/>
    <col min="10768" max="10768" width="0" style="203" hidden="1" customWidth="1"/>
    <col min="10769" max="10769" width="7.1796875" style="203" customWidth="1"/>
    <col min="10770" max="10770" width="8.1796875" style="203" customWidth="1"/>
    <col min="10771" max="10771" width="5.453125" style="203" customWidth="1"/>
    <col min="10772" max="10773" width="10" style="203" customWidth="1"/>
    <col min="10774" max="10777" width="13.453125" style="203" customWidth="1"/>
    <col min="10778" max="11007" width="8.90625" style="203"/>
    <col min="11008" max="11008" width="5.453125" style="203" customWidth="1"/>
    <col min="11009" max="11009" width="10" style="203" customWidth="1"/>
    <col min="11010" max="11010" width="9.453125" style="203" customWidth="1"/>
    <col min="11011" max="11011" width="6.90625" style="203" customWidth="1"/>
    <col min="11012" max="11012" width="9.08984375" style="203" customWidth="1"/>
    <col min="11013" max="11013" width="9.81640625" style="203" customWidth="1"/>
    <col min="11014" max="11014" width="7.81640625" style="203" customWidth="1"/>
    <col min="11015" max="11015" width="10.90625" style="203" customWidth="1"/>
    <col min="11016" max="11017" width="0" style="203" hidden="1" customWidth="1"/>
    <col min="11018" max="11018" width="28.453125" style="203" customWidth="1"/>
    <col min="11019" max="11019" width="14.453125" style="203" customWidth="1"/>
    <col min="11020" max="11022" width="0" style="203" hidden="1" customWidth="1"/>
    <col min="11023" max="11023" width="10.81640625" style="203" customWidth="1"/>
    <col min="11024" max="11024" width="0" style="203" hidden="1" customWidth="1"/>
    <col min="11025" max="11025" width="7.1796875" style="203" customWidth="1"/>
    <col min="11026" max="11026" width="8.1796875" style="203" customWidth="1"/>
    <col min="11027" max="11027" width="5.453125" style="203" customWidth="1"/>
    <col min="11028" max="11029" width="10" style="203" customWidth="1"/>
    <col min="11030" max="11033" width="13.453125" style="203" customWidth="1"/>
    <col min="11034" max="11263" width="8.90625" style="203"/>
    <col min="11264" max="11264" width="5.453125" style="203" customWidth="1"/>
    <col min="11265" max="11265" width="10" style="203" customWidth="1"/>
    <col min="11266" max="11266" width="9.453125" style="203" customWidth="1"/>
    <col min="11267" max="11267" width="6.90625" style="203" customWidth="1"/>
    <col min="11268" max="11268" width="9.08984375" style="203" customWidth="1"/>
    <col min="11269" max="11269" width="9.81640625" style="203" customWidth="1"/>
    <col min="11270" max="11270" width="7.81640625" style="203" customWidth="1"/>
    <col min="11271" max="11271" width="10.90625" style="203" customWidth="1"/>
    <col min="11272" max="11273" width="0" style="203" hidden="1" customWidth="1"/>
    <col min="11274" max="11274" width="28.453125" style="203" customWidth="1"/>
    <col min="11275" max="11275" width="14.453125" style="203" customWidth="1"/>
    <col min="11276" max="11278" width="0" style="203" hidden="1" customWidth="1"/>
    <col min="11279" max="11279" width="10.81640625" style="203" customWidth="1"/>
    <col min="11280" max="11280" width="0" style="203" hidden="1" customWidth="1"/>
    <col min="11281" max="11281" width="7.1796875" style="203" customWidth="1"/>
    <col min="11282" max="11282" width="8.1796875" style="203" customWidth="1"/>
    <col min="11283" max="11283" width="5.453125" style="203" customWidth="1"/>
    <col min="11284" max="11285" width="10" style="203" customWidth="1"/>
    <col min="11286" max="11289" width="13.453125" style="203" customWidth="1"/>
    <col min="11290" max="11519" width="8.90625" style="203"/>
    <col min="11520" max="11520" width="5.453125" style="203" customWidth="1"/>
    <col min="11521" max="11521" width="10" style="203" customWidth="1"/>
    <col min="11522" max="11522" width="9.453125" style="203" customWidth="1"/>
    <col min="11523" max="11523" width="6.90625" style="203" customWidth="1"/>
    <col min="11524" max="11524" width="9.08984375" style="203" customWidth="1"/>
    <col min="11525" max="11525" width="9.81640625" style="203" customWidth="1"/>
    <col min="11526" max="11526" width="7.81640625" style="203" customWidth="1"/>
    <col min="11527" max="11527" width="10.90625" style="203" customWidth="1"/>
    <col min="11528" max="11529" width="0" style="203" hidden="1" customWidth="1"/>
    <col min="11530" max="11530" width="28.453125" style="203" customWidth="1"/>
    <col min="11531" max="11531" width="14.453125" style="203" customWidth="1"/>
    <col min="11532" max="11534" width="0" style="203" hidden="1" customWidth="1"/>
    <col min="11535" max="11535" width="10.81640625" style="203" customWidth="1"/>
    <col min="11536" max="11536" width="0" style="203" hidden="1" customWidth="1"/>
    <col min="11537" max="11537" width="7.1796875" style="203" customWidth="1"/>
    <col min="11538" max="11538" width="8.1796875" style="203" customWidth="1"/>
    <col min="11539" max="11539" width="5.453125" style="203" customWidth="1"/>
    <col min="11540" max="11541" width="10" style="203" customWidth="1"/>
    <col min="11542" max="11545" width="13.453125" style="203" customWidth="1"/>
    <col min="11546" max="11775" width="8.90625" style="203"/>
    <col min="11776" max="11776" width="5.453125" style="203" customWidth="1"/>
    <col min="11777" max="11777" width="10" style="203" customWidth="1"/>
    <col min="11778" max="11778" width="9.453125" style="203" customWidth="1"/>
    <col min="11779" max="11779" width="6.90625" style="203" customWidth="1"/>
    <col min="11780" max="11780" width="9.08984375" style="203" customWidth="1"/>
    <col min="11781" max="11781" width="9.81640625" style="203" customWidth="1"/>
    <col min="11782" max="11782" width="7.81640625" style="203" customWidth="1"/>
    <col min="11783" max="11783" width="10.90625" style="203" customWidth="1"/>
    <col min="11784" max="11785" width="0" style="203" hidden="1" customWidth="1"/>
    <col min="11786" max="11786" width="28.453125" style="203" customWidth="1"/>
    <col min="11787" max="11787" width="14.453125" style="203" customWidth="1"/>
    <col min="11788" max="11790" width="0" style="203" hidden="1" customWidth="1"/>
    <col min="11791" max="11791" width="10.81640625" style="203" customWidth="1"/>
    <col min="11792" max="11792" width="0" style="203" hidden="1" customWidth="1"/>
    <col min="11793" max="11793" width="7.1796875" style="203" customWidth="1"/>
    <col min="11794" max="11794" width="8.1796875" style="203" customWidth="1"/>
    <col min="11795" max="11795" width="5.453125" style="203" customWidth="1"/>
    <col min="11796" max="11797" width="10" style="203" customWidth="1"/>
    <col min="11798" max="11801" width="13.453125" style="203" customWidth="1"/>
    <col min="11802" max="12031" width="8.90625" style="203"/>
    <col min="12032" max="12032" width="5.453125" style="203" customWidth="1"/>
    <col min="12033" max="12033" width="10" style="203" customWidth="1"/>
    <col min="12034" max="12034" width="9.453125" style="203" customWidth="1"/>
    <col min="12035" max="12035" width="6.90625" style="203" customWidth="1"/>
    <col min="12036" max="12036" width="9.08984375" style="203" customWidth="1"/>
    <col min="12037" max="12037" width="9.81640625" style="203" customWidth="1"/>
    <col min="12038" max="12038" width="7.81640625" style="203" customWidth="1"/>
    <col min="12039" max="12039" width="10.90625" style="203" customWidth="1"/>
    <col min="12040" max="12041" width="0" style="203" hidden="1" customWidth="1"/>
    <col min="12042" max="12042" width="28.453125" style="203" customWidth="1"/>
    <col min="12043" max="12043" width="14.453125" style="203" customWidth="1"/>
    <col min="12044" max="12046" width="0" style="203" hidden="1" customWidth="1"/>
    <col min="12047" max="12047" width="10.81640625" style="203" customWidth="1"/>
    <col min="12048" max="12048" width="0" style="203" hidden="1" customWidth="1"/>
    <col min="12049" max="12049" width="7.1796875" style="203" customWidth="1"/>
    <col min="12050" max="12050" width="8.1796875" style="203" customWidth="1"/>
    <col min="12051" max="12051" width="5.453125" style="203" customWidth="1"/>
    <col min="12052" max="12053" width="10" style="203" customWidth="1"/>
    <col min="12054" max="12057" width="13.453125" style="203" customWidth="1"/>
    <col min="12058" max="12287" width="8.90625" style="203"/>
    <col min="12288" max="12288" width="5.453125" style="203" customWidth="1"/>
    <col min="12289" max="12289" width="10" style="203" customWidth="1"/>
    <col min="12290" max="12290" width="9.453125" style="203" customWidth="1"/>
    <col min="12291" max="12291" width="6.90625" style="203" customWidth="1"/>
    <col min="12292" max="12292" width="9.08984375" style="203" customWidth="1"/>
    <col min="12293" max="12293" width="9.81640625" style="203" customWidth="1"/>
    <col min="12294" max="12294" width="7.81640625" style="203" customWidth="1"/>
    <col min="12295" max="12295" width="10.90625" style="203" customWidth="1"/>
    <col min="12296" max="12297" width="0" style="203" hidden="1" customWidth="1"/>
    <col min="12298" max="12298" width="28.453125" style="203" customWidth="1"/>
    <col min="12299" max="12299" width="14.453125" style="203" customWidth="1"/>
    <col min="12300" max="12302" width="0" style="203" hidden="1" customWidth="1"/>
    <col min="12303" max="12303" width="10.81640625" style="203" customWidth="1"/>
    <col min="12304" max="12304" width="0" style="203" hidden="1" customWidth="1"/>
    <col min="12305" max="12305" width="7.1796875" style="203" customWidth="1"/>
    <col min="12306" max="12306" width="8.1796875" style="203" customWidth="1"/>
    <col min="12307" max="12307" width="5.453125" style="203" customWidth="1"/>
    <col min="12308" max="12309" width="10" style="203" customWidth="1"/>
    <col min="12310" max="12313" width="13.453125" style="203" customWidth="1"/>
    <col min="12314" max="12543" width="8.90625" style="203"/>
    <col min="12544" max="12544" width="5.453125" style="203" customWidth="1"/>
    <col min="12545" max="12545" width="10" style="203" customWidth="1"/>
    <col min="12546" max="12546" width="9.453125" style="203" customWidth="1"/>
    <col min="12547" max="12547" width="6.90625" style="203" customWidth="1"/>
    <col min="12548" max="12548" width="9.08984375" style="203" customWidth="1"/>
    <col min="12549" max="12549" width="9.81640625" style="203" customWidth="1"/>
    <col min="12550" max="12550" width="7.81640625" style="203" customWidth="1"/>
    <col min="12551" max="12551" width="10.90625" style="203" customWidth="1"/>
    <col min="12552" max="12553" width="0" style="203" hidden="1" customWidth="1"/>
    <col min="12554" max="12554" width="28.453125" style="203" customWidth="1"/>
    <col min="12555" max="12555" width="14.453125" style="203" customWidth="1"/>
    <col min="12556" max="12558" width="0" style="203" hidden="1" customWidth="1"/>
    <col min="12559" max="12559" width="10.81640625" style="203" customWidth="1"/>
    <col min="12560" max="12560" width="0" style="203" hidden="1" customWidth="1"/>
    <col min="12561" max="12561" width="7.1796875" style="203" customWidth="1"/>
    <col min="12562" max="12562" width="8.1796875" style="203" customWidth="1"/>
    <col min="12563" max="12563" width="5.453125" style="203" customWidth="1"/>
    <col min="12564" max="12565" width="10" style="203" customWidth="1"/>
    <col min="12566" max="12569" width="13.453125" style="203" customWidth="1"/>
    <col min="12570" max="12799" width="8.90625" style="203"/>
    <col min="12800" max="12800" width="5.453125" style="203" customWidth="1"/>
    <col min="12801" max="12801" width="10" style="203" customWidth="1"/>
    <col min="12802" max="12802" width="9.453125" style="203" customWidth="1"/>
    <col min="12803" max="12803" width="6.90625" style="203" customWidth="1"/>
    <col min="12804" max="12804" width="9.08984375" style="203" customWidth="1"/>
    <col min="12805" max="12805" width="9.81640625" style="203" customWidth="1"/>
    <col min="12806" max="12806" width="7.81640625" style="203" customWidth="1"/>
    <col min="12807" max="12807" width="10.90625" style="203" customWidth="1"/>
    <col min="12808" max="12809" width="0" style="203" hidden="1" customWidth="1"/>
    <col min="12810" max="12810" width="28.453125" style="203" customWidth="1"/>
    <col min="12811" max="12811" width="14.453125" style="203" customWidth="1"/>
    <col min="12812" max="12814" width="0" style="203" hidden="1" customWidth="1"/>
    <col min="12815" max="12815" width="10.81640625" style="203" customWidth="1"/>
    <col min="12816" max="12816" width="0" style="203" hidden="1" customWidth="1"/>
    <col min="12817" max="12817" width="7.1796875" style="203" customWidth="1"/>
    <col min="12818" max="12818" width="8.1796875" style="203" customWidth="1"/>
    <col min="12819" max="12819" width="5.453125" style="203" customWidth="1"/>
    <col min="12820" max="12821" width="10" style="203" customWidth="1"/>
    <col min="12822" max="12825" width="13.453125" style="203" customWidth="1"/>
    <col min="12826" max="13055" width="8.90625" style="203"/>
    <col min="13056" max="13056" width="5.453125" style="203" customWidth="1"/>
    <col min="13057" max="13057" width="10" style="203" customWidth="1"/>
    <col min="13058" max="13058" width="9.453125" style="203" customWidth="1"/>
    <col min="13059" max="13059" width="6.90625" style="203" customWidth="1"/>
    <col min="13060" max="13060" width="9.08984375" style="203" customWidth="1"/>
    <col min="13061" max="13061" width="9.81640625" style="203" customWidth="1"/>
    <col min="13062" max="13062" width="7.81640625" style="203" customWidth="1"/>
    <col min="13063" max="13063" width="10.90625" style="203" customWidth="1"/>
    <col min="13064" max="13065" width="0" style="203" hidden="1" customWidth="1"/>
    <col min="13066" max="13066" width="28.453125" style="203" customWidth="1"/>
    <col min="13067" max="13067" width="14.453125" style="203" customWidth="1"/>
    <col min="13068" max="13070" width="0" style="203" hidden="1" customWidth="1"/>
    <col min="13071" max="13071" width="10.81640625" style="203" customWidth="1"/>
    <col min="13072" max="13072" width="0" style="203" hidden="1" customWidth="1"/>
    <col min="13073" max="13073" width="7.1796875" style="203" customWidth="1"/>
    <col min="13074" max="13074" width="8.1796875" style="203" customWidth="1"/>
    <col min="13075" max="13075" width="5.453125" style="203" customWidth="1"/>
    <col min="13076" max="13077" width="10" style="203" customWidth="1"/>
    <col min="13078" max="13081" width="13.453125" style="203" customWidth="1"/>
    <col min="13082" max="13311" width="8.90625" style="203"/>
    <col min="13312" max="13312" width="5.453125" style="203" customWidth="1"/>
    <col min="13313" max="13313" width="10" style="203" customWidth="1"/>
    <col min="13314" max="13314" width="9.453125" style="203" customWidth="1"/>
    <col min="13315" max="13315" width="6.90625" style="203" customWidth="1"/>
    <col min="13316" max="13316" width="9.08984375" style="203" customWidth="1"/>
    <col min="13317" max="13317" width="9.81640625" style="203" customWidth="1"/>
    <col min="13318" max="13318" width="7.81640625" style="203" customWidth="1"/>
    <col min="13319" max="13319" width="10.90625" style="203" customWidth="1"/>
    <col min="13320" max="13321" width="0" style="203" hidden="1" customWidth="1"/>
    <col min="13322" max="13322" width="28.453125" style="203" customWidth="1"/>
    <col min="13323" max="13323" width="14.453125" style="203" customWidth="1"/>
    <col min="13324" max="13326" width="0" style="203" hidden="1" customWidth="1"/>
    <col min="13327" max="13327" width="10.81640625" style="203" customWidth="1"/>
    <col min="13328" max="13328" width="0" style="203" hidden="1" customWidth="1"/>
    <col min="13329" max="13329" width="7.1796875" style="203" customWidth="1"/>
    <col min="13330" max="13330" width="8.1796875" style="203" customWidth="1"/>
    <col min="13331" max="13331" width="5.453125" style="203" customWidth="1"/>
    <col min="13332" max="13333" width="10" style="203" customWidth="1"/>
    <col min="13334" max="13337" width="13.453125" style="203" customWidth="1"/>
    <col min="13338" max="13567" width="8.90625" style="203"/>
    <col min="13568" max="13568" width="5.453125" style="203" customWidth="1"/>
    <col min="13569" max="13569" width="10" style="203" customWidth="1"/>
    <col min="13570" max="13570" width="9.453125" style="203" customWidth="1"/>
    <col min="13571" max="13571" width="6.90625" style="203" customWidth="1"/>
    <col min="13572" max="13572" width="9.08984375" style="203" customWidth="1"/>
    <col min="13573" max="13573" width="9.81640625" style="203" customWidth="1"/>
    <col min="13574" max="13574" width="7.81640625" style="203" customWidth="1"/>
    <col min="13575" max="13575" width="10.90625" style="203" customWidth="1"/>
    <col min="13576" max="13577" width="0" style="203" hidden="1" customWidth="1"/>
    <col min="13578" max="13578" width="28.453125" style="203" customWidth="1"/>
    <col min="13579" max="13579" width="14.453125" style="203" customWidth="1"/>
    <col min="13580" max="13582" width="0" style="203" hidden="1" customWidth="1"/>
    <col min="13583" max="13583" width="10.81640625" style="203" customWidth="1"/>
    <col min="13584" max="13584" width="0" style="203" hidden="1" customWidth="1"/>
    <col min="13585" max="13585" width="7.1796875" style="203" customWidth="1"/>
    <col min="13586" max="13586" width="8.1796875" style="203" customWidth="1"/>
    <col min="13587" max="13587" width="5.453125" style="203" customWidth="1"/>
    <col min="13588" max="13589" width="10" style="203" customWidth="1"/>
    <col min="13590" max="13593" width="13.453125" style="203" customWidth="1"/>
    <col min="13594" max="13823" width="8.90625" style="203"/>
    <col min="13824" max="13824" width="5.453125" style="203" customWidth="1"/>
    <col min="13825" max="13825" width="10" style="203" customWidth="1"/>
    <col min="13826" max="13826" width="9.453125" style="203" customWidth="1"/>
    <col min="13827" max="13827" width="6.90625" style="203" customWidth="1"/>
    <col min="13828" max="13828" width="9.08984375" style="203" customWidth="1"/>
    <col min="13829" max="13829" width="9.81640625" style="203" customWidth="1"/>
    <col min="13830" max="13830" width="7.81640625" style="203" customWidth="1"/>
    <col min="13831" max="13831" width="10.90625" style="203" customWidth="1"/>
    <col min="13832" max="13833" width="0" style="203" hidden="1" customWidth="1"/>
    <col min="13834" max="13834" width="28.453125" style="203" customWidth="1"/>
    <col min="13835" max="13835" width="14.453125" style="203" customWidth="1"/>
    <col min="13836" max="13838" width="0" style="203" hidden="1" customWidth="1"/>
    <col min="13839" max="13839" width="10.81640625" style="203" customWidth="1"/>
    <col min="13840" max="13840" width="0" style="203" hidden="1" customWidth="1"/>
    <col min="13841" max="13841" width="7.1796875" style="203" customWidth="1"/>
    <col min="13842" max="13842" width="8.1796875" style="203" customWidth="1"/>
    <col min="13843" max="13843" width="5.453125" style="203" customWidth="1"/>
    <col min="13844" max="13845" width="10" style="203" customWidth="1"/>
    <col min="13846" max="13849" width="13.453125" style="203" customWidth="1"/>
    <col min="13850" max="14079" width="8.90625" style="203"/>
    <col min="14080" max="14080" width="5.453125" style="203" customWidth="1"/>
    <col min="14081" max="14081" width="10" style="203" customWidth="1"/>
    <col min="14082" max="14082" width="9.453125" style="203" customWidth="1"/>
    <col min="14083" max="14083" width="6.90625" style="203" customWidth="1"/>
    <col min="14084" max="14084" width="9.08984375" style="203" customWidth="1"/>
    <col min="14085" max="14085" width="9.81640625" style="203" customWidth="1"/>
    <col min="14086" max="14086" width="7.81640625" style="203" customWidth="1"/>
    <col min="14087" max="14087" width="10.90625" style="203" customWidth="1"/>
    <col min="14088" max="14089" width="0" style="203" hidden="1" customWidth="1"/>
    <col min="14090" max="14090" width="28.453125" style="203" customWidth="1"/>
    <col min="14091" max="14091" width="14.453125" style="203" customWidth="1"/>
    <col min="14092" max="14094" width="0" style="203" hidden="1" customWidth="1"/>
    <col min="14095" max="14095" width="10.81640625" style="203" customWidth="1"/>
    <col min="14096" max="14096" width="0" style="203" hidden="1" customWidth="1"/>
    <col min="14097" max="14097" width="7.1796875" style="203" customWidth="1"/>
    <col min="14098" max="14098" width="8.1796875" style="203" customWidth="1"/>
    <col min="14099" max="14099" width="5.453125" style="203" customWidth="1"/>
    <col min="14100" max="14101" width="10" style="203" customWidth="1"/>
    <col min="14102" max="14105" width="13.453125" style="203" customWidth="1"/>
    <col min="14106" max="14335" width="8.90625" style="203"/>
    <col min="14336" max="14336" width="5.453125" style="203" customWidth="1"/>
    <col min="14337" max="14337" width="10" style="203" customWidth="1"/>
    <col min="14338" max="14338" width="9.453125" style="203" customWidth="1"/>
    <col min="14339" max="14339" width="6.90625" style="203" customWidth="1"/>
    <col min="14340" max="14340" width="9.08984375" style="203" customWidth="1"/>
    <col min="14341" max="14341" width="9.81640625" style="203" customWidth="1"/>
    <col min="14342" max="14342" width="7.81640625" style="203" customWidth="1"/>
    <col min="14343" max="14343" width="10.90625" style="203" customWidth="1"/>
    <col min="14344" max="14345" width="0" style="203" hidden="1" customWidth="1"/>
    <col min="14346" max="14346" width="28.453125" style="203" customWidth="1"/>
    <col min="14347" max="14347" width="14.453125" style="203" customWidth="1"/>
    <col min="14348" max="14350" width="0" style="203" hidden="1" customWidth="1"/>
    <col min="14351" max="14351" width="10.81640625" style="203" customWidth="1"/>
    <col min="14352" max="14352" width="0" style="203" hidden="1" customWidth="1"/>
    <col min="14353" max="14353" width="7.1796875" style="203" customWidth="1"/>
    <col min="14354" max="14354" width="8.1796875" style="203" customWidth="1"/>
    <col min="14355" max="14355" width="5.453125" style="203" customWidth="1"/>
    <col min="14356" max="14357" width="10" style="203" customWidth="1"/>
    <col min="14358" max="14361" width="13.453125" style="203" customWidth="1"/>
    <col min="14362" max="14591" width="8.90625" style="203"/>
    <col min="14592" max="14592" width="5.453125" style="203" customWidth="1"/>
    <col min="14593" max="14593" width="10" style="203" customWidth="1"/>
    <col min="14594" max="14594" width="9.453125" style="203" customWidth="1"/>
    <col min="14595" max="14595" width="6.90625" style="203" customWidth="1"/>
    <col min="14596" max="14596" width="9.08984375" style="203" customWidth="1"/>
    <col min="14597" max="14597" width="9.81640625" style="203" customWidth="1"/>
    <col min="14598" max="14598" width="7.81640625" style="203" customWidth="1"/>
    <col min="14599" max="14599" width="10.90625" style="203" customWidth="1"/>
    <col min="14600" max="14601" width="0" style="203" hidden="1" customWidth="1"/>
    <col min="14602" max="14602" width="28.453125" style="203" customWidth="1"/>
    <col min="14603" max="14603" width="14.453125" style="203" customWidth="1"/>
    <col min="14604" max="14606" width="0" style="203" hidden="1" customWidth="1"/>
    <col min="14607" max="14607" width="10.81640625" style="203" customWidth="1"/>
    <col min="14608" max="14608" width="0" style="203" hidden="1" customWidth="1"/>
    <col min="14609" max="14609" width="7.1796875" style="203" customWidth="1"/>
    <col min="14610" max="14610" width="8.1796875" style="203" customWidth="1"/>
    <col min="14611" max="14611" width="5.453125" style="203" customWidth="1"/>
    <col min="14612" max="14613" width="10" style="203" customWidth="1"/>
    <col min="14614" max="14617" width="13.453125" style="203" customWidth="1"/>
    <col min="14618" max="14847" width="8.90625" style="203"/>
    <col min="14848" max="14848" width="5.453125" style="203" customWidth="1"/>
    <col min="14849" max="14849" width="10" style="203" customWidth="1"/>
    <col min="14850" max="14850" width="9.453125" style="203" customWidth="1"/>
    <col min="14851" max="14851" width="6.90625" style="203" customWidth="1"/>
    <col min="14852" max="14852" width="9.08984375" style="203" customWidth="1"/>
    <col min="14853" max="14853" width="9.81640625" style="203" customWidth="1"/>
    <col min="14854" max="14854" width="7.81640625" style="203" customWidth="1"/>
    <col min="14855" max="14855" width="10.90625" style="203" customWidth="1"/>
    <col min="14856" max="14857" width="0" style="203" hidden="1" customWidth="1"/>
    <col min="14858" max="14858" width="28.453125" style="203" customWidth="1"/>
    <col min="14859" max="14859" width="14.453125" style="203" customWidth="1"/>
    <col min="14860" max="14862" width="0" style="203" hidden="1" customWidth="1"/>
    <col min="14863" max="14863" width="10.81640625" style="203" customWidth="1"/>
    <col min="14864" max="14864" width="0" style="203" hidden="1" customWidth="1"/>
    <col min="14865" max="14865" width="7.1796875" style="203" customWidth="1"/>
    <col min="14866" max="14866" width="8.1796875" style="203" customWidth="1"/>
    <col min="14867" max="14867" width="5.453125" style="203" customWidth="1"/>
    <col min="14868" max="14869" width="10" style="203" customWidth="1"/>
    <col min="14870" max="14873" width="13.453125" style="203" customWidth="1"/>
    <col min="14874" max="15103" width="8.90625" style="203"/>
    <col min="15104" max="15104" width="5.453125" style="203" customWidth="1"/>
    <col min="15105" max="15105" width="10" style="203" customWidth="1"/>
    <col min="15106" max="15106" width="9.453125" style="203" customWidth="1"/>
    <col min="15107" max="15107" width="6.90625" style="203" customWidth="1"/>
    <col min="15108" max="15108" width="9.08984375" style="203" customWidth="1"/>
    <col min="15109" max="15109" width="9.81640625" style="203" customWidth="1"/>
    <col min="15110" max="15110" width="7.81640625" style="203" customWidth="1"/>
    <col min="15111" max="15111" width="10.90625" style="203" customWidth="1"/>
    <col min="15112" max="15113" width="0" style="203" hidden="1" customWidth="1"/>
    <col min="15114" max="15114" width="28.453125" style="203" customWidth="1"/>
    <col min="15115" max="15115" width="14.453125" style="203" customWidth="1"/>
    <col min="15116" max="15118" width="0" style="203" hidden="1" customWidth="1"/>
    <col min="15119" max="15119" width="10.81640625" style="203" customWidth="1"/>
    <col min="15120" max="15120" width="0" style="203" hidden="1" customWidth="1"/>
    <col min="15121" max="15121" width="7.1796875" style="203" customWidth="1"/>
    <col min="15122" max="15122" width="8.1796875" style="203" customWidth="1"/>
    <col min="15123" max="15123" width="5.453125" style="203" customWidth="1"/>
    <col min="15124" max="15125" width="10" style="203" customWidth="1"/>
    <col min="15126" max="15129" width="13.453125" style="203" customWidth="1"/>
    <col min="15130" max="15359" width="8.90625" style="203"/>
    <col min="15360" max="15360" width="5.453125" style="203" customWidth="1"/>
    <col min="15361" max="15361" width="10" style="203" customWidth="1"/>
    <col min="15362" max="15362" width="9.453125" style="203" customWidth="1"/>
    <col min="15363" max="15363" width="6.90625" style="203" customWidth="1"/>
    <col min="15364" max="15364" width="9.08984375" style="203" customWidth="1"/>
    <col min="15365" max="15365" width="9.81640625" style="203" customWidth="1"/>
    <col min="15366" max="15366" width="7.81640625" style="203" customWidth="1"/>
    <col min="15367" max="15367" width="10.90625" style="203" customWidth="1"/>
    <col min="15368" max="15369" width="0" style="203" hidden="1" customWidth="1"/>
    <col min="15370" max="15370" width="28.453125" style="203" customWidth="1"/>
    <col min="15371" max="15371" width="14.453125" style="203" customWidth="1"/>
    <col min="15372" max="15374" width="0" style="203" hidden="1" customWidth="1"/>
    <col min="15375" max="15375" width="10.81640625" style="203" customWidth="1"/>
    <col min="15376" max="15376" width="0" style="203" hidden="1" customWidth="1"/>
    <col min="15377" max="15377" width="7.1796875" style="203" customWidth="1"/>
    <col min="15378" max="15378" width="8.1796875" style="203" customWidth="1"/>
    <col min="15379" max="15379" width="5.453125" style="203" customWidth="1"/>
    <col min="15380" max="15381" width="10" style="203" customWidth="1"/>
    <col min="15382" max="15385" width="13.453125" style="203" customWidth="1"/>
    <col min="15386" max="15615" width="8.90625" style="203"/>
    <col min="15616" max="15616" width="5.453125" style="203" customWidth="1"/>
    <col min="15617" max="15617" width="10" style="203" customWidth="1"/>
    <col min="15618" max="15618" width="9.453125" style="203" customWidth="1"/>
    <col min="15619" max="15619" width="6.90625" style="203" customWidth="1"/>
    <col min="15620" max="15620" width="9.08984375" style="203" customWidth="1"/>
    <col min="15621" max="15621" width="9.81640625" style="203" customWidth="1"/>
    <col min="15622" max="15622" width="7.81640625" style="203" customWidth="1"/>
    <col min="15623" max="15623" width="10.90625" style="203" customWidth="1"/>
    <col min="15624" max="15625" width="0" style="203" hidden="1" customWidth="1"/>
    <col min="15626" max="15626" width="28.453125" style="203" customWidth="1"/>
    <col min="15627" max="15627" width="14.453125" style="203" customWidth="1"/>
    <col min="15628" max="15630" width="0" style="203" hidden="1" customWidth="1"/>
    <col min="15631" max="15631" width="10.81640625" style="203" customWidth="1"/>
    <col min="15632" max="15632" width="0" style="203" hidden="1" customWidth="1"/>
    <col min="15633" max="15633" width="7.1796875" style="203" customWidth="1"/>
    <col min="15634" max="15634" width="8.1796875" style="203" customWidth="1"/>
    <col min="15635" max="15635" width="5.453125" style="203" customWidth="1"/>
    <col min="15636" max="15637" width="10" style="203" customWidth="1"/>
    <col min="15638" max="15641" width="13.453125" style="203" customWidth="1"/>
    <col min="15642" max="15871" width="8.90625" style="203"/>
    <col min="15872" max="15872" width="5.453125" style="203" customWidth="1"/>
    <col min="15873" max="15873" width="10" style="203" customWidth="1"/>
    <col min="15874" max="15874" width="9.453125" style="203" customWidth="1"/>
    <col min="15875" max="15875" width="6.90625" style="203" customWidth="1"/>
    <col min="15876" max="15876" width="9.08984375" style="203" customWidth="1"/>
    <col min="15877" max="15877" width="9.81640625" style="203" customWidth="1"/>
    <col min="15878" max="15878" width="7.81640625" style="203" customWidth="1"/>
    <col min="15879" max="15879" width="10.90625" style="203" customWidth="1"/>
    <col min="15880" max="15881" width="0" style="203" hidden="1" customWidth="1"/>
    <col min="15882" max="15882" width="28.453125" style="203" customWidth="1"/>
    <col min="15883" max="15883" width="14.453125" style="203" customWidth="1"/>
    <col min="15884" max="15886" width="0" style="203" hidden="1" customWidth="1"/>
    <col min="15887" max="15887" width="10.81640625" style="203" customWidth="1"/>
    <col min="15888" max="15888" width="0" style="203" hidden="1" customWidth="1"/>
    <col min="15889" max="15889" width="7.1796875" style="203" customWidth="1"/>
    <col min="15890" max="15890" width="8.1796875" style="203" customWidth="1"/>
    <col min="15891" max="15891" width="5.453125" style="203" customWidth="1"/>
    <col min="15892" max="15893" width="10" style="203" customWidth="1"/>
    <col min="15894" max="15897" width="13.453125" style="203" customWidth="1"/>
    <col min="15898" max="16127" width="8.90625" style="203"/>
    <col min="16128" max="16128" width="5.453125" style="203" customWidth="1"/>
    <col min="16129" max="16129" width="10" style="203" customWidth="1"/>
    <col min="16130" max="16130" width="9.453125" style="203" customWidth="1"/>
    <col min="16131" max="16131" width="6.90625" style="203" customWidth="1"/>
    <col min="16132" max="16132" width="9.08984375" style="203" customWidth="1"/>
    <col min="16133" max="16133" width="9.81640625" style="203" customWidth="1"/>
    <col min="16134" max="16134" width="7.81640625" style="203" customWidth="1"/>
    <col min="16135" max="16135" width="10.90625" style="203" customWidth="1"/>
    <col min="16136" max="16137" width="0" style="203" hidden="1" customWidth="1"/>
    <col min="16138" max="16138" width="28.453125" style="203" customWidth="1"/>
    <col min="16139" max="16139" width="14.453125" style="203" customWidth="1"/>
    <col min="16140" max="16142" width="0" style="203" hidden="1" customWidth="1"/>
    <col min="16143" max="16143" width="10.81640625" style="203" customWidth="1"/>
    <col min="16144" max="16144" width="0" style="203" hidden="1" customWidth="1"/>
    <col min="16145" max="16145" width="7.1796875" style="203" customWidth="1"/>
    <col min="16146" max="16146" width="8.1796875" style="203" customWidth="1"/>
    <col min="16147" max="16147" width="5.453125" style="203" customWidth="1"/>
    <col min="16148" max="16149" width="10" style="203" customWidth="1"/>
    <col min="16150" max="16153" width="13.453125" style="203" customWidth="1"/>
    <col min="16154" max="16384" width="8.90625" style="203"/>
  </cols>
  <sheetData>
    <row r="1" spans="1:26" ht="33.75" customHeight="1" thickBot="1">
      <c r="A1" s="261" t="s">
        <v>3028</v>
      </c>
      <c r="B1" s="257"/>
      <c r="C1" s="257"/>
      <c r="D1" s="258"/>
      <c r="E1" s="259"/>
      <c r="F1" s="259"/>
      <c r="G1" s="259"/>
      <c r="H1" s="259"/>
      <c r="I1" s="258"/>
      <c r="J1" s="258"/>
      <c r="K1" s="260"/>
      <c r="L1" s="260"/>
    </row>
    <row r="2" spans="1:26" ht="17.5" hidden="1" thickBot="1"/>
    <row r="3" spans="1:26" s="344" customFormat="1" ht="39" customHeight="1" thickBot="1">
      <c r="A3" s="162" t="s">
        <v>2885</v>
      </c>
      <c r="B3" s="162" t="s">
        <v>2886</v>
      </c>
      <c r="C3" s="162" t="s">
        <v>2887</v>
      </c>
      <c r="D3" s="162" t="s">
        <v>2888</v>
      </c>
      <c r="E3" s="162" t="s">
        <v>2889</v>
      </c>
      <c r="F3" s="162" t="s">
        <v>2890</v>
      </c>
      <c r="G3" s="162" t="s">
        <v>2891</v>
      </c>
      <c r="H3" s="162" t="s">
        <v>2892</v>
      </c>
      <c r="I3" s="162" t="s">
        <v>2893</v>
      </c>
      <c r="J3" s="162" t="s">
        <v>2894</v>
      </c>
      <c r="K3" s="162" t="s">
        <v>2456</v>
      </c>
      <c r="L3" s="162" t="s">
        <v>2895</v>
      </c>
      <c r="M3" s="341" t="s">
        <v>2896</v>
      </c>
      <c r="N3" s="199" t="s">
        <v>2897</v>
      </c>
      <c r="O3" s="342" t="s">
        <v>3152</v>
      </c>
      <c r="P3" s="342" t="s">
        <v>2898</v>
      </c>
      <c r="Q3" s="343"/>
      <c r="R3" s="164" t="s">
        <v>2899</v>
      </c>
      <c r="S3" s="164" t="s">
        <v>2900</v>
      </c>
      <c r="T3" s="164" t="s">
        <v>2901</v>
      </c>
      <c r="U3" s="164" t="s">
        <v>3153</v>
      </c>
      <c r="V3" s="164" t="s">
        <v>3076</v>
      </c>
      <c r="W3" s="164" t="s">
        <v>2902</v>
      </c>
      <c r="X3" s="164"/>
      <c r="Y3" s="164"/>
      <c r="Z3" s="165"/>
    </row>
    <row r="4" spans="1:26">
      <c r="A4" s="166">
        <v>1</v>
      </c>
      <c r="B4" s="166" t="s">
        <v>32</v>
      </c>
      <c r="C4" s="166" t="s">
        <v>3258</v>
      </c>
      <c r="D4" s="167"/>
      <c r="E4" s="168" t="s">
        <v>413</v>
      </c>
      <c r="F4" s="169">
        <v>1000</v>
      </c>
      <c r="G4" s="168">
        <v>67</v>
      </c>
      <c r="H4" s="169">
        <v>67000</v>
      </c>
      <c r="I4" s="186"/>
      <c r="J4" s="186"/>
      <c r="K4" s="170" t="s">
        <v>2903</v>
      </c>
      <c r="L4" s="170"/>
      <c r="M4" s="175"/>
      <c r="N4" s="172">
        <v>67000</v>
      </c>
      <c r="O4" s="172"/>
      <c r="P4" s="173" t="s">
        <v>2461</v>
      </c>
      <c r="Q4" s="174" t="str">
        <f t="shared" ref="Q4:Q65" si="0">IF(N4&lt;&gt;0,"註3",IF(O4&lt;&gt;0,"註4",""))</f>
        <v>註3</v>
      </c>
      <c r="R4" s="203" t="e">
        <f>INDEX([1]告訴人!$D$15:$F$372,MATCH(C4,[1]告訴人!$F$15:$F$372,0),1)</f>
        <v>#N/A</v>
      </c>
      <c r="S4" s="203" t="str">
        <f t="array" ref="S4">IF(OR(C4=[1]告訴人!$F$15:$F$372),"重疊","")</f>
        <v/>
      </c>
    </row>
    <row r="5" spans="1:26" ht="20" customHeight="1">
      <c r="A5" s="166">
        <v>2</v>
      </c>
      <c r="B5" s="166" t="s">
        <v>32</v>
      </c>
      <c r="C5" s="166" t="s">
        <v>544</v>
      </c>
      <c r="D5" s="167"/>
      <c r="E5" s="168" t="s">
        <v>545</v>
      </c>
      <c r="F5" s="169">
        <v>1000</v>
      </c>
      <c r="G5" s="168">
        <v>68</v>
      </c>
      <c r="H5" s="169">
        <v>68000</v>
      </c>
      <c r="I5" s="186"/>
      <c r="J5" s="186"/>
      <c r="K5" s="170" t="s">
        <v>2903</v>
      </c>
      <c r="L5" s="170"/>
      <c r="M5" s="175"/>
      <c r="N5" s="172">
        <v>68000</v>
      </c>
      <c r="O5" s="172"/>
      <c r="P5" s="173" t="s">
        <v>2461</v>
      </c>
      <c r="Q5" s="174" t="str">
        <f t="shared" si="0"/>
        <v>註3</v>
      </c>
      <c r="R5" s="203" t="e">
        <f>INDEX([1]告訴人!$D$15:$F$372,MATCH(C5,[1]告訴人!$F$15:$F$372,0),1)</f>
        <v>#N/A</v>
      </c>
      <c r="S5" s="203" t="str">
        <f t="array" ref="S5">IF(OR(C5=[1]告訴人!$F$15:$F$372),"重疊","")</f>
        <v/>
      </c>
    </row>
    <row r="6" spans="1:26">
      <c r="A6" s="166">
        <v>3</v>
      </c>
      <c r="B6" s="166" t="s">
        <v>32</v>
      </c>
      <c r="C6" s="166" t="s">
        <v>551</v>
      </c>
      <c r="D6" s="167"/>
      <c r="E6" s="168" t="s">
        <v>94</v>
      </c>
      <c r="F6" s="169">
        <v>2000</v>
      </c>
      <c r="G6" s="168">
        <v>69</v>
      </c>
      <c r="H6" s="169">
        <v>138000</v>
      </c>
      <c r="I6" s="186"/>
      <c r="J6" s="186"/>
      <c r="K6" s="170" t="s">
        <v>2903</v>
      </c>
      <c r="L6" s="170"/>
      <c r="M6" s="175"/>
      <c r="N6" s="172">
        <v>138000</v>
      </c>
      <c r="O6" s="172"/>
      <c r="P6" s="173" t="s">
        <v>2461</v>
      </c>
      <c r="Q6" s="174" t="str">
        <f t="shared" si="0"/>
        <v>註3</v>
      </c>
      <c r="R6" s="203" t="e">
        <f>INDEX([1]告訴人!$D$15:$F$372,MATCH(C6,[1]告訴人!$F$15:$F$372,0),1)</f>
        <v>#N/A</v>
      </c>
      <c r="S6" s="203" t="str">
        <f t="array" ref="S6">IF(OR(C6=[1]告訴人!$F$15:$F$372),"重疊","")</f>
        <v/>
      </c>
    </row>
    <row r="7" spans="1:26" ht="18.649999999999999" customHeight="1">
      <c r="A7" s="166">
        <v>4</v>
      </c>
      <c r="B7" s="166" t="s">
        <v>32</v>
      </c>
      <c r="C7" s="166" t="s">
        <v>232</v>
      </c>
      <c r="D7" s="167"/>
      <c r="E7" s="168" t="s">
        <v>559</v>
      </c>
      <c r="F7" s="169">
        <v>1000</v>
      </c>
      <c r="G7" s="168">
        <v>69</v>
      </c>
      <c r="H7" s="169">
        <v>69000</v>
      </c>
      <c r="I7" s="186"/>
      <c r="J7" s="186"/>
      <c r="K7" s="170" t="s">
        <v>2904</v>
      </c>
      <c r="L7" s="170"/>
      <c r="M7" s="175"/>
      <c r="N7" s="172">
        <v>69000</v>
      </c>
      <c r="O7" s="172"/>
      <c r="P7" s="173" t="s">
        <v>2461</v>
      </c>
      <c r="Q7" s="174" t="str">
        <f t="shared" si="0"/>
        <v>註3</v>
      </c>
      <c r="R7" s="203" t="e">
        <f>INDEX([1]告訴人!$D$15:$F$372,MATCH(C7,[1]告訴人!$F$15:$F$372,0),1)</f>
        <v>#N/A</v>
      </c>
      <c r="S7" s="203" t="str">
        <f t="array" ref="S7">IF(OR(C7=[1]告訴人!$F$15:$F$372),"重疊","")</f>
        <v/>
      </c>
    </row>
    <row r="8" spans="1:26" ht="83.9" customHeight="1">
      <c r="A8" s="166">
        <v>5</v>
      </c>
      <c r="B8" s="166" t="s">
        <v>32</v>
      </c>
      <c r="C8" s="166" t="s">
        <v>508</v>
      </c>
      <c r="D8" s="167"/>
      <c r="E8" s="168" t="s">
        <v>509</v>
      </c>
      <c r="F8" s="169">
        <v>2000</v>
      </c>
      <c r="G8" s="168">
        <v>67</v>
      </c>
      <c r="H8" s="169">
        <v>134000</v>
      </c>
      <c r="I8" s="186" t="s">
        <v>1083</v>
      </c>
      <c r="J8" s="186" t="s">
        <v>1083</v>
      </c>
      <c r="K8" s="170" t="s">
        <v>3154</v>
      </c>
      <c r="L8" s="170" t="s">
        <v>3573</v>
      </c>
      <c r="M8" s="175" t="s">
        <v>2905</v>
      </c>
      <c r="N8" s="172">
        <v>134000</v>
      </c>
      <c r="O8" s="172"/>
      <c r="P8" s="173" t="s">
        <v>2461</v>
      </c>
      <c r="Q8" s="174" t="str">
        <f t="shared" si="0"/>
        <v>註3</v>
      </c>
      <c r="R8" s="203">
        <f>INDEX([1]告訴人!$D$15:$F$372,MATCH(C8,[1]告訴人!$F$15:$F$372,0),1)</f>
        <v>91</v>
      </c>
      <c r="S8" s="203" t="str">
        <f t="array" ref="S8">IF(OR(C8=[1]告訴人!$F$15:$F$372),"重疊","")</f>
        <v>重疊</v>
      </c>
      <c r="T8" s="203">
        <v>1</v>
      </c>
      <c r="V8" s="203">
        <v>1</v>
      </c>
    </row>
    <row r="9" spans="1:26">
      <c r="A9" s="166">
        <v>6</v>
      </c>
      <c r="B9" s="166" t="s">
        <v>32</v>
      </c>
      <c r="C9" s="166" t="s">
        <v>3975</v>
      </c>
      <c r="D9" s="167"/>
      <c r="E9" s="168" t="s">
        <v>554</v>
      </c>
      <c r="F9" s="169">
        <v>2000</v>
      </c>
      <c r="G9" s="168">
        <v>69</v>
      </c>
      <c r="H9" s="169">
        <v>138000</v>
      </c>
      <c r="I9" s="186"/>
      <c r="J9" s="186"/>
      <c r="K9" s="170" t="s">
        <v>2904</v>
      </c>
      <c r="L9" s="170"/>
      <c r="M9" s="175"/>
      <c r="N9" s="172">
        <v>138000</v>
      </c>
      <c r="O9" s="172"/>
      <c r="P9" s="173" t="s">
        <v>2461</v>
      </c>
      <c r="Q9" s="174" t="str">
        <f t="shared" si="0"/>
        <v>註3</v>
      </c>
      <c r="R9" s="203" t="e">
        <f>INDEX([1]告訴人!$D$15:$F$372,MATCH(C9,[1]告訴人!$F$15:$F$372,0),1)</f>
        <v>#N/A</v>
      </c>
      <c r="S9" s="203" t="str">
        <f t="array" ref="S9">IF(OR(C9=[1]告訴人!$F$15:$F$372),"重疊","")</f>
        <v/>
      </c>
    </row>
    <row r="10" spans="1:26" ht="17" customHeight="1">
      <c r="A10" s="166">
        <v>7</v>
      </c>
      <c r="B10" s="166" t="s">
        <v>32</v>
      </c>
      <c r="C10" s="166" t="s">
        <v>456</v>
      </c>
      <c r="D10" s="167"/>
      <c r="E10" s="168" t="s">
        <v>34</v>
      </c>
      <c r="F10" s="169">
        <v>1000</v>
      </c>
      <c r="G10" s="168">
        <v>67</v>
      </c>
      <c r="H10" s="169">
        <v>67000</v>
      </c>
      <c r="I10" s="186"/>
      <c r="J10" s="186"/>
      <c r="K10" s="170" t="s">
        <v>2904</v>
      </c>
      <c r="L10" s="170"/>
      <c r="M10" s="175"/>
      <c r="N10" s="172">
        <v>67000</v>
      </c>
      <c r="O10" s="172"/>
      <c r="P10" s="173" t="s">
        <v>2461</v>
      </c>
      <c r="Q10" s="174" t="str">
        <f t="shared" si="0"/>
        <v>註3</v>
      </c>
      <c r="R10" s="203" t="e">
        <f>INDEX([1]告訴人!$D$15:$F$372,MATCH(C10,[1]告訴人!$F$15:$F$372,0),1)</f>
        <v>#N/A</v>
      </c>
      <c r="S10" s="203" t="str">
        <f t="array" ref="S10">IF(OR(C10=[1]告訴人!$F$15:$F$372),"重疊","")</f>
        <v/>
      </c>
    </row>
    <row r="11" spans="1:26" ht="113.25" customHeight="1">
      <c r="A11" s="166">
        <v>8</v>
      </c>
      <c r="B11" s="166" t="s">
        <v>32</v>
      </c>
      <c r="C11" s="166" t="s">
        <v>460</v>
      </c>
      <c r="D11" s="167"/>
      <c r="E11" s="168" t="s">
        <v>34</v>
      </c>
      <c r="F11" s="169">
        <v>3000</v>
      </c>
      <c r="G11" s="168">
        <v>67</v>
      </c>
      <c r="H11" s="169">
        <v>201000</v>
      </c>
      <c r="I11" s="186" t="s">
        <v>1083</v>
      </c>
      <c r="J11" s="186" t="s">
        <v>1083</v>
      </c>
      <c r="K11" s="170" t="s">
        <v>3154</v>
      </c>
      <c r="L11" s="170" t="s">
        <v>3574</v>
      </c>
      <c r="M11" s="175" t="s">
        <v>2905</v>
      </c>
      <c r="N11" s="172">
        <v>201000</v>
      </c>
      <c r="O11" s="172"/>
      <c r="P11" s="173" t="s">
        <v>2461</v>
      </c>
      <c r="Q11" s="174" t="str">
        <f t="shared" si="0"/>
        <v>註3</v>
      </c>
      <c r="R11" s="203">
        <f>INDEX([1]告訴人!$D$15:$F$372,MATCH(C11,[1]告訴人!$F$15:$F$372,0),1)</f>
        <v>70</v>
      </c>
      <c r="S11" s="203" t="str">
        <f t="array" ref="S11">IF(OR(C11=[1]告訴人!$F$15:$F$372),"重疊","")</f>
        <v>重疊</v>
      </c>
      <c r="T11" s="203">
        <v>1</v>
      </c>
      <c r="V11" s="203">
        <v>1</v>
      </c>
    </row>
    <row r="12" spans="1:26" ht="30.75" customHeight="1">
      <c r="A12" s="166">
        <v>9</v>
      </c>
      <c r="B12" s="166" t="s">
        <v>32</v>
      </c>
      <c r="C12" s="166" t="s">
        <v>476</v>
      </c>
      <c r="D12" s="167"/>
      <c r="E12" s="168" t="s">
        <v>34</v>
      </c>
      <c r="F12" s="169">
        <v>3000</v>
      </c>
      <c r="G12" s="168">
        <v>67</v>
      </c>
      <c r="H12" s="169">
        <v>201000</v>
      </c>
      <c r="I12" s="186"/>
      <c r="J12" s="186"/>
      <c r="K12" s="170" t="s">
        <v>2904</v>
      </c>
      <c r="L12" s="284"/>
      <c r="M12" s="175"/>
      <c r="N12" s="172">
        <v>201000</v>
      </c>
      <c r="O12" s="172"/>
      <c r="P12" s="173" t="s">
        <v>2461</v>
      </c>
      <c r="Q12" s="174" t="str">
        <f t="shared" si="0"/>
        <v>註3</v>
      </c>
      <c r="R12" s="203" t="e">
        <f>INDEX([1]告訴人!$D$15:$F$372,MATCH(C12,[1]告訴人!$F$15:$F$372,0),1)</f>
        <v>#N/A</v>
      </c>
      <c r="S12" s="203" t="str">
        <f t="array" ref="S12">IF(OR(C12=[1]告訴人!$F$15:$F$372),"重疊","")</f>
        <v/>
      </c>
    </row>
    <row r="13" spans="1:26" ht="17.5" customHeight="1">
      <c r="A13" s="166">
        <v>10</v>
      </c>
      <c r="B13" s="166" t="s">
        <v>112</v>
      </c>
      <c r="C13" s="166" t="s">
        <v>3259</v>
      </c>
      <c r="D13" s="167"/>
      <c r="E13" s="168" t="s">
        <v>118</v>
      </c>
      <c r="F13" s="169">
        <v>2000</v>
      </c>
      <c r="G13" s="168">
        <v>67</v>
      </c>
      <c r="H13" s="169">
        <v>134000</v>
      </c>
      <c r="I13" s="186"/>
      <c r="J13" s="186"/>
      <c r="K13" s="170" t="s">
        <v>2904</v>
      </c>
      <c r="L13" s="170"/>
      <c r="M13" s="175"/>
      <c r="N13" s="172">
        <v>134000</v>
      </c>
      <c r="O13" s="172"/>
      <c r="P13" s="173" t="s">
        <v>2461</v>
      </c>
      <c r="Q13" s="174" t="str">
        <f t="shared" si="0"/>
        <v>註3</v>
      </c>
      <c r="R13" s="203" t="e">
        <f>INDEX([1]告訴人!$D$15:$F$372,MATCH(C13,[1]告訴人!$F$15:$F$372,0),1)</f>
        <v>#N/A</v>
      </c>
      <c r="S13" s="203" t="str">
        <f t="array" ref="S13">IF(OR(C13=[1]告訴人!$F$15:$F$372),"重疊","")</f>
        <v/>
      </c>
    </row>
    <row r="14" spans="1:26" ht="109.65" customHeight="1">
      <c r="A14" s="166">
        <v>11</v>
      </c>
      <c r="B14" s="166" t="s">
        <v>32</v>
      </c>
      <c r="C14" s="166" t="s">
        <v>460</v>
      </c>
      <c r="D14" s="167"/>
      <c r="E14" s="168" t="s">
        <v>95</v>
      </c>
      <c r="F14" s="169">
        <v>3000</v>
      </c>
      <c r="G14" s="168">
        <v>67</v>
      </c>
      <c r="H14" s="169">
        <v>201000</v>
      </c>
      <c r="I14" s="186" t="s">
        <v>1083</v>
      </c>
      <c r="J14" s="186" t="s">
        <v>1083</v>
      </c>
      <c r="K14" s="170" t="s">
        <v>3154</v>
      </c>
      <c r="L14" s="170" t="s">
        <v>3662</v>
      </c>
      <c r="M14" s="175" t="s">
        <v>2905</v>
      </c>
      <c r="N14" s="172">
        <v>201000</v>
      </c>
      <c r="O14" s="172"/>
      <c r="P14" s="173" t="s">
        <v>2461</v>
      </c>
      <c r="Q14" s="174" t="str">
        <f t="shared" si="0"/>
        <v>註3</v>
      </c>
      <c r="R14" s="203">
        <f>INDEX([1]告訴人!$D$15:$F$372,MATCH(C14,[1]告訴人!$F$15:$F$372,0),1)</f>
        <v>70</v>
      </c>
      <c r="S14" s="203" t="str">
        <f t="array" ref="S14">IF(OR(C14=[1]告訴人!$F$15:$F$372),"重疊","")</f>
        <v>重疊</v>
      </c>
      <c r="T14" s="203">
        <v>1</v>
      </c>
      <c r="V14" s="203">
        <v>1</v>
      </c>
    </row>
    <row r="15" spans="1:26" ht="113.4" customHeight="1">
      <c r="A15" s="166">
        <v>12</v>
      </c>
      <c r="B15" s="166" t="s">
        <v>112</v>
      </c>
      <c r="C15" s="166" t="s">
        <v>334</v>
      </c>
      <c r="D15" s="167"/>
      <c r="E15" s="168" t="s">
        <v>2</v>
      </c>
      <c r="F15" s="169">
        <v>1000</v>
      </c>
      <c r="G15" s="168">
        <v>38</v>
      </c>
      <c r="H15" s="169">
        <v>38000</v>
      </c>
      <c r="I15" s="186" t="s">
        <v>1083</v>
      </c>
      <c r="J15" s="186" t="s">
        <v>1083</v>
      </c>
      <c r="K15" s="170" t="s">
        <v>3155</v>
      </c>
      <c r="L15" s="170" t="s">
        <v>3711</v>
      </c>
      <c r="M15" s="175" t="s">
        <v>2905</v>
      </c>
      <c r="N15" s="172">
        <v>38000</v>
      </c>
      <c r="O15" s="172"/>
      <c r="P15" s="173" t="s">
        <v>2461</v>
      </c>
      <c r="Q15" s="174" t="str">
        <f t="shared" si="0"/>
        <v>註3</v>
      </c>
      <c r="R15" s="203">
        <f>INDEX([1]告訴人!$D$15:$F$372,MATCH(C15,[1]告訴人!$F$15:$F$372,0),1)</f>
        <v>341</v>
      </c>
      <c r="S15" s="203" t="str">
        <f t="array" ref="S15">IF(OR(C15=[1]告訴人!$F$15:$F$372),"重疊","")</f>
        <v>重疊</v>
      </c>
      <c r="T15" s="203">
        <v>1</v>
      </c>
    </row>
    <row r="16" spans="1:26">
      <c r="A16" s="166">
        <v>13</v>
      </c>
      <c r="B16" s="166" t="s">
        <v>112</v>
      </c>
      <c r="C16" s="166" t="s">
        <v>414</v>
      </c>
      <c r="D16" s="167"/>
      <c r="E16" s="168" t="s">
        <v>2</v>
      </c>
      <c r="F16" s="169">
        <v>1000</v>
      </c>
      <c r="G16" s="168">
        <v>67</v>
      </c>
      <c r="H16" s="169">
        <v>67000</v>
      </c>
      <c r="I16" s="186"/>
      <c r="J16" s="186"/>
      <c r="K16" s="170" t="s">
        <v>2904</v>
      </c>
      <c r="L16" s="170"/>
      <c r="M16" s="175"/>
      <c r="N16" s="172">
        <v>67000</v>
      </c>
      <c r="O16" s="172"/>
      <c r="P16" s="173" t="s">
        <v>2461</v>
      </c>
      <c r="Q16" s="174" t="str">
        <f t="shared" si="0"/>
        <v>註3</v>
      </c>
      <c r="R16" s="203" t="e">
        <f>INDEX([1]告訴人!$D$15:$F$372,MATCH(C16,[1]告訴人!$F$15:$F$372,0),1)</f>
        <v>#N/A</v>
      </c>
      <c r="S16" s="203" t="str">
        <f t="array" ref="S16">IF(OR(C16=[1]告訴人!$F$15:$F$372),"重疊","")</f>
        <v/>
      </c>
    </row>
    <row r="17" spans="1:20" ht="112.75" customHeight="1">
      <c r="A17" s="166">
        <v>14</v>
      </c>
      <c r="B17" s="166" t="s">
        <v>112</v>
      </c>
      <c r="C17" s="166" t="s">
        <v>334</v>
      </c>
      <c r="D17" s="167"/>
      <c r="E17" s="168" t="s">
        <v>2</v>
      </c>
      <c r="F17" s="169">
        <v>3000</v>
      </c>
      <c r="G17" s="168">
        <v>67</v>
      </c>
      <c r="H17" s="169">
        <v>201000</v>
      </c>
      <c r="I17" s="186" t="s">
        <v>1083</v>
      </c>
      <c r="J17" s="186" t="s">
        <v>1083</v>
      </c>
      <c r="K17" s="170" t="s">
        <v>3156</v>
      </c>
      <c r="L17" s="170" t="s">
        <v>3712</v>
      </c>
      <c r="M17" s="175" t="s">
        <v>2905</v>
      </c>
      <c r="N17" s="172">
        <v>201000</v>
      </c>
      <c r="O17" s="172"/>
      <c r="P17" s="173" t="s">
        <v>2461</v>
      </c>
      <c r="Q17" s="174" t="str">
        <f t="shared" si="0"/>
        <v>註3</v>
      </c>
      <c r="R17" s="203">
        <f>INDEX([1]告訴人!$D$15:$F$372,MATCH(C17,[1]告訴人!$F$15:$F$372,0),1)</f>
        <v>341</v>
      </c>
      <c r="S17" s="203" t="str">
        <f t="array" ref="S17">IF(OR(C17=[1]告訴人!$F$15:$F$372),"重疊","")</f>
        <v>重疊</v>
      </c>
      <c r="T17" s="203">
        <v>1</v>
      </c>
    </row>
    <row r="18" spans="1:20" ht="36" customHeight="1">
      <c r="A18" s="166">
        <v>15</v>
      </c>
      <c r="B18" s="166" t="s">
        <v>32</v>
      </c>
      <c r="C18" s="166" t="s">
        <v>542</v>
      </c>
      <c r="D18" s="167"/>
      <c r="E18" s="168" t="s">
        <v>115</v>
      </c>
      <c r="F18" s="169">
        <v>1000</v>
      </c>
      <c r="G18" s="168">
        <v>68</v>
      </c>
      <c r="H18" s="169">
        <v>68000</v>
      </c>
      <c r="I18" s="186"/>
      <c r="J18" s="186"/>
      <c r="K18" s="170" t="s">
        <v>2904</v>
      </c>
      <c r="L18" s="284"/>
      <c r="M18" s="175"/>
      <c r="N18" s="172">
        <v>68000</v>
      </c>
      <c r="O18" s="172"/>
      <c r="P18" s="173" t="s">
        <v>2461</v>
      </c>
      <c r="Q18" s="174" t="str">
        <f t="shared" si="0"/>
        <v>註3</v>
      </c>
      <c r="R18" s="203" t="e">
        <f>INDEX([1]告訴人!$D$15:$F$372,MATCH(C18,[1]告訴人!$F$15:$F$372,0),1)</f>
        <v>#N/A</v>
      </c>
      <c r="S18" s="203" t="str">
        <f t="array" ref="S18">IF(OR(C18=[1]告訴人!$F$15:$F$372),"重疊","")</f>
        <v/>
      </c>
    </row>
    <row r="19" spans="1:20">
      <c r="A19" s="166">
        <v>16</v>
      </c>
      <c r="B19" s="166" t="s">
        <v>32</v>
      </c>
      <c r="C19" s="166" t="s">
        <v>416</v>
      </c>
      <c r="D19" s="167"/>
      <c r="E19" s="168" t="s">
        <v>35</v>
      </c>
      <c r="F19" s="169">
        <v>5000</v>
      </c>
      <c r="G19" s="168">
        <v>67</v>
      </c>
      <c r="H19" s="169">
        <v>335000</v>
      </c>
      <c r="I19" s="186"/>
      <c r="J19" s="186"/>
      <c r="K19" s="170" t="s">
        <v>2904</v>
      </c>
      <c r="L19" s="170"/>
      <c r="M19" s="175"/>
      <c r="N19" s="172">
        <v>335000</v>
      </c>
      <c r="O19" s="172"/>
      <c r="P19" s="173" t="s">
        <v>2461</v>
      </c>
      <c r="Q19" s="174" t="str">
        <f t="shared" si="0"/>
        <v>註3</v>
      </c>
      <c r="R19" s="203" t="e">
        <f>INDEX([1]告訴人!$D$15:$F$372,MATCH(C19,[1]告訴人!$F$15:$F$372,0),1)</f>
        <v>#N/A</v>
      </c>
      <c r="S19" s="203" t="str">
        <f t="array" ref="S19">IF(OR(C19=[1]告訴人!$F$15:$F$372),"重疊","")</f>
        <v/>
      </c>
    </row>
    <row r="20" spans="1:20" ht="117.75" customHeight="1">
      <c r="A20" s="166">
        <v>17</v>
      </c>
      <c r="B20" s="166" t="s">
        <v>112</v>
      </c>
      <c r="C20" s="166" t="s">
        <v>357</v>
      </c>
      <c r="D20" s="167"/>
      <c r="E20" s="168" t="s">
        <v>358</v>
      </c>
      <c r="F20" s="169">
        <v>2000</v>
      </c>
      <c r="G20" s="168">
        <v>67</v>
      </c>
      <c r="H20" s="169">
        <v>134000</v>
      </c>
      <c r="I20" s="186" t="s">
        <v>2906</v>
      </c>
      <c r="J20" s="186" t="s">
        <v>2906</v>
      </c>
      <c r="K20" s="170" t="s">
        <v>3157</v>
      </c>
      <c r="L20" s="170" t="s">
        <v>3575</v>
      </c>
      <c r="M20" s="175" t="s">
        <v>2907</v>
      </c>
      <c r="N20" s="172">
        <v>134000</v>
      </c>
      <c r="O20" s="172"/>
      <c r="P20" s="173" t="s">
        <v>2461</v>
      </c>
      <c r="Q20" s="174" t="str">
        <f t="shared" si="0"/>
        <v>註3</v>
      </c>
      <c r="R20" s="203">
        <f>INDEX([1]告訴人!$D$15:$F$372,MATCH(C20,[1]告訴人!$F$15:$F$372,0),1)</f>
        <v>94</v>
      </c>
      <c r="S20" s="203" t="str">
        <f t="array" ref="S20">IF(OR(C20=[1]告訴人!$F$15:$F$372),"重疊","")</f>
        <v>重疊</v>
      </c>
      <c r="T20" s="203">
        <v>1</v>
      </c>
    </row>
    <row r="21" spans="1:20" ht="32.25" customHeight="1">
      <c r="A21" s="166">
        <v>18</v>
      </c>
      <c r="B21" s="166" t="s">
        <v>32</v>
      </c>
      <c r="C21" s="166" t="s">
        <v>373</v>
      </c>
      <c r="D21" s="167"/>
      <c r="E21" s="168" t="s">
        <v>358</v>
      </c>
      <c r="F21" s="169">
        <v>3000</v>
      </c>
      <c r="G21" s="168">
        <v>67</v>
      </c>
      <c r="H21" s="169">
        <v>201000</v>
      </c>
      <c r="I21" s="186"/>
      <c r="J21" s="186"/>
      <c r="K21" s="170" t="s">
        <v>2908</v>
      </c>
      <c r="L21" s="207"/>
      <c r="M21" s="175"/>
      <c r="N21" s="172">
        <v>201000</v>
      </c>
      <c r="O21" s="172"/>
      <c r="P21" s="173" t="s">
        <v>2461</v>
      </c>
      <c r="Q21" s="174" t="str">
        <f t="shared" si="0"/>
        <v>註3</v>
      </c>
      <c r="R21" s="203" t="e">
        <f>INDEX([1]告訴人!$D$15:$F$372,MATCH(C21,[1]告訴人!$F$15:$F$372,0),1)</f>
        <v>#N/A</v>
      </c>
      <c r="S21" s="203" t="str">
        <f t="array" ref="S21">IF(OR(C21=[1]告訴人!$F$15:$F$372),"重疊","")</f>
        <v/>
      </c>
    </row>
    <row r="22" spans="1:20" ht="32.25" customHeight="1">
      <c r="A22" s="166">
        <v>19</v>
      </c>
      <c r="B22" s="166" t="s">
        <v>32</v>
      </c>
      <c r="C22" s="166" t="s">
        <v>466</v>
      </c>
      <c r="D22" s="167"/>
      <c r="E22" s="168" t="s">
        <v>358</v>
      </c>
      <c r="F22" s="169">
        <v>4000</v>
      </c>
      <c r="G22" s="168">
        <v>67</v>
      </c>
      <c r="H22" s="169">
        <v>268000</v>
      </c>
      <c r="I22" s="186"/>
      <c r="J22" s="186"/>
      <c r="K22" s="170" t="s">
        <v>2908</v>
      </c>
      <c r="L22" s="345"/>
      <c r="M22" s="175"/>
      <c r="N22" s="172">
        <v>268000</v>
      </c>
      <c r="O22" s="172"/>
      <c r="P22" s="173" t="s">
        <v>2461</v>
      </c>
      <c r="Q22" s="174" t="str">
        <f t="shared" si="0"/>
        <v>註3</v>
      </c>
      <c r="R22" s="203" t="e">
        <f>INDEX([1]告訴人!$D$15:$F$372,MATCH(C22,[1]告訴人!$F$15:$F$372,0),1)</f>
        <v>#N/A</v>
      </c>
      <c r="S22" s="203" t="str">
        <f t="array" ref="S22">IF(OR(C22=[1]告訴人!$F$15:$F$372),"重疊","")</f>
        <v/>
      </c>
    </row>
    <row r="23" spans="1:20">
      <c r="A23" s="166">
        <v>20</v>
      </c>
      <c r="B23" s="166" t="s">
        <v>32</v>
      </c>
      <c r="C23" s="166" t="s">
        <v>499</v>
      </c>
      <c r="D23" s="167"/>
      <c r="E23" s="168" t="s">
        <v>500</v>
      </c>
      <c r="F23" s="169">
        <v>4000</v>
      </c>
      <c r="G23" s="168">
        <v>67</v>
      </c>
      <c r="H23" s="169">
        <v>268000</v>
      </c>
      <c r="I23" s="186"/>
      <c r="J23" s="186"/>
      <c r="K23" s="170" t="s">
        <v>2908</v>
      </c>
      <c r="L23" s="207"/>
      <c r="M23" s="175"/>
      <c r="N23" s="172">
        <v>268000</v>
      </c>
      <c r="O23" s="172"/>
      <c r="P23" s="173" t="s">
        <v>2461</v>
      </c>
      <c r="Q23" s="174" t="str">
        <f t="shared" si="0"/>
        <v>註3</v>
      </c>
      <c r="R23" s="203" t="e">
        <f>INDEX([1]告訴人!$D$15:$F$372,MATCH(C23,[1]告訴人!$F$15:$F$372,0),1)</f>
        <v>#N/A</v>
      </c>
      <c r="S23" s="203" t="str">
        <f t="array" ref="S23">IF(OR(C23=[1]告訴人!$F$15:$F$372),"重疊","")</f>
        <v/>
      </c>
    </row>
    <row r="24" spans="1:20">
      <c r="A24" s="166">
        <v>21</v>
      </c>
      <c r="B24" s="166" t="s">
        <v>32</v>
      </c>
      <c r="C24" s="166" t="s">
        <v>392</v>
      </c>
      <c r="D24" s="167"/>
      <c r="E24" s="168" t="s">
        <v>37</v>
      </c>
      <c r="F24" s="169">
        <v>5000</v>
      </c>
      <c r="G24" s="168">
        <v>67</v>
      </c>
      <c r="H24" s="169">
        <v>335000</v>
      </c>
      <c r="I24" s="186"/>
      <c r="J24" s="186"/>
      <c r="K24" s="170" t="s">
        <v>2908</v>
      </c>
      <c r="L24" s="207"/>
      <c r="M24" s="175"/>
      <c r="N24" s="172">
        <v>335000</v>
      </c>
      <c r="O24" s="172"/>
      <c r="P24" s="173" t="s">
        <v>2461</v>
      </c>
      <c r="Q24" s="174" t="str">
        <f t="shared" si="0"/>
        <v>註3</v>
      </c>
      <c r="R24" s="203" t="e">
        <f>INDEX([1]告訴人!$D$15:$F$372,MATCH(C24,[1]告訴人!$F$15:$F$372,0),1)</f>
        <v>#N/A</v>
      </c>
      <c r="S24" s="203" t="str">
        <f t="array" ref="S24">IF(OR(C24=[1]告訴人!$F$15:$F$372),"重疊","")</f>
        <v/>
      </c>
    </row>
    <row r="25" spans="1:20" ht="31.25" customHeight="1">
      <c r="A25" s="166">
        <v>22</v>
      </c>
      <c r="B25" s="166" t="s">
        <v>32</v>
      </c>
      <c r="C25" s="166" t="s">
        <v>499</v>
      </c>
      <c r="D25" s="167"/>
      <c r="E25" s="168" t="s">
        <v>501</v>
      </c>
      <c r="F25" s="169">
        <v>9000</v>
      </c>
      <c r="G25" s="168">
        <v>67</v>
      </c>
      <c r="H25" s="169">
        <v>603000</v>
      </c>
      <c r="I25" s="186"/>
      <c r="J25" s="186"/>
      <c r="K25" s="170" t="s">
        <v>2908</v>
      </c>
      <c r="L25" s="345"/>
      <c r="M25" s="175"/>
      <c r="N25" s="172">
        <v>603000</v>
      </c>
      <c r="O25" s="172"/>
      <c r="P25" s="173" t="s">
        <v>2461</v>
      </c>
      <c r="Q25" s="174" t="str">
        <f t="shared" si="0"/>
        <v>註3</v>
      </c>
      <c r="R25" s="203" t="e">
        <f>INDEX([1]告訴人!$D$15:$F$372,MATCH(C25,[1]告訴人!$F$15:$F$372,0),1)</f>
        <v>#N/A</v>
      </c>
      <c r="S25" s="203" t="str">
        <f t="array" ref="S25">IF(OR(C25=[1]告訴人!$F$15:$F$372),"重疊","")</f>
        <v/>
      </c>
    </row>
    <row r="26" spans="1:20">
      <c r="A26" s="166">
        <v>23</v>
      </c>
      <c r="B26" s="166" t="s">
        <v>32</v>
      </c>
      <c r="C26" s="166" t="s">
        <v>541</v>
      </c>
      <c r="D26" s="167"/>
      <c r="E26" s="168" t="s">
        <v>96</v>
      </c>
      <c r="F26" s="169">
        <v>2000</v>
      </c>
      <c r="G26" s="168">
        <v>68</v>
      </c>
      <c r="H26" s="169">
        <v>136000</v>
      </c>
      <c r="I26" s="186"/>
      <c r="J26" s="186"/>
      <c r="K26" s="170" t="s">
        <v>2908</v>
      </c>
      <c r="L26" s="207"/>
      <c r="M26" s="175"/>
      <c r="N26" s="172">
        <v>136000</v>
      </c>
      <c r="O26" s="172"/>
      <c r="P26" s="173" t="s">
        <v>2461</v>
      </c>
      <c r="Q26" s="174" t="str">
        <f t="shared" si="0"/>
        <v>註3</v>
      </c>
      <c r="R26" s="203" t="e">
        <f>INDEX([1]告訴人!$D$15:$F$372,MATCH(C26,[1]告訴人!$F$15:$F$372,0),1)</f>
        <v>#N/A</v>
      </c>
      <c r="S26" s="203" t="str">
        <f t="array" ref="S26">IF(OR(C26=[1]告訴人!$F$15:$F$372),"重疊","")</f>
        <v/>
      </c>
    </row>
    <row r="27" spans="1:20" ht="28.5" customHeight="1">
      <c r="A27" s="166">
        <v>24</v>
      </c>
      <c r="B27" s="166" t="s">
        <v>32</v>
      </c>
      <c r="C27" s="166" t="s">
        <v>449</v>
      </c>
      <c r="D27" s="167"/>
      <c r="E27" s="168" t="s">
        <v>85</v>
      </c>
      <c r="F27" s="169">
        <v>4000</v>
      </c>
      <c r="G27" s="168">
        <v>67</v>
      </c>
      <c r="H27" s="169">
        <v>268000</v>
      </c>
      <c r="I27" s="186"/>
      <c r="J27" s="186"/>
      <c r="K27" s="170" t="s">
        <v>2908</v>
      </c>
      <c r="L27" s="207"/>
      <c r="M27" s="175"/>
      <c r="N27" s="172">
        <v>268000</v>
      </c>
      <c r="O27" s="172"/>
      <c r="P27" s="173" t="s">
        <v>2461</v>
      </c>
      <c r="Q27" s="174" t="str">
        <f t="shared" si="0"/>
        <v>註3</v>
      </c>
      <c r="R27" s="203" t="e">
        <f>INDEX([1]告訴人!$D$15:$F$372,MATCH(C27,[1]告訴人!$F$15:$F$372,0),1)</f>
        <v>#N/A</v>
      </c>
      <c r="S27" s="203" t="str">
        <f t="array" ref="S27">IF(OR(C27=[1]告訴人!$F$15:$F$372),"重疊","")</f>
        <v/>
      </c>
    </row>
    <row r="28" spans="1:20">
      <c r="A28" s="166">
        <v>25</v>
      </c>
      <c r="B28" s="166" t="s">
        <v>32</v>
      </c>
      <c r="C28" s="166" t="s">
        <v>419</v>
      </c>
      <c r="D28" s="167"/>
      <c r="E28" s="168" t="s">
        <v>420</v>
      </c>
      <c r="F28" s="169">
        <v>1000</v>
      </c>
      <c r="G28" s="168">
        <v>67</v>
      </c>
      <c r="H28" s="169">
        <v>67000</v>
      </c>
      <c r="I28" s="186"/>
      <c r="J28" s="186"/>
      <c r="K28" s="170" t="s">
        <v>2908</v>
      </c>
      <c r="L28" s="170"/>
      <c r="M28" s="175"/>
      <c r="N28" s="172">
        <v>67000</v>
      </c>
      <c r="O28" s="172"/>
      <c r="P28" s="173" t="s">
        <v>2461</v>
      </c>
      <c r="Q28" s="174" t="str">
        <f t="shared" si="0"/>
        <v>註3</v>
      </c>
      <c r="R28" s="203" t="e">
        <f>INDEX([1]告訴人!$D$15:$F$372,MATCH(C28,[1]告訴人!$F$15:$F$372,0),1)</f>
        <v>#N/A</v>
      </c>
      <c r="S28" s="203" t="str">
        <f t="array" ref="S28">IF(OR(C28=[1]告訴人!$F$15:$F$372),"重疊","")</f>
        <v/>
      </c>
    </row>
    <row r="29" spans="1:20" ht="17" customHeight="1">
      <c r="A29" s="166">
        <v>26</v>
      </c>
      <c r="B29" s="166" t="s">
        <v>32</v>
      </c>
      <c r="C29" s="166" t="s">
        <v>455</v>
      </c>
      <c r="D29" s="167"/>
      <c r="E29" s="168" t="s">
        <v>38</v>
      </c>
      <c r="F29" s="169">
        <v>6000</v>
      </c>
      <c r="G29" s="168">
        <v>67</v>
      </c>
      <c r="H29" s="169">
        <v>402000</v>
      </c>
      <c r="I29" s="186"/>
      <c r="J29" s="186"/>
      <c r="K29" s="170" t="s">
        <v>2908</v>
      </c>
      <c r="L29" s="170"/>
      <c r="M29" s="175"/>
      <c r="N29" s="172">
        <v>402000</v>
      </c>
      <c r="O29" s="172"/>
      <c r="P29" s="173" t="s">
        <v>2461</v>
      </c>
      <c r="Q29" s="174" t="str">
        <f t="shared" si="0"/>
        <v>註3</v>
      </c>
      <c r="R29" s="203" t="e">
        <f>INDEX([1]告訴人!$D$15:$F$372,MATCH(C29,[1]告訴人!$F$15:$F$372,0),1)</f>
        <v>#N/A</v>
      </c>
      <c r="S29" s="203" t="str">
        <f t="array" ref="S29">IF(OR(C29=[1]告訴人!$F$15:$F$372),"重疊","")</f>
        <v/>
      </c>
    </row>
    <row r="30" spans="1:20" ht="17.5" customHeight="1">
      <c r="A30" s="166">
        <v>27</v>
      </c>
      <c r="B30" s="166" t="s">
        <v>112</v>
      </c>
      <c r="C30" s="166" t="s">
        <v>386</v>
      </c>
      <c r="D30" s="167"/>
      <c r="E30" s="168" t="s">
        <v>86</v>
      </c>
      <c r="F30" s="169">
        <v>1000</v>
      </c>
      <c r="G30" s="168">
        <v>67</v>
      </c>
      <c r="H30" s="169">
        <v>67000</v>
      </c>
      <c r="I30" s="186"/>
      <c r="J30" s="186"/>
      <c r="K30" s="170" t="s">
        <v>2908</v>
      </c>
      <c r="L30" s="170"/>
      <c r="M30" s="175"/>
      <c r="N30" s="172">
        <v>67000</v>
      </c>
      <c r="O30" s="172"/>
      <c r="P30" s="173" t="s">
        <v>2461</v>
      </c>
      <c r="Q30" s="174" t="str">
        <f t="shared" si="0"/>
        <v>註3</v>
      </c>
      <c r="R30" s="203" t="e">
        <f>INDEX([1]告訴人!$D$15:$F$372,MATCH(C30,[1]告訴人!$F$15:$F$372,0),1)</f>
        <v>#N/A</v>
      </c>
      <c r="S30" s="203" t="str">
        <f t="array" ref="S30">IF(OR(C30=[1]告訴人!$F$15:$F$372),"重疊","")</f>
        <v/>
      </c>
    </row>
    <row r="31" spans="1:20">
      <c r="A31" s="166">
        <v>28</v>
      </c>
      <c r="B31" s="166" t="s">
        <v>32</v>
      </c>
      <c r="C31" s="166" t="s">
        <v>476</v>
      </c>
      <c r="D31" s="167"/>
      <c r="E31" s="168" t="s">
        <v>477</v>
      </c>
      <c r="F31" s="169">
        <v>2000</v>
      </c>
      <c r="G31" s="168">
        <v>67</v>
      </c>
      <c r="H31" s="169">
        <v>134000</v>
      </c>
      <c r="I31" s="186"/>
      <c r="J31" s="186"/>
      <c r="K31" s="170" t="s">
        <v>2908</v>
      </c>
      <c r="L31" s="284"/>
      <c r="M31" s="175"/>
      <c r="N31" s="172">
        <v>134000</v>
      </c>
      <c r="O31" s="172"/>
      <c r="P31" s="173" t="s">
        <v>2461</v>
      </c>
      <c r="Q31" s="174" t="str">
        <f t="shared" si="0"/>
        <v>註3</v>
      </c>
      <c r="R31" s="203" t="e">
        <f>INDEX([1]告訴人!$D$15:$F$372,MATCH(C31,[1]告訴人!$F$15:$F$372,0),1)</f>
        <v>#N/A</v>
      </c>
      <c r="S31" s="203" t="str">
        <f t="array" ref="S31">IF(OR(C31=[1]告訴人!$F$15:$F$372),"重疊","")</f>
        <v/>
      </c>
    </row>
    <row r="32" spans="1:20">
      <c r="A32" s="166">
        <v>29</v>
      </c>
      <c r="B32" s="166" t="s">
        <v>32</v>
      </c>
      <c r="C32" s="166" t="s">
        <v>383</v>
      </c>
      <c r="D32" s="167"/>
      <c r="E32" s="168" t="s">
        <v>100</v>
      </c>
      <c r="F32" s="169">
        <v>2000</v>
      </c>
      <c r="G32" s="168">
        <v>67</v>
      </c>
      <c r="H32" s="169">
        <v>134000</v>
      </c>
      <c r="I32" s="186"/>
      <c r="J32" s="186"/>
      <c r="K32" s="170" t="s">
        <v>2908</v>
      </c>
      <c r="L32" s="284"/>
      <c r="M32" s="175"/>
      <c r="N32" s="172">
        <v>134000</v>
      </c>
      <c r="O32" s="172"/>
      <c r="P32" s="173" t="s">
        <v>2461</v>
      </c>
      <c r="Q32" s="174" t="str">
        <f t="shared" si="0"/>
        <v>註3</v>
      </c>
      <c r="R32" s="203" t="e">
        <f>INDEX([1]告訴人!$D$15:$F$372,MATCH(C32,[1]告訴人!$F$15:$F$372,0),1)</f>
        <v>#N/A</v>
      </c>
      <c r="S32" s="203" t="str">
        <f t="array" ref="S32">IF(OR(C32=[1]告訴人!$F$15:$F$372),"重疊","")</f>
        <v/>
      </c>
    </row>
    <row r="33" spans="1:22" ht="39.75" customHeight="1">
      <c r="A33" s="166">
        <v>30</v>
      </c>
      <c r="B33" s="166" t="s">
        <v>32</v>
      </c>
      <c r="C33" s="166" t="s">
        <v>480</v>
      </c>
      <c r="D33" s="167"/>
      <c r="E33" s="168" t="s">
        <v>481</v>
      </c>
      <c r="F33" s="169">
        <v>5000</v>
      </c>
      <c r="G33" s="168">
        <v>67</v>
      </c>
      <c r="H33" s="169">
        <v>335000</v>
      </c>
      <c r="I33" s="346" t="s">
        <v>2909</v>
      </c>
      <c r="J33" s="346" t="s">
        <v>2909</v>
      </c>
      <c r="K33" s="170" t="s">
        <v>3079</v>
      </c>
      <c r="L33" s="170" t="s">
        <v>3576</v>
      </c>
      <c r="M33" s="175" t="s">
        <v>2905</v>
      </c>
      <c r="N33" s="172">
        <v>335000</v>
      </c>
      <c r="O33" s="172"/>
      <c r="P33" s="173" t="s">
        <v>2461</v>
      </c>
      <c r="Q33" s="174" t="str">
        <f t="shared" si="0"/>
        <v>註3</v>
      </c>
      <c r="R33" s="203" t="e">
        <f>INDEX([1]告訴人!$D$15:$F$372,MATCH(C33,[1]告訴人!$F$15:$F$372,0),1)</f>
        <v>#N/A</v>
      </c>
      <c r="S33" s="203" t="str">
        <f t="array" ref="S33">IF(OR(C33=[1]告訴人!$F$15:$F$372),"重疊","")</f>
        <v/>
      </c>
      <c r="T33" s="203">
        <v>1</v>
      </c>
      <c r="V33" s="203">
        <v>1</v>
      </c>
    </row>
    <row r="34" spans="1:22" ht="18" customHeight="1">
      <c r="A34" s="166">
        <v>31</v>
      </c>
      <c r="B34" s="166" t="s">
        <v>112</v>
      </c>
      <c r="C34" s="166" t="s">
        <v>340</v>
      </c>
      <c r="D34" s="167"/>
      <c r="E34" s="168" t="s">
        <v>39</v>
      </c>
      <c r="F34" s="169">
        <v>2000</v>
      </c>
      <c r="G34" s="168">
        <v>67</v>
      </c>
      <c r="H34" s="169">
        <v>134000</v>
      </c>
      <c r="I34" s="186"/>
      <c r="J34" s="186"/>
      <c r="K34" s="170" t="s">
        <v>2904</v>
      </c>
      <c r="L34" s="170"/>
      <c r="M34" s="175"/>
      <c r="N34" s="172">
        <v>134000</v>
      </c>
      <c r="O34" s="172"/>
      <c r="P34" s="173" t="s">
        <v>2461</v>
      </c>
      <c r="Q34" s="174" t="str">
        <f t="shared" si="0"/>
        <v>註3</v>
      </c>
      <c r="R34" s="203" t="e">
        <f>INDEX([1]告訴人!$D$15:$F$372,MATCH(C34,[1]告訴人!$F$15:$F$372,0),1)</f>
        <v>#N/A</v>
      </c>
      <c r="S34" s="203" t="str">
        <f t="array" ref="S34">IF(OR(C34=[1]告訴人!$F$15:$F$372),"重疊","")</f>
        <v/>
      </c>
    </row>
    <row r="35" spans="1:22" ht="18" customHeight="1">
      <c r="A35" s="166">
        <v>32</v>
      </c>
      <c r="B35" s="166" t="s">
        <v>32</v>
      </c>
      <c r="C35" s="166" t="s">
        <v>366</v>
      </c>
      <c r="D35" s="167"/>
      <c r="E35" s="168" t="s">
        <v>39</v>
      </c>
      <c r="F35" s="169">
        <v>10000</v>
      </c>
      <c r="G35" s="168">
        <v>67</v>
      </c>
      <c r="H35" s="169">
        <v>670000</v>
      </c>
      <c r="I35" s="186"/>
      <c r="J35" s="186"/>
      <c r="K35" s="170" t="s">
        <v>2904</v>
      </c>
      <c r="L35" s="170"/>
      <c r="M35" s="175"/>
      <c r="N35" s="172">
        <v>670000</v>
      </c>
      <c r="O35" s="172"/>
      <c r="P35" s="173" t="s">
        <v>2461</v>
      </c>
      <c r="Q35" s="174" t="str">
        <f t="shared" si="0"/>
        <v>註3</v>
      </c>
      <c r="R35" s="203" t="e">
        <f>INDEX([1]告訴人!$D$15:$F$372,MATCH(C35,[1]告訴人!$F$15:$F$372,0),1)</f>
        <v>#N/A</v>
      </c>
      <c r="S35" s="203" t="str">
        <f t="array" ref="S35">IF(OR(C35=[1]告訴人!$F$15:$F$372),"重疊","")</f>
        <v/>
      </c>
    </row>
    <row r="36" spans="1:22" ht="17" customHeight="1">
      <c r="A36" s="166">
        <v>33</v>
      </c>
      <c r="B36" s="166" t="s">
        <v>32</v>
      </c>
      <c r="C36" s="166" t="s">
        <v>503</v>
      </c>
      <c r="D36" s="167"/>
      <c r="E36" s="168" t="s">
        <v>39</v>
      </c>
      <c r="F36" s="169">
        <v>10000</v>
      </c>
      <c r="G36" s="168">
        <v>67</v>
      </c>
      <c r="H36" s="169">
        <v>670000</v>
      </c>
      <c r="I36" s="186"/>
      <c r="J36" s="186"/>
      <c r="K36" s="170" t="s">
        <v>2904</v>
      </c>
      <c r="L36" s="170"/>
      <c r="M36" s="175"/>
      <c r="N36" s="172">
        <v>670000</v>
      </c>
      <c r="O36" s="172"/>
      <c r="P36" s="173" t="s">
        <v>2461</v>
      </c>
      <c r="Q36" s="174" t="str">
        <f t="shared" si="0"/>
        <v>註3</v>
      </c>
      <c r="R36" s="203" t="e">
        <f>INDEX([1]告訴人!$D$15:$F$372,MATCH(C36,[1]告訴人!$F$15:$F$372,0),1)</f>
        <v>#N/A</v>
      </c>
      <c r="S36" s="203" t="str">
        <f t="array" ref="S36">IF(OR(C36=[1]告訴人!$F$15:$F$372),"重疊","")</f>
        <v/>
      </c>
    </row>
    <row r="37" spans="1:22">
      <c r="A37" s="166">
        <v>34</v>
      </c>
      <c r="B37" s="166" t="s">
        <v>32</v>
      </c>
      <c r="C37" s="166" t="s">
        <v>485</v>
      </c>
      <c r="D37" s="167"/>
      <c r="E37" s="168" t="s">
        <v>88</v>
      </c>
      <c r="F37" s="169">
        <v>10000</v>
      </c>
      <c r="G37" s="168">
        <v>67</v>
      </c>
      <c r="H37" s="169">
        <v>670000</v>
      </c>
      <c r="I37" s="186"/>
      <c r="J37" s="186"/>
      <c r="K37" s="170" t="s">
        <v>2904</v>
      </c>
      <c r="L37" s="170"/>
      <c r="M37" s="175"/>
      <c r="N37" s="172">
        <v>670000</v>
      </c>
      <c r="O37" s="172"/>
      <c r="P37" s="173" t="s">
        <v>2461</v>
      </c>
      <c r="Q37" s="174" t="str">
        <f t="shared" si="0"/>
        <v>註3</v>
      </c>
      <c r="R37" s="203" t="e">
        <f>INDEX([1]告訴人!$D$15:$F$372,MATCH(C37,[1]告訴人!$F$15:$F$372,0),1)</f>
        <v>#N/A</v>
      </c>
      <c r="S37" s="203" t="str">
        <f t="array" ref="S37">IF(OR(C37=[1]告訴人!$F$15:$F$372),"重疊","")</f>
        <v/>
      </c>
    </row>
    <row r="38" spans="1:22" ht="18" customHeight="1">
      <c r="A38" s="166">
        <v>35</v>
      </c>
      <c r="B38" s="166" t="s">
        <v>112</v>
      </c>
      <c r="C38" s="166" t="s">
        <v>390</v>
      </c>
      <c r="D38" s="167"/>
      <c r="E38" s="168" t="s">
        <v>391</v>
      </c>
      <c r="F38" s="169">
        <v>3000</v>
      </c>
      <c r="G38" s="168">
        <v>67</v>
      </c>
      <c r="H38" s="169">
        <v>201000</v>
      </c>
      <c r="I38" s="186"/>
      <c r="J38" s="186"/>
      <c r="K38" s="170" t="s">
        <v>2904</v>
      </c>
      <c r="L38" s="170"/>
      <c r="M38" s="175"/>
      <c r="N38" s="172">
        <v>201000</v>
      </c>
      <c r="O38" s="172"/>
      <c r="P38" s="173" t="s">
        <v>2461</v>
      </c>
      <c r="Q38" s="174" t="str">
        <f t="shared" si="0"/>
        <v>註3</v>
      </c>
      <c r="R38" s="203" t="e">
        <f>INDEX([1]告訴人!$D$15:$F$372,MATCH(C38,[1]告訴人!$F$15:$F$372,0),1)</f>
        <v>#N/A</v>
      </c>
      <c r="S38" s="203" t="str">
        <f t="array" ref="S38">IF(OR(C38=[1]告訴人!$F$15:$F$372),"重疊","")</f>
        <v/>
      </c>
    </row>
    <row r="39" spans="1:22" ht="18" customHeight="1">
      <c r="A39" s="166">
        <v>36</v>
      </c>
      <c r="B39" s="166" t="s">
        <v>112</v>
      </c>
      <c r="C39" s="166" t="s">
        <v>514</v>
      </c>
      <c r="D39" s="167"/>
      <c r="E39" s="168" t="s">
        <v>391</v>
      </c>
      <c r="F39" s="169">
        <v>2000</v>
      </c>
      <c r="G39" s="168">
        <v>67</v>
      </c>
      <c r="H39" s="169">
        <v>134000</v>
      </c>
      <c r="I39" s="186"/>
      <c r="J39" s="186"/>
      <c r="K39" s="170" t="s">
        <v>2904</v>
      </c>
      <c r="L39" s="170"/>
      <c r="M39" s="175"/>
      <c r="N39" s="172">
        <v>134000</v>
      </c>
      <c r="O39" s="172"/>
      <c r="P39" s="173" t="s">
        <v>2461</v>
      </c>
      <c r="Q39" s="174" t="str">
        <f t="shared" si="0"/>
        <v>註3</v>
      </c>
      <c r="R39" s="203" t="e">
        <f>INDEX([1]告訴人!$D$15:$F$372,MATCH(C39,[1]告訴人!$F$15:$F$372,0),1)</f>
        <v>#N/A</v>
      </c>
      <c r="S39" s="203" t="str">
        <f t="array" ref="S39">IF(OR(C39=[1]告訴人!$F$15:$F$372),"重疊","")</f>
        <v/>
      </c>
    </row>
    <row r="40" spans="1:22" ht="75.75" customHeight="1">
      <c r="A40" s="166">
        <v>37</v>
      </c>
      <c r="B40" s="166" t="s">
        <v>32</v>
      </c>
      <c r="C40" s="166" t="s">
        <v>422</v>
      </c>
      <c r="D40" s="167" t="s">
        <v>2910</v>
      </c>
      <c r="E40" s="168" t="s">
        <v>113</v>
      </c>
      <c r="F40" s="169">
        <v>5000</v>
      </c>
      <c r="G40" s="168">
        <v>67</v>
      </c>
      <c r="H40" s="169">
        <v>335000</v>
      </c>
      <c r="I40" s="186"/>
      <c r="J40" s="186"/>
      <c r="K40" s="170" t="s">
        <v>2904</v>
      </c>
      <c r="L40" s="238" t="s">
        <v>3663</v>
      </c>
      <c r="M40" s="175"/>
      <c r="N40" s="172">
        <v>335000</v>
      </c>
      <c r="O40" s="172"/>
      <c r="P40" s="173" t="s">
        <v>2461</v>
      </c>
      <c r="Q40" s="174" t="str">
        <f t="shared" si="0"/>
        <v>註3</v>
      </c>
      <c r="R40" s="203">
        <f>INDEX([1]告訴人!$D$15:$F$372,MATCH(C40,[1]告訴人!$F$15:$F$372,0),1)</f>
        <v>352</v>
      </c>
      <c r="S40" s="203" t="str">
        <f t="array" ref="S40">IF(OR(C40=[1]告訴人!$F$15:$F$372),"重疊","")</f>
        <v>重疊</v>
      </c>
    </row>
    <row r="41" spans="1:22" ht="17" customHeight="1">
      <c r="A41" s="166">
        <v>38</v>
      </c>
      <c r="B41" s="166" t="s">
        <v>112</v>
      </c>
      <c r="C41" s="166" t="s">
        <v>519</v>
      </c>
      <c r="D41" s="167"/>
      <c r="E41" s="168" t="s">
        <v>113</v>
      </c>
      <c r="F41" s="169">
        <v>2000</v>
      </c>
      <c r="G41" s="168">
        <v>67</v>
      </c>
      <c r="H41" s="169">
        <v>134000</v>
      </c>
      <c r="I41" s="186"/>
      <c r="J41" s="186"/>
      <c r="K41" s="170" t="s">
        <v>2904</v>
      </c>
      <c r="L41" s="170"/>
      <c r="M41" s="175"/>
      <c r="N41" s="172">
        <v>134000</v>
      </c>
      <c r="O41" s="172"/>
      <c r="P41" s="173" t="s">
        <v>2461</v>
      </c>
      <c r="Q41" s="174" t="str">
        <f t="shared" si="0"/>
        <v>註3</v>
      </c>
      <c r="R41" s="203" t="e">
        <f>INDEX([1]告訴人!$D$15:$F$372,MATCH(C41,[1]告訴人!$F$15:$F$372,0),1)</f>
        <v>#N/A</v>
      </c>
      <c r="S41" s="203" t="str">
        <f t="array" ref="S41">IF(OR(C41=[1]告訴人!$F$15:$F$372),"重疊","")</f>
        <v/>
      </c>
    </row>
    <row r="42" spans="1:22">
      <c r="A42" s="166">
        <v>39</v>
      </c>
      <c r="B42" s="166" t="s">
        <v>32</v>
      </c>
      <c r="C42" s="166" t="s">
        <v>524</v>
      </c>
      <c r="D42" s="167"/>
      <c r="E42" s="168" t="s">
        <v>41</v>
      </c>
      <c r="F42" s="169">
        <v>5000</v>
      </c>
      <c r="G42" s="168">
        <v>67</v>
      </c>
      <c r="H42" s="169">
        <v>335000</v>
      </c>
      <c r="I42" s="186"/>
      <c r="J42" s="186"/>
      <c r="K42" s="170" t="s">
        <v>2904</v>
      </c>
      <c r="L42" s="170"/>
      <c r="M42" s="175"/>
      <c r="N42" s="172">
        <v>335000</v>
      </c>
      <c r="O42" s="172"/>
      <c r="P42" s="173" t="s">
        <v>2461</v>
      </c>
      <c r="Q42" s="174" t="str">
        <f t="shared" si="0"/>
        <v>註3</v>
      </c>
      <c r="R42" s="203" t="e">
        <f>INDEX([1]告訴人!$D$15:$F$372,MATCH(C42,[1]告訴人!$F$15:$F$372,0),1)</f>
        <v>#N/A</v>
      </c>
      <c r="S42" s="203" t="str">
        <f t="array" ref="S42">IF(OR(C42=[1]告訴人!$F$15:$F$372),"重疊","")</f>
        <v/>
      </c>
    </row>
    <row r="43" spans="1:22" ht="29.5" customHeight="1">
      <c r="A43" s="166">
        <v>40</v>
      </c>
      <c r="B43" s="166" t="s">
        <v>32</v>
      </c>
      <c r="C43" s="166" t="s">
        <v>485</v>
      </c>
      <c r="D43" s="167"/>
      <c r="E43" s="168" t="s">
        <v>89</v>
      </c>
      <c r="F43" s="169">
        <v>10000</v>
      </c>
      <c r="G43" s="168">
        <v>67</v>
      </c>
      <c r="H43" s="169">
        <v>670000</v>
      </c>
      <c r="I43" s="186"/>
      <c r="J43" s="186"/>
      <c r="K43" s="170" t="s">
        <v>2904</v>
      </c>
      <c r="L43" s="284"/>
      <c r="M43" s="175"/>
      <c r="N43" s="172">
        <v>670000</v>
      </c>
      <c r="O43" s="172"/>
      <c r="P43" s="173" t="s">
        <v>2461</v>
      </c>
      <c r="Q43" s="174" t="str">
        <f t="shared" si="0"/>
        <v>註3</v>
      </c>
      <c r="R43" s="203" t="e">
        <f>INDEX([1]告訴人!$D$15:$F$372,MATCH(C43,[1]告訴人!$F$15:$F$372,0),1)</f>
        <v>#N/A</v>
      </c>
      <c r="S43" s="203" t="str">
        <f t="array" ref="S43">IF(OR(C43=[1]告訴人!$F$15:$F$372),"重疊","")</f>
        <v/>
      </c>
    </row>
    <row r="44" spans="1:22" ht="17" customHeight="1">
      <c r="A44" s="166">
        <v>41</v>
      </c>
      <c r="B44" s="166" t="s">
        <v>32</v>
      </c>
      <c r="C44" s="166" t="s">
        <v>503</v>
      </c>
      <c r="D44" s="167"/>
      <c r="E44" s="168" t="s">
        <v>42</v>
      </c>
      <c r="F44" s="169">
        <v>10000</v>
      </c>
      <c r="G44" s="168">
        <v>67</v>
      </c>
      <c r="H44" s="169">
        <v>670000</v>
      </c>
      <c r="I44" s="186"/>
      <c r="J44" s="186"/>
      <c r="K44" s="170" t="s">
        <v>2904</v>
      </c>
      <c r="L44" s="170"/>
      <c r="M44" s="175"/>
      <c r="N44" s="172">
        <v>670000</v>
      </c>
      <c r="O44" s="172"/>
      <c r="P44" s="173" t="s">
        <v>2461</v>
      </c>
      <c r="Q44" s="174" t="str">
        <f t="shared" si="0"/>
        <v>註3</v>
      </c>
      <c r="R44" s="203" t="e">
        <f>INDEX([1]告訴人!$D$15:$F$372,MATCH(C44,[1]告訴人!$F$15:$F$372,0),1)</f>
        <v>#N/A</v>
      </c>
      <c r="S44" s="203" t="str">
        <f t="array" ref="S44">IF(OR(C44=[1]告訴人!$F$15:$F$372),"重疊","")</f>
        <v/>
      </c>
    </row>
    <row r="45" spans="1:22" ht="16.649999999999999" customHeight="1">
      <c r="A45" s="166">
        <v>42</v>
      </c>
      <c r="B45" s="166" t="s">
        <v>112</v>
      </c>
      <c r="C45" s="166" t="s">
        <v>350</v>
      </c>
      <c r="D45" s="167"/>
      <c r="E45" s="168" t="s">
        <v>351</v>
      </c>
      <c r="F45" s="169">
        <v>8000</v>
      </c>
      <c r="G45" s="168">
        <v>67</v>
      </c>
      <c r="H45" s="169">
        <v>536000</v>
      </c>
      <c r="I45" s="186"/>
      <c r="J45" s="186"/>
      <c r="K45" s="170" t="s">
        <v>2904</v>
      </c>
      <c r="L45" s="170"/>
      <c r="M45" s="175"/>
      <c r="N45" s="172">
        <v>536000</v>
      </c>
      <c r="O45" s="172"/>
      <c r="P45" s="173" t="s">
        <v>2461</v>
      </c>
      <c r="Q45" s="174" t="str">
        <f t="shared" si="0"/>
        <v>註3</v>
      </c>
      <c r="R45" s="203" t="e">
        <f>INDEX([1]告訴人!$D$15:$F$372,MATCH(C45,[1]告訴人!$F$15:$F$372,0),1)</f>
        <v>#N/A</v>
      </c>
      <c r="S45" s="203" t="str">
        <f t="array" ref="S45">IF(OR(C45=[1]告訴人!$F$15:$F$372),"重疊","")</f>
        <v/>
      </c>
    </row>
    <row r="46" spans="1:22" ht="18" customHeight="1">
      <c r="A46" s="166">
        <v>43</v>
      </c>
      <c r="B46" s="166" t="s">
        <v>32</v>
      </c>
      <c r="C46" s="166" t="s">
        <v>355</v>
      </c>
      <c r="D46" s="167"/>
      <c r="E46" s="168" t="s">
        <v>43</v>
      </c>
      <c r="F46" s="169">
        <v>2000</v>
      </c>
      <c r="G46" s="168">
        <v>67</v>
      </c>
      <c r="H46" s="169">
        <v>134000</v>
      </c>
      <c r="I46" s="186" t="s">
        <v>1083</v>
      </c>
      <c r="J46" s="186" t="s">
        <v>1083</v>
      </c>
      <c r="K46" s="170" t="s">
        <v>2462</v>
      </c>
      <c r="L46" s="170"/>
      <c r="M46" s="175" t="s">
        <v>2905</v>
      </c>
      <c r="N46" s="172"/>
      <c r="O46" s="172"/>
      <c r="P46" s="173" t="s">
        <v>1832</v>
      </c>
      <c r="Q46" s="174" t="str">
        <f t="shared" si="0"/>
        <v/>
      </c>
      <c r="R46" s="203">
        <f>INDEX([1]告訴人!$D$15:$F$372,MATCH(C46,[1]告訴人!$F$15:$F$372,0),1)</f>
        <v>78</v>
      </c>
      <c r="S46" s="203" t="str">
        <f t="array" ref="S46">IF(OR(C46=[1]告訴人!$F$15:$F$372),"重疊","")</f>
        <v>重疊</v>
      </c>
      <c r="T46" s="203">
        <v>1</v>
      </c>
    </row>
    <row r="47" spans="1:22" ht="17" customHeight="1">
      <c r="A47" s="166">
        <v>44</v>
      </c>
      <c r="B47" s="166" t="s">
        <v>32</v>
      </c>
      <c r="C47" s="166" t="s">
        <v>367</v>
      </c>
      <c r="D47" s="167"/>
      <c r="E47" s="168" t="s">
        <v>43</v>
      </c>
      <c r="F47" s="169">
        <v>2000</v>
      </c>
      <c r="G47" s="168">
        <v>67</v>
      </c>
      <c r="H47" s="169">
        <v>134000</v>
      </c>
      <c r="I47" s="186" t="s">
        <v>1083</v>
      </c>
      <c r="J47" s="186" t="s">
        <v>1083</v>
      </c>
      <c r="K47" s="170" t="s">
        <v>2462</v>
      </c>
      <c r="L47" s="170"/>
      <c r="M47" s="175" t="s">
        <v>2905</v>
      </c>
      <c r="N47" s="172"/>
      <c r="O47" s="172"/>
      <c r="P47" s="173" t="s">
        <v>1832</v>
      </c>
      <c r="Q47" s="174" t="str">
        <f t="shared" si="0"/>
        <v/>
      </c>
      <c r="R47" s="203">
        <f>INDEX([1]告訴人!$D$15:$F$372,MATCH(C47,[1]告訴人!$F$15:$F$372,0),1)</f>
        <v>77</v>
      </c>
      <c r="S47" s="203" t="str">
        <f t="array" ref="S47">IF(OR(C47=[1]告訴人!$F$15:$F$372),"重疊","")</f>
        <v>重疊</v>
      </c>
      <c r="T47" s="203">
        <v>1</v>
      </c>
    </row>
    <row r="48" spans="1:22" ht="18" customHeight="1">
      <c r="A48" s="166">
        <v>45</v>
      </c>
      <c r="B48" s="166" t="s">
        <v>32</v>
      </c>
      <c r="C48" s="166" t="s">
        <v>215</v>
      </c>
      <c r="D48" s="167"/>
      <c r="E48" s="168" t="s">
        <v>43</v>
      </c>
      <c r="F48" s="169">
        <v>10000</v>
      </c>
      <c r="G48" s="168">
        <v>67</v>
      </c>
      <c r="H48" s="169">
        <v>670000</v>
      </c>
      <c r="I48" s="186"/>
      <c r="J48" s="186"/>
      <c r="K48" s="170" t="s">
        <v>2904</v>
      </c>
      <c r="L48" s="170"/>
      <c r="M48" s="175"/>
      <c r="N48" s="172">
        <v>670000</v>
      </c>
      <c r="O48" s="172"/>
      <c r="P48" s="173" t="s">
        <v>2461</v>
      </c>
      <c r="Q48" s="174" t="str">
        <f t="shared" si="0"/>
        <v>註3</v>
      </c>
      <c r="R48" s="203">
        <f>INDEX([1]告訴人!$D$15:$F$372,MATCH(C48,[1]告訴人!$F$15:$F$372,0),1)</f>
        <v>76</v>
      </c>
      <c r="S48" s="203" t="str">
        <f t="array" ref="S48">IF(OR(C48=[1]告訴人!$F$15:$F$372),"重疊","")</f>
        <v>重疊</v>
      </c>
    </row>
    <row r="49" spans="1:23" ht="75.25" customHeight="1">
      <c r="A49" s="166">
        <v>46</v>
      </c>
      <c r="B49" s="166" t="s">
        <v>32</v>
      </c>
      <c r="C49" s="166" t="s">
        <v>445</v>
      </c>
      <c r="D49" s="255" t="s">
        <v>2911</v>
      </c>
      <c r="E49" s="168" t="s">
        <v>43</v>
      </c>
      <c r="F49" s="169">
        <v>7000</v>
      </c>
      <c r="G49" s="168">
        <v>67</v>
      </c>
      <c r="H49" s="169">
        <v>469000</v>
      </c>
      <c r="I49" s="186" t="s">
        <v>2912</v>
      </c>
      <c r="J49" s="186" t="s">
        <v>2912</v>
      </c>
      <c r="K49" s="170" t="s">
        <v>3158</v>
      </c>
      <c r="L49" s="170" t="s">
        <v>3577</v>
      </c>
      <c r="M49" s="175" t="s">
        <v>2905</v>
      </c>
      <c r="N49" s="172"/>
      <c r="O49" s="172">
        <v>469000</v>
      </c>
      <c r="P49" s="173" t="s">
        <v>2465</v>
      </c>
      <c r="Q49" s="174" t="str">
        <f t="shared" si="0"/>
        <v>註4</v>
      </c>
      <c r="R49" s="203">
        <f>INDEX([1]告訴人!$D$15:$F$372,MATCH(C49,[1]告訴人!$F$15:$F$372,0),1)</f>
        <v>202</v>
      </c>
      <c r="S49" s="203" t="str">
        <f t="array" ref="S49">IF(OR(C49=[1]告訴人!$F$15:$F$372),"重疊","")</f>
        <v>重疊</v>
      </c>
      <c r="T49" s="203">
        <v>1</v>
      </c>
      <c r="U49" s="203">
        <v>1</v>
      </c>
      <c r="W49" s="203" t="s">
        <v>2905</v>
      </c>
    </row>
    <row r="50" spans="1:23" ht="69.900000000000006" customHeight="1">
      <c r="A50" s="166">
        <v>47</v>
      </c>
      <c r="B50" s="166" t="s">
        <v>112</v>
      </c>
      <c r="C50" s="166" t="s">
        <v>3260</v>
      </c>
      <c r="D50" s="167"/>
      <c r="E50" s="168" t="s">
        <v>43</v>
      </c>
      <c r="F50" s="169">
        <v>1000</v>
      </c>
      <c r="G50" s="168">
        <v>67</v>
      </c>
      <c r="H50" s="169">
        <v>67000</v>
      </c>
      <c r="I50" s="186"/>
      <c r="J50" s="186"/>
      <c r="K50" s="170" t="s">
        <v>2904</v>
      </c>
      <c r="L50" s="170"/>
      <c r="M50" s="175"/>
      <c r="N50" s="172">
        <v>67000</v>
      </c>
      <c r="O50" s="172"/>
      <c r="P50" s="173" t="s">
        <v>2461</v>
      </c>
      <c r="Q50" s="174" t="str">
        <f t="shared" si="0"/>
        <v>註3</v>
      </c>
      <c r="R50" s="203" t="e">
        <f>INDEX([1]告訴人!$D$15:$F$372,MATCH(C50,[1]告訴人!$F$15:$F$372,0),1)</f>
        <v>#N/A</v>
      </c>
      <c r="S50" s="203" t="str">
        <f t="array" ref="S50">IF(OR(C50=[1]告訴人!$F$15:$F$372),"重疊","")</f>
        <v/>
      </c>
    </row>
    <row r="51" spans="1:23" ht="33.25" customHeight="1">
      <c r="A51" s="166">
        <v>48</v>
      </c>
      <c r="B51" s="166" t="s">
        <v>32</v>
      </c>
      <c r="C51" s="166" t="s">
        <v>379</v>
      </c>
      <c r="D51" s="167"/>
      <c r="E51" s="168" t="s">
        <v>44</v>
      </c>
      <c r="F51" s="169">
        <v>5000</v>
      </c>
      <c r="G51" s="168">
        <v>67</v>
      </c>
      <c r="H51" s="169">
        <v>335000</v>
      </c>
      <c r="I51" s="186"/>
      <c r="J51" s="186"/>
      <c r="K51" s="170" t="s">
        <v>2904</v>
      </c>
      <c r="L51" s="284"/>
      <c r="M51" s="175"/>
      <c r="N51" s="172">
        <v>335000</v>
      </c>
      <c r="O51" s="172"/>
      <c r="P51" s="173" t="s">
        <v>2461</v>
      </c>
      <c r="Q51" s="174" t="str">
        <f t="shared" si="0"/>
        <v>註3</v>
      </c>
      <c r="R51" s="203" t="e">
        <f>INDEX([1]告訴人!$D$15:$F$372,MATCH(C51,[1]告訴人!$F$15:$F$372,0),1)</f>
        <v>#N/A</v>
      </c>
      <c r="S51" s="203" t="str">
        <f t="array" ref="S51">IF(OR(C51=[1]告訴人!$F$15:$F$372),"重疊","")</f>
        <v/>
      </c>
    </row>
    <row r="52" spans="1:23" ht="155.25" customHeight="1">
      <c r="A52" s="166">
        <v>49</v>
      </c>
      <c r="B52" s="166" t="s">
        <v>32</v>
      </c>
      <c r="C52" s="166" t="s">
        <v>332</v>
      </c>
      <c r="D52" s="167"/>
      <c r="E52" s="168" t="s">
        <v>44</v>
      </c>
      <c r="F52" s="169">
        <v>12000</v>
      </c>
      <c r="G52" s="168">
        <v>67</v>
      </c>
      <c r="H52" s="169">
        <v>804000</v>
      </c>
      <c r="I52" s="186" t="s">
        <v>1083</v>
      </c>
      <c r="J52" s="186" t="s">
        <v>1083</v>
      </c>
      <c r="K52" s="170" t="s">
        <v>3159</v>
      </c>
      <c r="L52" s="170" t="s">
        <v>3664</v>
      </c>
      <c r="M52" s="175" t="s">
        <v>2905</v>
      </c>
      <c r="N52" s="172">
        <v>804000</v>
      </c>
      <c r="O52" s="172"/>
      <c r="P52" s="173" t="s">
        <v>2461</v>
      </c>
      <c r="Q52" s="174" t="str">
        <f t="shared" si="0"/>
        <v>註3</v>
      </c>
      <c r="R52" s="203">
        <f>INDEX([1]告訴人!$D$15:$F$372,MATCH(C52,[1]告訴人!$F$15:$F$372,0),1)</f>
        <v>16</v>
      </c>
      <c r="S52" s="203" t="str">
        <f t="array" ref="S52">IF(OR(C52=[1]告訴人!$F$15:$F$372),"重疊","")</f>
        <v>重疊</v>
      </c>
      <c r="T52" s="203">
        <v>1</v>
      </c>
      <c r="V52" s="203">
        <v>1</v>
      </c>
    </row>
    <row r="53" spans="1:23" ht="17.5" customHeight="1">
      <c r="A53" s="166">
        <v>50</v>
      </c>
      <c r="B53" s="166" t="s">
        <v>32</v>
      </c>
      <c r="C53" s="166" t="s">
        <v>368</v>
      </c>
      <c r="D53" s="167"/>
      <c r="E53" s="168" t="s">
        <v>104</v>
      </c>
      <c r="F53" s="169">
        <v>2000</v>
      </c>
      <c r="G53" s="168">
        <v>67</v>
      </c>
      <c r="H53" s="169">
        <v>134000</v>
      </c>
      <c r="I53" s="186"/>
      <c r="J53" s="186"/>
      <c r="K53" s="170" t="s">
        <v>2904</v>
      </c>
      <c r="L53" s="170"/>
      <c r="M53" s="175"/>
      <c r="N53" s="172">
        <v>134000</v>
      </c>
      <c r="O53" s="172"/>
      <c r="P53" s="173" t="s">
        <v>2461</v>
      </c>
      <c r="Q53" s="174" t="str">
        <f t="shared" si="0"/>
        <v>註3</v>
      </c>
      <c r="R53" s="203" t="e">
        <f>INDEX([1]告訴人!$D$15:$F$372,MATCH(C53,[1]告訴人!$F$15:$F$372,0),1)</f>
        <v>#N/A</v>
      </c>
      <c r="S53" s="203" t="str">
        <f t="array" ref="S53">IF(OR(C53=[1]告訴人!$F$15:$F$372),"重疊","")</f>
        <v/>
      </c>
    </row>
    <row r="54" spans="1:23" ht="51">
      <c r="A54" s="166">
        <v>51</v>
      </c>
      <c r="B54" s="166" t="s">
        <v>32</v>
      </c>
      <c r="C54" s="166" t="s">
        <v>347</v>
      </c>
      <c r="D54" s="167"/>
      <c r="E54" s="168" t="s">
        <v>45</v>
      </c>
      <c r="F54" s="169">
        <v>5000</v>
      </c>
      <c r="G54" s="168">
        <v>67</v>
      </c>
      <c r="H54" s="169">
        <v>335000</v>
      </c>
      <c r="I54" s="186" t="s">
        <v>1083</v>
      </c>
      <c r="J54" s="186" t="s">
        <v>1083</v>
      </c>
      <c r="K54" s="170" t="s">
        <v>3160</v>
      </c>
      <c r="L54" s="170" t="s">
        <v>2913</v>
      </c>
      <c r="M54" s="175" t="s">
        <v>2914</v>
      </c>
      <c r="N54" s="172"/>
      <c r="O54" s="172">
        <v>335000</v>
      </c>
      <c r="P54" s="173" t="s">
        <v>2463</v>
      </c>
      <c r="Q54" s="174" t="str">
        <f t="shared" si="0"/>
        <v>註4</v>
      </c>
      <c r="R54" s="203">
        <f>INDEX([1]告訴人!$D$15:$F$372,MATCH(C54,[1]告訴人!$F$15:$F$372,0),1)</f>
        <v>117</v>
      </c>
      <c r="S54" s="203" t="str">
        <f t="array" ref="S54">IF(OR(C54=[1]告訴人!$F$15:$F$372),"重疊","")</f>
        <v>重疊</v>
      </c>
      <c r="T54" s="203">
        <v>1</v>
      </c>
    </row>
    <row r="55" spans="1:23">
      <c r="A55" s="166">
        <v>52</v>
      </c>
      <c r="B55" s="166" t="s">
        <v>32</v>
      </c>
      <c r="C55" s="166" t="s">
        <v>393</v>
      </c>
      <c r="D55" s="167"/>
      <c r="E55" s="168" t="s">
        <v>45</v>
      </c>
      <c r="F55" s="169">
        <v>5000</v>
      </c>
      <c r="G55" s="168">
        <v>67</v>
      </c>
      <c r="H55" s="169">
        <v>335000</v>
      </c>
      <c r="I55" s="186" t="s">
        <v>1083</v>
      </c>
      <c r="J55" s="186" t="s">
        <v>1083</v>
      </c>
      <c r="K55" s="170" t="s">
        <v>2462</v>
      </c>
      <c r="L55" s="170"/>
      <c r="M55" s="175" t="s">
        <v>2914</v>
      </c>
      <c r="N55" s="172"/>
      <c r="O55" s="172"/>
      <c r="P55" s="173" t="s">
        <v>1832</v>
      </c>
      <c r="Q55" s="174" t="str">
        <f t="shared" si="0"/>
        <v/>
      </c>
      <c r="R55" s="203">
        <f>INDEX([1]告訴人!$D$15:$F$372,MATCH(C55,[1]告訴人!$F$15:$F$372,0),1)</f>
        <v>61</v>
      </c>
      <c r="S55" s="203" t="str">
        <f t="array" ref="S55">IF(OR(C55=[1]告訴人!$F$15:$F$372),"重疊","")</f>
        <v>重疊</v>
      </c>
      <c r="T55" s="203">
        <v>1</v>
      </c>
    </row>
    <row r="56" spans="1:23" ht="60.75" customHeight="1">
      <c r="A56" s="166">
        <v>53</v>
      </c>
      <c r="B56" s="166" t="s">
        <v>32</v>
      </c>
      <c r="C56" s="166" t="s">
        <v>412</v>
      </c>
      <c r="D56" s="167"/>
      <c r="E56" s="168" t="s">
        <v>45</v>
      </c>
      <c r="F56" s="169">
        <v>7000</v>
      </c>
      <c r="G56" s="168">
        <v>67</v>
      </c>
      <c r="H56" s="169">
        <v>469000</v>
      </c>
      <c r="I56" s="186" t="s">
        <v>2915</v>
      </c>
      <c r="J56" s="186" t="s">
        <v>2915</v>
      </c>
      <c r="K56" s="170" t="s">
        <v>3161</v>
      </c>
      <c r="L56" s="170" t="s">
        <v>2916</v>
      </c>
      <c r="M56" s="175" t="s">
        <v>2914</v>
      </c>
      <c r="N56" s="172"/>
      <c r="O56" s="172">
        <v>469000</v>
      </c>
      <c r="P56" s="173" t="s">
        <v>2463</v>
      </c>
      <c r="Q56" s="174" t="str">
        <f t="shared" si="0"/>
        <v>註4</v>
      </c>
      <c r="R56" s="203">
        <f>INDEX([1]告訴人!$D$15:$F$372,MATCH(C56,[1]告訴人!$F$15:$F$372,0),1)</f>
        <v>335</v>
      </c>
      <c r="S56" s="203" t="str">
        <f t="array" ref="S56">IF(OR(C56=[1]告訴人!$F$15:$F$372),"重疊","")</f>
        <v>重疊</v>
      </c>
      <c r="T56" s="203">
        <v>1</v>
      </c>
    </row>
    <row r="57" spans="1:23" ht="43.5" customHeight="1">
      <c r="A57" s="166">
        <v>54</v>
      </c>
      <c r="B57" s="166" t="s">
        <v>32</v>
      </c>
      <c r="C57" s="166" t="s">
        <v>461</v>
      </c>
      <c r="D57" s="167"/>
      <c r="E57" s="168" t="s">
        <v>45</v>
      </c>
      <c r="F57" s="169">
        <v>2000</v>
      </c>
      <c r="G57" s="168">
        <v>67</v>
      </c>
      <c r="H57" s="169">
        <v>134000</v>
      </c>
      <c r="I57" s="186" t="s">
        <v>1083</v>
      </c>
      <c r="J57" s="186" t="s">
        <v>1083</v>
      </c>
      <c r="K57" s="170" t="s">
        <v>2462</v>
      </c>
      <c r="L57" s="170"/>
      <c r="M57" s="175" t="s">
        <v>2914</v>
      </c>
      <c r="N57" s="172"/>
      <c r="O57" s="172"/>
      <c r="P57" s="173" t="s">
        <v>1832</v>
      </c>
      <c r="Q57" s="174" t="str">
        <f t="shared" si="0"/>
        <v/>
      </c>
      <c r="R57" s="203">
        <f>INDEX([1]告訴人!$D$15:$F$372,MATCH(C57,[1]告訴人!$F$15:$F$372,0),1)</f>
        <v>326</v>
      </c>
      <c r="S57" s="203" t="str">
        <f t="array" ref="S57">IF(OR(C57=[1]告訴人!$F$15:$F$372),"重疊","")</f>
        <v>重疊</v>
      </c>
      <c r="T57" s="203">
        <v>1</v>
      </c>
    </row>
    <row r="58" spans="1:23" ht="88.5" customHeight="1">
      <c r="A58" s="166">
        <v>55</v>
      </c>
      <c r="B58" s="166" t="s">
        <v>32</v>
      </c>
      <c r="C58" s="166" t="s">
        <v>266</v>
      </c>
      <c r="D58" s="167"/>
      <c r="E58" s="168" t="s">
        <v>45</v>
      </c>
      <c r="F58" s="169">
        <v>3000</v>
      </c>
      <c r="G58" s="168">
        <v>67</v>
      </c>
      <c r="H58" s="169">
        <v>201000</v>
      </c>
      <c r="I58" s="186" t="s">
        <v>1083</v>
      </c>
      <c r="J58" s="186" t="s">
        <v>1083</v>
      </c>
      <c r="K58" s="170" t="s">
        <v>3162</v>
      </c>
      <c r="L58" s="170" t="s">
        <v>3578</v>
      </c>
      <c r="M58" s="175" t="s">
        <v>2905</v>
      </c>
      <c r="N58" s="172">
        <v>201000</v>
      </c>
      <c r="O58" s="172"/>
      <c r="P58" s="173" t="s">
        <v>2461</v>
      </c>
      <c r="Q58" s="174" t="str">
        <f t="shared" si="0"/>
        <v>註3</v>
      </c>
      <c r="R58" s="203">
        <f>INDEX([1]告訴人!$D$15:$F$372,MATCH(C58,[1]告訴人!$F$15:$F$372,0),1)</f>
        <v>96</v>
      </c>
      <c r="S58" s="203" t="str">
        <f t="array" ref="S58">IF(OR(C58=[1]告訴人!$F$15:$F$372),"重疊","")</f>
        <v>重疊</v>
      </c>
      <c r="T58" s="203">
        <v>1</v>
      </c>
      <c r="V58" s="203">
        <v>1</v>
      </c>
    </row>
    <row r="59" spans="1:23">
      <c r="A59" s="166">
        <v>56</v>
      </c>
      <c r="B59" s="166" t="s">
        <v>32</v>
      </c>
      <c r="C59" s="166" t="s">
        <v>497</v>
      </c>
      <c r="D59" s="167"/>
      <c r="E59" s="168" t="s">
        <v>45</v>
      </c>
      <c r="F59" s="169">
        <v>3000</v>
      </c>
      <c r="G59" s="168">
        <v>67</v>
      </c>
      <c r="H59" s="169">
        <v>201000</v>
      </c>
      <c r="I59" s="186" t="s">
        <v>1083</v>
      </c>
      <c r="J59" s="186" t="s">
        <v>1083</v>
      </c>
      <c r="K59" s="170" t="s">
        <v>2462</v>
      </c>
      <c r="L59" s="170"/>
      <c r="M59" s="175" t="s">
        <v>2905</v>
      </c>
      <c r="N59" s="172"/>
      <c r="O59" s="172"/>
      <c r="P59" s="173" t="s">
        <v>1832</v>
      </c>
      <c r="Q59" s="174" t="str">
        <f t="shared" si="0"/>
        <v/>
      </c>
      <c r="R59" s="203">
        <f>INDEX([1]告訴人!$D$15:$F$372,MATCH(C59,[1]告訴人!$F$15:$F$372,0),1)</f>
        <v>312</v>
      </c>
      <c r="S59" s="203" t="str">
        <f t="array" ref="S59">IF(OR(C59=[1]告訴人!$F$15:$F$372),"重疊","")</f>
        <v>重疊</v>
      </c>
      <c r="T59" s="203">
        <v>1</v>
      </c>
    </row>
    <row r="60" spans="1:23" ht="101.15" customHeight="1">
      <c r="A60" s="166">
        <v>57</v>
      </c>
      <c r="B60" s="166" t="s">
        <v>32</v>
      </c>
      <c r="C60" s="166" t="s">
        <v>539</v>
      </c>
      <c r="D60" s="255" t="s">
        <v>2917</v>
      </c>
      <c r="E60" s="168" t="s">
        <v>45</v>
      </c>
      <c r="F60" s="169">
        <v>5000</v>
      </c>
      <c r="G60" s="168">
        <v>67</v>
      </c>
      <c r="H60" s="169">
        <v>335000</v>
      </c>
      <c r="I60" s="186" t="s">
        <v>2918</v>
      </c>
      <c r="J60" s="186" t="s">
        <v>2918</v>
      </c>
      <c r="K60" s="170" t="s">
        <v>3163</v>
      </c>
      <c r="L60" s="170" t="s">
        <v>2919</v>
      </c>
      <c r="M60" s="175" t="s">
        <v>2907</v>
      </c>
      <c r="N60" s="172"/>
      <c r="O60" s="172">
        <v>335000</v>
      </c>
      <c r="P60" s="173" t="s">
        <v>2463</v>
      </c>
      <c r="Q60" s="174" t="str">
        <f t="shared" si="0"/>
        <v>註4</v>
      </c>
      <c r="R60" s="203">
        <f>INDEX([1]告訴人!$D$15:$F$372,MATCH(C60,[1]告訴人!$F$15:$F$372,0),1)</f>
        <v>102</v>
      </c>
      <c r="S60" s="203" t="str">
        <f t="array" ref="S60">IF(OR(C60=[1]告訴人!$F$15:$F$372),"重疊","")</f>
        <v>重疊</v>
      </c>
      <c r="T60" s="203">
        <v>1</v>
      </c>
    </row>
    <row r="61" spans="1:23" ht="153.75" customHeight="1">
      <c r="A61" s="166">
        <v>58</v>
      </c>
      <c r="B61" s="166" t="s">
        <v>32</v>
      </c>
      <c r="C61" s="166" t="s">
        <v>2920</v>
      </c>
      <c r="D61" s="167"/>
      <c r="E61" s="168" t="s">
        <v>105</v>
      </c>
      <c r="F61" s="169">
        <v>10000</v>
      </c>
      <c r="G61" s="168">
        <v>67</v>
      </c>
      <c r="H61" s="169">
        <v>670000</v>
      </c>
      <c r="I61" s="186" t="s">
        <v>1083</v>
      </c>
      <c r="J61" s="186" t="s">
        <v>1083</v>
      </c>
      <c r="K61" s="170" t="s">
        <v>3164</v>
      </c>
      <c r="L61" s="170" t="s">
        <v>3665</v>
      </c>
      <c r="M61" s="175" t="s">
        <v>2907</v>
      </c>
      <c r="N61" s="172">
        <v>670000</v>
      </c>
      <c r="O61" s="172"/>
      <c r="P61" s="173" t="s">
        <v>2461</v>
      </c>
      <c r="Q61" s="174" t="str">
        <f t="shared" si="0"/>
        <v>註3</v>
      </c>
      <c r="R61" s="203">
        <f>INDEX([1]告訴人!$D$15:$F$372,MATCH(C61,[1]告訴人!$F$15:$F$372,0),1)</f>
        <v>16</v>
      </c>
      <c r="S61" s="203" t="str">
        <f t="array" ref="S61">IF(OR(C61=[1]告訴人!$F$15:$F$372),"重疊","")</f>
        <v>重疊</v>
      </c>
      <c r="T61" s="203">
        <v>1</v>
      </c>
      <c r="V61" s="203">
        <v>1</v>
      </c>
    </row>
    <row r="62" spans="1:23">
      <c r="A62" s="166">
        <v>59</v>
      </c>
      <c r="B62" s="166" t="s">
        <v>112</v>
      </c>
      <c r="C62" s="166" t="s">
        <v>370</v>
      </c>
      <c r="D62" s="167"/>
      <c r="E62" s="168" t="s">
        <v>371</v>
      </c>
      <c r="F62" s="169">
        <v>4000</v>
      </c>
      <c r="G62" s="168">
        <v>67</v>
      </c>
      <c r="H62" s="169">
        <v>268000</v>
      </c>
      <c r="I62" s="186"/>
      <c r="J62" s="186"/>
      <c r="K62" s="170" t="s">
        <v>2908</v>
      </c>
      <c r="L62" s="170"/>
      <c r="M62" s="175"/>
      <c r="N62" s="172">
        <v>268000</v>
      </c>
      <c r="O62" s="172"/>
      <c r="P62" s="173" t="s">
        <v>2461</v>
      </c>
      <c r="Q62" s="174" t="str">
        <f t="shared" si="0"/>
        <v>註3</v>
      </c>
      <c r="R62" s="203" t="e">
        <f>INDEX([1]告訴人!$D$15:$F$372,MATCH(C62,[1]告訴人!$F$15:$F$372,0),1)</f>
        <v>#N/A</v>
      </c>
      <c r="S62" s="203" t="str">
        <f t="array" ref="S62">IF(OR(C62=[1]告訴人!$F$15:$F$372),"重疊","")</f>
        <v/>
      </c>
    </row>
    <row r="63" spans="1:23" ht="83.25" customHeight="1">
      <c r="A63" s="166">
        <v>60</v>
      </c>
      <c r="B63" s="166" t="s">
        <v>112</v>
      </c>
      <c r="C63" s="166" t="s">
        <v>472</v>
      </c>
      <c r="D63" s="167"/>
      <c r="E63" s="168" t="s">
        <v>371</v>
      </c>
      <c r="F63" s="169">
        <v>4000</v>
      </c>
      <c r="G63" s="168">
        <v>67</v>
      </c>
      <c r="H63" s="169">
        <v>268000</v>
      </c>
      <c r="I63" s="186" t="s">
        <v>2921</v>
      </c>
      <c r="J63" s="186" t="s">
        <v>2921</v>
      </c>
      <c r="K63" s="170" t="s">
        <v>3165</v>
      </c>
      <c r="L63" s="170" t="s">
        <v>3579</v>
      </c>
      <c r="M63" s="175" t="s">
        <v>2907</v>
      </c>
      <c r="N63" s="172">
        <v>268000</v>
      </c>
      <c r="O63" s="172"/>
      <c r="P63" s="173" t="s">
        <v>2461</v>
      </c>
      <c r="Q63" s="174" t="str">
        <f t="shared" si="0"/>
        <v>註3</v>
      </c>
      <c r="R63" s="203">
        <f>INDEX([1]告訴人!$D$15:$F$372,MATCH(C63,[1]告訴人!$F$15:$F$372,0),1)</f>
        <v>234</v>
      </c>
      <c r="S63" s="203" t="str">
        <f t="array" ref="S63">IF(OR(C63=[1]告訴人!$F$15:$F$372),"重疊","")</f>
        <v>重疊</v>
      </c>
      <c r="T63" s="203">
        <v>1</v>
      </c>
      <c r="V63" s="203">
        <v>1</v>
      </c>
    </row>
    <row r="64" spans="1:23" ht="45" customHeight="1">
      <c r="A64" s="166">
        <v>61</v>
      </c>
      <c r="B64" s="166" t="s">
        <v>32</v>
      </c>
      <c r="C64" s="166" t="s">
        <v>365</v>
      </c>
      <c r="D64" s="167"/>
      <c r="E64" s="168" t="s">
        <v>46</v>
      </c>
      <c r="F64" s="169">
        <v>10000</v>
      </c>
      <c r="G64" s="168">
        <v>67</v>
      </c>
      <c r="H64" s="169">
        <v>670000</v>
      </c>
      <c r="I64" s="186" t="s">
        <v>2922</v>
      </c>
      <c r="J64" s="186" t="s">
        <v>2922</v>
      </c>
      <c r="K64" s="170" t="s">
        <v>3158</v>
      </c>
      <c r="L64" s="170" t="s">
        <v>3580</v>
      </c>
      <c r="M64" s="253" t="s">
        <v>2907</v>
      </c>
      <c r="N64" s="172"/>
      <c r="O64" s="172">
        <v>670000</v>
      </c>
      <c r="P64" s="173" t="s">
        <v>2465</v>
      </c>
      <c r="Q64" s="174" t="str">
        <f t="shared" si="0"/>
        <v>註4</v>
      </c>
      <c r="R64" s="203">
        <f>INDEX([1]告訴人!$D$15:$F$372,MATCH(C64,[1]告訴人!$F$15:$F$372,0),1)</f>
        <v>245</v>
      </c>
      <c r="S64" s="203" t="str">
        <f t="array" ref="S64">IF(OR(C64=[1]告訴人!$F$15:$F$372),"重疊","")</f>
        <v>重疊</v>
      </c>
      <c r="T64" s="203">
        <v>1</v>
      </c>
      <c r="U64" s="203">
        <v>1</v>
      </c>
      <c r="W64" s="203" t="s">
        <v>2907</v>
      </c>
    </row>
    <row r="65" spans="1:23" ht="17.5" customHeight="1">
      <c r="A65" s="166">
        <v>62</v>
      </c>
      <c r="B65" s="166" t="s">
        <v>32</v>
      </c>
      <c r="C65" s="166" t="s">
        <v>385</v>
      </c>
      <c r="D65" s="167"/>
      <c r="E65" s="168" t="s">
        <v>46</v>
      </c>
      <c r="F65" s="169">
        <v>10000</v>
      </c>
      <c r="G65" s="168">
        <v>67</v>
      </c>
      <c r="H65" s="169">
        <v>670000</v>
      </c>
      <c r="I65" s="186"/>
      <c r="J65" s="186"/>
      <c r="K65" s="170" t="s">
        <v>2908</v>
      </c>
      <c r="L65" s="170"/>
      <c r="M65" s="175"/>
      <c r="N65" s="172">
        <v>670000</v>
      </c>
      <c r="O65" s="172"/>
      <c r="P65" s="173" t="s">
        <v>2461</v>
      </c>
      <c r="Q65" s="174" t="str">
        <f t="shared" si="0"/>
        <v>註3</v>
      </c>
      <c r="R65" s="203" t="e">
        <f>INDEX([1]告訴人!$D$15:$F$372,MATCH(C65,[1]告訴人!$F$15:$F$372,0),1)</f>
        <v>#N/A</v>
      </c>
      <c r="S65" s="203" t="str">
        <f t="array" ref="S65">IF(OR(C65=[1]告訴人!$F$15:$F$372),"重疊","")</f>
        <v/>
      </c>
    </row>
    <row r="66" spans="1:23" ht="140.25" customHeight="1">
      <c r="A66" s="166">
        <v>63</v>
      </c>
      <c r="B66" s="166" t="s">
        <v>32</v>
      </c>
      <c r="C66" s="166" t="s">
        <v>406</v>
      </c>
      <c r="D66" s="167"/>
      <c r="E66" s="168" t="s">
        <v>46</v>
      </c>
      <c r="F66" s="169">
        <v>2000</v>
      </c>
      <c r="G66" s="168">
        <v>67</v>
      </c>
      <c r="H66" s="169">
        <v>134000</v>
      </c>
      <c r="I66" s="186"/>
      <c r="J66" s="186"/>
      <c r="K66" s="170" t="s">
        <v>2908</v>
      </c>
      <c r="L66" s="238" t="s">
        <v>3666</v>
      </c>
      <c r="M66" s="175"/>
      <c r="N66" s="172">
        <v>134000</v>
      </c>
      <c r="O66" s="172"/>
      <c r="P66" s="173" t="s">
        <v>2461</v>
      </c>
      <c r="Q66" s="174" t="str">
        <f t="shared" ref="Q66:Q129" si="1">IF(N66&lt;&gt;0,"註3",IF(O66&lt;&gt;0,"註4",""))</f>
        <v>註3</v>
      </c>
      <c r="R66" s="203">
        <f>INDEX([1]告訴人!$D$15:$F$372,MATCH(C66,[1]告訴人!$F$15:$F$372,0),1)</f>
        <v>350</v>
      </c>
      <c r="S66" s="203" t="str">
        <f t="array" ref="S66">IF(OR(C66=[1]告訴人!$F$15:$F$372),"重疊","")</f>
        <v>重疊</v>
      </c>
    </row>
    <row r="67" spans="1:23" ht="141.5" customHeight="1">
      <c r="A67" s="166">
        <v>64</v>
      </c>
      <c r="B67" s="166" t="s">
        <v>32</v>
      </c>
      <c r="C67" s="166" t="s">
        <v>423</v>
      </c>
      <c r="D67" s="167"/>
      <c r="E67" s="168" t="s">
        <v>46</v>
      </c>
      <c r="F67" s="169">
        <v>12000</v>
      </c>
      <c r="G67" s="168">
        <v>67</v>
      </c>
      <c r="H67" s="169">
        <v>804000</v>
      </c>
      <c r="I67" s="186" t="s">
        <v>1083</v>
      </c>
      <c r="J67" s="186" t="s">
        <v>1083</v>
      </c>
      <c r="K67" s="170" t="s">
        <v>3166</v>
      </c>
      <c r="L67" s="170" t="s">
        <v>3667</v>
      </c>
      <c r="M67" s="175" t="s">
        <v>2905</v>
      </c>
      <c r="N67" s="172">
        <v>804000</v>
      </c>
      <c r="O67" s="172"/>
      <c r="P67" s="173" t="s">
        <v>2461</v>
      </c>
      <c r="Q67" s="174" t="str">
        <f t="shared" si="1"/>
        <v>註3</v>
      </c>
      <c r="R67" s="203">
        <f>INDEX([1]告訴人!$D$15:$F$372,MATCH(C67,[1]告訴人!$F$15:$F$372,0),1)</f>
        <v>17</v>
      </c>
      <c r="S67" s="203" t="str">
        <f t="array" ref="S67">IF(OR(C67=[1]告訴人!$F$15:$F$372),"重疊","")</f>
        <v>重疊</v>
      </c>
      <c r="T67" s="203">
        <v>1</v>
      </c>
      <c r="V67" s="203">
        <v>1</v>
      </c>
    </row>
    <row r="68" spans="1:23" ht="141.5" customHeight="1">
      <c r="A68" s="166">
        <v>65</v>
      </c>
      <c r="B68" s="166" t="s">
        <v>32</v>
      </c>
      <c r="C68" s="166" t="s">
        <v>2469</v>
      </c>
      <c r="D68" s="167"/>
      <c r="E68" s="168" t="s">
        <v>46</v>
      </c>
      <c r="F68" s="169">
        <v>10000</v>
      </c>
      <c r="G68" s="168">
        <v>67</v>
      </c>
      <c r="H68" s="169">
        <v>670000</v>
      </c>
      <c r="I68" s="186" t="s">
        <v>2912</v>
      </c>
      <c r="J68" s="186" t="s">
        <v>2912</v>
      </c>
      <c r="K68" s="170" t="s">
        <v>3158</v>
      </c>
      <c r="L68" s="170" t="s">
        <v>3668</v>
      </c>
      <c r="M68" s="175" t="s">
        <v>2905</v>
      </c>
      <c r="N68" s="172"/>
      <c r="O68" s="172">
        <v>670000</v>
      </c>
      <c r="P68" s="173" t="s">
        <v>2465</v>
      </c>
      <c r="Q68" s="174" t="str">
        <f t="shared" si="1"/>
        <v>註4</v>
      </c>
      <c r="R68" s="203">
        <f>INDEX([1]告訴人!$D$15:$F$372,MATCH(C68,[1]告訴人!$F$15:$F$372,0),1)</f>
        <v>121</v>
      </c>
      <c r="S68" s="203" t="str">
        <f t="array" ref="S68">IF(OR(C68=[1]告訴人!$F$15:$F$372),"重疊","")</f>
        <v>重疊</v>
      </c>
      <c r="T68" s="203">
        <v>1</v>
      </c>
      <c r="U68" s="203">
        <v>1</v>
      </c>
      <c r="W68" s="203" t="s">
        <v>2905</v>
      </c>
    </row>
    <row r="69" spans="1:23" ht="42.75" customHeight="1">
      <c r="A69" s="166">
        <v>66</v>
      </c>
      <c r="B69" s="166" t="s">
        <v>32</v>
      </c>
      <c r="C69" s="166" t="s">
        <v>553</v>
      </c>
      <c r="D69" s="167"/>
      <c r="E69" s="168" t="s">
        <v>46</v>
      </c>
      <c r="F69" s="169">
        <v>2000</v>
      </c>
      <c r="G69" s="168">
        <v>69</v>
      </c>
      <c r="H69" s="169">
        <v>138000</v>
      </c>
      <c r="I69" s="186" t="s">
        <v>2918</v>
      </c>
      <c r="J69" s="186" t="s">
        <v>2918</v>
      </c>
      <c r="K69" s="170" t="s">
        <v>3158</v>
      </c>
      <c r="L69" s="170" t="s">
        <v>3581</v>
      </c>
      <c r="M69" s="175" t="s">
        <v>2905</v>
      </c>
      <c r="N69" s="172"/>
      <c r="O69" s="172">
        <v>138000</v>
      </c>
      <c r="P69" s="173" t="s">
        <v>2463</v>
      </c>
      <c r="Q69" s="174" t="str">
        <f t="shared" si="1"/>
        <v>註4</v>
      </c>
      <c r="R69" s="203">
        <f>INDEX([1]告訴人!$D$15:$F$372,MATCH(C69,[1]告訴人!$F$15:$F$372,0),1)</f>
        <v>211</v>
      </c>
      <c r="S69" s="203" t="str">
        <f t="array" ref="S69">IF(OR(C69=[1]告訴人!$F$15:$F$372),"重疊","")</f>
        <v>重疊</v>
      </c>
      <c r="T69" s="203">
        <v>1</v>
      </c>
      <c r="U69" s="203">
        <v>1</v>
      </c>
    </row>
    <row r="70" spans="1:23" ht="18.649999999999999" customHeight="1">
      <c r="A70" s="166">
        <v>67</v>
      </c>
      <c r="B70" s="166" t="s">
        <v>32</v>
      </c>
      <c r="C70" s="166" t="s">
        <v>563</v>
      </c>
      <c r="D70" s="167"/>
      <c r="E70" s="168" t="s">
        <v>46</v>
      </c>
      <c r="F70" s="169">
        <v>5000</v>
      </c>
      <c r="G70" s="168">
        <v>69</v>
      </c>
      <c r="H70" s="169">
        <v>345000</v>
      </c>
      <c r="I70" s="186"/>
      <c r="J70" s="186"/>
      <c r="K70" s="170" t="s">
        <v>2904</v>
      </c>
      <c r="L70" s="170"/>
      <c r="M70" s="175"/>
      <c r="N70" s="172">
        <v>345000</v>
      </c>
      <c r="O70" s="172"/>
      <c r="P70" s="173" t="s">
        <v>2461</v>
      </c>
      <c r="Q70" s="174" t="str">
        <f t="shared" si="1"/>
        <v>註3</v>
      </c>
      <c r="R70" s="203" t="e">
        <f>INDEX([1]告訴人!$D$15:$F$372,MATCH(C70,[1]告訴人!$F$15:$F$372,0),1)</f>
        <v>#N/A</v>
      </c>
      <c r="S70" s="203" t="str">
        <f t="array" ref="S70">IF(OR(C70=[1]告訴人!$F$15:$F$372),"重疊","")</f>
        <v/>
      </c>
    </row>
    <row r="71" spans="1:23">
      <c r="A71" s="166">
        <v>68</v>
      </c>
      <c r="B71" s="166" t="s">
        <v>32</v>
      </c>
      <c r="C71" s="166" t="s">
        <v>567</v>
      </c>
      <c r="D71" s="167"/>
      <c r="E71" s="168" t="s">
        <v>46</v>
      </c>
      <c r="F71" s="169">
        <v>2000</v>
      </c>
      <c r="G71" s="168">
        <v>69</v>
      </c>
      <c r="H71" s="169">
        <v>138000</v>
      </c>
      <c r="I71" s="186"/>
      <c r="J71" s="186"/>
      <c r="K71" s="170" t="s">
        <v>2904</v>
      </c>
      <c r="L71" s="170"/>
      <c r="M71" s="175"/>
      <c r="N71" s="172">
        <v>138000</v>
      </c>
      <c r="O71" s="172"/>
      <c r="P71" s="173" t="s">
        <v>2461</v>
      </c>
      <c r="Q71" s="174" t="str">
        <f t="shared" si="1"/>
        <v>註3</v>
      </c>
      <c r="R71" s="203" t="e">
        <f>INDEX([1]告訴人!$D$15:$F$372,MATCH(C71,[1]告訴人!$F$15:$F$372,0),1)</f>
        <v>#N/A</v>
      </c>
      <c r="S71" s="203" t="str">
        <f t="array" ref="S71">IF(OR(C71=[1]告訴人!$F$15:$F$372),"重疊","")</f>
        <v/>
      </c>
    </row>
    <row r="72" spans="1:23" ht="35" customHeight="1">
      <c r="A72" s="166">
        <v>69</v>
      </c>
      <c r="B72" s="166" t="s">
        <v>32</v>
      </c>
      <c r="C72" s="166" t="s">
        <v>569</v>
      </c>
      <c r="D72" s="167"/>
      <c r="E72" s="168" t="s">
        <v>46</v>
      </c>
      <c r="F72" s="169">
        <v>8000</v>
      </c>
      <c r="G72" s="168">
        <v>69</v>
      </c>
      <c r="H72" s="169">
        <v>552000</v>
      </c>
      <c r="I72" s="186" t="s">
        <v>2912</v>
      </c>
      <c r="J72" s="186" t="s">
        <v>2912</v>
      </c>
      <c r="K72" s="170" t="s">
        <v>3158</v>
      </c>
      <c r="L72" s="170" t="s">
        <v>3581</v>
      </c>
      <c r="M72" s="175" t="s">
        <v>2905</v>
      </c>
      <c r="N72" s="172"/>
      <c r="O72" s="172">
        <v>552000</v>
      </c>
      <c r="P72" s="173" t="s">
        <v>2465</v>
      </c>
      <c r="Q72" s="174" t="str">
        <f t="shared" si="1"/>
        <v>註4</v>
      </c>
      <c r="R72" s="203">
        <f>INDEX([1]告訴人!$D$15:$F$372,MATCH(C72,[1]告訴人!$F$15:$F$372,0),1)</f>
        <v>205</v>
      </c>
      <c r="S72" s="203" t="str">
        <f t="array" ref="S72">IF(OR(C72=[1]告訴人!$F$15:$F$372),"重疊","")</f>
        <v>重疊</v>
      </c>
      <c r="T72" s="203">
        <v>1</v>
      </c>
      <c r="U72" s="203">
        <v>1</v>
      </c>
      <c r="W72" s="203" t="s">
        <v>2905</v>
      </c>
    </row>
    <row r="73" spans="1:23" ht="50.25" customHeight="1">
      <c r="A73" s="166">
        <v>70</v>
      </c>
      <c r="B73" s="166" t="s">
        <v>32</v>
      </c>
      <c r="C73" s="166" t="s">
        <v>575</v>
      </c>
      <c r="D73" s="167"/>
      <c r="E73" s="168" t="s">
        <v>46</v>
      </c>
      <c r="F73" s="169">
        <v>10000</v>
      </c>
      <c r="G73" s="168">
        <v>69</v>
      </c>
      <c r="H73" s="169">
        <v>690000</v>
      </c>
      <c r="I73" s="186" t="s">
        <v>2918</v>
      </c>
      <c r="J73" s="186" t="s">
        <v>2918</v>
      </c>
      <c r="K73" s="170" t="s">
        <v>3167</v>
      </c>
      <c r="L73" s="170" t="s">
        <v>2923</v>
      </c>
      <c r="M73" s="175" t="s">
        <v>2905</v>
      </c>
      <c r="N73" s="172"/>
      <c r="O73" s="172">
        <v>690000</v>
      </c>
      <c r="P73" s="173" t="s">
        <v>2463</v>
      </c>
      <c r="Q73" s="174" t="str">
        <f t="shared" si="1"/>
        <v>註4</v>
      </c>
      <c r="R73" s="203">
        <f>INDEX([1]告訴人!$D$15:$F$372,MATCH(C73,[1]告訴人!$F$15:$F$372,0),1)</f>
        <v>203</v>
      </c>
      <c r="S73" s="203" t="str">
        <f t="array" ref="S73">IF(OR(C73=[1]告訴人!$F$15:$F$372),"重疊","")</f>
        <v>重疊</v>
      </c>
      <c r="T73" s="203">
        <v>1</v>
      </c>
    </row>
    <row r="74" spans="1:23" ht="80.5" customHeight="1">
      <c r="A74" s="166">
        <v>71</v>
      </c>
      <c r="B74" s="166" t="s">
        <v>32</v>
      </c>
      <c r="C74" s="166" t="s">
        <v>424</v>
      </c>
      <c r="D74" s="167"/>
      <c r="E74" s="168" t="s">
        <v>425</v>
      </c>
      <c r="F74" s="169">
        <v>2000</v>
      </c>
      <c r="G74" s="168">
        <v>67</v>
      </c>
      <c r="H74" s="169">
        <v>134000</v>
      </c>
      <c r="I74" s="186" t="s">
        <v>2918</v>
      </c>
      <c r="J74" s="186" t="s">
        <v>2918</v>
      </c>
      <c r="K74" s="170" t="s">
        <v>3168</v>
      </c>
      <c r="L74" s="170" t="s">
        <v>3669</v>
      </c>
      <c r="M74" s="175" t="s">
        <v>2905</v>
      </c>
      <c r="N74" s="172">
        <v>134000</v>
      </c>
      <c r="O74" s="172"/>
      <c r="P74" s="173" t="s">
        <v>2461</v>
      </c>
      <c r="Q74" s="174" t="str">
        <f t="shared" si="1"/>
        <v>註3</v>
      </c>
      <c r="R74" s="203">
        <f>INDEX([1]告訴人!$D$15:$F$372,MATCH(C74,[1]告訴人!$F$15:$F$372,0),1)</f>
        <v>15</v>
      </c>
      <c r="S74" s="203" t="str">
        <f t="array" ref="S74">IF(OR(C74=[1]告訴人!$F$15:$F$372),"重疊","")</f>
        <v>重疊</v>
      </c>
      <c r="T74" s="203">
        <v>1</v>
      </c>
      <c r="V74" s="203">
        <v>1</v>
      </c>
    </row>
    <row r="75" spans="1:23" ht="34.25" customHeight="1">
      <c r="A75" s="166">
        <v>72</v>
      </c>
      <c r="B75" s="166" t="s">
        <v>32</v>
      </c>
      <c r="C75" s="166" t="s">
        <v>454</v>
      </c>
      <c r="D75" s="167"/>
      <c r="E75" s="168" t="s">
        <v>425</v>
      </c>
      <c r="F75" s="169">
        <v>2000</v>
      </c>
      <c r="G75" s="168">
        <v>67</v>
      </c>
      <c r="H75" s="169">
        <v>134000</v>
      </c>
      <c r="I75" s="186" t="s">
        <v>2912</v>
      </c>
      <c r="J75" s="186" t="s">
        <v>2912</v>
      </c>
      <c r="K75" s="170" t="s">
        <v>3158</v>
      </c>
      <c r="L75" s="170" t="s">
        <v>3580</v>
      </c>
      <c r="M75" s="175" t="s">
        <v>2905</v>
      </c>
      <c r="N75" s="172"/>
      <c r="O75" s="172">
        <v>134000</v>
      </c>
      <c r="P75" s="173" t="s">
        <v>2465</v>
      </c>
      <c r="Q75" s="174" t="str">
        <f t="shared" si="1"/>
        <v>註4</v>
      </c>
      <c r="R75" s="203">
        <f>INDEX([1]告訴人!$D$15:$F$372,MATCH(C75,[1]告訴人!$F$15:$F$372,0),1)</f>
        <v>228</v>
      </c>
      <c r="S75" s="203" t="str">
        <f t="array" ref="S75">IF(OR(C75=[1]告訴人!$F$15:$F$372),"重疊","")</f>
        <v>重疊</v>
      </c>
      <c r="T75" s="203">
        <v>1</v>
      </c>
      <c r="U75" s="203">
        <v>1</v>
      </c>
      <c r="W75" s="203" t="s">
        <v>2905</v>
      </c>
    </row>
    <row r="76" spans="1:23" ht="18.649999999999999" customHeight="1">
      <c r="A76" s="166">
        <v>73</v>
      </c>
      <c r="B76" s="166" t="s">
        <v>112</v>
      </c>
      <c r="C76" s="166" t="s">
        <v>505</v>
      </c>
      <c r="D76" s="167"/>
      <c r="E76" s="168" t="s">
        <v>425</v>
      </c>
      <c r="F76" s="169">
        <v>1000</v>
      </c>
      <c r="G76" s="168">
        <v>67</v>
      </c>
      <c r="H76" s="169">
        <v>67000</v>
      </c>
      <c r="I76" s="186"/>
      <c r="J76" s="186"/>
      <c r="K76" s="170" t="s">
        <v>2904</v>
      </c>
      <c r="L76" s="170"/>
      <c r="M76" s="175"/>
      <c r="N76" s="172">
        <v>67000</v>
      </c>
      <c r="O76" s="172"/>
      <c r="P76" s="173" t="s">
        <v>2461</v>
      </c>
      <c r="Q76" s="174" t="str">
        <f t="shared" si="1"/>
        <v>註3</v>
      </c>
      <c r="R76" s="203" t="e">
        <f>INDEX([1]告訴人!$D$15:$F$372,MATCH(C76,[1]告訴人!$F$15:$F$372,0),1)</f>
        <v>#N/A</v>
      </c>
      <c r="S76" s="203" t="str">
        <f t="array" ref="S76">IF(OR(C76=[1]告訴人!$F$15:$F$372),"重疊","")</f>
        <v/>
      </c>
    </row>
    <row r="77" spans="1:23" ht="33.65" customHeight="1">
      <c r="A77" s="166">
        <v>74</v>
      </c>
      <c r="B77" s="166" t="s">
        <v>32</v>
      </c>
      <c r="C77" s="166" t="s">
        <v>531</v>
      </c>
      <c r="D77" s="167"/>
      <c r="E77" s="168" t="s">
        <v>425</v>
      </c>
      <c r="F77" s="169">
        <v>2000</v>
      </c>
      <c r="G77" s="168">
        <v>67</v>
      </c>
      <c r="H77" s="169">
        <v>134000</v>
      </c>
      <c r="I77" s="186" t="s">
        <v>2912</v>
      </c>
      <c r="J77" s="186" t="s">
        <v>2912</v>
      </c>
      <c r="K77" s="170" t="s">
        <v>3158</v>
      </c>
      <c r="L77" s="170" t="s">
        <v>3580</v>
      </c>
      <c r="M77" s="175" t="s">
        <v>2905</v>
      </c>
      <c r="N77" s="172"/>
      <c r="O77" s="172">
        <v>134000</v>
      </c>
      <c r="P77" s="173" t="s">
        <v>2465</v>
      </c>
      <c r="Q77" s="174" t="str">
        <f t="shared" si="1"/>
        <v>註4</v>
      </c>
      <c r="R77" s="203">
        <f>INDEX([1]告訴人!$D$15:$F$372,MATCH(C77,[1]告訴人!$F$15:$F$372,0),1)</f>
        <v>114</v>
      </c>
      <c r="S77" s="203" t="str">
        <f t="array" ref="S77">IF(OR(C77=[1]告訴人!$F$15:$F$372),"重疊","")</f>
        <v>重疊</v>
      </c>
      <c r="T77" s="203">
        <v>1</v>
      </c>
      <c r="U77" s="203">
        <v>1</v>
      </c>
      <c r="W77" s="203" t="s">
        <v>2905</v>
      </c>
    </row>
    <row r="78" spans="1:23" ht="35" customHeight="1">
      <c r="A78" s="166">
        <v>75</v>
      </c>
      <c r="B78" s="166" t="s">
        <v>32</v>
      </c>
      <c r="C78" s="166" t="s">
        <v>374</v>
      </c>
      <c r="D78" s="167"/>
      <c r="E78" s="168" t="s">
        <v>47</v>
      </c>
      <c r="F78" s="169">
        <v>4000</v>
      </c>
      <c r="G78" s="168">
        <v>67</v>
      </c>
      <c r="H78" s="169">
        <v>268000</v>
      </c>
      <c r="I78" s="186" t="s">
        <v>2918</v>
      </c>
      <c r="J78" s="186" t="s">
        <v>2918</v>
      </c>
      <c r="K78" s="170" t="s">
        <v>3078</v>
      </c>
      <c r="L78" s="170" t="s">
        <v>3576</v>
      </c>
      <c r="M78" s="175" t="s">
        <v>2905</v>
      </c>
      <c r="N78" s="172">
        <v>268000</v>
      </c>
      <c r="O78" s="172"/>
      <c r="P78" s="173" t="s">
        <v>2461</v>
      </c>
      <c r="Q78" s="174" t="str">
        <f t="shared" si="1"/>
        <v>註3</v>
      </c>
      <c r="R78" s="203">
        <f>INDEX([1]告訴人!$D$15:$F$372,MATCH(C78,[1]告訴人!$F$15:$F$372,0),1)</f>
        <v>310</v>
      </c>
      <c r="S78" s="203" t="str">
        <f t="array" ref="S78">IF(OR(C78=[1]告訴人!$F$15:$F$372),"重疊","")</f>
        <v>重疊</v>
      </c>
      <c r="T78" s="203">
        <v>1</v>
      </c>
      <c r="V78" s="203">
        <v>1</v>
      </c>
    </row>
    <row r="79" spans="1:23" ht="35.5" customHeight="1">
      <c r="A79" s="166">
        <v>76</v>
      </c>
      <c r="B79" s="166" t="s">
        <v>32</v>
      </c>
      <c r="C79" s="166" t="s">
        <v>389</v>
      </c>
      <c r="D79" s="167" t="s">
        <v>2924</v>
      </c>
      <c r="E79" s="168" t="s">
        <v>47</v>
      </c>
      <c r="F79" s="169">
        <v>10000</v>
      </c>
      <c r="G79" s="168">
        <v>67</v>
      </c>
      <c r="H79" s="169">
        <v>670000</v>
      </c>
      <c r="I79" s="186" t="s">
        <v>2912</v>
      </c>
      <c r="J79" s="186" t="s">
        <v>2912</v>
      </c>
      <c r="K79" s="170" t="s">
        <v>3158</v>
      </c>
      <c r="L79" s="170" t="s">
        <v>3580</v>
      </c>
      <c r="M79" s="175" t="s">
        <v>2905</v>
      </c>
      <c r="N79" s="172"/>
      <c r="O79" s="172">
        <v>670000</v>
      </c>
      <c r="P79" s="173" t="s">
        <v>2465</v>
      </c>
      <c r="Q79" s="174" t="str">
        <f t="shared" si="1"/>
        <v>註4</v>
      </c>
      <c r="R79" s="203">
        <f>INDEX([1]告訴人!$D$15:$F$372,MATCH(C79,[1]告訴人!$F$15:$F$372,0),1)</f>
        <v>218</v>
      </c>
      <c r="S79" s="203" t="str">
        <f t="array" ref="S79">IF(OR(C79=[1]告訴人!$F$15:$F$372),"重疊","")</f>
        <v>重疊</v>
      </c>
      <c r="T79" s="203">
        <v>1</v>
      </c>
      <c r="U79" s="203">
        <v>1</v>
      </c>
      <c r="W79" s="203" t="s">
        <v>2905</v>
      </c>
    </row>
    <row r="80" spans="1:23" ht="44.25" customHeight="1">
      <c r="A80" s="166">
        <v>77</v>
      </c>
      <c r="B80" s="166" t="s">
        <v>32</v>
      </c>
      <c r="C80" s="166" t="s">
        <v>421</v>
      </c>
      <c r="D80" s="167"/>
      <c r="E80" s="168" t="s">
        <v>47</v>
      </c>
      <c r="F80" s="169">
        <v>2000</v>
      </c>
      <c r="G80" s="168">
        <v>67</v>
      </c>
      <c r="H80" s="169">
        <v>134000</v>
      </c>
      <c r="I80" s="186" t="s">
        <v>2912</v>
      </c>
      <c r="J80" s="186" t="s">
        <v>2912</v>
      </c>
      <c r="K80" s="170" t="s">
        <v>3158</v>
      </c>
      <c r="L80" s="170" t="s">
        <v>3580</v>
      </c>
      <c r="M80" s="175" t="s">
        <v>2905</v>
      </c>
      <c r="N80" s="172"/>
      <c r="O80" s="172">
        <v>134000</v>
      </c>
      <c r="P80" s="173" t="s">
        <v>2465</v>
      </c>
      <c r="Q80" s="174" t="str">
        <f t="shared" si="1"/>
        <v>註4</v>
      </c>
      <c r="R80" s="203">
        <f>INDEX([1]告訴人!$D$15:$F$372,MATCH(C80,[1]告訴人!$F$15:$F$372,0),1)</f>
        <v>64</v>
      </c>
      <c r="S80" s="203" t="str">
        <f t="array" ref="S80">IF(OR(C80=[1]告訴人!$F$15:$F$372),"重疊","")</f>
        <v>重疊</v>
      </c>
      <c r="T80" s="203">
        <v>1</v>
      </c>
      <c r="U80" s="203">
        <v>1</v>
      </c>
      <c r="W80" s="203" t="s">
        <v>2905</v>
      </c>
    </row>
    <row r="81" spans="1:23" ht="19.25" customHeight="1">
      <c r="A81" s="166">
        <v>78</v>
      </c>
      <c r="B81" s="166" t="s">
        <v>32</v>
      </c>
      <c r="C81" s="166" t="s">
        <v>444</v>
      </c>
      <c r="D81" s="167"/>
      <c r="E81" s="168" t="s">
        <v>47</v>
      </c>
      <c r="F81" s="169">
        <v>5000</v>
      </c>
      <c r="G81" s="168">
        <v>67</v>
      </c>
      <c r="H81" s="169">
        <v>335000</v>
      </c>
      <c r="I81" s="186" t="s">
        <v>2918</v>
      </c>
      <c r="J81" s="186" t="s">
        <v>2918</v>
      </c>
      <c r="K81" s="170" t="s">
        <v>2462</v>
      </c>
      <c r="L81" s="170"/>
      <c r="M81" s="175" t="s">
        <v>2905</v>
      </c>
      <c r="N81" s="172"/>
      <c r="O81" s="172"/>
      <c r="P81" s="173" t="s">
        <v>1832</v>
      </c>
      <c r="Q81" s="174" t="str">
        <f t="shared" si="1"/>
        <v/>
      </c>
      <c r="R81" s="203">
        <f>INDEX([1]告訴人!$D$15:$F$372,MATCH(C81,[1]告訴人!$F$15:$F$372,0),1)</f>
        <v>180</v>
      </c>
      <c r="S81" s="203" t="str">
        <f t="array" ref="S81">IF(OR(C81=[1]告訴人!$F$15:$F$372),"重疊","")</f>
        <v>重疊</v>
      </c>
      <c r="T81" s="203">
        <v>1</v>
      </c>
    </row>
    <row r="82" spans="1:23" ht="91.4" customHeight="1">
      <c r="A82" s="166">
        <v>79</v>
      </c>
      <c r="B82" s="166" t="s">
        <v>32</v>
      </c>
      <c r="C82" s="166" t="s">
        <v>448</v>
      </c>
      <c r="D82" s="167" t="s">
        <v>2924</v>
      </c>
      <c r="E82" s="168" t="s">
        <v>47</v>
      </c>
      <c r="F82" s="169">
        <v>2000</v>
      </c>
      <c r="G82" s="168">
        <v>67</v>
      </c>
      <c r="H82" s="169">
        <v>134000</v>
      </c>
      <c r="I82" s="186" t="s">
        <v>2912</v>
      </c>
      <c r="J82" s="186" t="s">
        <v>2912</v>
      </c>
      <c r="K82" s="170" t="s">
        <v>3158</v>
      </c>
      <c r="L82" s="170" t="s">
        <v>3670</v>
      </c>
      <c r="M82" s="175" t="s">
        <v>2905</v>
      </c>
      <c r="N82" s="172"/>
      <c r="O82" s="172">
        <v>134000</v>
      </c>
      <c r="P82" s="173" t="s">
        <v>2465</v>
      </c>
      <c r="Q82" s="174" t="str">
        <f t="shared" si="1"/>
        <v>註4</v>
      </c>
      <c r="R82" s="203">
        <f>INDEX([1]告訴人!$D$15:$F$372,MATCH(C82,[1]告訴人!$F$15:$F$372,0),1)</f>
        <v>149</v>
      </c>
      <c r="S82" s="203" t="str">
        <f t="array" ref="S82">IF(OR(C82=[1]告訴人!$F$15:$F$372),"重疊","")</f>
        <v>重疊</v>
      </c>
      <c r="T82" s="203">
        <v>1</v>
      </c>
      <c r="U82" s="203">
        <v>1</v>
      </c>
      <c r="W82" s="203" t="s">
        <v>2905</v>
      </c>
    </row>
    <row r="83" spans="1:23" ht="21" customHeight="1">
      <c r="A83" s="166">
        <v>80</v>
      </c>
      <c r="B83" s="166" t="s">
        <v>32</v>
      </c>
      <c r="C83" s="166" t="s">
        <v>487</v>
      </c>
      <c r="D83" s="167"/>
      <c r="E83" s="168" t="s">
        <v>47</v>
      </c>
      <c r="F83" s="169">
        <v>11000</v>
      </c>
      <c r="G83" s="168">
        <v>67</v>
      </c>
      <c r="H83" s="169">
        <v>737000</v>
      </c>
      <c r="I83" s="186"/>
      <c r="J83" s="186"/>
      <c r="K83" s="170" t="s">
        <v>2904</v>
      </c>
      <c r="L83" s="170"/>
      <c r="M83" s="175"/>
      <c r="N83" s="172">
        <v>737000</v>
      </c>
      <c r="O83" s="172"/>
      <c r="P83" s="173" t="s">
        <v>2461</v>
      </c>
      <c r="Q83" s="174" t="str">
        <f t="shared" si="1"/>
        <v>註3</v>
      </c>
      <c r="R83" s="203" t="e">
        <f>INDEX([1]告訴人!$D$15:$F$372,MATCH(C83,[1]告訴人!$F$15:$F$372,0),1)</f>
        <v>#N/A</v>
      </c>
      <c r="S83" s="203" t="str">
        <f t="array" ref="S83">IF(OR(C83=[1]告訴人!$F$15:$F$372),"重疊","")</f>
        <v/>
      </c>
    </row>
    <row r="84" spans="1:23" ht="20.399999999999999" customHeight="1">
      <c r="A84" s="166">
        <v>81</v>
      </c>
      <c r="B84" s="166" t="s">
        <v>32</v>
      </c>
      <c r="C84" s="166" t="s">
        <v>502</v>
      </c>
      <c r="D84" s="167"/>
      <c r="E84" s="168" t="s">
        <v>47</v>
      </c>
      <c r="F84" s="169">
        <v>10000</v>
      </c>
      <c r="G84" s="168">
        <v>67</v>
      </c>
      <c r="H84" s="169">
        <v>670000</v>
      </c>
      <c r="I84" s="186" t="s">
        <v>2918</v>
      </c>
      <c r="J84" s="186" t="s">
        <v>2918</v>
      </c>
      <c r="K84" s="170" t="s">
        <v>2462</v>
      </c>
      <c r="L84" s="170"/>
      <c r="M84" s="175" t="s">
        <v>2905</v>
      </c>
      <c r="N84" s="172"/>
      <c r="O84" s="172"/>
      <c r="P84" s="173" t="s">
        <v>1832</v>
      </c>
      <c r="Q84" s="174" t="str">
        <f t="shared" si="1"/>
        <v/>
      </c>
      <c r="R84" s="203">
        <f>INDEX([1]告訴人!$D$15:$F$372,MATCH(C84,[1]告訴人!$F$15:$F$372,0),1)</f>
        <v>143</v>
      </c>
      <c r="S84" s="203" t="str">
        <f t="array" ref="S84">IF(OR(C84=[1]告訴人!$F$15:$F$372),"重疊","")</f>
        <v>重疊</v>
      </c>
      <c r="T84" s="203">
        <v>1</v>
      </c>
    </row>
    <row r="85" spans="1:23" ht="49.65" customHeight="1">
      <c r="A85" s="166">
        <v>82</v>
      </c>
      <c r="B85" s="166" t="s">
        <v>32</v>
      </c>
      <c r="C85" s="166" t="s">
        <v>2470</v>
      </c>
      <c r="D85" s="167"/>
      <c r="E85" s="168" t="s">
        <v>47</v>
      </c>
      <c r="F85" s="169">
        <v>5000</v>
      </c>
      <c r="G85" s="168">
        <v>67</v>
      </c>
      <c r="H85" s="169">
        <v>335000</v>
      </c>
      <c r="I85" s="186" t="s">
        <v>2921</v>
      </c>
      <c r="J85" s="186" t="s">
        <v>2921</v>
      </c>
      <c r="K85" s="170" t="s">
        <v>3158</v>
      </c>
      <c r="L85" s="170" t="s">
        <v>3580</v>
      </c>
      <c r="M85" s="175" t="s">
        <v>2907</v>
      </c>
      <c r="N85" s="172"/>
      <c r="O85" s="172">
        <v>335000</v>
      </c>
      <c r="P85" s="173" t="s">
        <v>2463</v>
      </c>
      <c r="Q85" s="174" t="str">
        <f t="shared" si="1"/>
        <v>註4</v>
      </c>
      <c r="R85" s="203">
        <f>INDEX([1]告訴人!$D$15:$F$372,MATCH(C85,[1]告訴人!$F$15:$F$372,0),1)</f>
        <v>142</v>
      </c>
      <c r="S85" s="203" t="str">
        <f t="array" ref="S85">IF(OR(C85=[1]告訴人!$F$15:$F$372),"重疊","")</f>
        <v>重疊</v>
      </c>
      <c r="T85" s="203">
        <v>1</v>
      </c>
      <c r="U85" s="203">
        <v>1</v>
      </c>
    </row>
    <row r="86" spans="1:23" ht="47.25" customHeight="1">
      <c r="A86" s="166">
        <v>83</v>
      </c>
      <c r="B86" s="166" t="s">
        <v>32</v>
      </c>
      <c r="C86" s="166" t="s">
        <v>543</v>
      </c>
      <c r="D86" s="167"/>
      <c r="E86" s="168" t="s">
        <v>47</v>
      </c>
      <c r="F86" s="169">
        <v>5000</v>
      </c>
      <c r="G86" s="168">
        <v>68</v>
      </c>
      <c r="H86" s="169">
        <v>340000</v>
      </c>
      <c r="I86" s="186" t="s">
        <v>2921</v>
      </c>
      <c r="J86" s="186" t="s">
        <v>2921</v>
      </c>
      <c r="K86" s="170" t="s">
        <v>3158</v>
      </c>
      <c r="L86" s="170" t="s">
        <v>3582</v>
      </c>
      <c r="M86" s="175" t="s">
        <v>2907</v>
      </c>
      <c r="N86" s="172"/>
      <c r="O86" s="172">
        <v>340000</v>
      </c>
      <c r="P86" s="173" t="s">
        <v>2463</v>
      </c>
      <c r="Q86" s="174" t="str">
        <f t="shared" si="1"/>
        <v>註4</v>
      </c>
      <c r="R86" s="203">
        <f>INDEX([1]告訴人!$D$15:$F$372,MATCH(C86,[1]告訴人!$F$15:$F$372,0),1)</f>
        <v>220</v>
      </c>
      <c r="S86" s="203" t="str">
        <f t="array" ref="S86">IF(OR(C86=[1]告訴人!$F$15:$F$372),"重疊","")</f>
        <v>重疊</v>
      </c>
      <c r="T86" s="203">
        <v>1</v>
      </c>
      <c r="U86" s="203">
        <v>1</v>
      </c>
    </row>
    <row r="87" spans="1:23" ht="63.9" customHeight="1">
      <c r="A87" s="166">
        <v>84</v>
      </c>
      <c r="B87" s="166" t="s">
        <v>32</v>
      </c>
      <c r="C87" s="166" t="s">
        <v>354</v>
      </c>
      <c r="D87" s="167"/>
      <c r="E87" s="168" t="s">
        <v>48</v>
      </c>
      <c r="F87" s="169">
        <v>2000</v>
      </c>
      <c r="G87" s="168">
        <v>67</v>
      </c>
      <c r="H87" s="169">
        <v>134000</v>
      </c>
      <c r="I87" s="186" t="s">
        <v>2922</v>
      </c>
      <c r="J87" s="186" t="s">
        <v>2922</v>
      </c>
      <c r="K87" s="170" t="s">
        <v>3158</v>
      </c>
      <c r="L87" s="170" t="s">
        <v>3710</v>
      </c>
      <c r="M87" s="175" t="s">
        <v>2907</v>
      </c>
      <c r="N87" s="172"/>
      <c r="O87" s="172">
        <v>134000</v>
      </c>
      <c r="P87" s="173" t="s">
        <v>2465</v>
      </c>
      <c r="Q87" s="174" t="str">
        <f t="shared" si="1"/>
        <v>註4</v>
      </c>
      <c r="R87" s="203">
        <f>INDEX([1]告訴人!$D$15:$F$372,MATCH(C87,[1]告訴人!$F$15:$F$372,0),1)</f>
        <v>40</v>
      </c>
      <c r="S87" s="203" t="str">
        <f t="array" ref="S87">IF(OR(C87=[1]告訴人!$F$15:$F$372),"重疊","")</f>
        <v>重疊</v>
      </c>
      <c r="T87" s="203">
        <v>1</v>
      </c>
      <c r="U87" s="203">
        <v>1</v>
      </c>
      <c r="W87" s="203" t="s">
        <v>2907</v>
      </c>
    </row>
    <row r="88" spans="1:23" ht="35" customHeight="1">
      <c r="A88" s="166">
        <v>85</v>
      </c>
      <c r="B88" s="166" t="s">
        <v>32</v>
      </c>
      <c r="C88" s="166" t="s">
        <v>2925</v>
      </c>
      <c r="D88" s="167"/>
      <c r="E88" s="168" t="s">
        <v>48</v>
      </c>
      <c r="F88" s="169">
        <v>5000</v>
      </c>
      <c r="G88" s="168">
        <v>67</v>
      </c>
      <c r="H88" s="169">
        <v>335000</v>
      </c>
      <c r="I88" s="186" t="s">
        <v>2922</v>
      </c>
      <c r="J88" s="186" t="s">
        <v>2922</v>
      </c>
      <c r="K88" s="170" t="s">
        <v>3158</v>
      </c>
      <c r="L88" s="170" t="s">
        <v>3580</v>
      </c>
      <c r="M88" s="175" t="s">
        <v>2907</v>
      </c>
      <c r="N88" s="172"/>
      <c r="O88" s="172">
        <v>335000</v>
      </c>
      <c r="P88" s="173" t="s">
        <v>2465</v>
      </c>
      <c r="Q88" s="174" t="str">
        <f t="shared" si="1"/>
        <v>註4</v>
      </c>
      <c r="R88" s="203">
        <f>INDEX([1]告訴人!$D$15:$F$372,MATCH(C88,[1]告訴人!$F$15:$F$372,0),1)</f>
        <v>163</v>
      </c>
      <c r="S88" s="203" t="str">
        <f t="array" ref="S88">IF(OR(C88=[1]告訴人!$F$15:$F$372),"重疊","")</f>
        <v>重疊</v>
      </c>
      <c r="T88" s="203">
        <v>1</v>
      </c>
      <c r="U88" s="203">
        <v>1</v>
      </c>
      <c r="W88" s="203" t="s">
        <v>2907</v>
      </c>
    </row>
    <row r="89" spans="1:23" ht="101.25" customHeight="1">
      <c r="A89" s="166">
        <v>86</v>
      </c>
      <c r="B89" s="166" t="s">
        <v>32</v>
      </c>
      <c r="C89" s="166" t="s">
        <v>435</v>
      </c>
      <c r="D89" s="167"/>
      <c r="E89" s="168" t="s">
        <v>48</v>
      </c>
      <c r="F89" s="169">
        <v>2000</v>
      </c>
      <c r="G89" s="168">
        <v>67</v>
      </c>
      <c r="H89" s="169">
        <v>134000</v>
      </c>
      <c r="I89" s="186" t="s">
        <v>2922</v>
      </c>
      <c r="J89" s="186" t="s">
        <v>2922</v>
      </c>
      <c r="K89" s="170" t="s">
        <v>3169</v>
      </c>
      <c r="L89" s="170" t="s">
        <v>3583</v>
      </c>
      <c r="M89" s="175" t="s">
        <v>2907</v>
      </c>
      <c r="N89" s="172"/>
      <c r="O89" s="172">
        <v>134000</v>
      </c>
      <c r="P89" s="173" t="s">
        <v>2465</v>
      </c>
      <c r="Q89" s="174" t="str">
        <f t="shared" si="1"/>
        <v>註4</v>
      </c>
      <c r="R89" s="203">
        <f>INDEX([1]告訴人!$D$15:$F$372,MATCH(C89,[1]告訴人!$F$15:$F$372,0),1)</f>
        <v>196</v>
      </c>
      <c r="S89" s="203" t="str">
        <f t="array" ref="S89">IF(OR(C89=[1]告訴人!$F$15:$F$372),"重疊","")</f>
        <v>重疊</v>
      </c>
      <c r="T89" s="203">
        <v>1</v>
      </c>
      <c r="U89" s="203">
        <v>1</v>
      </c>
      <c r="W89" s="203" t="s">
        <v>2907</v>
      </c>
    </row>
    <row r="90" spans="1:23" ht="34.25" customHeight="1">
      <c r="A90" s="166">
        <v>87</v>
      </c>
      <c r="B90" s="166" t="s">
        <v>32</v>
      </c>
      <c r="C90" s="166" t="s">
        <v>439</v>
      </c>
      <c r="D90" s="167"/>
      <c r="E90" s="168" t="s">
        <v>48</v>
      </c>
      <c r="F90" s="169">
        <v>6000</v>
      </c>
      <c r="G90" s="168">
        <v>67</v>
      </c>
      <c r="H90" s="169">
        <v>402000</v>
      </c>
      <c r="I90" s="186" t="s">
        <v>2922</v>
      </c>
      <c r="J90" s="186" t="s">
        <v>2922</v>
      </c>
      <c r="K90" s="170" t="s">
        <v>3158</v>
      </c>
      <c r="L90" s="170" t="s">
        <v>3580</v>
      </c>
      <c r="M90" s="175" t="s">
        <v>2907</v>
      </c>
      <c r="N90" s="172"/>
      <c r="O90" s="172">
        <v>402000</v>
      </c>
      <c r="P90" s="173" t="s">
        <v>2465</v>
      </c>
      <c r="Q90" s="174" t="str">
        <f t="shared" si="1"/>
        <v>註4</v>
      </c>
      <c r="R90" s="203">
        <f>INDEX([1]告訴人!$D$15:$F$372,MATCH(C90,[1]告訴人!$F$15:$F$372,0),1)</f>
        <v>327</v>
      </c>
      <c r="S90" s="203" t="str">
        <f t="array" ref="S90">IF(OR(C90=[1]告訴人!$F$15:$F$372),"重疊","")</f>
        <v>重疊</v>
      </c>
      <c r="T90" s="203">
        <v>1</v>
      </c>
      <c r="U90" s="203">
        <v>1</v>
      </c>
      <c r="W90" s="203" t="s">
        <v>2907</v>
      </c>
    </row>
    <row r="91" spans="1:23" ht="35.5" customHeight="1">
      <c r="A91" s="166">
        <v>88</v>
      </c>
      <c r="B91" s="166" t="s">
        <v>32</v>
      </c>
      <c r="C91" s="166" t="s">
        <v>488</v>
      </c>
      <c r="D91" s="167" t="s">
        <v>2926</v>
      </c>
      <c r="E91" s="168" t="s">
        <v>48</v>
      </c>
      <c r="F91" s="169">
        <v>1000</v>
      </c>
      <c r="G91" s="168">
        <v>67</v>
      </c>
      <c r="H91" s="169">
        <v>67000</v>
      </c>
      <c r="I91" s="186" t="s">
        <v>2922</v>
      </c>
      <c r="J91" s="186" t="s">
        <v>2922</v>
      </c>
      <c r="K91" s="170" t="s">
        <v>3158</v>
      </c>
      <c r="L91" s="170" t="s">
        <v>3580</v>
      </c>
      <c r="M91" s="175" t="s">
        <v>2907</v>
      </c>
      <c r="N91" s="172"/>
      <c r="O91" s="172">
        <v>67000</v>
      </c>
      <c r="P91" s="173" t="s">
        <v>2465</v>
      </c>
      <c r="Q91" s="174" t="str">
        <f t="shared" si="1"/>
        <v>註4</v>
      </c>
      <c r="R91" s="203" t="e">
        <f>INDEX([1]告訴人!$D$15:$F$372,MATCH(C91,[1]告訴人!$F$15:$F$372,0),1)</f>
        <v>#N/A</v>
      </c>
      <c r="S91" s="203" t="str">
        <f t="array" ref="S91">IF(OR(C91=[1]告訴人!$F$15:$F$372),"重疊","")</f>
        <v/>
      </c>
      <c r="T91" s="203">
        <v>1</v>
      </c>
      <c r="U91" s="203">
        <v>1</v>
      </c>
      <c r="W91" s="203" t="s">
        <v>2907</v>
      </c>
    </row>
    <row r="92" spans="1:23" ht="50.4" customHeight="1">
      <c r="A92" s="166">
        <v>89</v>
      </c>
      <c r="B92" s="166" t="s">
        <v>32</v>
      </c>
      <c r="C92" s="166" t="s">
        <v>506</v>
      </c>
      <c r="D92" s="167"/>
      <c r="E92" s="168" t="s">
        <v>48</v>
      </c>
      <c r="F92" s="169">
        <v>4000</v>
      </c>
      <c r="G92" s="168">
        <v>67</v>
      </c>
      <c r="H92" s="169">
        <v>268000</v>
      </c>
      <c r="I92" s="186" t="s">
        <v>2922</v>
      </c>
      <c r="J92" s="186" t="s">
        <v>2922</v>
      </c>
      <c r="K92" s="170" t="s">
        <v>3170</v>
      </c>
      <c r="L92" s="170" t="s">
        <v>3584</v>
      </c>
      <c r="M92" s="175" t="s">
        <v>2907</v>
      </c>
      <c r="N92" s="172"/>
      <c r="O92" s="172">
        <v>268000</v>
      </c>
      <c r="P92" s="173" t="s">
        <v>2465</v>
      </c>
      <c r="Q92" s="174" t="str">
        <f t="shared" si="1"/>
        <v>註4</v>
      </c>
      <c r="R92" s="203">
        <f>INDEX([1]告訴人!$D$15:$F$372,MATCH(C92,[1]告訴人!$F$15:$F$372,0),1)</f>
        <v>130</v>
      </c>
      <c r="S92" s="203" t="str">
        <f t="array" ref="S92">IF(OR(C92=[1]告訴人!$F$15:$F$372),"重疊","")</f>
        <v>重疊</v>
      </c>
      <c r="T92" s="203">
        <v>1</v>
      </c>
      <c r="U92" s="203">
        <v>1</v>
      </c>
      <c r="W92" s="203" t="s">
        <v>2907</v>
      </c>
    </row>
    <row r="93" spans="1:23" ht="37.25" customHeight="1">
      <c r="A93" s="166">
        <v>90</v>
      </c>
      <c r="B93" s="166" t="s">
        <v>32</v>
      </c>
      <c r="C93" s="166" t="s">
        <v>560</v>
      </c>
      <c r="D93" s="167" t="s">
        <v>2927</v>
      </c>
      <c r="E93" s="168" t="s">
        <v>48</v>
      </c>
      <c r="F93" s="169">
        <v>3000</v>
      </c>
      <c r="G93" s="168">
        <v>69</v>
      </c>
      <c r="H93" s="169">
        <v>207000</v>
      </c>
      <c r="I93" s="186" t="s">
        <v>2922</v>
      </c>
      <c r="J93" s="186" t="s">
        <v>2922</v>
      </c>
      <c r="K93" s="170" t="s">
        <v>3158</v>
      </c>
      <c r="L93" s="170" t="s">
        <v>3581</v>
      </c>
      <c r="M93" s="175" t="s">
        <v>2907</v>
      </c>
      <c r="N93" s="172"/>
      <c r="O93" s="172">
        <v>207000</v>
      </c>
      <c r="P93" s="173" t="s">
        <v>2465</v>
      </c>
      <c r="Q93" s="174" t="str">
        <f t="shared" si="1"/>
        <v>註4</v>
      </c>
      <c r="R93" s="203">
        <f>INDEX([1]告訴人!$D$15:$F$372,MATCH(C93,[1]告訴人!$F$15:$F$372,0),1)</f>
        <v>277</v>
      </c>
      <c r="S93" s="203" t="str">
        <f t="array" ref="S93">IF(OR(C93=[1]告訴人!$F$15:$F$372),"重疊","")</f>
        <v>重疊</v>
      </c>
      <c r="T93" s="203">
        <v>1</v>
      </c>
      <c r="U93" s="203">
        <v>1</v>
      </c>
      <c r="W93" s="203" t="s">
        <v>2907</v>
      </c>
    </row>
    <row r="94" spans="1:23" ht="35" customHeight="1">
      <c r="A94" s="166">
        <v>91</v>
      </c>
      <c r="B94" s="166" t="s">
        <v>32</v>
      </c>
      <c r="C94" s="166" t="s">
        <v>576</v>
      </c>
      <c r="D94" s="167"/>
      <c r="E94" s="168" t="s">
        <v>48</v>
      </c>
      <c r="F94" s="169">
        <v>6000</v>
      </c>
      <c r="G94" s="168">
        <v>69</v>
      </c>
      <c r="H94" s="169">
        <v>414000</v>
      </c>
      <c r="I94" s="186" t="s">
        <v>2922</v>
      </c>
      <c r="J94" s="186" t="s">
        <v>2922</v>
      </c>
      <c r="K94" s="170" t="s">
        <v>3158</v>
      </c>
      <c r="L94" s="170" t="s">
        <v>3581</v>
      </c>
      <c r="M94" s="175" t="s">
        <v>2907</v>
      </c>
      <c r="N94" s="172"/>
      <c r="O94" s="172">
        <v>414000</v>
      </c>
      <c r="P94" s="173" t="s">
        <v>2465</v>
      </c>
      <c r="Q94" s="174" t="str">
        <f t="shared" si="1"/>
        <v>註4</v>
      </c>
      <c r="R94" s="203">
        <f>INDEX([1]告訴人!$D$15:$F$372,MATCH(C94,[1]告訴人!$F$15:$F$372,0),1)</f>
        <v>97</v>
      </c>
      <c r="S94" s="203" t="str">
        <f t="array" ref="S94">IF(OR(C94=[1]告訴人!$F$15:$F$372),"重疊","")</f>
        <v>重疊</v>
      </c>
      <c r="T94" s="203">
        <v>1</v>
      </c>
      <c r="U94" s="203">
        <v>1</v>
      </c>
      <c r="W94" s="203" t="s">
        <v>2907</v>
      </c>
    </row>
    <row r="95" spans="1:23" ht="114" customHeight="1">
      <c r="A95" s="166">
        <v>92</v>
      </c>
      <c r="B95" s="166" t="s">
        <v>32</v>
      </c>
      <c r="C95" s="166" t="s">
        <v>375</v>
      </c>
      <c r="D95" s="167"/>
      <c r="E95" s="168" t="s">
        <v>49</v>
      </c>
      <c r="F95" s="169">
        <v>5000</v>
      </c>
      <c r="G95" s="168">
        <v>67</v>
      </c>
      <c r="H95" s="169">
        <v>335000</v>
      </c>
      <c r="I95" s="186" t="s">
        <v>1083</v>
      </c>
      <c r="J95" s="186" t="s">
        <v>1083</v>
      </c>
      <c r="K95" s="170" t="s">
        <v>3171</v>
      </c>
      <c r="L95" s="170" t="s">
        <v>3585</v>
      </c>
      <c r="M95" s="175" t="s">
        <v>2907</v>
      </c>
      <c r="N95" s="172">
        <v>335000</v>
      </c>
      <c r="O95" s="172"/>
      <c r="P95" s="173" t="s">
        <v>2461</v>
      </c>
      <c r="Q95" s="174" t="str">
        <f t="shared" si="1"/>
        <v>註3</v>
      </c>
      <c r="R95" s="203">
        <f>INDEX([1]告訴人!$D$15:$F$372,MATCH(C95,[1]告訴人!$F$15:$F$372,0),1)</f>
        <v>210</v>
      </c>
      <c r="S95" s="203" t="str">
        <f t="array" ref="S95">IF(OR(C95=[1]告訴人!$F$15:$F$372),"重疊","")</f>
        <v>重疊</v>
      </c>
      <c r="T95" s="203">
        <v>1</v>
      </c>
      <c r="V95" s="203">
        <v>1</v>
      </c>
    </row>
    <row r="96" spans="1:23" ht="24.15" customHeight="1">
      <c r="A96" s="166">
        <v>93</v>
      </c>
      <c r="B96" s="166" t="s">
        <v>32</v>
      </c>
      <c r="C96" s="166" t="s">
        <v>410</v>
      </c>
      <c r="D96" s="167"/>
      <c r="E96" s="168" t="s">
        <v>49</v>
      </c>
      <c r="F96" s="169">
        <v>10000</v>
      </c>
      <c r="G96" s="168">
        <v>67</v>
      </c>
      <c r="H96" s="169">
        <v>670000</v>
      </c>
      <c r="I96" s="186" t="s">
        <v>1083</v>
      </c>
      <c r="J96" s="186" t="s">
        <v>1083</v>
      </c>
      <c r="K96" s="170" t="s">
        <v>2462</v>
      </c>
      <c r="L96" s="170"/>
      <c r="M96" s="175" t="s">
        <v>2907</v>
      </c>
      <c r="N96" s="172"/>
      <c r="O96" s="172"/>
      <c r="P96" s="173" t="s">
        <v>1832</v>
      </c>
      <c r="Q96" s="174" t="str">
        <f t="shared" si="1"/>
        <v/>
      </c>
      <c r="R96" s="203">
        <f>INDEX([1]告訴人!$D$15:$F$372,MATCH(C96,[1]告訴人!$F$15:$F$372,0),1)</f>
        <v>87</v>
      </c>
      <c r="S96" s="203" t="str">
        <f t="array" ref="S96">IF(OR(C96=[1]告訴人!$F$15:$F$372),"重疊","")</f>
        <v>重疊</v>
      </c>
      <c r="T96" s="203">
        <v>1</v>
      </c>
    </row>
    <row r="97" spans="1:23">
      <c r="A97" s="166">
        <v>94</v>
      </c>
      <c r="B97" s="166" t="s">
        <v>32</v>
      </c>
      <c r="C97" s="166" t="s">
        <v>441</v>
      </c>
      <c r="D97" s="167"/>
      <c r="E97" s="168" t="s">
        <v>49</v>
      </c>
      <c r="F97" s="169">
        <v>1000</v>
      </c>
      <c r="G97" s="168">
        <v>67</v>
      </c>
      <c r="H97" s="169">
        <v>67000</v>
      </c>
      <c r="I97" s="186"/>
      <c r="J97" s="186"/>
      <c r="K97" s="170" t="s">
        <v>2908</v>
      </c>
      <c r="L97" s="170"/>
      <c r="M97" s="175"/>
      <c r="N97" s="172">
        <v>67000</v>
      </c>
      <c r="O97" s="172"/>
      <c r="P97" s="173" t="s">
        <v>2461</v>
      </c>
      <c r="Q97" s="174" t="str">
        <f t="shared" si="1"/>
        <v>註3</v>
      </c>
      <c r="R97" s="203" t="e">
        <f>INDEX([1]告訴人!$D$15:$F$372,MATCH(C97,[1]告訴人!$F$15:$F$372,0),1)</f>
        <v>#N/A</v>
      </c>
      <c r="S97" s="203" t="str">
        <f t="array" ref="S97">IF(OR(C97=[1]告訴人!$F$15:$F$372),"重疊","")</f>
        <v/>
      </c>
    </row>
    <row r="98" spans="1:23">
      <c r="A98" s="166">
        <v>95</v>
      </c>
      <c r="B98" s="166" t="s">
        <v>32</v>
      </c>
      <c r="C98" s="166" t="s">
        <v>479</v>
      </c>
      <c r="D98" s="167"/>
      <c r="E98" s="168" t="s">
        <v>49</v>
      </c>
      <c r="F98" s="169">
        <v>2000</v>
      </c>
      <c r="G98" s="168">
        <v>67</v>
      </c>
      <c r="H98" s="169">
        <v>134000</v>
      </c>
      <c r="I98" s="186"/>
      <c r="J98" s="186"/>
      <c r="K98" s="170" t="s">
        <v>2908</v>
      </c>
      <c r="L98" s="284"/>
      <c r="M98" s="175"/>
      <c r="N98" s="172">
        <v>134000</v>
      </c>
      <c r="O98" s="172"/>
      <c r="P98" s="173" t="s">
        <v>2461</v>
      </c>
      <c r="Q98" s="174" t="str">
        <f t="shared" si="1"/>
        <v>註3</v>
      </c>
      <c r="R98" s="203" t="e">
        <f>INDEX([1]告訴人!$D$15:$F$372,MATCH(C98,[1]告訴人!$F$15:$F$372,0),1)</f>
        <v>#N/A</v>
      </c>
      <c r="S98" s="203" t="str">
        <f t="array" ref="S98">IF(OR(C98=[1]告訴人!$F$15:$F$372),"重疊","")</f>
        <v/>
      </c>
    </row>
    <row r="99" spans="1:23">
      <c r="A99" s="166">
        <v>96</v>
      </c>
      <c r="B99" s="166" t="s">
        <v>32</v>
      </c>
      <c r="C99" s="166" t="s">
        <v>483</v>
      </c>
      <c r="D99" s="167"/>
      <c r="E99" s="168" t="s">
        <v>49</v>
      </c>
      <c r="F99" s="169">
        <v>2000</v>
      </c>
      <c r="G99" s="168">
        <v>67</v>
      </c>
      <c r="H99" s="169">
        <v>134000</v>
      </c>
      <c r="I99" s="186"/>
      <c r="J99" s="186"/>
      <c r="K99" s="170" t="s">
        <v>2908</v>
      </c>
      <c r="L99" s="170"/>
      <c r="M99" s="175"/>
      <c r="N99" s="172">
        <v>134000</v>
      </c>
      <c r="O99" s="172"/>
      <c r="P99" s="173" t="s">
        <v>2461</v>
      </c>
      <c r="Q99" s="174" t="str">
        <f t="shared" si="1"/>
        <v>註3</v>
      </c>
      <c r="R99" s="203" t="e">
        <f>INDEX([1]告訴人!$D$15:$F$372,MATCH(C99,[1]告訴人!$F$15:$F$372,0),1)</f>
        <v>#N/A</v>
      </c>
      <c r="S99" s="203" t="str">
        <f t="array" ref="S99">IF(OR(C99=[1]告訴人!$F$15:$F$372),"重疊","")</f>
        <v/>
      </c>
    </row>
    <row r="100" spans="1:23">
      <c r="A100" s="166">
        <v>97</v>
      </c>
      <c r="B100" s="166" t="s">
        <v>32</v>
      </c>
      <c r="C100" s="166" t="s">
        <v>496</v>
      </c>
      <c r="D100" s="167"/>
      <c r="E100" s="168" t="s">
        <v>49</v>
      </c>
      <c r="F100" s="169">
        <v>1000</v>
      </c>
      <c r="G100" s="168">
        <v>67</v>
      </c>
      <c r="H100" s="169">
        <v>67000</v>
      </c>
      <c r="I100" s="186"/>
      <c r="J100" s="186"/>
      <c r="K100" s="170" t="s">
        <v>2908</v>
      </c>
      <c r="L100" s="170"/>
      <c r="M100" s="175"/>
      <c r="N100" s="172">
        <v>67000</v>
      </c>
      <c r="O100" s="172"/>
      <c r="P100" s="173" t="s">
        <v>2461</v>
      </c>
      <c r="Q100" s="174" t="str">
        <f t="shared" si="1"/>
        <v>註3</v>
      </c>
      <c r="R100" s="203" t="e">
        <f>INDEX([1]告訴人!$D$15:$F$372,MATCH(C100,[1]告訴人!$F$15:$F$372,0),1)</f>
        <v>#N/A</v>
      </c>
      <c r="S100" s="203" t="str">
        <f t="array" ref="S100">IF(OR(C100=[1]告訴人!$F$15:$F$372),"重疊","")</f>
        <v/>
      </c>
    </row>
    <row r="101" spans="1:23" ht="30.65" customHeight="1">
      <c r="A101" s="166">
        <v>98</v>
      </c>
      <c r="B101" s="166" t="s">
        <v>32</v>
      </c>
      <c r="C101" s="166" t="s">
        <v>3256</v>
      </c>
      <c r="D101" s="167"/>
      <c r="E101" s="168" t="s">
        <v>50</v>
      </c>
      <c r="F101" s="169">
        <v>8000</v>
      </c>
      <c r="G101" s="168">
        <v>67</v>
      </c>
      <c r="H101" s="169">
        <v>536000</v>
      </c>
      <c r="I101" s="186"/>
      <c r="J101" s="186"/>
      <c r="K101" s="170" t="s">
        <v>2908</v>
      </c>
      <c r="L101" s="284"/>
      <c r="M101" s="175"/>
      <c r="N101" s="172">
        <v>536000</v>
      </c>
      <c r="O101" s="172"/>
      <c r="P101" s="173" t="s">
        <v>2461</v>
      </c>
      <c r="Q101" s="174" t="str">
        <f t="shared" si="1"/>
        <v>註3</v>
      </c>
      <c r="R101" s="203" t="e">
        <f>INDEX([1]告訴人!$D$15:$F$372,MATCH(C101,[1]告訴人!$F$15:$F$372,0),1)</f>
        <v>#N/A</v>
      </c>
      <c r="S101" s="203" t="str">
        <f t="array" ref="S101">IF(OR(C101=[1]告訴人!$F$15:$F$372),"重疊","")</f>
        <v/>
      </c>
    </row>
    <row r="102" spans="1:23" ht="32.25" customHeight="1">
      <c r="A102" s="166">
        <v>99</v>
      </c>
      <c r="B102" s="166" t="s">
        <v>32</v>
      </c>
      <c r="C102" s="166" t="s">
        <v>408</v>
      </c>
      <c r="D102" s="167"/>
      <c r="E102" s="168" t="s">
        <v>50</v>
      </c>
      <c r="F102" s="169">
        <v>2000</v>
      </c>
      <c r="G102" s="168">
        <v>67</v>
      </c>
      <c r="H102" s="169">
        <v>134000</v>
      </c>
      <c r="I102" s="186"/>
      <c r="J102" s="186"/>
      <c r="K102" s="170" t="s">
        <v>2908</v>
      </c>
      <c r="L102" s="284"/>
      <c r="M102" s="175"/>
      <c r="N102" s="172">
        <v>134000</v>
      </c>
      <c r="O102" s="172"/>
      <c r="P102" s="173" t="s">
        <v>2461</v>
      </c>
      <c r="Q102" s="174" t="str">
        <f t="shared" si="1"/>
        <v>註3</v>
      </c>
      <c r="R102" s="203" t="e">
        <f>INDEX([1]告訴人!$D$15:$F$372,MATCH(C102,[1]告訴人!$F$15:$F$372,0),1)</f>
        <v>#N/A</v>
      </c>
      <c r="S102" s="203" t="str">
        <f t="array" ref="S102">IF(OR(C102=[1]告訴人!$F$15:$F$372),"重疊","")</f>
        <v/>
      </c>
    </row>
    <row r="103" spans="1:23" ht="36.65" customHeight="1">
      <c r="A103" s="166">
        <v>100</v>
      </c>
      <c r="B103" s="166" t="s">
        <v>32</v>
      </c>
      <c r="C103" s="166" t="s">
        <v>237</v>
      </c>
      <c r="D103" s="167"/>
      <c r="E103" s="168" t="s">
        <v>50</v>
      </c>
      <c r="F103" s="169">
        <v>3000</v>
      </c>
      <c r="G103" s="168">
        <v>67</v>
      </c>
      <c r="H103" s="169">
        <v>201000</v>
      </c>
      <c r="I103" s="186" t="s">
        <v>2922</v>
      </c>
      <c r="J103" s="186" t="s">
        <v>2922</v>
      </c>
      <c r="K103" s="170" t="s">
        <v>3158</v>
      </c>
      <c r="L103" s="170" t="s">
        <v>3580</v>
      </c>
      <c r="M103" s="175" t="s">
        <v>2907</v>
      </c>
      <c r="N103" s="172"/>
      <c r="O103" s="172">
        <v>201000</v>
      </c>
      <c r="P103" s="173" t="s">
        <v>2465</v>
      </c>
      <c r="Q103" s="174" t="str">
        <f t="shared" si="1"/>
        <v>註4</v>
      </c>
      <c r="R103" s="203">
        <f>INDEX([1]告訴人!$D$15:$F$372,MATCH(C103,[1]告訴人!$F$15:$F$372,0),1)</f>
        <v>232</v>
      </c>
      <c r="S103" s="203" t="str">
        <f t="array" ref="S103">IF(OR(C103=[1]告訴人!$F$15:$F$372),"重疊","")</f>
        <v>重疊</v>
      </c>
      <c r="T103" s="203">
        <v>1</v>
      </c>
      <c r="U103" s="203">
        <v>1</v>
      </c>
      <c r="W103" s="203" t="s">
        <v>2907</v>
      </c>
    </row>
    <row r="104" spans="1:23" ht="134.25" customHeight="1">
      <c r="A104" s="166">
        <v>101</v>
      </c>
      <c r="B104" s="166" t="s">
        <v>32</v>
      </c>
      <c r="C104" s="166" t="s">
        <v>507</v>
      </c>
      <c r="D104" s="167"/>
      <c r="E104" s="168" t="s">
        <v>50</v>
      </c>
      <c r="F104" s="169">
        <v>2000</v>
      </c>
      <c r="G104" s="168">
        <v>67</v>
      </c>
      <c r="H104" s="169">
        <v>134000</v>
      </c>
      <c r="I104" s="186" t="s">
        <v>2921</v>
      </c>
      <c r="J104" s="186" t="s">
        <v>2921</v>
      </c>
      <c r="K104" s="170" t="s">
        <v>3172</v>
      </c>
      <c r="L104" s="170" t="s">
        <v>3586</v>
      </c>
      <c r="M104" s="175" t="s">
        <v>2907</v>
      </c>
      <c r="N104" s="172">
        <v>134000</v>
      </c>
      <c r="O104" s="172"/>
      <c r="P104" s="173" t="s">
        <v>2461</v>
      </c>
      <c r="Q104" s="174" t="str">
        <f t="shared" si="1"/>
        <v>註3</v>
      </c>
      <c r="R104" s="203">
        <f>INDEX([1]告訴人!$D$15:$F$372,MATCH(C104,[1]告訴人!$F$15:$F$372,0),1)</f>
        <v>255</v>
      </c>
      <c r="S104" s="203" t="str">
        <f t="array" ref="S104">IF(OR(C104=[1]告訴人!$F$15:$F$372),"重疊","")</f>
        <v>重疊</v>
      </c>
      <c r="T104" s="203">
        <v>1</v>
      </c>
      <c r="V104" s="203">
        <v>1</v>
      </c>
    </row>
    <row r="105" spans="1:23" ht="218.15" customHeight="1">
      <c r="A105" s="166">
        <v>102</v>
      </c>
      <c r="B105" s="166" t="s">
        <v>32</v>
      </c>
      <c r="C105" s="166" t="s">
        <v>332</v>
      </c>
      <c r="D105" s="167"/>
      <c r="E105" s="168" t="s">
        <v>51</v>
      </c>
      <c r="F105" s="169">
        <v>20000</v>
      </c>
      <c r="G105" s="168">
        <v>67</v>
      </c>
      <c r="H105" s="169">
        <v>1340000</v>
      </c>
      <c r="I105" s="186" t="s">
        <v>1083</v>
      </c>
      <c r="J105" s="186" t="s">
        <v>1083</v>
      </c>
      <c r="K105" s="170" t="s">
        <v>3173</v>
      </c>
      <c r="L105" s="170" t="s">
        <v>3671</v>
      </c>
      <c r="M105" s="175" t="s">
        <v>2907</v>
      </c>
      <c r="N105" s="172">
        <v>1340000</v>
      </c>
      <c r="O105" s="172"/>
      <c r="P105" s="173" t="s">
        <v>2461</v>
      </c>
      <c r="Q105" s="174" t="str">
        <f t="shared" si="1"/>
        <v>註3</v>
      </c>
      <c r="R105" s="203">
        <f>INDEX([1]告訴人!$D$15:$F$372,MATCH(C105,[1]告訴人!$F$15:$F$372,0),1)</f>
        <v>16</v>
      </c>
      <c r="S105" s="203" t="str">
        <f t="array" ref="S105">IF(OR(C105=[1]告訴人!$F$15:$F$372),"重疊","")</f>
        <v>重疊</v>
      </c>
      <c r="T105" s="203">
        <v>1</v>
      </c>
      <c r="V105" s="203">
        <v>1</v>
      </c>
    </row>
    <row r="106" spans="1:23" ht="32.25" customHeight="1">
      <c r="A106" s="166">
        <v>103</v>
      </c>
      <c r="B106" s="166" t="s">
        <v>32</v>
      </c>
      <c r="C106" s="166" t="s">
        <v>473</v>
      </c>
      <c r="D106" s="167"/>
      <c r="E106" s="168" t="s">
        <v>474</v>
      </c>
      <c r="F106" s="169">
        <v>2000</v>
      </c>
      <c r="G106" s="168">
        <v>67</v>
      </c>
      <c r="H106" s="169">
        <v>134000</v>
      </c>
      <c r="I106" s="186"/>
      <c r="J106" s="186"/>
      <c r="K106" s="170" t="s">
        <v>2908</v>
      </c>
      <c r="L106" s="284"/>
      <c r="M106" s="175"/>
      <c r="N106" s="172">
        <v>134000</v>
      </c>
      <c r="O106" s="172"/>
      <c r="P106" s="173" t="s">
        <v>2461</v>
      </c>
      <c r="Q106" s="174" t="str">
        <f t="shared" si="1"/>
        <v>註3</v>
      </c>
      <c r="R106" s="203" t="e">
        <f>INDEX([1]告訴人!$D$15:$F$372,MATCH(C106,[1]告訴人!$F$15:$F$372,0),1)</f>
        <v>#N/A</v>
      </c>
      <c r="S106" s="203" t="str">
        <f t="array" ref="S106">IF(OR(C106=[1]告訴人!$F$15:$F$372),"重疊","")</f>
        <v/>
      </c>
    </row>
    <row r="107" spans="1:23" ht="48.75" customHeight="1">
      <c r="A107" s="166">
        <v>104</v>
      </c>
      <c r="B107" s="166" t="s">
        <v>32</v>
      </c>
      <c r="C107" s="166" t="s">
        <v>565</v>
      </c>
      <c r="D107" s="167"/>
      <c r="E107" s="168" t="s">
        <v>474</v>
      </c>
      <c r="F107" s="169">
        <v>1000</v>
      </c>
      <c r="G107" s="168">
        <v>69</v>
      </c>
      <c r="H107" s="169">
        <v>69000</v>
      </c>
      <c r="I107" s="186" t="s">
        <v>2921</v>
      </c>
      <c r="J107" s="186" t="s">
        <v>2921</v>
      </c>
      <c r="K107" s="170" t="s">
        <v>3158</v>
      </c>
      <c r="L107" s="170" t="s">
        <v>3581</v>
      </c>
      <c r="M107" s="175" t="s">
        <v>2907</v>
      </c>
      <c r="N107" s="172"/>
      <c r="O107" s="172">
        <v>69000</v>
      </c>
      <c r="P107" s="173" t="s">
        <v>2463</v>
      </c>
      <c r="Q107" s="174" t="str">
        <f t="shared" si="1"/>
        <v>註4</v>
      </c>
      <c r="R107" s="203">
        <f>INDEX([1]告訴人!$D$15:$F$372,MATCH(C107,[1]告訴人!$F$15:$F$372,0),1)</f>
        <v>191</v>
      </c>
      <c r="S107" s="203" t="str">
        <f t="array" ref="S107">IF(OR(C107=[1]告訴人!$F$15:$F$372),"重疊","")</f>
        <v>重疊</v>
      </c>
      <c r="T107" s="203">
        <v>1</v>
      </c>
      <c r="U107" s="203">
        <v>1</v>
      </c>
    </row>
    <row r="108" spans="1:23" ht="34.4" customHeight="1">
      <c r="A108" s="166">
        <v>105</v>
      </c>
      <c r="B108" s="166" t="s">
        <v>32</v>
      </c>
      <c r="C108" s="166" t="s">
        <v>452</v>
      </c>
      <c r="D108" s="167"/>
      <c r="E108" s="168" t="s">
        <v>52</v>
      </c>
      <c r="F108" s="169">
        <v>5000</v>
      </c>
      <c r="G108" s="168">
        <v>67</v>
      </c>
      <c r="H108" s="169">
        <v>335000</v>
      </c>
      <c r="I108" s="186"/>
      <c r="J108" s="186"/>
      <c r="K108" s="170" t="s">
        <v>2908</v>
      </c>
      <c r="L108" s="284"/>
      <c r="M108" s="175"/>
      <c r="N108" s="172">
        <v>335000</v>
      </c>
      <c r="O108" s="172"/>
      <c r="P108" s="173" t="s">
        <v>2461</v>
      </c>
      <c r="Q108" s="174" t="str">
        <f t="shared" si="1"/>
        <v>註3</v>
      </c>
      <c r="R108" s="203" t="e">
        <f>INDEX([1]告訴人!$D$15:$F$372,MATCH(C108,[1]告訴人!$F$15:$F$372,0),1)</f>
        <v>#N/A</v>
      </c>
      <c r="S108" s="203" t="str">
        <f t="array" ref="S108">IF(OR(C108=[1]告訴人!$F$15:$F$372),"重疊","")</f>
        <v/>
      </c>
    </row>
    <row r="109" spans="1:23">
      <c r="A109" s="166">
        <v>106</v>
      </c>
      <c r="B109" s="166" t="s">
        <v>32</v>
      </c>
      <c r="C109" s="166" t="s">
        <v>496</v>
      </c>
      <c r="D109" s="167"/>
      <c r="E109" s="168" t="s">
        <v>52</v>
      </c>
      <c r="F109" s="169">
        <v>1000</v>
      </c>
      <c r="G109" s="168">
        <v>67</v>
      </c>
      <c r="H109" s="169">
        <v>67000</v>
      </c>
      <c r="I109" s="186"/>
      <c r="J109" s="186"/>
      <c r="K109" s="170" t="s">
        <v>2908</v>
      </c>
      <c r="L109" s="170"/>
      <c r="M109" s="175"/>
      <c r="N109" s="172">
        <v>67000</v>
      </c>
      <c r="O109" s="172"/>
      <c r="P109" s="173" t="s">
        <v>2461</v>
      </c>
      <c r="Q109" s="174" t="str">
        <f t="shared" si="1"/>
        <v>註3</v>
      </c>
      <c r="R109" s="203" t="e">
        <f>INDEX([1]告訴人!$D$15:$F$372,MATCH(C109,[1]告訴人!$F$15:$F$372,0),1)</f>
        <v>#N/A</v>
      </c>
      <c r="S109" s="203" t="str">
        <f t="array" ref="S109">IF(OR(C109=[1]告訴人!$F$15:$F$372),"重疊","")</f>
        <v/>
      </c>
    </row>
    <row r="110" spans="1:23" ht="16.25" customHeight="1">
      <c r="A110" s="166">
        <v>107</v>
      </c>
      <c r="B110" s="166" t="s">
        <v>32</v>
      </c>
      <c r="C110" s="166" t="s">
        <v>516</v>
      </c>
      <c r="D110" s="167"/>
      <c r="E110" s="168" t="s">
        <v>52</v>
      </c>
      <c r="F110" s="169">
        <v>3000</v>
      </c>
      <c r="G110" s="168">
        <v>67</v>
      </c>
      <c r="H110" s="169">
        <v>201000</v>
      </c>
      <c r="I110" s="186" t="s">
        <v>1083</v>
      </c>
      <c r="J110" s="186" t="s">
        <v>1083</v>
      </c>
      <c r="K110" s="170" t="s">
        <v>2462</v>
      </c>
      <c r="L110" s="170"/>
      <c r="M110" s="175" t="s">
        <v>2907</v>
      </c>
      <c r="N110" s="172"/>
      <c r="O110" s="172"/>
      <c r="P110" s="173" t="s">
        <v>1832</v>
      </c>
      <c r="Q110" s="174" t="str">
        <f t="shared" si="1"/>
        <v/>
      </c>
      <c r="R110" s="203">
        <f>INDEX([1]告訴人!$D$15:$F$372,MATCH(C110,[1]告訴人!$F$15:$F$372,0),1)</f>
        <v>177</v>
      </c>
      <c r="S110" s="203" t="str">
        <f t="array" ref="S110">IF(OR(C110=[1]告訴人!$F$15:$F$372),"重疊","")</f>
        <v>重疊</v>
      </c>
      <c r="T110" s="203">
        <v>1</v>
      </c>
    </row>
    <row r="111" spans="1:23">
      <c r="A111" s="166">
        <v>108</v>
      </c>
      <c r="B111" s="166" t="s">
        <v>32</v>
      </c>
      <c r="C111" s="166" t="s">
        <v>517</v>
      </c>
      <c r="D111" s="167"/>
      <c r="E111" s="168" t="s">
        <v>52</v>
      </c>
      <c r="F111" s="169">
        <v>2000</v>
      </c>
      <c r="G111" s="168">
        <v>67</v>
      </c>
      <c r="H111" s="169">
        <v>134000</v>
      </c>
      <c r="I111" s="186" t="s">
        <v>1083</v>
      </c>
      <c r="J111" s="186" t="s">
        <v>1083</v>
      </c>
      <c r="K111" s="170" t="s">
        <v>2462</v>
      </c>
      <c r="L111" s="170"/>
      <c r="M111" s="175" t="s">
        <v>2907</v>
      </c>
      <c r="N111" s="172"/>
      <c r="O111" s="172"/>
      <c r="P111" s="173" t="s">
        <v>1832</v>
      </c>
      <c r="Q111" s="174" t="str">
        <f t="shared" si="1"/>
        <v/>
      </c>
      <c r="R111" s="203">
        <f>INDEX([1]告訴人!$D$15:$F$372,MATCH(C111,[1]告訴人!$F$15:$F$372,0),1)</f>
        <v>249</v>
      </c>
      <c r="S111" s="203" t="str">
        <f t="array" ref="S111">IF(OR(C111=[1]告訴人!$F$15:$F$372),"重疊","")</f>
        <v>重疊</v>
      </c>
      <c r="T111" s="203">
        <v>1</v>
      </c>
    </row>
    <row r="112" spans="1:23" ht="48.75" customHeight="1">
      <c r="A112" s="166">
        <v>109</v>
      </c>
      <c r="B112" s="166" t="s">
        <v>32</v>
      </c>
      <c r="C112" s="166" t="s">
        <v>254</v>
      </c>
      <c r="D112" s="167" t="s">
        <v>2927</v>
      </c>
      <c r="E112" s="168" t="s">
        <v>52</v>
      </c>
      <c r="F112" s="169">
        <v>3000</v>
      </c>
      <c r="G112" s="168">
        <v>69</v>
      </c>
      <c r="H112" s="169">
        <v>207000</v>
      </c>
      <c r="I112" s="186" t="s">
        <v>2922</v>
      </c>
      <c r="J112" s="186" t="s">
        <v>2922</v>
      </c>
      <c r="K112" s="170" t="s">
        <v>3158</v>
      </c>
      <c r="L112" s="170" t="s">
        <v>3581</v>
      </c>
      <c r="M112" s="175" t="s">
        <v>2907</v>
      </c>
      <c r="N112" s="172"/>
      <c r="O112" s="172">
        <v>207000</v>
      </c>
      <c r="P112" s="173" t="s">
        <v>2465</v>
      </c>
      <c r="Q112" s="174" t="str">
        <f t="shared" si="1"/>
        <v>註4</v>
      </c>
      <c r="R112" s="203">
        <f>INDEX([1]告訴人!$D$15:$F$372,MATCH(C112,[1]告訴人!$F$15:$F$372,0),1)</f>
        <v>199</v>
      </c>
      <c r="S112" s="203" t="str">
        <f t="array" ref="S112">IF(OR(C112=[1]告訴人!$F$15:$F$372),"重疊","")</f>
        <v>重疊</v>
      </c>
      <c r="T112" s="203">
        <v>1</v>
      </c>
      <c r="U112" s="203">
        <v>1</v>
      </c>
      <c r="W112" s="203" t="s">
        <v>2907</v>
      </c>
    </row>
    <row r="113" spans="1:23" ht="66.650000000000006" customHeight="1">
      <c r="A113" s="166">
        <v>110</v>
      </c>
      <c r="B113" s="166" t="s">
        <v>32</v>
      </c>
      <c r="C113" s="166" t="s">
        <v>457</v>
      </c>
      <c r="D113" s="167" t="s">
        <v>2926</v>
      </c>
      <c r="E113" s="168" t="s">
        <v>458</v>
      </c>
      <c r="F113" s="169">
        <v>2000</v>
      </c>
      <c r="G113" s="168">
        <v>67</v>
      </c>
      <c r="H113" s="169">
        <v>134000</v>
      </c>
      <c r="I113" s="186" t="s">
        <v>2922</v>
      </c>
      <c r="J113" s="186" t="s">
        <v>2922</v>
      </c>
      <c r="K113" s="170" t="s">
        <v>3158</v>
      </c>
      <c r="L113" s="170" t="s">
        <v>3672</v>
      </c>
      <c r="M113" s="175" t="s">
        <v>2905</v>
      </c>
      <c r="N113" s="172"/>
      <c r="O113" s="172">
        <v>134000</v>
      </c>
      <c r="P113" s="173" t="s">
        <v>2465</v>
      </c>
      <c r="Q113" s="174" t="str">
        <f t="shared" si="1"/>
        <v>註4</v>
      </c>
      <c r="R113" s="203">
        <f>INDEX([1]告訴人!$D$15:$F$372,MATCH(C113,[1]告訴人!$F$15:$F$372,0),1)</f>
        <v>125</v>
      </c>
      <c r="S113" s="203" t="str">
        <f t="array" ref="S113">IF(OR(C113=[1]告訴人!$F$15:$F$372),"重疊","")</f>
        <v>重疊</v>
      </c>
      <c r="T113" s="203">
        <v>1</v>
      </c>
      <c r="U113" s="203">
        <v>1</v>
      </c>
      <c r="W113" s="203" t="s">
        <v>2905</v>
      </c>
    </row>
    <row r="114" spans="1:23" ht="27.9" customHeight="1">
      <c r="A114" s="166">
        <v>111</v>
      </c>
      <c r="B114" s="166" t="s">
        <v>32</v>
      </c>
      <c r="C114" s="166" t="s">
        <v>532</v>
      </c>
      <c r="D114" s="167"/>
      <c r="E114" s="168" t="s">
        <v>533</v>
      </c>
      <c r="F114" s="169">
        <v>2000</v>
      </c>
      <c r="G114" s="168">
        <v>67</v>
      </c>
      <c r="H114" s="169">
        <v>134000</v>
      </c>
      <c r="I114" s="186"/>
      <c r="J114" s="186"/>
      <c r="K114" s="170" t="s">
        <v>2904</v>
      </c>
      <c r="L114" s="284"/>
      <c r="M114" s="175"/>
      <c r="N114" s="172">
        <v>134000</v>
      </c>
      <c r="O114" s="172"/>
      <c r="P114" s="173" t="s">
        <v>2461</v>
      </c>
      <c r="Q114" s="174" t="str">
        <f t="shared" si="1"/>
        <v>註3</v>
      </c>
      <c r="R114" s="203">
        <f>INDEX([1]告訴人!$D$15:$F$372,MATCH(C114,[1]告訴人!$F$15:$F$372,0),1)</f>
        <v>346</v>
      </c>
      <c r="S114" s="203" t="str">
        <f t="array" ref="S114">IF(OR(C114=[1]告訴人!$F$15:$F$372),"重疊","")</f>
        <v>重疊</v>
      </c>
    </row>
    <row r="115" spans="1:23">
      <c r="A115" s="166">
        <v>112</v>
      </c>
      <c r="B115" s="166" t="s">
        <v>32</v>
      </c>
      <c r="C115" s="166" t="s">
        <v>537</v>
      </c>
      <c r="D115" s="167"/>
      <c r="E115" s="168" t="s">
        <v>53</v>
      </c>
      <c r="F115" s="169">
        <v>5000</v>
      </c>
      <c r="G115" s="168">
        <v>67</v>
      </c>
      <c r="H115" s="169">
        <v>335000</v>
      </c>
      <c r="I115" s="186"/>
      <c r="J115" s="186"/>
      <c r="K115" s="170" t="s">
        <v>2904</v>
      </c>
      <c r="L115" s="170"/>
      <c r="M115" s="175"/>
      <c r="N115" s="172">
        <v>335000</v>
      </c>
      <c r="O115" s="172"/>
      <c r="P115" s="173" t="s">
        <v>2461</v>
      </c>
      <c r="Q115" s="174" t="str">
        <f t="shared" si="1"/>
        <v>註3</v>
      </c>
      <c r="R115" s="203" t="e">
        <f>INDEX([1]告訴人!$D$15:$F$372,MATCH(C115,[1]告訴人!$F$15:$F$372,0),1)</f>
        <v>#N/A</v>
      </c>
      <c r="S115" s="203" t="str">
        <f t="array" ref="S115">IF(OR(C115=[1]告訴人!$F$15:$F$372),"重疊","")</f>
        <v/>
      </c>
    </row>
    <row r="116" spans="1:23" ht="33.25" customHeight="1">
      <c r="A116" s="166">
        <v>113</v>
      </c>
      <c r="B116" s="166" t="s">
        <v>32</v>
      </c>
      <c r="C116" s="166" t="s">
        <v>352</v>
      </c>
      <c r="D116" s="167"/>
      <c r="E116" s="168" t="s">
        <v>353</v>
      </c>
      <c r="F116" s="169">
        <v>1000</v>
      </c>
      <c r="G116" s="168">
        <v>67</v>
      </c>
      <c r="H116" s="169">
        <v>67000</v>
      </c>
      <c r="I116" s="186"/>
      <c r="J116" s="186"/>
      <c r="K116" s="170" t="s">
        <v>2904</v>
      </c>
      <c r="L116" s="284"/>
      <c r="M116" s="175"/>
      <c r="N116" s="172">
        <v>67000</v>
      </c>
      <c r="O116" s="172"/>
      <c r="P116" s="173" t="s">
        <v>2461</v>
      </c>
      <c r="Q116" s="174" t="str">
        <f t="shared" si="1"/>
        <v>註3</v>
      </c>
      <c r="R116" s="203" t="e">
        <f>INDEX([1]告訴人!$D$15:$F$372,MATCH(C116,[1]告訴人!$F$15:$F$372,0),1)</f>
        <v>#N/A</v>
      </c>
      <c r="S116" s="203" t="str">
        <f t="array" ref="S116">IF(OR(C116=[1]告訴人!$F$15:$F$372),"重疊","")</f>
        <v/>
      </c>
    </row>
    <row r="117" spans="1:23" ht="32.25" customHeight="1">
      <c r="A117" s="166">
        <v>114</v>
      </c>
      <c r="B117" s="166" t="s">
        <v>32</v>
      </c>
      <c r="C117" s="166" t="s">
        <v>442</v>
      </c>
      <c r="D117" s="167"/>
      <c r="E117" s="168" t="s">
        <v>353</v>
      </c>
      <c r="F117" s="169">
        <v>5000</v>
      </c>
      <c r="G117" s="168">
        <v>67</v>
      </c>
      <c r="H117" s="169">
        <v>335000</v>
      </c>
      <c r="I117" s="186"/>
      <c r="J117" s="186"/>
      <c r="K117" s="170" t="s">
        <v>2904</v>
      </c>
      <c r="L117" s="284"/>
      <c r="M117" s="175"/>
      <c r="N117" s="172">
        <v>335000</v>
      </c>
      <c r="O117" s="172"/>
      <c r="P117" s="173" t="s">
        <v>2461</v>
      </c>
      <c r="Q117" s="174" t="str">
        <f t="shared" si="1"/>
        <v>註3</v>
      </c>
      <c r="R117" s="203" t="e">
        <f>INDEX([1]告訴人!$D$15:$F$372,MATCH(C117,[1]告訴人!$F$15:$F$372,0),1)</f>
        <v>#N/A</v>
      </c>
      <c r="S117" s="203" t="str">
        <f t="array" ref="S117">IF(OR(C117=[1]告訴人!$F$15:$F$372),"重疊","")</f>
        <v/>
      </c>
    </row>
    <row r="118" spans="1:23" ht="41.4" customHeight="1">
      <c r="A118" s="166">
        <v>115</v>
      </c>
      <c r="B118" s="166" t="s">
        <v>32</v>
      </c>
      <c r="C118" s="166" t="s">
        <v>471</v>
      </c>
      <c r="D118" s="167"/>
      <c r="E118" s="168" t="s">
        <v>353</v>
      </c>
      <c r="F118" s="169">
        <v>4000</v>
      </c>
      <c r="G118" s="168">
        <v>67</v>
      </c>
      <c r="H118" s="169">
        <v>268000</v>
      </c>
      <c r="I118" s="186" t="s">
        <v>2912</v>
      </c>
      <c r="J118" s="186" t="s">
        <v>2912</v>
      </c>
      <c r="K118" s="170" t="s">
        <v>3158</v>
      </c>
      <c r="L118" s="170" t="s">
        <v>3580</v>
      </c>
      <c r="M118" s="175" t="s">
        <v>2905</v>
      </c>
      <c r="N118" s="172"/>
      <c r="O118" s="172">
        <v>268000</v>
      </c>
      <c r="P118" s="173" t="s">
        <v>2465</v>
      </c>
      <c r="Q118" s="174" t="str">
        <f t="shared" si="1"/>
        <v>註4</v>
      </c>
      <c r="R118" s="203">
        <f>INDEX([1]告訴人!$D$15:$F$372,MATCH(C118,[1]告訴人!$F$15:$F$372,0),1)</f>
        <v>197</v>
      </c>
      <c r="S118" s="203" t="str">
        <f t="array" ref="S118">IF(OR(C118=[1]告訴人!$F$15:$F$372),"重疊","")</f>
        <v>重疊</v>
      </c>
      <c r="T118" s="203">
        <v>1</v>
      </c>
      <c r="U118" s="203">
        <v>1</v>
      </c>
      <c r="W118" s="203" t="s">
        <v>2905</v>
      </c>
    </row>
    <row r="119" spans="1:23" ht="114" customHeight="1">
      <c r="A119" s="166">
        <v>116</v>
      </c>
      <c r="B119" s="166" t="s">
        <v>32</v>
      </c>
      <c r="C119" s="166" t="s">
        <v>278</v>
      </c>
      <c r="D119" s="167"/>
      <c r="E119" s="168" t="s">
        <v>353</v>
      </c>
      <c r="F119" s="169">
        <v>2000</v>
      </c>
      <c r="G119" s="168">
        <v>67</v>
      </c>
      <c r="H119" s="169">
        <v>134000</v>
      </c>
      <c r="I119" s="186" t="s">
        <v>2918</v>
      </c>
      <c r="J119" s="186" t="s">
        <v>2918</v>
      </c>
      <c r="K119" s="170" t="s">
        <v>3172</v>
      </c>
      <c r="L119" s="170" t="s">
        <v>3587</v>
      </c>
      <c r="M119" s="175" t="s">
        <v>2905</v>
      </c>
      <c r="N119" s="172">
        <v>134000</v>
      </c>
      <c r="O119" s="172"/>
      <c r="P119" s="173" t="s">
        <v>2461</v>
      </c>
      <c r="Q119" s="174" t="str">
        <f t="shared" si="1"/>
        <v>註3</v>
      </c>
      <c r="R119" s="203">
        <f>INDEX([1]告訴人!$D$15:$F$372,MATCH(C119,[1]告訴人!$F$15:$F$372,0),1)</f>
        <v>133</v>
      </c>
      <c r="S119" s="203" t="str">
        <f t="array" ref="S119">IF(OR(C119=[1]告訴人!$F$15:$F$372),"重疊","")</f>
        <v>重疊</v>
      </c>
      <c r="T119" s="203">
        <v>1</v>
      </c>
      <c r="V119" s="203">
        <v>1</v>
      </c>
    </row>
    <row r="120" spans="1:23" ht="34.4" customHeight="1">
      <c r="A120" s="166">
        <v>117</v>
      </c>
      <c r="B120" s="166" t="s">
        <v>32</v>
      </c>
      <c r="C120" s="166" t="s">
        <v>547</v>
      </c>
      <c r="D120" s="167"/>
      <c r="E120" s="168" t="s">
        <v>54</v>
      </c>
      <c r="F120" s="169">
        <v>2000</v>
      </c>
      <c r="G120" s="168">
        <v>69</v>
      </c>
      <c r="H120" s="169">
        <v>138000</v>
      </c>
      <c r="I120" s="186" t="s">
        <v>2918</v>
      </c>
      <c r="J120" s="186" t="s">
        <v>2918</v>
      </c>
      <c r="K120" s="170" t="s">
        <v>3158</v>
      </c>
      <c r="L120" s="170" t="s">
        <v>3581</v>
      </c>
      <c r="M120" s="175" t="s">
        <v>2905</v>
      </c>
      <c r="N120" s="172"/>
      <c r="O120" s="172">
        <v>138000</v>
      </c>
      <c r="P120" s="173" t="s">
        <v>2463</v>
      </c>
      <c r="Q120" s="174" t="str">
        <f t="shared" si="1"/>
        <v>註4</v>
      </c>
      <c r="R120" s="203">
        <f>INDEX([1]告訴人!$D$15:$F$372,MATCH(C120,[1]告訴人!$F$15:$F$372,0),1)</f>
        <v>176</v>
      </c>
      <c r="S120" s="203" t="str">
        <f t="array" ref="S120">IF(OR(C120=[1]告訴人!$F$15:$F$372),"重疊","")</f>
        <v>重疊</v>
      </c>
      <c r="T120" s="203">
        <v>1</v>
      </c>
      <c r="U120" s="203">
        <v>1</v>
      </c>
    </row>
    <row r="121" spans="1:23" ht="94" customHeight="1">
      <c r="A121" s="166">
        <v>118</v>
      </c>
      <c r="B121" s="187" t="s">
        <v>32</v>
      </c>
      <c r="C121" s="166" t="s">
        <v>548</v>
      </c>
      <c r="D121" s="167"/>
      <c r="E121" s="168" t="s">
        <v>54</v>
      </c>
      <c r="F121" s="169">
        <v>4000</v>
      </c>
      <c r="G121" s="168">
        <v>69</v>
      </c>
      <c r="H121" s="169">
        <v>276000</v>
      </c>
      <c r="I121" s="186" t="s">
        <v>2918</v>
      </c>
      <c r="J121" s="186" t="s">
        <v>2918</v>
      </c>
      <c r="K121" s="170" t="s">
        <v>3158</v>
      </c>
      <c r="L121" s="170" t="s">
        <v>3673</v>
      </c>
      <c r="M121" s="175" t="s">
        <v>2907</v>
      </c>
      <c r="N121" s="172"/>
      <c r="O121" s="172">
        <v>276000</v>
      </c>
      <c r="P121" s="173" t="s">
        <v>2463</v>
      </c>
      <c r="Q121" s="174" t="str">
        <f t="shared" si="1"/>
        <v>註4</v>
      </c>
      <c r="R121" s="203">
        <f>INDEX([1]告訴人!$D$15:$F$372,MATCH(C121,[1]告訴人!$F$15:$F$372,0),1)</f>
        <v>298</v>
      </c>
      <c r="S121" s="203" t="str">
        <f t="array" ref="S121">IF(OR(C121=[1]告訴人!$F$15:$F$372),"重疊","")</f>
        <v>重疊</v>
      </c>
      <c r="T121" s="203">
        <v>1</v>
      </c>
      <c r="U121" s="203">
        <v>1</v>
      </c>
    </row>
    <row r="122" spans="1:23" ht="35.5" customHeight="1">
      <c r="A122" s="166">
        <v>119</v>
      </c>
      <c r="B122" s="166" t="s">
        <v>32</v>
      </c>
      <c r="C122" s="166" t="s">
        <v>549</v>
      </c>
      <c r="D122" s="167"/>
      <c r="E122" s="168" t="s">
        <v>54</v>
      </c>
      <c r="F122" s="169">
        <v>4000</v>
      </c>
      <c r="G122" s="168">
        <v>69</v>
      </c>
      <c r="H122" s="169">
        <v>276000</v>
      </c>
      <c r="I122" s="186" t="s">
        <v>2921</v>
      </c>
      <c r="J122" s="186" t="s">
        <v>2921</v>
      </c>
      <c r="K122" s="170" t="s">
        <v>3158</v>
      </c>
      <c r="L122" s="170" t="s">
        <v>3581</v>
      </c>
      <c r="M122" s="175" t="s">
        <v>2907</v>
      </c>
      <c r="N122" s="172"/>
      <c r="O122" s="172">
        <v>276000</v>
      </c>
      <c r="P122" s="173" t="s">
        <v>2463</v>
      </c>
      <c r="Q122" s="174" t="str">
        <f t="shared" si="1"/>
        <v>註4</v>
      </c>
      <c r="R122" s="203">
        <f>INDEX([1]告訴人!$D$15:$F$372,MATCH(C122,[1]告訴人!$F$15:$F$372,0),1)</f>
        <v>299</v>
      </c>
      <c r="S122" s="203" t="str">
        <f t="array" ref="S122">IF(OR(C122=[1]告訴人!$F$15:$F$372),"重疊","")</f>
        <v>重疊</v>
      </c>
      <c r="T122" s="203">
        <v>1</v>
      </c>
      <c r="U122" s="203">
        <v>1</v>
      </c>
    </row>
    <row r="123" spans="1:23" ht="20.399999999999999" customHeight="1">
      <c r="A123" s="166">
        <v>120</v>
      </c>
      <c r="B123" s="166" t="s">
        <v>32</v>
      </c>
      <c r="C123" s="166" t="s">
        <v>426</v>
      </c>
      <c r="D123" s="167"/>
      <c r="E123" s="168" t="s">
        <v>427</v>
      </c>
      <c r="F123" s="169">
        <v>1000</v>
      </c>
      <c r="G123" s="168">
        <v>67</v>
      </c>
      <c r="H123" s="169">
        <v>67000</v>
      </c>
      <c r="I123" s="186"/>
      <c r="J123" s="186"/>
      <c r="K123" s="170" t="s">
        <v>2908</v>
      </c>
      <c r="L123" s="170"/>
      <c r="M123" s="175"/>
      <c r="N123" s="172">
        <v>67000</v>
      </c>
      <c r="O123" s="172"/>
      <c r="P123" s="173" t="s">
        <v>2461</v>
      </c>
      <c r="Q123" s="174" t="str">
        <f t="shared" si="1"/>
        <v>註3</v>
      </c>
      <c r="R123" s="203" t="e">
        <f>INDEX([1]告訴人!$D$15:$F$372,MATCH(C123,[1]告訴人!$F$15:$F$372,0),1)</f>
        <v>#N/A</v>
      </c>
      <c r="S123" s="203" t="str">
        <f t="array" ref="S123">IF(OR(C123=[1]告訴人!$F$15:$F$372),"重疊","")</f>
        <v/>
      </c>
    </row>
    <row r="124" spans="1:23" ht="67.25" customHeight="1">
      <c r="A124" s="166">
        <v>121</v>
      </c>
      <c r="B124" s="166" t="s">
        <v>32</v>
      </c>
      <c r="C124" s="166" t="s">
        <v>2383</v>
      </c>
      <c r="D124" s="167"/>
      <c r="E124" s="168" t="s">
        <v>427</v>
      </c>
      <c r="F124" s="169">
        <v>2000</v>
      </c>
      <c r="G124" s="168">
        <v>67</v>
      </c>
      <c r="H124" s="169">
        <v>134000</v>
      </c>
      <c r="I124" s="186" t="s">
        <v>2921</v>
      </c>
      <c r="J124" s="186" t="s">
        <v>2921</v>
      </c>
      <c r="K124" s="170" t="s">
        <v>3174</v>
      </c>
      <c r="L124" s="170" t="s">
        <v>3588</v>
      </c>
      <c r="M124" s="175" t="s">
        <v>2905</v>
      </c>
      <c r="N124" s="172"/>
      <c r="O124" s="172">
        <v>134000</v>
      </c>
      <c r="P124" s="173" t="s">
        <v>2463</v>
      </c>
      <c r="Q124" s="174" t="str">
        <f t="shared" si="1"/>
        <v>註4</v>
      </c>
      <c r="R124" s="203">
        <f>INDEX([1]告訴人!$D$15:$F$372,MATCH(C124,[1]告訴人!$F$15:$F$372,0),1)</f>
        <v>170</v>
      </c>
      <c r="S124" s="203" t="str">
        <f t="array" ref="S124">IF(OR(C124=[1]告訴人!$F$15:$F$372),"重疊","")</f>
        <v>重疊</v>
      </c>
      <c r="T124" s="203">
        <v>1</v>
      </c>
    </row>
    <row r="125" spans="1:23" ht="32.25" customHeight="1">
      <c r="A125" s="166">
        <v>122</v>
      </c>
      <c r="B125" s="166" t="s">
        <v>32</v>
      </c>
      <c r="C125" s="166" t="s">
        <v>520</v>
      </c>
      <c r="D125" s="167"/>
      <c r="E125" s="168" t="s">
        <v>427</v>
      </c>
      <c r="F125" s="169">
        <v>10000</v>
      </c>
      <c r="G125" s="168">
        <v>67</v>
      </c>
      <c r="H125" s="169">
        <v>670000</v>
      </c>
      <c r="I125" s="186"/>
      <c r="J125" s="186"/>
      <c r="K125" s="170" t="s">
        <v>2904</v>
      </c>
      <c r="L125" s="284"/>
      <c r="M125" s="175"/>
      <c r="N125" s="172">
        <v>670000</v>
      </c>
      <c r="O125" s="172"/>
      <c r="P125" s="173" t="s">
        <v>2461</v>
      </c>
      <c r="Q125" s="174" t="str">
        <f t="shared" si="1"/>
        <v>註3</v>
      </c>
      <c r="R125" s="203" t="e">
        <f>INDEX([1]告訴人!$D$15:$F$372,MATCH(C125,[1]告訴人!$F$15:$F$372,0),1)</f>
        <v>#N/A</v>
      </c>
      <c r="S125" s="203" t="str">
        <f t="array" ref="S125">IF(OR(C125=[1]告訴人!$F$15:$F$372),"重疊","")</f>
        <v/>
      </c>
    </row>
    <row r="126" spans="1:23" ht="32.25" customHeight="1">
      <c r="A126" s="166">
        <v>123</v>
      </c>
      <c r="B126" s="166" t="s">
        <v>32</v>
      </c>
      <c r="C126" s="166" t="s">
        <v>348</v>
      </c>
      <c r="D126" s="167"/>
      <c r="E126" s="168" t="s">
        <v>55</v>
      </c>
      <c r="F126" s="169">
        <v>1000</v>
      </c>
      <c r="G126" s="168">
        <v>67</v>
      </c>
      <c r="H126" s="169">
        <v>67000</v>
      </c>
      <c r="I126" s="186"/>
      <c r="J126" s="186"/>
      <c r="K126" s="170" t="s">
        <v>2904</v>
      </c>
      <c r="L126" s="284"/>
      <c r="M126" s="175"/>
      <c r="N126" s="172">
        <v>67000</v>
      </c>
      <c r="O126" s="172"/>
      <c r="P126" s="173" t="s">
        <v>2461</v>
      </c>
      <c r="Q126" s="174" t="str">
        <f t="shared" si="1"/>
        <v>註3</v>
      </c>
      <c r="R126" s="203" t="e">
        <f>INDEX([1]告訴人!$D$15:$F$372,MATCH(C126,[1]告訴人!$F$15:$F$372,0),1)</f>
        <v>#N/A</v>
      </c>
      <c r="S126" s="203" t="str">
        <f t="array" ref="S126">IF(OR(C126=[1]告訴人!$F$15:$F$372),"重疊","")</f>
        <v/>
      </c>
    </row>
    <row r="127" spans="1:23" ht="17" customHeight="1">
      <c r="A127" s="166">
        <v>124</v>
      </c>
      <c r="B127" s="166" t="s">
        <v>32</v>
      </c>
      <c r="C127" s="166" t="s">
        <v>467</v>
      </c>
      <c r="D127" s="167"/>
      <c r="E127" s="168" t="s">
        <v>55</v>
      </c>
      <c r="F127" s="169">
        <v>3000</v>
      </c>
      <c r="G127" s="168">
        <v>67</v>
      </c>
      <c r="H127" s="169">
        <v>201000</v>
      </c>
      <c r="I127" s="186"/>
      <c r="J127" s="186"/>
      <c r="K127" s="170" t="s">
        <v>2904</v>
      </c>
      <c r="L127" s="170"/>
      <c r="M127" s="175"/>
      <c r="N127" s="172">
        <v>201000</v>
      </c>
      <c r="O127" s="172"/>
      <c r="P127" s="173" t="s">
        <v>2461</v>
      </c>
      <c r="Q127" s="174" t="str">
        <f t="shared" si="1"/>
        <v>註3</v>
      </c>
      <c r="R127" s="203" t="e">
        <f>INDEX([1]告訴人!$D$15:$F$372,MATCH(C127,[1]告訴人!$F$15:$F$372,0),1)</f>
        <v>#N/A</v>
      </c>
      <c r="S127" s="203" t="str">
        <f t="array" ref="S127">IF(OR(C127=[1]告訴人!$F$15:$F$372),"重疊","")</f>
        <v/>
      </c>
    </row>
    <row r="128" spans="1:23">
      <c r="A128" s="166">
        <v>125</v>
      </c>
      <c r="B128" s="166" t="s">
        <v>32</v>
      </c>
      <c r="C128" s="166" t="s">
        <v>504</v>
      </c>
      <c r="D128" s="167"/>
      <c r="E128" s="168" t="s">
        <v>55</v>
      </c>
      <c r="F128" s="169">
        <v>10000</v>
      </c>
      <c r="G128" s="168">
        <v>67</v>
      </c>
      <c r="H128" s="169">
        <v>670000</v>
      </c>
      <c r="I128" s="186" t="s">
        <v>2918</v>
      </c>
      <c r="J128" s="186" t="s">
        <v>2918</v>
      </c>
      <c r="K128" s="170" t="s">
        <v>2462</v>
      </c>
      <c r="L128" s="170"/>
      <c r="M128" s="175" t="s">
        <v>2905</v>
      </c>
      <c r="N128" s="172"/>
      <c r="O128" s="172"/>
      <c r="P128" s="173" t="s">
        <v>1832</v>
      </c>
      <c r="Q128" s="174" t="str">
        <f t="shared" si="1"/>
        <v/>
      </c>
      <c r="R128" s="203">
        <f>INDEX([1]告訴人!$D$15:$F$372,MATCH(C128,[1]告訴人!$F$15:$F$372,0),1)</f>
        <v>282</v>
      </c>
      <c r="S128" s="203" t="str">
        <f t="array" ref="S128">IF(OR(C128=[1]告訴人!$F$15:$F$372),"重疊","")</f>
        <v>重疊</v>
      </c>
      <c r="T128" s="203">
        <v>1</v>
      </c>
    </row>
    <row r="129" spans="1:23" ht="95.15" customHeight="1">
      <c r="A129" s="166">
        <v>126</v>
      </c>
      <c r="B129" s="166" t="s">
        <v>32</v>
      </c>
      <c r="C129" s="166" t="s">
        <v>556</v>
      </c>
      <c r="D129" s="167" t="s">
        <v>2928</v>
      </c>
      <c r="E129" s="168" t="s">
        <v>55</v>
      </c>
      <c r="F129" s="169">
        <v>1000</v>
      </c>
      <c r="G129" s="168">
        <v>69</v>
      </c>
      <c r="H129" s="169">
        <v>69000</v>
      </c>
      <c r="I129" s="186" t="s">
        <v>2912</v>
      </c>
      <c r="J129" s="186" t="s">
        <v>2912</v>
      </c>
      <c r="K129" s="170" t="s">
        <v>3158</v>
      </c>
      <c r="L129" s="170" t="s">
        <v>3674</v>
      </c>
      <c r="M129" s="175" t="s">
        <v>2905</v>
      </c>
      <c r="N129" s="172"/>
      <c r="O129" s="172">
        <v>69000</v>
      </c>
      <c r="P129" s="173" t="s">
        <v>2465</v>
      </c>
      <c r="Q129" s="174" t="str">
        <f t="shared" si="1"/>
        <v>註4</v>
      </c>
      <c r="R129" s="203">
        <f>INDEX([1]告訴人!$D$15:$F$372,MATCH(C129,[1]告訴人!$F$15:$F$372,0),1)</f>
        <v>123</v>
      </c>
      <c r="S129" s="203" t="str">
        <f t="array" ref="S129">IF(OR(C129=[1]告訴人!$F$15:$F$372),"重疊","")</f>
        <v>重疊</v>
      </c>
      <c r="T129" s="203">
        <v>1</v>
      </c>
      <c r="U129" s="203">
        <v>1</v>
      </c>
      <c r="W129" s="203" t="s">
        <v>2905</v>
      </c>
    </row>
    <row r="130" spans="1:23" ht="41.25" customHeight="1">
      <c r="A130" s="166">
        <v>127</v>
      </c>
      <c r="B130" s="166" t="s">
        <v>32</v>
      </c>
      <c r="C130" s="166" t="s">
        <v>560</v>
      </c>
      <c r="D130" s="167" t="s">
        <v>2928</v>
      </c>
      <c r="E130" s="168" t="s">
        <v>561</v>
      </c>
      <c r="F130" s="169">
        <v>3000</v>
      </c>
      <c r="G130" s="168">
        <v>69</v>
      </c>
      <c r="H130" s="169">
        <v>207000</v>
      </c>
      <c r="I130" s="186" t="s">
        <v>2912</v>
      </c>
      <c r="J130" s="186" t="s">
        <v>2912</v>
      </c>
      <c r="K130" s="170" t="s">
        <v>3158</v>
      </c>
      <c r="L130" s="170" t="s">
        <v>3581</v>
      </c>
      <c r="M130" s="175" t="s">
        <v>2905</v>
      </c>
      <c r="N130" s="172"/>
      <c r="O130" s="172">
        <v>207000</v>
      </c>
      <c r="P130" s="173" t="s">
        <v>2465</v>
      </c>
      <c r="Q130" s="174" t="str">
        <f t="shared" ref="Q130:Q193" si="2">IF(N130&lt;&gt;0,"註3",IF(O130&lt;&gt;0,"註4",""))</f>
        <v>註4</v>
      </c>
      <c r="R130" s="203">
        <f>INDEX([1]告訴人!$D$15:$F$372,MATCH(C130,[1]告訴人!$F$15:$F$372,0),1)</f>
        <v>277</v>
      </c>
      <c r="S130" s="203" t="str">
        <f t="array" ref="S130">IF(OR(C130=[1]告訴人!$F$15:$F$372),"重疊","")</f>
        <v>重疊</v>
      </c>
      <c r="T130" s="203">
        <v>1</v>
      </c>
      <c r="U130" s="203">
        <v>1</v>
      </c>
      <c r="W130" s="203" t="s">
        <v>2905</v>
      </c>
    </row>
    <row r="131" spans="1:23">
      <c r="A131" s="166">
        <v>128</v>
      </c>
      <c r="B131" s="166" t="s">
        <v>32</v>
      </c>
      <c r="C131" s="166" t="s">
        <v>234</v>
      </c>
      <c r="D131" s="167"/>
      <c r="E131" s="168" t="s">
        <v>432</v>
      </c>
      <c r="F131" s="169">
        <v>5000</v>
      </c>
      <c r="G131" s="168">
        <v>67</v>
      </c>
      <c r="H131" s="169">
        <v>335000</v>
      </c>
      <c r="I131" s="186" t="s">
        <v>2918</v>
      </c>
      <c r="J131" s="186" t="s">
        <v>2918</v>
      </c>
      <c r="K131" s="170" t="s">
        <v>2929</v>
      </c>
      <c r="L131" s="170"/>
      <c r="M131" s="175" t="s">
        <v>2905</v>
      </c>
      <c r="N131" s="172"/>
      <c r="O131" s="172"/>
      <c r="P131" s="173" t="s">
        <v>1832</v>
      </c>
      <c r="Q131" s="174" t="str">
        <f t="shared" si="2"/>
        <v/>
      </c>
      <c r="R131" s="203" t="e">
        <f>INDEX([1]告訴人!$D$15:$F$372,MATCH(C131,[1]告訴人!$F$15:$F$372,0),1)</f>
        <v>#N/A</v>
      </c>
      <c r="S131" s="203" t="str">
        <f t="array" ref="S131">IF(OR(C131=[1]告訴人!$F$15:$F$372),"重疊","")</f>
        <v/>
      </c>
      <c r="T131" s="203">
        <v>1</v>
      </c>
    </row>
    <row r="132" spans="1:23" ht="28.5" customHeight="1">
      <c r="A132" s="166">
        <v>129</v>
      </c>
      <c r="B132" s="166" t="s">
        <v>32</v>
      </c>
      <c r="C132" s="166" t="s">
        <v>433</v>
      </c>
      <c r="D132" s="167"/>
      <c r="E132" s="168" t="s">
        <v>432</v>
      </c>
      <c r="F132" s="169">
        <v>5000</v>
      </c>
      <c r="G132" s="168">
        <v>67</v>
      </c>
      <c r="H132" s="169">
        <v>335000</v>
      </c>
      <c r="I132" s="186"/>
      <c r="J132" s="186"/>
      <c r="K132" s="170" t="s">
        <v>2904</v>
      </c>
      <c r="L132" s="170"/>
      <c r="M132" s="175"/>
      <c r="N132" s="172">
        <v>335000</v>
      </c>
      <c r="O132" s="172"/>
      <c r="P132" s="173" t="s">
        <v>2461</v>
      </c>
      <c r="Q132" s="174" t="str">
        <f t="shared" si="2"/>
        <v>註3</v>
      </c>
      <c r="R132" s="203" t="e">
        <f>INDEX([1]告訴人!$D$15:$F$372,MATCH(C132,[1]告訴人!$F$15:$F$372,0),1)</f>
        <v>#N/A</v>
      </c>
      <c r="S132" s="203" t="str">
        <f t="array" ref="S132">IF(OR(C132=[1]告訴人!$F$15:$F$372),"重疊","")</f>
        <v/>
      </c>
    </row>
    <row r="133" spans="1:23" ht="32.9" customHeight="1">
      <c r="A133" s="166">
        <v>130</v>
      </c>
      <c r="B133" s="166" t="s">
        <v>32</v>
      </c>
      <c r="C133" s="166" t="s">
        <v>289</v>
      </c>
      <c r="D133" s="167"/>
      <c r="E133" s="168" t="s">
        <v>432</v>
      </c>
      <c r="F133" s="169">
        <v>1000</v>
      </c>
      <c r="G133" s="168">
        <v>67</v>
      </c>
      <c r="H133" s="169">
        <v>67000</v>
      </c>
      <c r="I133" s="186"/>
      <c r="J133" s="186"/>
      <c r="K133" s="170" t="s">
        <v>2904</v>
      </c>
      <c r="L133" s="284"/>
      <c r="M133" s="175"/>
      <c r="N133" s="172">
        <v>67000</v>
      </c>
      <c r="O133" s="172"/>
      <c r="P133" s="173" t="s">
        <v>2461</v>
      </c>
      <c r="Q133" s="174" t="str">
        <f t="shared" si="2"/>
        <v>註3</v>
      </c>
      <c r="R133" s="203" t="e">
        <f>INDEX([1]告訴人!$D$15:$F$372,MATCH(C133,[1]告訴人!$F$15:$F$372,0),1)</f>
        <v>#N/A</v>
      </c>
      <c r="S133" s="203" t="str">
        <f t="array" ref="S133">IF(OR(C133=[1]告訴人!$F$15:$F$372),"重疊","")</f>
        <v/>
      </c>
    </row>
    <row r="134" spans="1:23" ht="39" customHeight="1">
      <c r="A134" s="166">
        <v>131</v>
      </c>
      <c r="B134" s="166" t="s">
        <v>32</v>
      </c>
      <c r="C134" s="166" t="s">
        <v>282</v>
      </c>
      <c r="D134" s="167"/>
      <c r="E134" s="168" t="s">
        <v>432</v>
      </c>
      <c r="F134" s="169">
        <v>6000</v>
      </c>
      <c r="G134" s="168">
        <v>69</v>
      </c>
      <c r="H134" s="169">
        <v>414000</v>
      </c>
      <c r="I134" s="186" t="s">
        <v>2912</v>
      </c>
      <c r="J134" s="186" t="s">
        <v>2912</v>
      </c>
      <c r="K134" s="170" t="s">
        <v>3158</v>
      </c>
      <c r="L134" s="170" t="s">
        <v>3581</v>
      </c>
      <c r="M134" s="175" t="s">
        <v>2905</v>
      </c>
      <c r="N134" s="172"/>
      <c r="O134" s="172">
        <v>414000</v>
      </c>
      <c r="P134" s="173" t="s">
        <v>2465</v>
      </c>
      <c r="Q134" s="174" t="str">
        <f t="shared" si="2"/>
        <v>註4</v>
      </c>
      <c r="R134" s="203">
        <f>INDEX([1]告訴人!$D$15:$F$372,MATCH(C134,[1]告訴人!$F$15:$F$372,0),1)</f>
        <v>183</v>
      </c>
      <c r="S134" s="203" t="str">
        <f t="array" ref="S134">IF(OR(C134=[1]告訴人!$F$15:$F$372),"重疊","")</f>
        <v>重疊</v>
      </c>
      <c r="T134" s="203">
        <v>1</v>
      </c>
      <c r="U134" s="203">
        <v>1</v>
      </c>
      <c r="W134" s="203" t="s">
        <v>2905</v>
      </c>
    </row>
    <row r="135" spans="1:23" ht="32.9" customHeight="1">
      <c r="A135" s="166">
        <v>132</v>
      </c>
      <c r="B135" s="166" t="s">
        <v>32</v>
      </c>
      <c r="C135" s="166" t="s">
        <v>348</v>
      </c>
      <c r="D135" s="167"/>
      <c r="E135" s="168" t="s">
        <v>349</v>
      </c>
      <c r="F135" s="169">
        <v>1000</v>
      </c>
      <c r="G135" s="168">
        <v>67</v>
      </c>
      <c r="H135" s="169">
        <v>67000</v>
      </c>
      <c r="I135" s="186"/>
      <c r="J135" s="186"/>
      <c r="K135" s="170" t="s">
        <v>2904</v>
      </c>
      <c r="L135" s="284"/>
      <c r="M135" s="175"/>
      <c r="N135" s="172">
        <v>67000</v>
      </c>
      <c r="O135" s="172"/>
      <c r="P135" s="173" t="s">
        <v>2461</v>
      </c>
      <c r="Q135" s="174" t="str">
        <f t="shared" si="2"/>
        <v>註3</v>
      </c>
      <c r="R135" s="203" t="e">
        <f>INDEX([1]告訴人!$D$15:$F$372,MATCH(C135,[1]告訴人!$F$15:$F$372,0),1)</f>
        <v>#N/A</v>
      </c>
      <c r="S135" s="203" t="str">
        <f t="array" ref="S135">IF(OR(C135=[1]告訴人!$F$15:$F$372),"重疊","")</f>
        <v/>
      </c>
    </row>
    <row r="136" spans="1:23" ht="16.25" customHeight="1">
      <c r="A136" s="166">
        <v>133</v>
      </c>
      <c r="B136" s="166" t="s">
        <v>32</v>
      </c>
      <c r="C136" s="166" t="s">
        <v>148</v>
      </c>
      <c r="D136" s="167"/>
      <c r="E136" s="168" t="s">
        <v>56</v>
      </c>
      <c r="F136" s="169">
        <v>1000</v>
      </c>
      <c r="G136" s="168">
        <v>67</v>
      </c>
      <c r="H136" s="169">
        <v>67000</v>
      </c>
      <c r="I136" s="186" t="s">
        <v>2918</v>
      </c>
      <c r="J136" s="186" t="s">
        <v>2918</v>
      </c>
      <c r="K136" s="170" t="s">
        <v>2462</v>
      </c>
      <c r="L136" s="170"/>
      <c r="M136" s="175" t="s">
        <v>2905</v>
      </c>
      <c r="N136" s="172"/>
      <c r="O136" s="172"/>
      <c r="P136" s="173" t="s">
        <v>1832</v>
      </c>
      <c r="Q136" s="174" t="str">
        <f t="shared" si="2"/>
        <v/>
      </c>
      <c r="R136" s="203">
        <f>INDEX([1]告訴人!$D$15:$F$372,MATCH(C136,[1]告訴人!$F$15:$F$372,0),1)</f>
        <v>172</v>
      </c>
      <c r="S136" s="203" t="str">
        <f t="array" ref="S136">IF(OR(C136=[1]告訴人!$F$15:$F$372),"重疊","")</f>
        <v>重疊</v>
      </c>
      <c r="T136" s="203">
        <v>1</v>
      </c>
    </row>
    <row r="137" spans="1:23" ht="111.75" customHeight="1">
      <c r="A137" s="166">
        <v>134</v>
      </c>
      <c r="B137" s="166" t="s">
        <v>32</v>
      </c>
      <c r="C137" s="166" t="s">
        <v>216</v>
      </c>
      <c r="D137" s="167"/>
      <c r="E137" s="168" t="s">
        <v>56</v>
      </c>
      <c r="F137" s="169">
        <v>1000</v>
      </c>
      <c r="G137" s="168">
        <v>67</v>
      </c>
      <c r="H137" s="169">
        <v>67000</v>
      </c>
      <c r="I137" s="186" t="s">
        <v>1083</v>
      </c>
      <c r="J137" s="186" t="s">
        <v>1083</v>
      </c>
      <c r="K137" s="170" t="s">
        <v>3175</v>
      </c>
      <c r="L137" s="176" t="s">
        <v>2930</v>
      </c>
      <c r="M137" s="175" t="s">
        <v>2907</v>
      </c>
      <c r="N137" s="172"/>
      <c r="O137" s="172">
        <v>67000</v>
      </c>
      <c r="P137" s="173" t="s">
        <v>2463</v>
      </c>
      <c r="Q137" s="174" t="str">
        <f t="shared" si="2"/>
        <v>註4</v>
      </c>
      <c r="R137" s="203">
        <f>INDEX([1]告訴人!$D$15:$F$372,MATCH(C137,[1]告訴人!$F$15:$F$372,0),1)</f>
        <v>26</v>
      </c>
      <c r="S137" s="203" t="str">
        <f t="array" ref="S137">IF(OR(C137=[1]告訴人!$F$15:$F$372),"重疊","")</f>
        <v>重疊</v>
      </c>
      <c r="T137" s="203">
        <v>1</v>
      </c>
    </row>
    <row r="138" spans="1:23" ht="81" customHeight="1">
      <c r="A138" s="166">
        <v>135</v>
      </c>
      <c r="B138" s="166" t="s">
        <v>32</v>
      </c>
      <c r="C138" s="166" t="s">
        <v>315</v>
      </c>
      <c r="D138" s="167"/>
      <c r="E138" s="168" t="s">
        <v>56</v>
      </c>
      <c r="F138" s="169">
        <v>1000</v>
      </c>
      <c r="G138" s="168">
        <v>67</v>
      </c>
      <c r="H138" s="169">
        <v>67000</v>
      </c>
      <c r="I138" s="186" t="s">
        <v>2921</v>
      </c>
      <c r="J138" s="186" t="s">
        <v>2921</v>
      </c>
      <c r="K138" s="170" t="s">
        <v>3176</v>
      </c>
      <c r="L138" s="170" t="s">
        <v>3589</v>
      </c>
      <c r="M138" s="175" t="s">
        <v>2907</v>
      </c>
      <c r="N138" s="172"/>
      <c r="O138" s="172">
        <v>67000</v>
      </c>
      <c r="P138" s="173" t="s">
        <v>2463</v>
      </c>
      <c r="Q138" s="174" t="str">
        <f t="shared" si="2"/>
        <v>註4</v>
      </c>
      <c r="R138" s="203">
        <f>INDEX([1]告訴人!$D$15:$F$372,MATCH(C138,[1]告訴人!$F$15:$F$372,0),1)</f>
        <v>240</v>
      </c>
      <c r="S138" s="203" t="str">
        <f t="array" ref="S138">IF(OR(C138=[1]告訴人!$F$15:$F$372),"重疊","")</f>
        <v>重疊</v>
      </c>
      <c r="T138" s="203">
        <v>1</v>
      </c>
    </row>
    <row r="139" spans="1:23" ht="76.400000000000006" customHeight="1">
      <c r="A139" s="166">
        <v>136</v>
      </c>
      <c r="B139" s="166" t="s">
        <v>32</v>
      </c>
      <c r="C139" s="166" t="s">
        <v>258</v>
      </c>
      <c r="D139" s="168"/>
      <c r="E139" s="168" t="s">
        <v>464</v>
      </c>
      <c r="F139" s="169">
        <v>2000</v>
      </c>
      <c r="G139" s="168">
        <v>67</v>
      </c>
      <c r="H139" s="169">
        <v>134000</v>
      </c>
      <c r="I139" s="186" t="s">
        <v>1083</v>
      </c>
      <c r="J139" s="186" t="s">
        <v>1083</v>
      </c>
      <c r="K139" s="170" t="s">
        <v>3177</v>
      </c>
      <c r="L139" s="170" t="s">
        <v>3590</v>
      </c>
      <c r="M139" s="175" t="s">
        <v>2907</v>
      </c>
      <c r="N139" s="172">
        <v>134000</v>
      </c>
      <c r="O139" s="172"/>
      <c r="P139" s="173" t="s">
        <v>2461</v>
      </c>
      <c r="Q139" s="174" t="str">
        <f t="shared" si="2"/>
        <v>註3</v>
      </c>
      <c r="R139" s="203">
        <f>INDEX([1]告訴人!$D$15:$F$372,MATCH(C139,[1]告訴人!$F$15:$F$372,0),1)</f>
        <v>109</v>
      </c>
      <c r="S139" s="203" t="str">
        <f t="array" ref="S139">IF(OR(C139=[1]告訴人!$F$15:$F$372),"重疊","")</f>
        <v>重疊</v>
      </c>
      <c r="T139" s="203">
        <v>1</v>
      </c>
      <c r="V139" s="203">
        <v>1</v>
      </c>
    </row>
    <row r="140" spans="1:23" ht="85.25" customHeight="1">
      <c r="A140" s="166">
        <v>137</v>
      </c>
      <c r="B140" s="166" t="s">
        <v>32</v>
      </c>
      <c r="C140" s="166" t="s">
        <v>236</v>
      </c>
      <c r="D140" s="255" t="s">
        <v>2931</v>
      </c>
      <c r="E140" s="168" t="s">
        <v>464</v>
      </c>
      <c r="F140" s="169">
        <v>3000</v>
      </c>
      <c r="G140" s="168">
        <v>69</v>
      </c>
      <c r="H140" s="169">
        <v>207000</v>
      </c>
      <c r="I140" s="346" t="s">
        <v>2922</v>
      </c>
      <c r="J140" s="346" t="s">
        <v>2922</v>
      </c>
      <c r="K140" s="170" t="s">
        <v>3158</v>
      </c>
      <c r="L140" s="170" t="s">
        <v>3581</v>
      </c>
      <c r="M140" s="175" t="s">
        <v>2907</v>
      </c>
      <c r="N140" s="172"/>
      <c r="O140" s="172">
        <v>207000</v>
      </c>
      <c r="P140" s="173" t="s">
        <v>2465</v>
      </c>
      <c r="Q140" s="174" t="str">
        <f t="shared" si="2"/>
        <v>註4</v>
      </c>
      <c r="R140" s="203">
        <f>INDEX([1]告訴人!$D$15:$F$372,MATCH(C140,[1]告訴人!$F$15:$F$372,0),1)</f>
        <v>25</v>
      </c>
      <c r="S140" s="203" t="str">
        <f t="array" ref="S140">IF(OR(C140=[1]告訴人!$F$15:$F$372),"重疊","")</f>
        <v>重疊</v>
      </c>
      <c r="T140" s="203">
        <v>1</v>
      </c>
      <c r="U140" s="203">
        <v>1</v>
      </c>
      <c r="W140" s="203" t="s">
        <v>2907</v>
      </c>
    </row>
    <row r="141" spans="1:23" ht="46.75" customHeight="1">
      <c r="A141" s="166">
        <v>138</v>
      </c>
      <c r="B141" s="166" t="s">
        <v>32</v>
      </c>
      <c r="C141" s="166" t="s">
        <v>203</v>
      </c>
      <c r="D141" s="167"/>
      <c r="E141" s="168" t="s">
        <v>57</v>
      </c>
      <c r="F141" s="169">
        <v>1000</v>
      </c>
      <c r="G141" s="168">
        <v>25</v>
      </c>
      <c r="H141" s="169">
        <v>25000</v>
      </c>
      <c r="I141" s="186" t="s">
        <v>2921</v>
      </c>
      <c r="J141" s="186" t="s">
        <v>2921</v>
      </c>
      <c r="K141" s="170" t="s">
        <v>3081</v>
      </c>
      <c r="L141" s="170" t="s">
        <v>3591</v>
      </c>
      <c r="M141" s="175" t="s">
        <v>2907</v>
      </c>
      <c r="N141" s="172">
        <v>25000</v>
      </c>
      <c r="O141" s="172"/>
      <c r="P141" s="173" t="s">
        <v>2461</v>
      </c>
      <c r="Q141" s="174" t="str">
        <f t="shared" si="2"/>
        <v>註3</v>
      </c>
      <c r="R141" s="203">
        <f>INDEX([1]告訴人!$D$15:$F$372,MATCH(C141,[1]告訴人!$F$15:$F$372,0),1)</f>
        <v>223</v>
      </c>
      <c r="S141" s="203" t="str">
        <f t="array" ref="S141">IF(OR(C141=[1]告訴人!$F$15:$F$372),"重疊","")</f>
        <v>重疊</v>
      </c>
      <c r="T141" s="203">
        <v>1</v>
      </c>
    </row>
    <row r="142" spans="1:23" ht="39" customHeight="1">
      <c r="A142" s="166">
        <v>139</v>
      </c>
      <c r="B142" s="166" t="s">
        <v>32</v>
      </c>
      <c r="C142" s="166" t="s">
        <v>313</v>
      </c>
      <c r="D142" s="167"/>
      <c r="E142" s="168" t="s">
        <v>57</v>
      </c>
      <c r="F142" s="169">
        <v>10000</v>
      </c>
      <c r="G142" s="168">
        <v>67</v>
      </c>
      <c r="H142" s="169">
        <v>670000</v>
      </c>
      <c r="I142" s="186" t="s">
        <v>2922</v>
      </c>
      <c r="J142" s="186" t="s">
        <v>2922</v>
      </c>
      <c r="K142" s="170" t="s">
        <v>3158</v>
      </c>
      <c r="L142" s="170" t="s">
        <v>3592</v>
      </c>
      <c r="M142" s="175" t="s">
        <v>2907</v>
      </c>
      <c r="N142" s="172"/>
      <c r="O142" s="172">
        <v>670000</v>
      </c>
      <c r="P142" s="173" t="s">
        <v>2465</v>
      </c>
      <c r="Q142" s="174" t="str">
        <f t="shared" si="2"/>
        <v>註4</v>
      </c>
      <c r="R142" s="203">
        <f>INDEX([1]告訴人!$D$15:$F$372,MATCH(C142,[1]告訴人!$F$15:$F$372,0),1)</f>
        <v>83</v>
      </c>
      <c r="S142" s="203" t="str">
        <f t="array" ref="S142">IF(OR(C142=[1]告訴人!$F$15:$F$372),"重疊","")</f>
        <v>重疊</v>
      </c>
      <c r="T142" s="203">
        <v>1</v>
      </c>
      <c r="U142" s="203">
        <v>1</v>
      </c>
      <c r="W142" s="203" t="s">
        <v>2907</v>
      </c>
    </row>
    <row r="143" spans="1:23" ht="39" customHeight="1">
      <c r="A143" s="166">
        <v>140</v>
      </c>
      <c r="B143" s="166" t="s">
        <v>32</v>
      </c>
      <c r="C143" s="166" t="s">
        <v>555</v>
      </c>
      <c r="D143" s="167" t="s">
        <v>2927</v>
      </c>
      <c r="E143" s="168" t="s">
        <v>57</v>
      </c>
      <c r="F143" s="169">
        <v>10000</v>
      </c>
      <c r="G143" s="168">
        <v>69</v>
      </c>
      <c r="H143" s="169">
        <v>690000</v>
      </c>
      <c r="I143" s="186" t="s">
        <v>2922</v>
      </c>
      <c r="J143" s="186" t="s">
        <v>2922</v>
      </c>
      <c r="K143" s="170" t="s">
        <v>3158</v>
      </c>
      <c r="L143" s="170" t="s">
        <v>3581</v>
      </c>
      <c r="M143" s="175" t="s">
        <v>2907</v>
      </c>
      <c r="N143" s="172"/>
      <c r="O143" s="172">
        <v>690000</v>
      </c>
      <c r="P143" s="173" t="s">
        <v>2465</v>
      </c>
      <c r="Q143" s="174" t="str">
        <f t="shared" si="2"/>
        <v>註4</v>
      </c>
      <c r="R143" s="203" t="e">
        <f>INDEX([1]告訴人!$D$15:$F$372,MATCH(C143,[1]告訴人!$F$15:$F$372,0),1)</f>
        <v>#N/A</v>
      </c>
      <c r="S143" s="203" t="str">
        <f t="array" ref="S143">IF(OR(C143=[1]告訴人!$F$15:$F$372),"重疊","")</f>
        <v/>
      </c>
      <c r="T143" s="203">
        <v>1</v>
      </c>
      <c r="U143" s="203">
        <v>1</v>
      </c>
      <c r="W143" s="203" t="s">
        <v>2907</v>
      </c>
    </row>
    <row r="144" spans="1:23" ht="39" customHeight="1">
      <c r="A144" s="166">
        <v>141</v>
      </c>
      <c r="B144" s="166" t="s">
        <v>32</v>
      </c>
      <c r="C144" s="166" t="s">
        <v>557</v>
      </c>
      <c r="D144" s="167" t="s">
        <v>2927</v>
      </c>
      <c r="E144" s="168" t="s">
        <v>57</v>
      </c>
      <c r="F144" s="169">
        <v>10000</v>
      </c>
      <c r="G144" s="168">
        <v>69</v>
      </c>
      <c r="H144" s="169">
        <v>690000</v>
      </c>
      <c r="I144" s="186" t="s">
        <v>2922</v>
      </c>
      <c r="J144" s="186" t="s">
        <v>2922</v>
      </c>
      <c r="K144" s="170" t="s">
        <v>3158</v>
      </c>
      <c r="L144" s="170" t="s">
        <v>3581</v>
      </c>
      <c r="M144" s="175" t="s">
        <v>2907</v>
      </c>
      <c r="N144" s="172"/>
      <c r="O144" s="172">
        <v>690000</v>
      </c>
      <c r="P144" s="173" t="s">
        <v>2465</v>
      </c>
      <c r="Q144" s="174" t="str">
        <f t="shared" si="2"/>
        <v>註4</v>
      </c>
      <c r="R144" s="203" t="e">
        <f>INDEX([1]告訴人!$D$15:$F$372,MATCH(C144,[1]告訴人!$F$15:$F$372,0),1)</f>
        <v>#N/A</v>
      </c>
      <c r="S144" s="203" t="str">
        <f t="array" ref="S144">IF(OR(C144=[1]告訴人!$F$15:$F$372),"重疊","")</f>
        <v/>
      </c>
      <c r="T144" s="203">
        <v>1</v>
      </c>
      <c r="U144" s="203">
        <v>1</v>
      </c>
      <c r="W144" s="203" t="s">
        <v>2907</v>
      </c>
    </row>
    <row r="145" spans="1:23" ht="68.900000000000006" customHeight="1">
      <c r="A145" s="166">
        <v>142</v>
      </c>
      <c r="B145" s="166" t="s">
        <v>32</v>
      </c>
      <c r="C145" s="166" t="s">
        <v>210</v>
      </c>
      <c r="D145" s="167"/>
      <c r="E145" s="168" t="s">
        <v>211</v>
      </c>
      <c r="F145" s="169">
        <v>1000</v>
      </c>
      <c r="G145" s="168">
        <v>25</v>
      </c>
      <c r="H145" s="169">
        <v>25000</v>
      </c>
      <c r="I145" s="186" t="s">
        <v>2921</v>
      </c>
      <c r="J145" s="186" t="s">
        <v>2921</v>
      </c>
      <c r="K145" s="170" t="s">
        <v>3178</v>
      </c>
      <c r="L145" s="170" t="s">
        <v>3593</v>
      </c>
      <c r="M145" s="175" t="s">
        <v>2907</v>
      </c>
      <c r="N145" s="172">
        <v>25000</v>
      </c>
      <c r="O145" s="172"/>
      <c r="P145" s="173" t="s">
        <v>2461</v>
      </c>
      <c r="Q145" s="174" t="str">
        <f t="shared" si="2"/>
        <v>註3</v>
      </c>
      <c r="R145" s="203">
        <f>INDEX([1]告訴人!$D$15:$F$372,MATCH(C145,[1]告訴人!$F$15:$F$372,0),1)</f>
        <v>235</v>
      </c>
      <c r="S145" s="203" t="str">
        <f t="array" ref="S145">IF(OR(C145=[1]告訴人!$F$15:$F$372),"重疊","")</f>
        <v>重疊</v>
      </c>
      <c r="T145" s="203">
        <v>1</v>
      </c>
      <c r="V145" s="203">
        <v>1</v>
      </c>
    </row>
    <row r="146" spans="1:23" ht="119.25" customHeight="1">
      <c r="A146" s="166">
        <v>143</v>
      </c>
      <c r="B146" s="166" t="s">
        <v>32</v>
      </c>
      <c r="C146" s="166" t="s">
        <v>278</v>
      </c>
      <c r="D146" s="167"/>
      <c r="E146" s="168" t="s">
        <v>211</v>
      </c>
      <c r="F146" s="169">
        <v>1000</v>
      </c>
      <c r="G146" s="168">
        <v>25</v>
      </c>
      <c r="H146" s="169">
        <v>25000</v>
      </c>
      <c r="I146" s="186" t="s">
        <v>2921</v>
      </c>
      <c r="J146" s="186" t="s">
        <v>2921</v>
      </c>
      <c r="K146" s="170" t="s">
        <v>3179</v>
      </c>
      <c r="L146" s="170" t="s">
        <v>3587</v>
      </c>
      <c r="M146" s="175" t="s">
        <v>2905</v>
      </c>
      <c r="N146" s="172">
        <v>25000</v>
      </c>
      <c r="O146" s="172"/>
      <c r="P146" s="173" t="s">
        <v>2461</v>
      </c>
      <c r="Q146" s="174" t="str">
        <f t="shared" si="2"/>
        <v>註3</v>
      </c>
      <c r="R146" s="203">
        <f>INDEX([1]告訴人!$D$15:$F$372,MATCH(C146,[1]告訴人!$F$15:$F$372,0),1)</f>
        <v>133</v>
      </c>
      <c r="S146" s="203" t="str">
        <f t="array" ref="S146">IF(OR(C146=[1]告訴人!$F$15:$F$372),"重疊","")</f>
        <v>重疊</v>
      </c>
      <c r="T146" s="203">
        <v>1</v>
      </c>
      <c r="V146" s="203">
        <v>1</v>
      </c>
    </row>
    <row r="147" spans="1:23" ht="15.65" customHeight="1">
      <c r="A147" s="166">
        <v>144</v>
      </c>
      <c r="B147" s="166" t="s">
        <v>32</v>
      </c>
      <c r="C147" s="166" t="s">
        <v>2932</v>
      </c>
      <c r="D147" s="167"/>
      <c r="E147" s="168" t="s">
        <v>211</v>
      </c>
      <c r="F147" s="169">
        <v>10000</v>
      </c>
      <c r="G147" s="168">
        <v>67</v>
      </c>
      <c r="H147" s="169">
        <v>670000</v>
      </c>
      <c r="I147" s="346" t="s">
        <v>2933</v>
      </c>
      <c r="J147" s="346" t="s">
        <v>2933</v>
      </c>
      <c r="K147" s="170" t="s">
        <v>2462</v>
      </c>
      <c r="L147" s="170"/>
      <c r="M147" s="175" t="s">
        <v>2905</v>
      </c>
      <c r="N147" s="172"/>
      <c r="O147" s="172"/>
      <c r="P147" s="173" t="s">
        <v>1832</v>
      </c>
      <c r="Q147" s="174" t="str">
        <f t="shared" si="2"/>
        <v/>
      </c>
      <c r="R147" s="203">
        <f>INDEX([1]告訴人!$D$15:$F$372,MATCH(C147,[1]告訴人!$F$15:$F$372,0),1)</f>
        <v>137</v>
      </c>
      <c r="S147" s="203" t="str">
        <f t="array" ref="S147">IF(OR(C147=[1]告訴人!$F$15:$F$372),"重疊","")</f>
        <v>重疊</v>
      </c>
      <c r="T147" s="203">
        <v>1</v>
      </c>
    </row>
    <row r="148" spans="1:23">
      <c r="A148" s="166">
        <v>145</v>
      </c>
      <c r="B148" s="166" t="s">
        <v>32</v>
      </c>
      <c r="C148" s="166" t="s">
        <v>160</v>
      </c>
      <c r="D148" s="167"/>
      <c r="E148" s="168" t="s">
        <v>211</v>
      </c>
      <c r="F148" s="169">
        <v>2000</v>
      </c>
      <c r="G148" s="168">
        <v>67</v>
      </c>
      <c r="H148" s="169">
        <v>134000</v>
      </c>
      <c r="I148" s="186" t="s">
        <v>2918</v>
      </c>
      <c r="J148" s="186" t="s">
        <v>2918</v>
      </c>
      <c r="K148" s="170" t="s">
        <v>2462</v>
      </c>
      <c r="L148" s="170"/>
      <c r="M148" s="175" t="s">
        <v>2905</v>
      </c>
      <c r="N148" s="172"/>
      <c r="O148" s="172"/>
      <c r="P148" s="173" t="s">
        <v>1832</v>
      </c>
      <c r="Q148" s="174" t="str">
        <f t="shared" si="2"/>
        <v/>
      </c>
      <c r="R148" s="203">
        <f>INDEX([1]告訴人!$D$15:$F$372,MATCH(C148,[1]告訴人!$F$15:$F$372,0),1)</f>
        <v>115</v>
      </c>
      <c r="S148" s="203" t="str">
        <f t="array" ref="S148">IF(OR(C148=[1]告訴人!$F$15:$F$372),"重疊","")</f>
        <v>重疊</v>
      </c>
      <c r="T148" s="203">
        <v>1</v>
      </c>
    </row>
    <row r="149" spans="1:23" ht="52.5" customHeight="1">
      <c r="A149" s="166">
        <v>146</v>
      </c>
      <c r="B149" s="166" t="s">
        <v>32</v>
      </c>
      <c r="C149" s="166" t="s">
        <v>237</v>
      </c>
      <c r="D149" s="167"/>
      <c r="E149" s="168" t="s">
        <v>211</v>
      </c>
      <c r="F149" s="169">
        <v>2000</v>
      </c>
      <c r="G149" s="168">
        <v>67</v>
      </c>
      <c r="H149" s="169">
        <v>134000</v>
      </c>
      <c r="I149" s="186" t="s">
        <v>2912</v>
      </c>
      <c r="J149" s="186" t="s">
        <v>2912</v>
      </c>
      <c r="K149" s="170" t="s">
        <v>3158</v>
      </c>
      <c r="L149" s="170" t="s">
        <v>3592</v>
      </c>
      <c r="M149" s="175" t="s">
        <v>2905</v>
      </c>
      <c r="N149" s="172"/>
      <c r="O149" s="172">
        <v>134000</v>
      </c>
      <c r="P149" s="173" t="s">
        <v>2465</v>
      </c>
      <c r="Q149" s="174" t="str">
        <f t="shared" si="2"/>
        <v>註4</v>
      </c>
      <c r="R149" s="203">
        <f>INDEX([1]告訴人!$D$15:$F$372,MATCH(C149,[1]告訴人!$F$15:$F$372,0),1)</f>
        <v>232</v>
      </c>
      <c r="S149" s="203" t="str">
        <f t="array" ref="S149">IF(OR(C149=[1]告訴人!$F$15:$F$372),"重疊","")</f>
        <v>重疊</v>
      </c>
      <c r="T149" s="203">
        <v>1</v>
      </c>
      <c r="U149" s="203">
        <v>1</v>
      </c>
      <c r="W149" s="203" t="s">
        <v>2905</v>
      </c>
    </row>
    <row r="150" spans="1:23" ht="108" customHeight="1">
      <c r="A150" s="166">
        <v>147</v>
      </c>
      <c r="B150" s="166" t="s">
        <v>32</v>
      </c>
      <c r="C150" s="166" t="s">
        <v>278</v>
      </c>
      <c r="D150" s="167"/>
      <c r="E150" s="168" t="s">
        <v>211</v>
      </c>
      <c r="F150" s="169">
        <v>1000</v>
      </c>
      <c r="G150" s="168">
        <v>67</v>
      </c>
      <c r="H150" s="169">
        <v>67000</v>
      </c>
      <c r="I150" s="186" t="s">
        <v>2918</v>
      </c>
      <c r="J150" s="186" t="s">
        <v>2918</v>
      </c>
      <c r="K150" s="170" t="s">
        <v>3172</v>
      </c>
      <c r="L150" s="170" t="s">
        <v>3587</v>
      </c>
      <c r="M150" s="175" t="s">
        <v>2905</v>
      </c>
      <c r="N150" s="172">
        <v>67000</v>
      </c>
      <c r="O150" s="172"/>
      <c r="P150" s="173" t="s">
        <v>2461</v>
      </c>
      <c r="Q150" s="174" t="str">
        <f t="shared" si="2"/>
        <v>註3</v>
      </c>
      <c r="R150" s="203">
        <f>INDEX([1]告訴人!$D$15:$F$372,MATCH(C150,[1]告訴人!$F$15:$F$372,0),1)</f>
        <v>133</v>
      </c>
      <c r="S150" s="203" t="str">
        <f t="array" ref="S150">IF(OR(C150=[1]告訴人!$F$15:$F$372),"重疊","")</f>
        <v>重疊</v>
      </c>
      <c r="T150" s="203">
        <v>1</v>
      </c>
      <c r="V150" s="203">
        <v>1</v>
      </c>
    </row>
    <row r="151" spans="1:23">
      <c r="A151" s="166">
        <v>148</v>
      </c>
      <c r="B151" s="166" t="s">
        <v>32</v>
      </c>
      <c r="C151" s="166" t="s">
        <v>292</v>
      </c>
      <c r="D151" s="167"/>
      <c r="E151" s="168" t="s">
        <v>211</v>
      </c>
      <c r="F151" s="169">
        <v>5000</v>
      </c>
      <c r="G151" s="168">
        <v>67</v>
      </c>
      <c r="H151" s="169">
        <v>335000</v>
      </c>
      <c r="I151" s="186" t="s">
        <v>2918</v>
      </c>
      <c r="J151" s="186" t="s">
        <v>2918</v>
      </c>
      <c r="K151" s="170" t="s">
        <v>2462</v>
      </c>
      <c r="L151" s="170"/>
      <c r="M151" s="175" t="s">
        <v>2905</v>
      </c>
      <c r="N151" s="172"/>
      <c r="O151" s="172"/>
      <c r="P151" s="173" t="s">
        <v>1832</v>
      </c>
      <c r="Q151" s="174" t="str">
        <f t="shared" si="2"/>
        <v/>
      </c>
      <c r="R151" s="203">
        <f>INDEX([1]告訴人!$D$15:$F$372,MATCH(C151,[1]告訴人!$F$15:$F$372,0),1)</f>
        <v>33</v>
      </c>
      <c r="S151" s="203" t="str">
        <f t="array" ref="S151">IF(OR(C151=[1]告訴人!$F$15:$F$372),"重疊","")</f>
        <v>重疊</v>
      </c>
      <c r="T151" s="203">
        <v>1</v>
      </c>
    </row>
    <row r="152" spans="1:23" ht="42.75" customHeight="1">
      <c r="A152" s="166">
        <v>149</v>
      </c>
      <c r="B152" s="166" t="s">
        <v>32</v>
      </c>
      <c r="C152" s="166" t="s">
        <v>296</v>
      </c>
      <c r="D152" s="167"/>
      <c r="E152" s="168" t="s">
        <v>211</v>
      </c>
      <c r="F152" s="169">
        <v>2000</v>
      </c>
      <c r="G152" s="168">
        <v>67</v>
      </c>
      <c r="H152" s="169">
        <v>134000</v>
      </c>
      <c r="I152" s="186" t="s">
        <v>1083</v>
      </c>
      <c r="J152" s="186" t="s">
        <v>1083</v>
      </c>
      <c r="K152" s="170" t="s">
        <v>3158</v>
      </c>
      <c r="L152" s="170" t="s">
        <v>3592</v>
      </c>
      <c r="M152" s="175" t="s">
        <v>2905</v>
      </c>
      <c r="N152" s="172"/>
      <c r="O152" s="172">
        <v>134000</v>
      </c>
      <c r="P152" s="173" t="s">
        <v>2463</v>
      </c>
      <c r="Q152" s="174" t="str">
        <f t="shared" si="2"/>
        <v>註4</v>
      </c>
      <c r="R152" s="203">
        <f>INDEX([1]告訴人!$D$15:$F$372,MATCH(C152,[1]告訴人!$F$15:$F$372,0),1)</f>
        <v>62</v>
      </c>
      <c r="S152" s="203" t="str">
        <f t="array" ref="S152">IF(OR(C152=[1]告訴人!$F$15:$F$372),"重疊","")</f>
        <v>重疊</v>
      </c>
      <c r="T152" s="203">
        <v>1</v>
      </c>
      <c r="U152" s="203">
        <v>1</v>
      </c>
    </row>
    <row r="153" spans="1:23" ht="42.75" customHeight="1">
      <c r="A153" s="166">
        <v>150</v>
      </c>
      <c r="B153" s="166" t="s">
        <v>32</v>
      </c>
      <c r="C153" s="166" t="s">
        <v>299</v>
      </c>
      <c r="D153" s="167"/>
      <c r="E153" s="168" t="s">
        <v>211</v>
      </c>
      <c r="F153" s="169">
        <v>2000</v>
      </c>
      <c r="G153" s="168">
        <v>67</v>
      </c>
      <c r="H153" s="169">
        <v>134000</v>
      </c>
      <c r="I153" s="186" t="s">
        <v>1083</v>
      </c>
      <c r="J153" s="186" t="s">
        <v>1083</v>
      </c>
      <c r="K153" s="170" t="s">
        <v>3077</v>
      </c>
      <c r="L153" s="170" t="s">
        <v>3594</v>
      </c>
      <c r="M153" s="175" t="s">
        <v>2905</v>
      </c>
      <c r="N153" s="172">
        <v>134000</v>
      </c>
      <c r="O153" s="172"/>
      <c r="P153" s="173" t="s">
        <v>2461</v>
      </c>
      <c r="Q153" s="174" t="str">
        <f t="shared" si="2"/>
        <v>註3</v>
      </c>
      <c r="R153" s="203">
        <f>INDEX([1]告訴人!$D$15:$F$372,MATCH(C153,[1]告訴人!$F$15:$F$372,0),1)</f>
        <v>337</v>
      </c>
      <c r="S153" s="203" t="str">
        <f t="array" ref="S153">IF(OR(C153=[1]告訴人!$F$15:$F$372),"重疊","")</f>
        <v>重疊</v>
      </c>
      <c r="T153" s="203">
        <v>1</v>
      </c>
    </row>
    <row r="154" spans="1:23" ht="42.75" customHeight="1">
      <c r="A154" s="166">
        <v>151</v>
      </c>
      <c r="B154" s="166" t="s">
        <v>32</v>
      </c>
      <c r="C154" s="166" t="s">
        <v>300</v>
      </c>
      <c r="D154" s="167"/>
      <c r="E154" s="168" t="s">
        <v>211</v>
      </c>
      <c r="F154" s="169">
        <v>1000</v>
      </c>
      <c r="G154" s="168">
        <v>67</v>
      </c>
      <c r="H154" s="169">
        <v>67000</v>
      </c>
      <c r="I154" s="186" t="s">
        <v>1083</v>
      </c>
      <c r="J154" s="186" t="s">
        <v>1083</v>
      </c>
      <c r="K154" s="170" t="s">
        <v>3158</v>
      </c>
      <c r="L154" s="170" t="s">
        <v>3592</v>
      </c>
      <c r="M154" s="175" t="s">
        <v>2905</v>
      </c>
      <c r="N154" s="172"/>
      <c r="O154" s="172">
        <v>67000</v>
      </c>
      <c r="P154" s="173" t="s">
        <v>2463</v>
      </c>
      <c r="Q154" s="174" t="str">
        <f t="shared" si="2"/>
        <v>註4</v>
      </c>
      <c r="R154" s="203">
        <f>INDEX([1]告訴人!$D$15:$F$372,MATCH(C154,[1]告訴人!$F$15:$F$372,0),1)</f>
        <v>275</v>
      </c>
      <c r="S154" s="203" t="str">
        <f t="array" ref="S154">IF(OR(C154=[1]告訴人!$F$15:$F$372),"重疊","")</f>
        <v>重疊</v>
      </c>
      <c r="T154" s="203">
        <v>1</v>
      </c>
      <c r="U154" s="203">
        <v>1</v>
      </c>
    </row>
    <row r="155" spans="1:23" ht="42.75" customHeight="1">
      <c r="A155" s="166">
        <v>152</v>
      </c>
      <c r="B155" s="166" t="s">
        <v>32</v>
      </c>
      <c r="C155" s="166" t="s">
        <v>2934</v>
      </c>
      <c r="D155" s="167" t="s">
        <v>2935</v>
      </c>
      <c r="E155" s="168" t="s">
        <v>211</v>
      </c>
      <c r="F155" s="169">
        <v>2000</v>
      </c>
      <c r="G155" s="168">
        <v>69</v>
      </c>
      <c r="H155" s="169">
        <v>138000</v>
      </c>
      <c r="I155" s="186" t="s">
        <v>2936</v>
      </c>
      <c r="J155" s="186" t="s">
        <v>2936</v>
      </c>
      <c r="K155" s="170" t="s">
        <v>3158</v>
      </c>
      <c r="L155" s="170" t="s">
        <v>3581</v>
      </c>
      <c r="M155" s="175" t="s">
        <v>2914</v>
      </c>
      <c r="N155" s="172"/>
      <c r="O155" s="172">
        <v>138000</v>
      </c>
      <c r="P155" s="173" t="s">
        <v>2465</v>
      </c>
      <c r="Q155" s="174" t="str">
        <f t="shared" si="2"/>
        <v>註4</v>
      </c>
      <c r="R155" s="203">
        <f>INDEX([1]告訴人!$D$15:$F$372,MATCH(C155,[1]告訴人!$F$15:$F$372,0),1)</f>
        <v>329</v>
      </c>
      <c r="S155" s="203" t="str">
        <f t="array" ref="S155">IF(OR(C155=[1]告訴人!$F$15:$F$372),"重疊","")</f>
        <v>重疊</v>
      </c>
      <c r="T155" s="203">
        <v>1</v>
      </c>
      <c r="U155" s="203">
        <v>1</v>
      </c>
      <c r="W155" s="203" t="s">
        <v>2914</v>
      </c>
    </row>
    <row r="156" spans="1:23" ht="135" customHeight="1">
      <c r="A156" s="166">
        <v>153</v>
      </c>
      <c r="B156" s="166" t="s">
        <v>32</v>
      </c>
      <c r="C156" s="166" t="s">
        <v>278</v>
      </c>
      <c r="D156" s="167"/>
      <c r="E156" s="168" t="s">
        <v>58</v>
      </c>
      <c r="F156" s="169">
        <v>1000</v>
      </c>
      <c r="G156" s="168">
        <v>25</v>
      </c>
      <c r="H156" s="169">
        <v>25000</v>
      </c>
      <c r="I156" s="186" t="s">
        <v>2915</v>
      </c>
      <c r="J156" s="186" t="s">
        <v>2915</v>
      </c>
      <c r="K156" s="170" t="s">
        <v>3172</v>
      </c>
      <c r="L156" s="170" t="s">
        <v>3587</v>
      </c>
      <c r="M156" s="175" t="s">
        <v>2914</v>
      </c>
      <c r="N156" s="172">
        <v>25000</v>
      </c>
      <c r="O156" s="172"/>
      <c r="P156" s="173" t="s">
        <v>2461</v>
      </c>
      <c r="Q156" s="174" t="str">
        <f t="shared" si="2"/>
        <v>註3</v>
      </c>
      <c r="R156" s="203">
        <f>INDEX([1]告訴人!$D$15:$F$372,MATCH(C156,[1]告訴人!$F$15:$F$372,0),1)</f>
        <v>133</v>
      </c>
      <c r="S156" s="203" t="str">
        <f t="array" ref="S156">IF(OR(C156=[1]告訴人!$F$15:$F$372),"重疊","")</f>
        <v>重疊</v>
      </c>
      <c r="T156" s="203">
        <v>1</v>
      </c>
      <c r="V156" s="203">
        <v>1</v>
      </c>
    </row>
    <row r="157" spans="1:23">
      <c r="A157" s="166">
        <v>154</v>
      </c>
      <c r="B157" s="166" t="s">
        <v>32</v>
      </c>
      <c r="C157" s="166" t="s">
        <v>465</v>
      </c>
      <c r="D157" s="167"/>
      <c r="E157" s="168" t="s">
        <v>58</v>
      </c>
      <c r="F157" s="169">
        <v>1000</v>
      </c>
      <c r="G157" s="168">
        <v>67</v>
      </c>
      <c r="H157" s="169">
        <v>67000</v>
      </c>
      <c r="I157" s="186"/>
      <c r="J157" s="186"/>
      <c r="K157" s="170" t="s">
        <v>2903</v>
      </c>
      <c r="L157" s="170"/>
      <c r="M157" s="175"/>
      <c r="N157" s="172">
        <v>67000</v>
      </c>
      <c r="O157" s="172"/>
      <c r="P157" s="173" t="s">
        <v>2461</v>
      </c>
      <c r="Q157" s="174" t="str">
        <f t="shared" si="2"/>
        <v>註3</v>
      </c>
      <c r="R157" s="203" t="e">
        <f>INDEX([1]告訴人!$D$15:$F$372,MATCH(C157,[1]告訴人!$F$15:$F$372,0),1)</f>
        <v>#N/A</v>
      </c>
      <c r="S157" s="203" t="str">
        <f t="array" ref="S157">IF(OR(C157=[1]告訴人!$F$15:$F$372),"重疊","")</f>
        <v/>
      </c>
    </row>
    <row r="158" spans="1:23" ht="31.65" customHeight="1">
      <c r="A158" s="166">
        <v>155</v>
      </c>
      <c r="B158" s="166" t="s">
        <v>32</v>
      </c>
      <c r="C158" s="166" t="s">
        <v>289</v>
      </c>
      <c r="D158" s="167"/>
      <c r="E158" s="168" t="s">
        <v>58</v>
      </c>
      <c r="F158" s="169">
        <v>3000</v>
      </c>
      <c r="G158" s="168">
        <v>67</v>
      </c>
      <c r="H158" s="169">
        <v>201000</v>
      </c>
      <c r="I158" s="186"/>
      <c r="J158" s="186"/>
      <c r="K158" s="170" t="s">
        <v>2903</v>
      </c>
      <c r="L158" s="284"/>
      <c r="M158" s="175"/>
      <c r="N158" s="172">
        <v>201000</v>
      </c>
      <c r="O158" s="172"/>
      <c r="P158" s="173" t="s">
        <v>2461</v>
      </c>
      <c r="Q158" s="174" t="str">
        <f t="shared" si="2"/>
        <v>註3</v>
      </c>
      <c r="R158" s="203" t="e">
        <f>INDEX([1]告訴人!$D$15:$F$372,MATCH(C158,[1]告訴人!$F$15:$F$372,0),1)</f>
        <v>#N/A</v>
      </c>
      <c r="S158" s="203" t="str">
        <f t="array" ref="S158">IF(OR(C158=[1]告訴人!$F$15:$F$372),"重疊","")</f>
        <v/>
      </c>
    </row>
    <row r="159" spans="1:23" ht="133.5" customHeight="1">
      <c r="A159" s="166">
        <v>156</v>
      </c>
      <c r="B159" s="166" t="s">
        <v>32</v>
      </c>
      <c r="C159" s="166" t="s">
        <v>278</v>
      </c>
      <c r="D159" s="167"/>
      <c r="E159" s="168" t="s">
        <v>489</v>
      </c>
      <c r="F159" s="169">
        <v>1000</v>
      </c>
      <c r="G159" s="168">
        <v>67</v>
      </c>
      <c r="H159" s="169">
        <v>67000</v>
      </c>
      <c r="I159" s="186" t="s">
        <v>2915</v>
      </c>
      <c r="J159" s="186" t="s">
        <v>2915</v>
      </c>
      <c r="K159" s="170" t="s">
        <v>3172</v>
      </c>
      <c r="L159" s="170" t="s">
        <v>3587</v>
      </c>
      <c r="M159" s="175" t="s">
        <v>2914</v>
      </c>
      <c r="N159" s="172">
        <v>67000</v>
      </c>
      <c r="O159" s="172"/>
      <c r="P159" s="173" t="s">
        <v>2461</v>
      </c>
      <c r="Q159" s="174" t="str">
        <f t="shared" si="2"/>
        <v>註3</v>
      </c>
      <c r="R159" s="203">
        <f>INDEX([1]告訴人!$D$15:$F$372,MATCH(C159,[1]告訴人!$F$15:$F$372,0),1)</f>
        <v>133</v>
      </c>
      <c r="S159" s="203" t="str">
        <f t="array" ref="S159">IF(OR(C159=[1]告訴人!$F$15:$F$372),"重疊","")</f>
        <v>重疊</v>
      </c>
      <c r="T159" s="203">
        <v>1</v>
      </c>
      <c r="V159" s="203">
        <v>1</v>
      </c>
    </row>
    <row r="160" spans="1:23" ht="17.5" customHeight="1">
      <c r="A160" s="166">
        <v>157</v>
      </c>
      <c r="B160" s="166" t="s">
        <v>32</v>
      </c>
      <c r="C160" s="166" t="s">
        <v>284</v>
      </c>
      <c r="D160" s="167"/>
      <c r="E160" s="168" t="s">
        <v>336</v>
      </c>
      <c r="F160" s="169">
        <v>1000</v>
      </c>
      <c r="G160" s="168">
        <v>43</v>
      </c>
      <c r="H160" s="169">
        <v>43000</v>
      </c>
      <c r="I160" s="186"/>
      <c r="J160" s="186"/>
      <c r="K160" s="170" t="s">
        <v>2903</v>
      </c>
      <c r="L160" s="170"/>
      <c r="M160" s="175"/>
      <c r="N160" s="172">
        <v>43000</v>
      </c>
      <c r="O160" s="172"/>
      <c r="P160" s="173" t="s">
        <v>2461</v>
      </c>
      <c r="Q160" s="174" t="str">
        <f t="shared" si="2"/>
        <v>註3</v>
      </c>
      <c r="R160" s="203" t="e">
        <f>INDEX([1]告訴人!$D$15:$F$372,MATCH(C160,[1]告訴人!$F$15:$F$372,0),1)</f>
        <v>#N/A</v>
      </c>
      <c r="S160" s="203" t="str">
        <f t="array" ref="S160">IF(OR(C160=[1]告訴人!$F$15:$F$372),"重疊","")</f>
        <v/>
      </c>
    </row>
    <row r="161" spans="1:23" ht="66.75" customHeight="1">
      <c r="A161" s="166">
        <v>158</v>
      </c>
      <c r="B161" s="166" t="s">
        <v>32</v>
      </c>
      <c r="C161" s="166" t="s">
        <v>571</v>
      </c>
      <c r="D161" s="167"/>
      <c r="E161" s="168" t="s">
        <v>336</v>
      </c>
      <c r="F161" s="169">
        <v>1000</v>
      </c>
      <c r="G161" s="168">
        <v>69</v>
      </c>
      <c r="H161" s="169">
        <v>69000</v>
      </c>
      <c r="I161" s="186" t="s">
        <v>2936</v>
      </c>
      <c r="J161" s="186" t="s">
        <v>2936</v>
      </c>
      <c r="K161" s="170" t="s">
        <v>3170</v>
      </c>
      <c r="L161" s="170" t="s">
        <v>3584</v>
      </c>
      <c r="M161" s="175" t="s">
        <v>2914</v>
      </c>
      <c r="N161" s="172"/>
      <c r="O161" s="172">
        <v>69000</v>
      </c>
      <c r="P161" s="173" t="s">
        <v>2465</v>
      </c>
      <c r="Q161" s="174" t="str">
        <f t="shared" si="2"/>
        <v>註4</v>
      </c>
      <c r="R161" s="203" t="e">
        <f>INDEX([1]告訴人!$D$15:$F$372,MATCH(C161,[1]告訴人!$F$15:$F$372,0),1)</f>
        <v>#N/A</v>
      </c>
      <c r="S161" s="203" t="str">
        <f t="array" ref="S161">IF(OR(C161=[1]告訴人!$F$15:$F$372),"重疊","")</f>
        <v/>
      </c>
      <c r="T161" s="203">
        <v>1</v>
      </c>
      <c r="U161" s="203">
        <v>1</v>
      </c>
      <c r="W161" s="203" t="s">
        <v>2914</v>
      </c>
    </row>
    <row r="162" spans="1:23" ht="16.25" customHeight="1">
      <c r="A162" s="166">
        <v>159</v>
      </c>
      <c r="B162" s="166" t="s">
        <v>32</v>
      </c>
      <c r="C162" s="166" t="s">
        <v>123</v>
      </c>
      <c r="D162" s="167"/>
      <c r="E162" s="168" t="s">
        <v>59</v>
      </c>
      <c r="F162" s="169">
        <v>5000</v>
      </c>
      <c r="G162" s="168">
        <v>25</v>
      </c>
      <c r="H162" s="169">
        <v>125000</v>
      </c>
      <c r="I162" s="186" t="s">
        <v>2915</v>
      </c>
      <c r="J162" s="186" t="s">
        <v>2915</v>
      </c>
      <c r="K162" s="170" t="s">
        <v>2462</v>
      </c>
      <c r="L162" s="170"/>
      <c r="M162" s="175" t="s">
        <v>2914</v>
      </c>
      <c r="N162" s="172"/>
      <c r="O162" s="172"/>
      <c r="P162" s="173" t="s">
        <v>1832</v>
      </c>
      <c r="Q162" s="174" t="str">
        <f t="shared" si="2"/>
        <v/>
      </c>
      <c r="R162" s="203">
        <f>INDEX([1]告訴人!$D$15:$F$372,MATCH(C162,[1]告訴人!$F$15:$F$372,0),1)</f>
        <v>195</v>
      </c>
      <c r="S162" s="203" t="str">
        <f t="array" ref="S162">IF(OR(C162=[1]告訴人!$F$15:$F$372),"重疊","")</f>
        <v>重疊</v>
      </c>
      <c r="T162" s="203">
        <v>1</v>
      </c>
    </row>
    <row r="163" spans="1:23" ht="85.65" customHeight="1">
      <c r="A163" s="166">
        <v>160</v>
      </c>
      <c r="B163" s="166" t="s">
        <v>32</v>
      </c>
      <c r="C163" s="166" t="s">
        <v>266</v>
      </c>
      <c r="D163" s="167"/>
      <c r="E163" s="168" t="s">
        <v>59</v>
      </c>
      <c r="F163" s="169">
        <v>1000</v>
      </c>
      <c r="G163" s="168">
        <v>25</v>
      </c>
      <c r="H163" s="169">
        <v>25000</v>
      </c>
      <c r="I163" s="186" t="s">
        <v>2915</v>
      </c>
      <c r="J163" s="186" t="s">
        <v>2915</v>
      </c>
      <c r="K163" s="170" t="s">
        <v>3180</v>
      </c>
      <c r="L163" s="170" t="s">
        <v>3578</v>
      </c>
      <c r="M163" s="175" t="s">
        <v>2914</v>
      </c>
      <c r="N163" s="172">
        <v>25000</v>
      </c>
      <c r="O163" s="172"/>
      <c r="P163" s="173" t="s">
        <v>2461</v>
      </c>
      <c r="Q163" s="174" t="str">
        <f t="shared" si="2"/>
        <v>註3</v>
      </c>
      <c r="R163" s="203">
        <f>INDEX([1]告訴人!$D$15:$F$372,MATCH(C163,[1]告訴人!$F$15:$F$372,0),1)</f>
        <v>96</v>
      </c>
      <c r="S163" s="203" t="str">
        <f t="array" ref="S163">IF(OR(C163=[1]告訴人!$F$15:$F$372),"重疊","")</f>
        <v>重疊</v>
      </c>
      <c r="T163" s="203">
        <v>1</v>
      </c>
      <c r="V163" s="203">
        <v>1</v>
      </c>
    </row>
    <row r="164" spans="1:23">
      <c r="A164" s="166">
        <v>161</v>
      </c>
      <c r="B164" s="166" t="s">
        <v>32</v>
      </c>
      <c r="C164" s="166" t="s">
        <v>3976</v>
      </c>
      <c r="D164" s="167"/>
      <c r="E164" s="168" t="s">
        <v>59</v>
      </c>
      <c r="F164" s="169">
        <v>2000</v>
      </c>
      <c r="G164" s="168">
        <v>25</v>
      </c>
      <c r="H164" s="169">
        <v>50000</v>
      </c>
      <c r="I164" s="186"/>
      <c r="J164" s="186"/>
      <c r="K164" s="170" t="s">
        <v>2903</v>
      </c>
      <c r="L164" s="170"/>
      <c r="M164" s="175"/>
      <c r="N164" s="172">
        <v>50000</v>
      </c>
      <c r="O164" s="172"/>
      <c r="P164" s="173" t="s">
        <v>2461</v>
      </c>
      <c r="Q164" s="174" t="str">
        <f t="shared" si="2"/>
        <v>註3</v>
      </c>
      <c r="R164" s="203" t="e">
        <f>INDEX([1]告訴人!$D$15:$F$372,MATCH(C164,[1]告訴人!$F$15:$F$372,0),1)</f>
        <v>#N/A</v>
      </c>
      <c r="S164" s="203" t="str">
        <f t="array" ref="S164">IF(OR(C164=[1]告訴人!$F$15:$F$372),"重疊","")</f>
        <v/>
      </c>
    </row>
    <row r="165" spans="1:23" ht="41.25" customHeight="1">
      <c r="A165" s="166">
        <v>162</v>
      </c>
      <c r="B165" s="166" t="s">
        <v>32</v>
      </c>
      <c r="C165" s="166" t="s">
        <v>158</v>
      </c>
      <c r="D165" s="167"/>
      <c r="E165" s="168" t="s">
        <v>59</v>
      </c>
      <c r="F165" s="169">
        <v>10000</v>
      </c>
      <c r="G165" s="168">
        <v>43</v>
      </c>
      <c r="H165" s="169">
        <v>430000</v>
      </c>
      <c r="I165" s="186" t="s">
        <v>1083</v>
      </c>
      <c r="J165" s="186" t="s">
        <v>1083</v>
      </c>
      <c r="K165" s="170" t="s">
        <v>3158</v>
      </c>
      <c r="L165" s="170" t="s">
        <v>3577</v>
      </c>
      <c r="M165" s="175" t="s">
        <v>2914</v>
      </c>
      <c r="N165" s="172"/>
      <c r="O165" s="172">
        <v>430000</v>
      </c>
      <c r="P165" s="173" t="s">
        <v>2463</v>
      </c>
      <c r="Q165" s="174" t="str">
        <f t="shared" si="2"/>
        <v>註4</v>
      </c>
      <c r="R165" s="203">
        <f>INDEX([1]告訴人!$D$15:$F$372,MATCH(C165,[1]告訴人!$F$15:$F$372,0),1)</f>
        <v>137</v>
      </c>
      <c r="S165" s="203" t="str">
        <f t="array" ref="S165">IF(OR(C165=[1]告訴人!$F$15:$F$372),"重疊","")</f>
        <v>重疊</v>
      </c>
      <c r="T165" s="203">
        <v>1</v>
      </c>
      <c r="U165" s="203">
        <v>1</v>
      </c>
    </row>
    <row r="166" spans="1:23" ht="41.25" customHeight="1">
      <c r="A166" s="166">
        <v>163</v>
      </c>
      <c r="B166" s="166" t="s">
        <v>32</v>
      </c>
      <c r="C166" s="166" t="s">
        <v>204</v>
      </c>
      <c r="D166" s="167"/>
      <c r="E166" s="168" t="s">
        <v>59</v>
      </c>
      <c r="F166" s="169">
        <v>1000</v>
      </c>
      <c r="G166" s="168">
        <v>67</v>
      </c>
      <c r="H166" s="169">
        <v>67000</v>
      </c>
      <c r="I166" s="186"/>
      <c r="J166" s="186"/>
      <c r="K166" s="170" t="s">
        <v>2903</v>
      </c>
      <c r="L166" s="170"/>
      <c r="M166" s="175"/>
      <c r="N166" s="172">
        <v>67000</v>
      </c>
      <c r="O166" s="172"/>
      <c r="P166" s="173" t="s">
        <v>2461</v>
      </c>
      <c r="Q166" s="174" t="str">
        <f t="shared" si="2"/>
        <v>註3</v>
      </c>
      <c r="R166" s="203" t="e">
        <f>INDEX([1]告訴人!$D$15:$F$372,MATCH(C166,[1]告訴人!$F$15:$F$372,0),1)</f>
        <v>#N/A</v>
      </c>
      <c r="S166" s="203" t="str">
        <f t="array" ref="S166">IF(OR(C166=[1]告訴人!$F$15:$F$372),"重疊","")</f>
        <v/>
      </c>
    </row>
    <row r="167" spans="1:23" ht="111" customHeight="1">
      <c r="A167" s="166">
        <v>164</v>
      </c>
      <c r="B167" s="166" t="s">
        <v>32</v>
      </c>
      <c r="C167" s="166" t="s">
        <v>266</v>
      </c>
      <c r="D167" s="167"/>
      <c r="E167" s="168" t="s">
        <v>59</v>
      </c>
      <c r="F167" s="169">
        <v>1000</v>
      </c>
      <c r="G167" s="168">
        <v>67</v>
      </c>
      <c r="H167" s="169">
        <v>67000</v>
      </c>
      <c r="I167" s="186"/>
      <c r="J167" s="186"/>
      <c r="K167" s="170" t="s">
        <v>3181</v>
      </c>
      <c r="L167" s="170" t="s">
        <v>3595</v>
      </c>
      <c r="M167" s="175" t="s">
        <v>2914</v>
      </c>
      <c r="N167" s="172">
        <v>67000</v>
      </c>
      <c r="O167" s="172"/>
      <c r="P167" s="173" t="s">
        <v>2461</v>
      </c>
      <c r="Q167" s="174" t="str">
        <f t="shared" si="2"/>
        <v>註3</v>
      </c>
      <c r="R167" s="203">
        <f>INDEX([1]告訴人!$D$15:$F$372,MATCH(C167,[1]告訴人!$F$15:$F$372,0),1)</f>
        <v>96</v>
      </c>
      <c r="S167" s="203" t="str">
        <f t="array" ref="S167">IF(OR(C167=[1]告訴人!$F$15:$F$372),"重疊","")</f>
        <v>重疊</v>
      </c>
      <c r="T167" s="203">
        <v>1</v>
      </c>
    </row>
    <row r="168" spans="1:23">
      <c r="A168" s="166">
        <v>165</v>
      </c>
      <c r="B168" s="166" t="s">
        <v>32</v>
      </c>
      <c r="C168" s="166" t="s">
        <v>3976</v>
      </c>
      <c r="D168" s="167"/>
      <c r="E168" s="168" t="s">
        <v>59</v>
      </c>
      <c r="F168" s="169">
        <v>2000</v>
      </c>
      <c r="G168" s="168">
        <v>67</v>
      </c>
      <c r="H168" s="169">
        <v>134000</v>
      </c>
      <c r="I168" s="186"/>
      <c r="J168" s="186"/>
      <c r="K168" s="170" t="s">
        <v>2903</v>
      </c>
      <c r="L168" s="170"/>
      <c r="M168" s="175"/>
      <c r="N168" s="172">
        <v>134000</v>
      </c>
      <c r="O168" s="172"/>
      <c r="P168" s="173" t="s">
        <v>2461</v>
      </c>
      <c r="Q168" s="174" t="str">
        <f t="shared" si="2"/>
        <v>註3</v>
      </c>
      <c r="R168" s="203" t="e">
        <f>INDEX([1]告訴人!$D$15:$F$372,MATCH(C168,[1]告訴人!$F$15:$F$372,0),1)</f>
        <v>#N/A</v>
      </c>
      <c r="S168" s="203" t="str">
        <f t="array" ref="S168">IF(OR(C168=[1]告訴人!$F$15:$F$372),"重疊","")</f>
        <v/>
      </c>
    </row>
    <row r="169" spans="1:23">
      <c r="A169" s="166">
        <v>166</v>
      </c>
      <c r="B169" s="166" t="s">
        <v>32</v>
      </c>
      <c r="C169" s="166" t="s">
        <v>525</v>
      </c>
      <c r="D169" s="167"/>
      <c r="E169" s="168" t="s">
        <v>59</v>
      </c>
      <c r="F169" s="169">
        <v>1000</v>
      </c>
      <c r="G169" s="168">
        <v>67</v>
      </c>
      <c r="H169" s="169">
        <v>67000</v>
      </c>
      <c r="I169" s="186"/>
      <c r="J169" s="186"/>
      <c r="K169" s="170" t="s">
        <v>2903</v>
      </c>
      <c r="L169" s="170"/>
      <c r="M169" s="175"/>
      <c r="N169" s="172">
        <v>67000</v>
      </c>
      <c r="O169" s="172"/>
      <c r="P169" s="173" t="s">
        <v>2461</v>
      </c>
      <c r="Q169" s="174" t="str">
        <f t="shared" si="2"/>
        <v>註3</v>
      </c>
      <c r="R169" s="203" t="e">
        <f>INDEX([1]告訴人!$D$15:$F$372,MATCH(C169,[1]告訴人!$F$15:$F$372,0),1)</f>
        <v>#N/A</v>
      </c>
      <c r="S169" s="203" t="str">
        <f t="array" ref="S169">IF(OR(C169=[1]告訴人!$F$15:$F$372),"重疊","")</f>
        <v/>
      </c>
    </row>
    <row r="170" spans="1:23" ht="34.25" customHeight="1">
      <c r="A170" s="166">
        <v>167</v>
      </c>
      <c r="B170" s="166" t="s">
        <v>32</v>
      </c>
      <c r="C170" s="166" t="s">
        <v>2937</v>
      </c>
      <c r="D170" s="167"/>
      <c r="E170" s="168" t="s">
        <v>369</v>
      </c>
      <c r="F170" s="169">
        <v>3000</v>
      </c>
      <c r="G170" s="168">
        <v>67</v>
      </c>
      <c r="H170" s="169">
        <v>201000</v>
      </c>
      <c r="I170" s="346" t="s">
        <v>2938</v>
      </c>
      <c r="J170" s="346" t="s">
        <v>2938</v>
      </c>
      <c r="K170" s="170" t="s">
        <v>3078</v>
      </c>
      <c r="L170" s="170" t="s">
        <v>3576</v>
      </c>
      <c r="M170" s="175" t="s">
        <v>2914</v>
      </c>
      <c r="N170" s="172">
        <v>201000</v>
      </c>
      <c r="O170" s="172"/>
      <c r="P170" s="173" t="s">
        <v>2461</v>
      </c>
      <c r="Q170" s="174" t="str">
        <f t="shared" si="2"/>
        <v>註3</v>
      </c>
      <c r="R170" s="203" t="e">
        <f>INDEX([1]告訴人!$D$15:$F$372,MATCH(C170,[1]告訴人!$F$15:$F$372,0),1)</f>
        <v>#N/A</v>
      </c>
      <c r="S170" s="203" t="str">
        <f t="array" ref="S170">IF(OR(C170=[1]告訴人!$F$15:$F$372),"重疊","")</f>
        <v/>
      </c>
      <c r="T170" s="203">
        <v>1</v>
      </c>
      <c r="V170" s="203">
        <v>1</v>
      </c>
    </row>
    <row r="171" spans="1:23" ht="17.5" customHeight="1">
      <c r="A171" s="166">
        <v>168</v>
      </c>
      <c r="B171" s="166" t="s">
        <v>32</v>
      </c>
      <c r="C171" s="166" t="s">
        <v>150</v>
      </c>
      <c r="D171" s="167"/>
      <c r="E171" s="168" t="s">
        <v>369</v>
      </c>
      <c r="F171" s="169">
        <v>1000</v>
      </c>
      <c r="G171" s="168">
        <v>67</v>
      </c>
      <c r="H171" s="169">
        <v>67000</v>
      </c>
      <c r="I171" s="186" t="s">
        <v>2915</v>
      </c>
      <c r="J171" s="186" t="s">
        <v>2915</v>
      </c>
      <c r="K171" s="170" t="s">
        <v>2939</v>
      </c>
      <c r="L171" s="170"/>
      <c r="M171" s="175" t="s">
        <v>2914</v>
      </c>
      <c r="N171" s="172"/>
      <c r="O171" s="172"/>
      <c r="P171" s="173" t="s">
        <v>1832</v>
      </c>
      <c r="Q171" s="174" t="str">
        <f t="shared" si="2"/>
        <v/>
      </c>
      <c r="R171" s="203">
        <f>INDEX([1]告訴人!$D$15:$F$372,MATCH(C171,[1]告訴人!$F$15:$F$372,0),1)</f>
        <v>219</v>
      </c>
      <c r="S171" s="203" t="str">
        <f t="array" ref="S171">IF(OR(C171=[1]告訴人!$F$15:$F$372),"重疊","")</f>
        <v>重疊</v>
      </c>
      <c r="T171" s="203">
        <v>1</v>
      </c>
    </row>
    <row r="172" spans="1:23">
      <c r="A172" s="166">
        <v>169</v>
      </c>
      <c r="B172" s="166" t="s">
        <v>32</v>
      </c>
      <c r="C172" s="166" t="s">
        <v>381</v>
      </c>
      <c r="D172" s="167"/>
      <c r="E172" s="168" t="s">
        <v>369</v>
      </c>
      <c r="F172" s="169">
        <v>1000</v>
      </c>
      <c r="G172" s="168">
        <v>67</v>
      </c>
      <c r="H172" s="169">
        <v>67000</v>
      </c>
      <c r="I172" s="186"/>
      <c r="J172" s="186"/>
      <c r="K172" s="170" t="s">
        <v>2903</v>
      </c>
      <c r="L172" s="170"/>
      <c r="M172" s="175"/>
      <c r="N172" s="172">
        <v>67000</v>
      </c>
      <c r="O172" s="172"/>
      <c r="P172" s="173" t="s">
        <v>2461</v>
      </c>
      <c r="Q172" s="174" t="str">
        <f t="shared" si="2"/>
        <v>註3</v>
      </c>
      <c r="R172" s="203" t="e">
        <f>INDEX([1]告訴人!$D$15:$F$372,MATCH(C172,[1]告訴人!$F$15:$F$372,0),1)</f>
        <v>#N/A</v>
      </c>
      <c r="S172" s="203" t="str">
        <f t="array" ref="S172">IF(OR(C172=[1]告訴人!$F$15:$F$372),"重疊","")</f>
        <v/>
      </c>
    </row>
    <row r="173" spans="1:23" ht="60" customHeight="1">
      <c r="A173" s="166">
        <v>170</v>
      </c>
      <c r="B173" s="166" t="s">
        <v>32</v>
      </c>
      <c r="C173" s="166" t="s">
        <v>288</v>
      </c>
      <c r="D173" s="167"/>
      <c r="E173" s="168" t="s">
        <v>369</v>
      </c>
      <c r="F173" s="169">
        <v>2000</v>
      </c>
      <c r="G173" s="168">
        <v>67</v>
      </c>
      <c r="H173" s="169">
        <v>134000</v>
      </c>
      <c r="I173" s="186" t="s">
        <v>2915</v>
      </c>
      <c r="J173" s="186" t="s">
        <v>2915</v>
      </c>
      <c r="K173" s="170" t="s">
        <v>3182</v>
      </c>
      <c r="L173" s="170" t="s">
        <v>3596</v>
      </c>
      <c r="M173" s="175" t="s">
        <v>2914</v>
      </c>
      <c r="N173" s="172"/>
      <c r="O173" s="172">
        <v>134000</v>
      </c>
      <c r="P173" s="173" t="s">
        <v>2463</v>
      </c>
      <c r="Q173" s="174" t="str">
        <f t="shared" si="2"/>
        <v>註4</v>
      </c>
      <c r="R173" s="203">
        <f>INDEX([1]告訴人!$D$15:$F$372,MATCH(C173,[1]告訴人!$F$15:$F$372,0),1)</f>
        <v>84</v>
      </c>
      <c r="S173" s="203" t="str">
        <f t="array" ref="S173">IF(OR(C173=[1]告訴人!$F$15:$F$372),"重疊","")</f>
        <v>重疊</v>
      </c>
      <c r="T173" s="203">
        <v>1</v>
      </c>
      <c r="U173" s="203">
        <v>1</v>
      </c>
    </row>
    <row r="174" spans="1:23" ht="66.650000000000006" customHeight="1">
      <c r="A174" s="166">
        <v>171</v>
      </c>
      <c r="B174" s="166" t="s">
        <v>32</v>
      </c>
      <c r="C174" s="166" t="s">
        <v>295</v>
      </c>
      <c r="D174" s="167"/>
      <c r="E174" s="168" t="s">
        <v>369</v>
      </c>
      <c r="F174" s="169">
        <v>1000</v>
      </c>
      <c r="G174" s="168">
        <v>67</v>
      </c>
      <c r="H174" s="169">
        <v>67000</v>
      </c>
      <c r="I174" s="186" t="s">
        <v>2915</v>
      </c>
      <c r="J174" s="186" t="s">
        <v>2915</v>
      </c>
      <c r="K174" s="170" t="s">
        <v>3183</v>
      </c>
      <c r="L174" s="170" t="s">
        <v>3597</v>
      </c>
      <c r="M174" s="175" t="s">
        <v>2905</v>
      </c>
      <c r="N174" s="172"/>
      <c r="O174" s="172">
        <v>67000</v>
      </c>
      <c r="P174" s="173" t="s">
        <v>2463</v>
      </c>
      <c r="Q174" s="174" t="str">
        <f t="shared" si="2"/>
        <v>註4</v>
      </c>
      <c r="R174" s="203">
        <f>INDEX([1]告訴人!$D$15:$F$372,MATCH(C174,[1]告訴人!$F$15:$F$372,0),1)</f>
        <v>186</v>
      </c>
      <c r="S174" s="203" t="str">
        <f t="array" ref="S174">IF(OR(C174=[1]告訴人!$F$15:$F$372),"重疊","")</f>
        <v>重疊</v>
      </c>
      <c r="T174" s="203">
        <v>1</v>
      </c>
      <c r="U174" s="203">
        <v>1</v>
      </c>
    </row>
    <row r="175" spans="1:23">
      <c r="A175" s="166">
        <v>172</v>
      </c>
      <c r="B175" s="166" t="s">
        <v>32</v>
      </c>
      <c r="C175" s="166" t="s">
        <v>298</v>
      </c>
      <c r="D175" s="167"/>
      <c r="E175" s="168" t="s">
        <v>369</v>
      </c>
      <c r="F175" s="169">
        <v>1000</v>
      </c>
      <c r="G175" s="168">
        <v>67</v>
      </c>
      <c r="H175" s="169">
        <v>67000</v>
      </c>
      <c r="I175" s="186"/>
      <c r="J175" s="186"/>
      <c r="K175" s="170" t="s">
        <v>2904</v>
      </c>
      <c r="L175" s="170"/>
      <c r="M175" s="175"/>
      <c r="N175" s="172">
        <v>67000</v>
      </c>
      <c r="O175" s="172"/>
      <c r="P175" s="173" t="s">
        <v>2461</v>
      </c>
      <c r="Q175" s="174" t="str">
        <f t="shared" si="2"/>
        <v>註3</v>
      </c>
      <c r="R175" s="203" t="e">
        <f>INDEX([1]告訴人!$D$15:$F$372,MATCH(C175,[1]告訴人!$F$15:$F$372,0),1)</f>
        <v>#N/A</v>
      </c>
      <c r="S175" s="203" t="str">
        <f t="array" ref="S175">IF(OR(C175=[1]告訴人!$F$15:$F$372),"重疊","")</f>
        <v/>
      </c>
    </row>
    <row r="176" spans="1:23" ht="17" customHeight="1">
      <c r="A176" s="166">
        <v>173</v>
      </c>
      <c r="B176" s="166" t="s">
        <v>32</v>
      </c>
      <c r="C176" s="166" t="s">
        <v>156</v>
      </c>
      <c r="D176" s="167"/>
      <c r="E176" s="168" t="s">
        <v>380</v>
      </c>
      <c r="F176" s="169">
        <v>2000</v>
      </c>
      <c r="G176" s="168">
        <v>67</v>
      </c>
      <c r="H176" s="169">
        <v>134000</v>
      </c>
      <c r="I176" s="186"/>
      <c r="J176" s="186"/>
      <c r="K176" s="170" t="s">
        <v>2904</v>
      </c>
      <c r="L176" s="170"/>
      <c r="M176" s="175"/>
      <c r="N176" s="172">
        <v>134000</v>
      </c>
      <c r="O176" s="172"/>
      <c r="P176" s="173" t="s">
        <v>2461</v>
      </c>
      <c r="Q176" s="174" t="str">
        <f t="shared" si="2"/>
        <v>註3</v>
      </c>
      <c r="R176" s="203">
        <f>INDEX([1]告訴人!$D$15:$F$372,MATCH(C176,[1]告訴人!$F$15:$F$372,0),1)</f>
        <v>35</v>
      </c>
      <c r="S176" s="203" t="str">
        <f t="array" ref="S176">IF(OR(C176=[1]告訴人!$F$15:$F$372),"重疊","")</f>
        <v>重疊</v>
      </c>
    </row>
    <row r="177" spans="1:23" ht="33" customHeight="1">
      <c r="A177" s="166">
        <v>174</v>
      </c>
      <c r="B177" s="166" t="s">
        <v>32</v>
      </c>
      <c r="C177" s="166" t="s">
        <v>290</v>
      </c>
      <c r="D177" s="167"/>
      <c r="E177" s="168" t="s">
        <v>380</v>
      </c>
      <c r="F177" s="169">
        <v>3000</v>
      </c>
      <c r="G177" s="168">
        <v>67</v>
      </c>
      <c r="H177" s="169">
        <v>201000</v>
      </c>
      <c r="I177" s="186" t="s">
        <v>2918</v>
      </c>
      <c r="J177" s="186" t="s">
        <v>2918</v>
      </c>
      <c r="K177" s="170" t="s">
        <v>3158</v>
      </c>
      <c r="L177" s="170" t="s">
        <v>3592</v>
      </c>
      <c r="M177" s="175" t="s">
        <v>2905</v>
      </c>
      <c r="N177" s="172"/>
      <c r="O177" s="172">
        <v>201000</v>
      </c>
      <c r="P177" s="173" t="s">
        <v>2463</v>
      </c>
      <c r="Q177" s="174" t="str">
        <f t="shared" si="2"/>
        <v>註4</v>
      </c>
      <c r="R177" s="203">
        <f>INDEX([1]告訴人!$D$15:$F$372,MATCH(C177,[1]告訴人!$F$15:$F$372,0),1)</f>
        <v>281</v>
      </c>
      <c r="S177" s="203" t="str">
        <f t="array" ref="S177">IF(OR(C177=[1]告訴人!$F$15:$F$372),"重疊","")</f>
        <v>重疊</v>
      </c>
      <c r="T177" s="203">
        <v>1</v>
      </c>
      <c r="U177" s="203">
        <v>1</v>
      </c>
    </row>
    <row r="178" spans="1:23" ht="34">
      <c r="A178" s="166">
        <v>175</v>
      </c>
      <c r="B178" s="166" t="s">
        <v>32</v>
      </c>
      <c r="C178" s="166" t="s">
        <v>2940</v>
      </c>
      <c r="D178" s="167" t="s">
        <v>2928</v>
      </c>
      <c r="E178" s="168" t="s">
        <v>380</v>
      </c>
      <c r="F178" s="169">
        <v>1000</v>
      </c>
      <c r="G178" s="168">
        <v>69</v>
      </c>
      <c r="H178" s="169">
        <v>69000</v>
      </c>
      <c r="I178" s="186" t="s">
        <v>2912</v>
      </c>
      <c r="J178" s="186" t="s">
        <v>2912</v>
      </c>
      <c r="K178" s="170" t="s">
        <v>3158</v>
      </c>
      <c r="L178" s="170" t="s">
        <v>3581</v>
      </c>
      <c r="M178" s="175" t="s">
        <v>2905</v>
      </c>
      <c r="N178" s="172"/>
      <c r="O178" s="172">
        <v>69000</v>
      </c>
      <c r="P178" s="173" t="s">
        <v>2465</v>
      </c>
      <c r="Q178" s="174" t="str">
        <f t="shared" si="2"/>
        <v>註4</v>
      </c>
      <c r="R178" s="203">
        <f>INDEX([1]告訴人!$D$15:$F$372,MATCH(C178,[1]告訴人!$F$15:$F$372,0),1)</f>
        <v>127</v>
      </c>
      <c r="S178" s="203" t="str">
        <f t="array" ref="S178">IF(OR(C178=[1]告訴人!$F$15:$F$372),"重疊","")</f>
        <v>重疊</v>
      </c>
      <c r="T178" s="203">
        <v>1</v>
      </c>
      <c r="U178" s="203">
        <v>1</v>
      </c>
      <c r="W178" s="203" t="s">
        <v>2905</v>
      </c>
    </row>
    <row r="179" spans="1:23" ht="34">
      <c r="A179" s="166">
        <v>176</v>
      </c>
      <c r="B179" s="166" t="s">
        <v>32</v>
      </c>
      <c r="C179" s="166" t="s">
        <v>277</v>
      </c>
      <c r="D179" s="167"/>
      <c r="E179" s="168" t="s">
        <v>380</v>
      </c>
      <c r="F179" s="169">
        <v>1000</v>
      </c>
      <c r="G179" s="168">
        <v>69</v>
      </c>
      <c r="H179" s="169">
        <v>69000</v>
      </c>
      <c r="I179" s="186" t="s">
        <v>2918</v>
      </c>
      <c r="J179" s="186" t="s">
        <v>2918</v>
      </c>
      <c r="K179" s="170" t="s">
        <v>3158</v>
      </c>
      <c r="L179" s="170" t="s">
        <v>3581</v>
      </c>
      <c r="M179" s="175" t="s">
        <v>2905</v>
      </c>
      <c r="N179" s="172"/>
      <c r="O179" s="172">
        <v>69000</v>
      </c>
      <c r="P179" s="173" t="s">
        <v>2463</v>
      </c>
      <c r="Q179" s="174" t="str">
        <f t="shared" si="2"/>
        <v>註4</v>
      </c>
      <c r="R179" s="203">
        <f>INDEX([1]告訴人!$D$15:$F$372,MATCH(C179,[1]告訴人!$F$15:$F$372,0),1)</f>
        <v>187</v>
      </c>
      <c r="S179" s="203" t="str">
        <f t="array" ref="S179">IF(OR(C179=[1]告訴人!$F$15:$F$372),"重疊","")</f>
        <v>重疊</v>
      </c>
      <c r="T179" s="203">
        <v>1</v>
      </c>
      <c r="U179" s="203">
        <v>1</v>
      </c>
    </row>
    <row r="180" spans="1:23">
      <c r="A180" s="166">
        <v>177</v>
      </c>
      <c r="B180" s="166" t="s">
        <v>32</v>
      </c>
      <c r="C180" s="166" t="s">
        <v>341</v>
      </c>
      <c r="D180" s="167"/>
      <c r="E180" s="168" t="s">
        <v>342</v>
      </c>
      <c r="F180" s="169">
        <v>1000</v>
      </c>
      <c r="G180" s="168">
        <v>67</v>
      </c>
      <c r="H180" s="169">
        <v>67000</v>
      </c>
      <c r="I180" s="186"/>
      <c r="J180" s="186"/>
      <c r="K180" s="170" t="s">
        <v>2904</v>
      </c>
      <c r="L180" s="170"/>
      <c r="M180" s="175"/>
      <c r="N180" s="172">
        <v>67000</v>
      </c>
      <c r="O180" s="172"/>
      <c r="P180" s="173" t="s">
        <v>2461</v>
      </c>
      <c r="Q180" s="174" t="str">
        <f t="shared" si="2"/>
        <v>註3</v>
      </c>
      <c r="R180" s="203" t="e">
        <f>INDEX([1]告訴人!$D$15:$F$372,MATCH(C180,[1]告訴人!$F$15:$F$372,0),1)</f>
        <v>#N/A</v>
      </c>
      <c r="S180" s="203" t="str">
        <f t="array" ref="S180">IF(OR(C180=[1]告訴人!$F$15:$F$372),"重疊","")</f>
        <v/>
      </c>
    </row>
    <row r="181" spans="1:23" ht="19.399999999999999" customHeight="1">
      <c r="A181" s="166">
        <v>178</v>
      </c>
      <c r="B181" s="166" t="s">
        <v>32</v>
      </c>
      <c r="C181" s="166" t="s">
        <v>395</v>
      </c>
      <c r="D181" s="167"/>
      <c r="E181" s="168" t="s">
        <v>342</v>
      </c>
      <c r="F181" s="169">
        <v>2000</v>
      </c>
      <c r="G181" s="168">
        <v>67</v>
      </c>
      <c r="H181" s="169">
        <v>134000</v>
      </c>
      <c r="I181" s="186"/>
      <c r="J181" s="186"/>
      <c r="K181" s="170" t="s">
        <v>2904</v>
      </c>
      <c r="L181" s="170"/>
      <c r="M181" s="175"/>
      <c r="N181" s="172">
        <v>134000</v>
      </c>
      <c r="O181" s="172"/>
      <c r="P181" s="173" t="s">
        <v>2461</v>
      </c>
      <c r="Q181" s="174" t="str">
        <f t="shared" si="2"/>
        <v>註3</v>
      </c>
      <c r="R181" s="203" t="e">
        <f>INDEX([1]告訴人!$D$15:$F$372,MATCH(C181,[1]告訴人!$F$15:$F$372,0),1)</f>
        <v>#N/A</v>
      </c>
      <c r="S181" s="203" t="str">
        <f t="array" ref="S181">IF(OR(C181=[1]告訴人!$F$15:$F$372),"重疊","")</f>
        <v/>
      </c>
    </row>
    <row r="182" spans="1:23" ht="19.399999999999999" customHeight="1">
      <c r="A182" s="166">
        <v>179</v>
      </c>
      <c r="B182" s="166" t="s">
        <v>32</v>
      </c>
      <c r="C182" s="166" t="s">
        <v>152</v>
      </c>
      <c r="D182" s="167"/>
      <c r="E182" s="168" t="s">
        <v>60</v>
      </c>
      <c r="F182" s="169">
        <v>2000</v>
      </c>
      <c r="G182" s="168">
        <v>25</v>
      </c>
      <c r="H182" s="169">
        <v>50000</v>
      </c>
      <c r="I182" s="186"/>
      <c r="J182" s="186"/>
      <c r="K182" s="170" t="s">
        <v>2904</v>
      </c>
      <c r="L182" s="170"/>
      <c r="M182" s="175"/>
      <c r="N182" s="172">
        <v>50000</v>
      </c>
      <c r="O182" s="172"/>
      <c r="P182" s="173" t="s">
        <v>2461</v>
      </c>
      <c r="Q182" s="174" t="str">
        <f t="shared" si="2"/>
        <v>註3</v>
      </c>
      <c r="R182" s="203" t="e">
        <f>INDEX([1]告訴人!$D$15:$F$372,MATCH(C182,[1]告訴人!$F$15:$F$372,0),1)</f>
        <v>#N/A</v>
      </c>
      <c r="S182" s="203" t="str">
        <f t="array" ref="S182">IF(OR(C182=[1]告訴人!$F$15:$F$372),"重疊","")</f>
        <v/>
      </c>
    </row>
    <row r="183" spans="1:23">
      <c r="A183" s="166">
        <v>180</v>
      </c>
      <c r="B183" s="166" t="s">
        <v>32</v>
      </c>
      <c r="C183" s="166" t="s">
        <v>152</v>
      </c>
      <c r="D183" s="167"/>
      <c r="E183" s="168" t="s">
        <v>60</v>
      </c>
      <c r="F183" s="169">
        <v>2000</v>
      </c>
      <c r="G183" s="168">
        <v>67</v>
      </c>
      <c r="H183" s="169">
        <v>134000</v>
      </c>
      <c r="I183" s="186"/>
      <c r="J183" s="186"/>
      <c r="K183" s="170" t="s">
        <v>2904</v>
      </c>
      <c r="L183" s="170"/>
      <c r="M183" s="175"/>
      <c r="N183" s="172">
        <v>134000</v>
      </c>
      <c r="O183" s="172"/>
      <c r="P183" s="173" t="s">
        <v>2461</v>
      </c>
      <c r="Q183" s="174" t="str">
        <f t="shared" si="2"/>
        <v>註3</v>
      </c>
      <c r="R183" s="203" t="e">
        <f>INDEX([1]告訴人!$D$15:$F$372,MATCH(C183,[1]告訴人!$F$15:$F$372,0),1)</f>
        <v>#N/A</v>
      </c>
      <c r="S183" s="203" t="str">
        <f t="array" ref="S183">IF(OR(C183=[1]告訴人!$F$15:$F$372),"重疊","")</f>
        <v/>
      </c>
    </row>
    <row r="184" spans="1:23" ht="83.15" customHeight="1">
      <c r="A184" s="166">
        <v>181</v>
      </c>
      <c r="B184" s="166" t="s">
        <v>32</v>
      </c>
      <c r="C184" s="166" t="s">
        <v>187</v>
      </c>
      <c r="D184" s="255" t="s">
        <v>2941</v>
      </c>
      <c r="E184" s="168" t="s">
        <v>398</v>
      </c>
      <c r="F184" s="169">
        <v>2000</v>
      </c>
      <c r="G184" s="168">
        <v>67</v>
      </c>
      <c r="H184" s="169">
        <v>134000</v>
      </c>
      <c r="I184" s="186" t="s">
        <v>2918</v>
      </c>
      <c r="J184" s="186" t="s">
        <v>2918</v>
      </c>
      <c r="K184" s="170" t="s">
        <v>3184</v>
      </c>
      <c r="L184" s="170" t="s">
        <v>2942</v>
      </c>
      <c r="M184" s="175" t="s">
        <v>2905</v>
      </c>
      <c r="N184" s="172"/>
      <c r="O184" s="172">
        <v>134000</v>
      </c>
      <c r="P184" s="173" t="s">
        <v>2463</v>
      </c>
      <c r="Q184" s="174" t="str">
        <f t="shared" si="2"/>
        <v>註4</v>
      </c>
      <c r="R184" s="203">
        <f>INDEX([1]告訴人!$D$15:$F$372,MATCH(C184,[1]告訴人!$F$15:$F$372,0),1)</f>
        <v>348</v>
      </c>
      <c r="S184" s="203" t="str">
        <f t="array" ref="S184">IF(OR(C184=[1]告訴人!$F$15:$F$372),"重疊","")</f>
        <v>重疊</v>
      </c>
      <c r="T184" s="203">
        <v>1</v>
      </c>
    </row>
    <row r="185" spans="1:23">
      <c r="A185" s="166">
        <v>182</v>
      </c>
      <c r="B185" s="166" t="s">
        <v>112</v>
      </c>
      <c r="C185" s="166" t="s">
        <v>127</v>
      </c>
      <c r="D185" s="167"/>
      <c r="E185" s="168" t="s">
        <v>61</v>
      </c>
      <c r="F185" s="169">
        <v>1000</v>
      </c>
      <c r="G185" s="168">
        <v>25</v>
      </c>
      <c r="H185" s="169">
        <v>25000</v>
      </c>
      <c r="I185" s="186"/>
      <c r="J185" s="186"/>
      <c r="K185" s="170" t="s">
        <v>2904</v>
      </c>
      <c r="L185" s="170"/>
      <c r="M185" s="175"/>
      <c r="N185" s="172">
        <v>25000</v>
      </c>
      <c r="O185" s="172"/>
      <c r="P185" s="173" t="s">
        <v>2461</v>
      </c>
      <c r="Q185" s="174" t="str">
        <f t="shared" si="2"/>
        <v>註3</v>
      </c>
      <c r="R185" s="203" t="e">
        <f>INDEX([1]告訴人!$D$15:$F$372,MATCH(C185,[1]告訴人!$F$15:$F$372,0),1)</f>
        <v>#N/A</v>
      </c>
      <c r="S185" s="203" t="str">
        <f t="array" ref="S185">IF(OR(C185=[1]告訴人!$F$15:$F$372),"重疊","")</f>
        <v/>
      </c>
    </row>
    <row r="186" spans="1:23" ht="46.75" customHeight="1">
      <c r="A186" s="166">
        <v>183</v>
      </c>
      <c r="B186" s="166" t="s">
        <v>32</v>
      </c>
      <c r="C186" s="166" t="s">
        <v>205</v>
      </c>
      <c r="D186" s="167"/>
      <c r="E186" s="168" t="s">
        <v>61</v>
      </c>
      <c r="F186" s="169">
        <v>2000</v>
      </c>
      <c r="G186" s="168">
        <v>67</v>
      </c>
      <c r="H186" s="169">
        <v>134000</v>
      </c>
      <c r="I186" s="186" t="s">
        <v>2912</v>
      </c>
      <c r="J186" s="186" t="s">
        <v>2912</v>
      </c>
      <c r="K186" s="170" t="s">
        <v>3170</v>
      </c>
      <c r="L186" s="170" t="s">
        <v>3584</v>
      </c>
      <c r="M186" s="175" t="s">
        <v>2905</v>
      </c>
      <c r="N186" s="172"/>
      <c r="O186" s="172">
        <v>134000</v>
      </c>
      <c r="P186" s="173" t="s">
        <v>2465</v>
      </c>
      <c r="Q186" s="174" t="str">
        <f t="shared" si="2"/>
        <v>註4</v>
      </c>
      <c r="R186" s="203" t="e">
        <f>INDEX([1]告訴人!$D$15:$F$372,MATCH(C186,[1]告訴人!$F$15:$F$372,0),1)</f>
        <v>#N/A</v>
      </c>
      <c r="S186" s="203" t="str">
        <f t="array" ref="S186">IF(OR(C186=[1]告訴人!$F$15:$F$372),"重疊","")</f>
        <v/>
      </c>
      <c r="T186" s="203">
        <v>1</v>
      </c>
      <c r="U186" s="203">
        <v>1</v>
      </c>
      <c r="W186" s="203" t="s">
        <v>2905</v>
      </c>
    </row>
    <row r="187" spans="1:23">
      <c r="A187" s="166">
        <v>184</v>
      </c>
      <c r="B187" s="166" t="s">
        <v>32</v>
      </c>
      <c r="C187" s="166" t="s">
        <v>535</v>
      </c>
      <c r="D187" s="167"/>
      <c r="E187" s="168" t="s">
        <v>61</v>
      </c>
      <c r="F187" s="169">
        <v>3000</v>
      </c>
      <c r="G187" s="168">
        <v>67</v>
      </c>
      <c r="H187" s="169">
        <v>201000</v>
      </c>
      <c r="I187" s="186"/>
      <c r="J187" s="186"/>
      <c r="K187" s="170" t="s">
        <v>2904</v>
      </c>
      <c r="L187" s="170"/>
      <c r="M187" s="175"/>
      <c r="N187" s="172">
        <v>201000</v>
      </c>
      <c r="O187" s="172"/>
      <c r="P187" s="173" t="s">
        <v>2461</v>
      </c>
      <c r="Q187" s="174" t="str">
        <f t="shared" si="2"/>
        <v>註3</v>
      </c>
      <c r="R187" s="203" t="e">
        <f>INDEX([1]告訴人!$D$15:$F$372,MATCH(C187,[1]告訴人!$F$15:$F$372,0),1)</f>
        <v>#N/A</v>
      </c>
      <c r="S187" s="203" t="str">
        <f t="array" ref="S187">IF(OR(C187=[1]告訴人!$F$15:$F$372),"重疊","")</f>
        <v/>
      </c>
    </row>
    <row r="188" spans="1:23" ht="64.5" customHeight="1">
      <c r="A188" s="166">
        <v>185</v>
      </c>
      <c r="B188" s="166" t="s">
        <v>32</v>
      </c>
      <c r="C188" s="166" t="s">
        <v>325</v>
      </c>
      <c r="D188" s="167"/>
      <c r="E188" s="168" t="s">
        <v>61</v>
      </c>
      <c r="F188" s="169">
        <v>1000</v>
      </c>
      <c r="G188" s="168">
        <v>67</v>
      </c>
      <c r="H188" s="169">
        <v>67000</v>
      </c>
      <c r="I188" s="186" t="s">
        <v>2912</v>
      </c>
      <c r="J188" s="186" t="s">
        <v>2912</v>
      </c>
      <c r="K188" s="170" t="s">
        <v>3185</v>
      </c>
      <c r="L188" s="170" t="s">
        <v>3598</v>
      </c>
      <c r="M188" s="175" t="s">
        <v>2905</v>
      </c>
      <c r="N188" s="172"/>
      <c r="O188" s="172">
        <v>67000</v>
      </c>
      <c r="P188" s="173" t="s">
        <v>2465</v>
      </c>
      <c r="Q188" s="174" t="str">
        <f t="shared" si="2"/>
        <v>註4</v>
      </c>
      <c r="R188" s="203">
        <f>INDEX([1]告訴人!$D$15:$F$372,MATCH(C188,[1]告訴人!$F$15:$F$372,0),1)</f>
        <v>63</v>
      </c>
      <c r="S188" s="203" t="str">
        <f t="array" ref="S188">IF(OR(C188=[1]告訴人!$F$15:$F$372),"重疊","")</f>
        <v>重疊</v>
      </c>
      <c r="T188" s="203">
        <v>1</v>
      </c>
      <c r="U188" s="203">
        <v>1</v>
      </c>
      <c r="W188" s="203" t="s">
        <v>2905</v>
      </c>
    </row>
    <row r="189" spans="1:23" ht="117.65" customHeight="1">
      <c r="A189" s="166">
        <v>186</v>
      </c>
      <c r="B189" s="166" t="s">
        <v>32</v>
      </c>
      <c r="C189" s="166" t="s">
        <v>552</v>
      </c>
      <c r="D189" s="167"/>
      <c r="E189" s="168" t="s">
        <v>61</v>
      </c>
      <c r="F189" s="169">
        <v>1000</v>
      </c>
      <c r="G189" s="168">
        <v>69</v>
      </c>
      <c r="H189" s="169">
        <v>69000</v>
      </c>
      <c r="I189" s="346" t="s">
        <v>2943</v>
      </c>
      <c r="J189" s="346" t="s">
        <v>2943</v>
      </c>
      <c r="K189" s="170" t="s">
        <v>3170</v>
      </c>
      <c r="L189" s="170" t="s">
        <v>3584</v>
      </c>
      <c r="M189" s="175" t="s">
        <v>2905</v>
      </c>
      <c r="N189" s="172"/>
      <c r="O189" s="172">
        <v>69000</v>
      </c>
      <c r="P189" s="173" t="s">
        <v>2944</v>
      </c>
      <c r="Q189" s="174" t="str">
        <f t="shared" si="2"/>
        <v>註4</v>
      </c>
      <c r="R189" s="203" t="e">
        <f>INDEX([1]告訴人!$D$15:$F$372,MATCH(C189,[1]告訴人!$F$15:$F$372,0),1)</f>
        <v>#N/A</v>
      </c>
      <c r="S189" s="203" t="str">
        <f t="array" ref="S189">IF(OR(C189=[1]告訴人!$F$15:$F$372),"重疊","")</f>
        <v/>
      </c>
      <c r="T189" s="203">
        <v>1</v>
      </c>
      <c r="U189" s="203">
        <v>1</v>
      </c>
      <c r="W189" s="203" t="s">
        <v>2905</v>
      </c>
    </row>
    <row r="190" spans="1:23" ht="65.25" customHeight="1">
      <c r="A190" s="166">
        <v>187</v>
      </c>
      <c r="B190" s="166" t="s">
        <v>32</v>
      </c>
      <c r="C190" s="166" t="s">
        <v>175</v>
      </c>
      <c r="D190" s="167"/>
      <c r="E190" s="168" t="s">
        <v>61</v>
      </c>
      <c r="F190" s="169">
        <v>3000</v>
      </c>
      <c r="G190" s="168">
        <v>69</v>
      </c>
      <c r="H190" s="169">
        <v>207000</v>
      </c>
      <c r="I190" s="186" t="s">
        <v>2912</v>
      </c>
      <c r="J190" s="186" t="s">
        <v>2912</v>
      </c>
      <c r="K190" s="170" t="s">
        <v>3170</v>
      </c>
      <c r="L190" s="170" t="s">
        <v>3584</v>
      </c>
      <c r="M190" s="157" t="s">
        <v>2905</v>
      </c>
      <c r="N190" s="172"/>
      <c r="O190" s="172">
        <v>207000</v>
      </c>
      <c r="P190" s="173" t="s">
        <v>2465</v>
      </c>
      <c r="Q190" s="174" t="str">
        <f t="shared" si="2"/>
        <v>註4</v>
      </c>
      <c r="R190" s="203" t="e">
        <f>INDEX([1]告訴人!$D$15:$F$372,MATCH(C190,[1]告訴人!$F$15:$F$372,0),1)</f>
        <v>#N/A</v>
      </c>
      <c r="S190" s="203" t="str">
        <f t="array" ref="S190">IF(OR(C190=[1]告訴人!$F$15:$F$372),"重疊","")</f>
        <v/>
      </c>
      <c r="T190" s="203">
        <v>1</v>
      </c>
      <c r="U190" s="203">
        <v>1</v>
      </c>
      <c r="W190" s="203" t="s">
        <v>2905</v>
      </c>
    </row>
    <row r="191" spans="1:23" ht="65.25" customHeight="1">
      <c r="A191" s="166">
        <v>188</v>
      </c>
      <c r="B191" s="166" t="s">
        <v>32</v>
      </c>
      <c r="C191" s="166" t="s">
        <v>247</v>
      </c>
      <c r="D191" s="167"/>
      <c r="E191" s="168" t="s">
        <v>450</v>
      </c>
      <c r="F191" s="169">
        <v>1000</v>
      </c>
      <c r="G191" s="168">
        <v>67</v>
      </c>
      <c r="H191" s="169">
        <v>67000</v>
      </c>
      <c r="I191" s="186" t="s">
        <v>2912</v>
      </c>
      <c r="J191" s="186" t="s">
        <v>2912</v>
      </c>
      <c r="K191" s="170" t="s">
        <v>3170</v>
      </c>
      <c r="L191" s="170" t="s">
        <v>3584</v>
      </c>
      <c r="M191" s="177" t="s">
        <v>2905</v>
      </c>
      <c r="N191" s="172"/>
      <c r="O191" s="172">
        <v>67000</v>
      </c>
      <c r="P191" s="173" t="s">
        <v>2465</v>
      </c>
      <c r="Q191" s="174" t="str">
        <f t="shared" si="2"/>
        <v>註4</v>
      </c>
      <c r="R191" s="203" t="e">
        <f>INDEX([1]告訴人!$D$15:$F$372,MATCH(C191,[1]告訴人!$F$15:$F$372,0),1)</f>
        <v>#N/A</v>
      </c>
      <c r="S191" s="203" t="str">
        <f t="array" ref="S191">IF(OR(C191=[1]告訴人!$F$15:$F$372),"重疊","")</f>
        <v/>
      </c>
      <c r="T191" s="203">
        <v>1</v>
      </c>
      <c r="U191" s="203">
        <v>1</v>
      </c>
      <c r="W191" s="203" t="s">
        <v>2905</v>
      </c>
    </row>
    <row r="192" spans="1:23" ht="113.25" customHeight="1">
      <c r="A192" s="166">
        <v>189</v>
      </c>
      <c r="B192" s="166" t="s">
        <v>32</v>
      </c>
      <c r="C192" s="166" t="s">
        <v>180</v>
      </c>
      <c r="D192" s="167"/>
      <c r="E192" s="168" t="s">
        <v>181</v>
      </c>
      <c r="F192" s="169">
        <v>1000</v>
      </c>
      <c r="G192" s="168">
        <v>25</v>
      </c>
      <c r="H192" s="169">
        <v>25000</v>
      </c>
      <c r="I192" s="186" t="s">
        <v>2918</v>
      </c>
      <c r="J192" s="186" t="s">
        <v>2918</v>
      </c>
      <c r="K192" s="170" t="s">
        <v>3186</v>
      </c>
      <c r="L192" s="170" t="s">
        <v>3599</v>
      </c>
      <c r="M192" s="177" t="s">
        <v>2905</v>
      </c>
      <c r="N192" s="172">
        <v>25000</v>
      </c>
      <c r="O192" s="172"/>
      <c r="P192" s="173" t="s">
        <v>2461</v>
      </c>
      <c r="Q192" s="174" t="str">
        <f t="shared" si="2"/>
        <v>註3</v>
      </c>
      <c r="R192" s="203">
        <f>INDEX([1]告訴人!$D$15:$F$372,MATCH(C192,[1]告訴人!$F$15:$F$372,0),1)</f>
        <v>338</v>
      </c>
      <c r="S192" s="203" t="str">
        <f t="array" ref="S192">IF(OR(C192=[1]告訴人!$F$15:$F$372),"重疊","")</f>
        <v>重疊</v>
      </c>
      <c r="T192" s="203">
        <v>1</v>
      </c>
      <c r="V192" s="203">
        <v>1</v>
      </c>
    </row>
    <row r="193" spans="1:23" ht="133.5" customHeight="1">
      <c r="A193" s="166">
        <v>190</v>
      </c>
      <c r="B193" s="166" t="s">
        <v>32</v>
      </c>
      <c r="C193" s="166" t="s">
        <v>2945</v>
      </c>
      <c r="D193" s="167" t="s">
        <v>2926</v>
      </c>
      <c r="E193" s="168" t="s">
        <v>181</v>
      </c>
      <c r="F193" s="169">
        <v>5000</v>
      </c>
      <c r="G193" s="168">
        <v>25</v>
      </c>
      <c r="H193" s="169">
        <v>125000</v>
      </c>
      <c r="I193" s="346" t="s">
        <v>2946</v>
      </c>
      <c r="J193" s="346" t="s">
        <v>2946</v>
      </c>
      <c r="K193" s="170" t="s">
        <v>3158</v>
      </c>
      <c r="L193" s="170" t="s">
        <v>3675</v>
      </c>
      <c r="M193" s="175" t="s">
        <v>2907</v>
      </c>
      <c r="N193" s="172"/>
      <c r="O193" s="172">
        <v>125000</v>
      </c>
      <c r="P193" s="173" t="s">
        <v>2947</v>
      </c>
      <c r="Q193" s="174" t="str">
        <f t="shared" si="2"/>
        <v>註4</v>
      </c>
      <c r="R193" s="203" t="e">
        <f>INDEX([1]告訴人!$D$15:$F$372,MATCH(C193,[1]告訴人!$F$15:$F$372,0),1)</f>
        <v>#N/A</v>
      </c>
      <c r="S193" s="203" t="str">
        <f t="array" ref="S193">IF(OR(C193=[1]告訴人!$F$15:$F$372),"重疊","")</f>
        <v/>
      </c>
      <c r="T193" s="203">
        <v>1</v>
      </c>
      <c r="U193" s="203">
        <v>1</v>
      </c>
      <c r="W193" s="203" t="s">
        <v>2907</v>
      </c>
    </row>
    <row r="194" spans="1:23" ht="118.5" customHeight="1">
      <c r="A194" s="166">
        <v>191</v>
      </c>
      <c r="B194" s="166" t="s">
        <v>32</v>
      </c>
      <c r="C194" s="166" t="s">
        <v>180</v>
      </c>
      <c r="D194" s="167"/>
      <c r="E194" s="168" t="s">
        <v>181</v>
      </c>
      <c r="F194" s="169">
        <v>1000</v>
      </c>
      <c r="G194" s="168">
        <v>67</v>
      </c>
      <c r="H194" s="169">
        <v>67000</v>
      </c>
      <c r="I194" s="186" t="s">
        <v>2921</v>
      </c>
      <c r="J194" s="186" t="s">
        <v>2921</v>
      </c>
      <c r="K194" s="170" t="s">
        <v>3187</v>
      </c>
      <c r="L194" s="170" t="s">
        <v>3599</v>
      </c>
      <c r="M194" s="175" t="s">
        <v>2907</v>
      </c>
      <c r="N194" s="172">
        <v>67000</v>
      </c>
      <c r="O194" s="172"/>
      <c r="P194" s="173" t="s">
        <v>2461</v>
      </c>
      <c r="Q194" s="174" t="str">
        <f t="shared" ref="Q194:Q257" si="3">IF(N194&lt;&gt;0,"註3",IF(O194&lt;&gt;0,"註4",""))</f>
        <v>註3</v>
      </c>
      <c r="R194" s="203">
        <f>INDEX([1]告訴人!$D$15:$F$372,MATCH(C194,[1]告訴人!$F$15:$F$372,0),1)</f>
        <v>338</v>
      </c>
      <c r="S194" s="203" t="str">
        <f t="array" ref="S194">IF(OR(C194=[1]告訴人!$F$15:$F$372),"重疊","")</f>
        <v>重疊</v>
      </c>
      <c r="T194" s="203">
        <v>1</v>
      </c>
      <c r="V194" s="203">
        <v>1</v>
      </c>
    </row>
    <row r="195" spans="1:23" ht="68.25" customHeight="1">
      <c r="A195" s="166">
        <v>192</v>
      </c>
      <c r="B195" s="166" t="s">
        <v>2948</v>
      </c>
      <c r="C195" s="166" t="s">
        <v>208</v>
      </c>
      <c r="D195" s="167"/>
      <c r="E195" s="168" t="s">
        <v>181</v>
      </c>
      <c r="F195" s="169">
        <v>5000</v>
      </c>
      <c r="G195" s="168">
        <v>67</v>
      </c>
      <c r="H195" s="169">
        <v>335000</v>
      </c>
      <c r="I195" s="186" t="s">
        <v>2921</v>
      </c>
      <c r="J195" s="186" t="s">
        <v>2921</v>
      </c>
      <c r="K195" s="170" t="s">
        <v>3188</v>
      </c>
      <c r="L195" s="170" t="s">
        <v>3600</v>
      </c>
      <c r="M195" s="175" t="s">
        <v>2907</v>
      </c>
      <c r="N195" s="172"/>
      <c r="O195" s="172">
        <v>335000</v>
      </c>
      <c r="P195" s="173" t="s">
        <v>2463</v>
      </c>
      <c r="Q195" s="174" t="str">
        <f t="shared" si="3"/>
        <v>註4</v>
      </c>
      <c r="R195" s="203">
        <f>INDEX([1]告訴人!$D$15:$F$372,MATCH(C195,[1]告訴人!$F$15:$F$372,0),1)</f>
        <v>73</v>
      </c>
      <c r="S195" s="203" t="str">
        <f t="array" ref="S195">IF(OR(C195=[1]告訴人!$F$15:$F$372),"重疊","")</f>
        <v>重疊</v>
      </c>
      <c r="T195" s="203">
        <v>1</v>
      </c>
    </row>
    <row r="196" spans="1:23" ht="206.4" customHeight="1">
      <c r="A196" s="166">
        <v>193</v>
      </c>
      <c r="B196" s="166" t="s">
        <v>32</v>
      </c>
      <c r="C196" s="166" t="s">
        <v>468</v>
      </c>
      <c r="D196" s="167"/>
      <c r="E196" s="168" t="s">
        <v>181</v>
      </c>
      <c r="F196" s="169">
        <v>2000</v>
      </c>
      <c r="G196" s="168">
        <v>67</v>
      </c>
      <c r="H196" s="169">
        <v>134000</v>
      </c>
      <c r="I196" s="186"/>
      <c r="J196" s="186"/>
      <c r="K196" s="170" t="s">
        <v>2908</v>
      </c>
      <c r="L196" s="170" t="s">
        <v>3676</v>
      </c>
      <c r="M196" s="175"/>
      <c r="N196" s="172">
        <v>134000</v>
      </c>
      <c r="O196" s="172"/>
      <c r="P196" s="173" t="s">
        <v>2461</v>
      </c>
      <c r="Q196" s="174" t="str">
        <f t="shared" si="3"/>
        <v>註3</v>
      </c>
      <c r="R196" s="203" t="e">
        <f>INDEX([1]告訴人!$D$15:$F$372,MATCH(C196,[1]告訴人!$F$15:$F$372,0),1)</f>
        <v>#N/A</v>
      </c>
      <c r="S196" s="203" t="str">
        <f t="array" ref="S196">IF(OR(C196=[1]告訴人!$F$15:$F$372),"重疊","")</f>
        <v/>
      </c>
    </row>
    <row r="197" spans="1:23" ht="120" customHeight="1">
      <c r="A197" s="166">
        <v>194</v>
      </c>
      <c r="B197" s="166" t="s">
        <v>32</v>
      </c>
      <c r="C197" s="166" t="s">
        <v>536</v>
      </c>
      <c r="D197" s="167"/>
      <c r="E197" s="168" t="s">
        <v>181</v>
      </c>
      <c r="F197" s="169">
        <v>1000</v>
      </c>
      <c r="G197" s="168">
        <v>67</v>
      </c>
      <c r="H197" s="169">
        <v>67000</v>
      </c>
      <c r="I197" s="186"/>
      <c r="J197" s="186"/>
      <c r="K197" s="170" t="s">
        <v>2908</v>
      </c>
      <c r="L197" s="170"/>
      <c r="M197" s="157"/>
      <c r="N197" s="172">
        <v>67000</v>
      </c>
      <c r="O197" s="172"/>
      <c r="P197" s="173" t="s">
        <v>2461</v>
      </c>
      <c r="Q197" s="174" t="str">
        <f t="shared" si="3"/>
        <v>註3</v>
      </c>
      <c r="R197" s="203" t="e">
        <f>INDEX([1]告訴人!$D$15:$F$372,MATCH(C197,[1]告訴人!$F$15:$F$372,0),1)</f>
        <v>#N/A</v>
      </c>
      <c r="S197" s="203" t="str">
        <f t="array" ref="S197">IF(OR(C197=[1]告訴人!$F$15:$F$372),"重疊","")</f>
        <v/>
      </c>
    </row>
    <row r="198" spans="1:23">
      <c r="A198" s="166">
        <v>195</v>
      </c>
      <c r="B198" s="166" t="s">
        <v>32</v>
      </c>
      <c r="C198" s="166" t="s">
        <v>305</v>
      </c>
      <c r="D198" s="167"/>
      <c r="E198" s="168" t="s">
        <v>62</v>
      </c>
      <c r="F198" s="169">
        <v>10000</v>
      </c>
      <c r="G198" s="168">
        <v>67</v>
      </c>
      <c r="H198" s="169">
        <v>670000</v>
      </c>
      <c r="I198" s="186"/>
      <c r="J198" s="186"/>
      <c r="K198" s="170" t="s">
        <v>2908</v>
      </c>
      <c r="L198" s="170"/>
      <c r="M198" s="175"/>
      <c r="N198" s="172">
        <v>670000</v>
      </c>
      <c r="O198" s="172"/>
      <c r="P198" s="173" t="s">
        <v>2461</v>
      </c>
      <c r="Q198" s="174" t="str">
        <f t="shared" si="3"/>
        <v>註3</v>
      </c>
      <c r="R198" s="203" t="e">
        <f>INDEX([1]告訴人!$D$15:$F$372,MATCH(C198,[1]告訴人!$F$15:$F$372,0),1)</f>
        <v>#N/A</v>
      </c>
      <c r="S198" s="203" t="str">
        <f t="array" ref="S198">IF(OR(C198=[1]告訴人!$F$15:$F$372),"重疊","")</f>
        <v/>
      </c>
    </row>
    <row r="199" spans="1:23" ht="47.25" customHeight="1">
      <c r="A199" s="166">
        <v>196</v>
      </c>
      <c r="B199" s="166" t="s">
        <v>32</v>
      </c>
      <c r="C199" s="166" t="s">
        <v>523</v>
      </c>
      <c r="D199" s="167"/>
      <c r="E199" s="168" t="s">
        <v>62</v>
      </c>
      <c r="F199" s="169">
        <v>5000</v>
      </c>
      <c r="G199" s="168">
        <v>67</v>
      </c>
      <c r="H199" s="169">
        <v>335000</v>
      </c>
      <c r="I199" s="346" t="s">
        <v>2949</v>
      </c>
      <c r="J199" s="346" t="s">
        <v>2949</v>
      </c>
      <c r="K199" s="170" t="s">
        <v>3078</v>
      </c>
      <c r="L199" s="170" t="s">
        <v>3576</v>
      </c>
      <c r="M199" s="175" t="s">
        <v>2907</v>
      </c>
      <c r="N199" s="172">
        <v>335000</v>
      </c>
      <c r="O199" s="172"/>
      <c r="P199" s="173" t="s">
        <v>2461</v>
      </c>
      <c r="Q199" s="174" t="str">
        <f t="shared" si="3"/>
        <v>註3</v>
      </c>
      <c r="R199" s="203" t="e">
        <f>INDEX([1]告訴人!$D$15:$F$372,MATCH(C199,[1]告訴人!$F$15:$F$372,0),1)</f>
        <v>#N/A</v>
      </c>
      <c r="S199" s="203" t="str">
        <f t="array" ref="S199">IF(OR(C199=[1]告訴人!$F$15:$F$372),"重疊","")</f>
        <v/>
      </c>
      <c r="T199" s="203">
        <v>1</v>
      </c>
      <c r="V199" s="203">
        <v>1</v>
      </c>
    </row>
    <row r="200" spans="1:23" ht="108.75" customHeight="1">
      <c r="A200" s="166">
        <v>197</v>
      </c>
      <c r="B200" s="166" t="s">
        <v>32</v>
      </c>
      <c r="C200" s="166" t="s">
        <v>180</v>
      </c>
      <c r="D200" s="167"/>
      <c r="E200" s="168" t="s">
        <v>182</v>
      </c>
      <c r="F200" s="169">
        <v>1000</v>
      </c>
      <c r="G200" s="168">
        <v>25</v>
      </c>
      <c r="H200" s="169">
        <v>25000</v>
      </c>
      <c r="I200" s="186" t="s">
        <v>2921</v>
      </c>
      <c r="J200" s="186" t="s">
        <v>2921</v>
      </c>
      <c r="K200" s="170" t="s">
        <v>3186</v>
      </c>
      <c r="L200" s="170" t="s">
        <v>3599</v>
      </c>
      <c r="M200" s="175" t="s">
        <v>2907</v>
      </c>
      <c r="N200" s="172">
        <v>25000</v>
      </c>
      <c r="O200" s="172"/>
      <c r="P200" s="173" t="s">
        <v>2461</v>
      </c>
      <c r="Q200" s="174" t="str">
        <f t="shared" si="3"/>
        <v>註3</v>
      </c>
      <c r="R200" s="203">
        <f>INDEX([1]告訴人!$D$15:$F$372,MATCH(C200,[1]告訴人!$F$15:$F$372,0),1)</f>
        <v>338</v>
      </c>
      <c r="S200" s="203" t="str">
        <f t="array" ref="S200">IF(OR(C200=[1]告訴人!$F$15:$F$372),"重疊","")</f>
        <v>重疊</v>
      </c>
      <c r="T200" s="203">
        <v>1</v>
      </c>
      <c r="V200" s="203">
        <v>1</v>
      </c>
    </row>
    <row r="201" spans="1:23">
      <c r="A201" s="166">
        <v>198</v>
      </c>
      <c r="B201" s="166" t="s">
        <v>32</v>
      </c>
      <c r="C201" s="166" t="s">
        <v>568</v>
      </c>
      <c r="D201" s="167"/>
      <c r="E201" s="168" t="s">
        <v>182</v>
      </c>
      <c r="F201" s="169">
        <v>1000</v>
      </c>
      <c r="G201" s="168">
        <v>69</v>
      </c>
      <c r="H201" s="169">
        <v>69000</v>
      </c>
      <c r="I201" s="186"/>
      <c r="J201" s="186"/>
      <c r="K201" s="170" t="s">
        <v>2908</v>
      </c>
      <c r="L201" s="170"/>
      <c r="M201" s="175"/>
      <c r="N201" s="172">
        <v>69000</v>
      </c>
      <c r="O201" s="172"/>
      <c r="P201" s="173" t="s">
        <v>2461</v>
      </c>
      <c r="Q201" s="174" t="str">
        <f t="shared" si="3"/>
        <v>註3</v>
      </c>
      <c r="R201" s="203" t="e">
        <f>INDEX([1]告訴人!$D$15:$F$372,MATCH(C201,[1]告訴人!$F$15:$F$372,0),1)</f>
        <v>#N/A</v>
      </c>
      <c r="S201" s="203" t="str">
        <f t="array" ref="S201">IF(OR(C201=[1]告訴人!$F$15:$F$372),"重疊","")</f>
        <v/>
      </c>
    </row>
    <row r="202" spans="1:23" ht="35" customHeight="1">
      <c r="A202" s="166">
        <v>199</v>
      </c>
      <c r="B202" s="166" t="s">
        <v>32</v>
      </c>
      <c r="C202" s="166" t="s">
        <v>309</v>
      </c>
      <c r="D202" s="167"/>
      <c r="E202" s="168" t="s">
        <v>182</v>
      </c>
      <c r="F202" s="169">
        <v>1000</v>
      </c>
      <c r="G202" s="168">
        <v>69</v>
      </c>
      <c r="H202" s="169">
        <v>69000</v>
      </c>
      <c r="I202" s="186" t="s">
        <v>2921</v>
      </c>
      <c r="J202" s="186" t="s">
        <v>2921</v>
      </c>
      <c r="K202" s="170" t="s">
        <v>3158</v>
      </c>
      <c r="L202" s="170" t="s">
        <v>3581</v>
      </c>
      <c r="M202" s="175" t="s">
        <v>2907</v>
      </c>
      <c r="N202" s="172"/>
      <c r="O202" s="172">
        <v>69000</v>
      </c>
      <c r="P202" s="173" t="s">
        <v>2463</v>
      </c>
      <c r="Q202" s="174" t="str">
        <f t="shared" si="3"/>
        <v>註4</v>
      </c>
      <c r="R202" s="203">
        <f>INDEX([1]告訴人!$D$15:$F$372,MATCH(C202,[1]告訴人!$F$15:$F$372,0),1)</f>
        <v>179</v>
      </c>
      <c r="S202" s="203" t="str">
        <f t="array" ref="S202">IF(OR(C202=[1]告訴人!$F$15:$F$372),"重疊","")</f>
        <v>重疊</v>
      </c>
      <c r="T202" s="203">
        <v>1</v>
      </c>
      <c r="U202" s="203">
        <v>1</v>
      </c>
    </row>
    <row r="203" spans="1:23">
      <c r="A203" s="166">
        <v>200</v>
      </c>
      <c r="B203" s="166" t="s">
        <v>32</v>
      </c>
      <c r="C203" s="166" t="s">
        <v>171</v>
      </c>
      <c r="D203" s="167"/>
      <c r="E203" s="168" t="s">
        <v>63</v>
      </c>
      <c r="F203" s="169">
        <v>1000</v>
      </c>
      <c r="G203" s="168">
        <v>25</v>
      </c>
      <c r="H203" s="169">
        <v>25000</v>
      </c>
      <c r="I203" s="186"/>
      <c r="J203" s="186"/>
      <c r="K203" s="170" t="s">
        <v>2908</v>
      </c>
      <c r="L203" s="170"/>
      <c r="M203" s="175"/>
      <c r="N203" s="172">
        <v>25000</v>
      </c>
      <c r="O203" s="172"/>
      <c r="P203" s="173" t="s">
        <v>2461</v>
      </c>
      <c r="Q203" s="174" t="str">
        <f t="shared" si="3"/>
        <v>註3</v>
      </c>
      <c r="R203" s="203" t="e">
        <f>INDEX([1]告訴人!$D$15:$F$372,MATCH(C203,[1]告訴人!$F$15:$F$372,0),1)</f>
        <v>#N/A</v>
      </c>
      <c r="S203" s="203" t="str">
        <f t="array" ref="S203">IF(OR(C203=[1]告訴人!$F$15:$F$372),"重疊","")</f>
        <v/>
      </c>
    </row>
    <row r="204" spans="1:23">
      <c r="A204" s="166">
        <v>201</v>
      </c>
      <c r="B204" s="166" t="s">
        <v>32</v>
      </c>
      <c r="C204" s="166" t="s">
        <v>172</v>
      </c>
      <c r="D204" s="167"/>
      <c r="E204" s="168" t="s">
        <v>63</v>
      </c>
      <c r="F204" s="169">
        <v>1000</v>
      </c>
      <c r="G204" s="168">
        <v>25</v>
      </c>
      <c r="H204" s="169">
        <v>25000</v>
      </c>
      <c r="I204" s="186"/>
      <c r="J204" s="186"/>
      <c r="K204" s="170" t="s">
        <v>2908</v>
      </c>
      <c r="L204" s="170"/>
      <c r="M204" s="175"/>
      <c r="N204" s="172">
        <v>25000</v>
      </c>
      <c r="O204" s="172"/>
      <c r="P204" s="173" t="s">
        <v>2461</v>
      </c>
      <c r="Q204" s="174" t="str">
        <f t="shared" si="3"/>
        <v>註3</v>
      </c>
      <c r="R204" s="203" t="e">
        <f>INDEX([1]告訴人!$D$15:$F$372,MATCH(C204,[1]告訴人!$F$15:$F$372,0),1)</f>
        <v>#N/A</v>
      </c>
      <c r="S204" s="203" t="str">
        <f t="array" ref="S204">IF(OR(C204=[1]告訴人!$F$15:$F$372),"重疊","")</f>
        <v/>
      </c>
    </row>
    <row r="205" spans="1:23">
      <c r="A205" s="166">
        <v>202</v>
      </c>
      <c r="B205" s="166" t="s">
        <v>32</v>
      </c>
      <c r="C205" s="166" t="s">
        <v>215</v>
      </c>
      <c r="D205" s="167"/>
      <c r="E205" s="168" t="s">
        <v>63</v>
      </c>
      <c r="F205" s="169">
        <v>3000</v>
      </c>
      <c r="G205" s="168">
        <v>25</v>
      </c>
      <c r="H205" s="169">
        <v>75000</v>
      </c>
      <c r="I205" s="186"/>
      <c r="J205" s="186"/>
      <c r="K205" s="170" t="s">
        <v>2908</v>
      </c>
      <c r="L205" s="170"/>
      <c r="M205" s="175"/>
      <c r="N205" s="172">
        <v>75000</v>
      </c>
      <c r="O205" s="172"/>
      <c r="P205" s="173" t="s">
        <v>2461</v>
      </c>
      <c r="Q205" s="174" t="str">
        <f t="shared" si="3"/>
        <v>註3</v>
      </c>
      <c r="R205" s="203">
        <f>INDEX([1]告訴人!$D$15:$F$372,MATCH(C205,[1]告訴人!$F$15:$F$372,0),1)</f>
        <v>76</v>
      </c>
      <c r="S205" s="203" t="str">
        <f t="array" ref="S205">IF(OR(C205=[1]告訴人!$F$15:$F$372),"重疊","")</f>
        <v>重疊</v>
      </c>
    </row>
    <row r="206" spans="1:23">
      <c r="A206" s="166">
        <v>203</v>
      </c>
      <c r="B206" s="166" t="s">
        <v>32</v>
      </c>
      <c r="C206" s="166" t="s">
        <v>171</v>
      </c>
      <c r="D206" s="167"/>
      <c r="E206" s="168" t="s">
        <v>63</v>
      </c>
      <c r="F206" s="169">
        <v>1000</v>
      </c>
      <c r="G206" s="168">
        <v>67</v>
      </c>
      <c r="H206" s="169">
        <v>67000</v>
      </c>
      <c r="I206" s="186"/>
      <c r="J206" s="186"/>
      <c r="K206" s="170" t="s">
        <v>2908</v>
      </c>
      <c r="L206" s="170"/>
      <c r="M206" s="175"/>
      <c r="N206" s="172">
        <v>67000</v>
      </c>
      <c r="O206" s="172"/>
      <c r="P206" s="173" t="s">
        <v>2461</v>
      </c>
      <c r="Q206" s="174" t="str">
        <f t="shared" si="3"/>
        <v>註3</v>
      </c>
      <c r="R206" s="203" t="e">
        <f>INDEX([1]告訴人!$D$15:$F$372,MATCH(C206,[1]告訴人!$F$15:$F$372,0),1)</f>
        <v>#N/A</v>
      </c>
      <c r="S206" s="203" t="str">
        <f t="array" ref="S206">IF(OR(C206=[1]告訴人!$F$15:$F$372),"重疊","")</f>
        <v/>
      </c>
    </row>
    <row r="207" spans="1:23">
      <c r="A207" s="166">
        <v>204</v>
      </c>
      <c r="B207" s="166" t="s">
        <v>32</v>
      </c>
      <c r="C207" s="166" t="s">
        <v>172</v>
      </c>
      <c r="D207" s="167"/>
      <c r="E207" s="168" t="s">
        <v>63</v>
      </c>
      <c r="F207" s="169">
        <v>1000</v>
      </c>
      <c r="G207" s="168">
        <v>67</v>
      </c>
      <c r="H207" s="169">
        <v>67000</v>
      </c>
      <c r="I207" s="186"/>
      <c r="J207" s="186"/>
      <c r="K207" s="170" t="s">
        <v>2908</v>
      </c>
      <c r="L207" s="170"/>
      <c r="M207" s="175"/>
      <c r="N207" s="172">
        <v>67000</v>
      </c>
      <c r="O207" s="172"/>
      <c r="P207" s="173" t="s">
        <v>2461</v>
      </c>
      <c r="Q207" s="174" t="str">
        <f t="shared" si="3"/>
        <v>註3</v>
      </c>
      <c r="R207" s="203" t="e">
        <f>INDEX([1]告訴人!$D$15:$F$372,MATCH(C207,[1]告訴人!$F$15:$F$372,0),1)</f>
        <v>#N/A</v>
      </c>
      <c r="S207" s="203" t="str">
        <f t="array" ref="S207">IF(OR(C207=[1]告訴人!$F$15:$F$372),"重疊","")</f>
        <v/>
      </c>
    </row>
    <row r="208" spans="1:23" ht="18.649999999999999" customHeight="1">
      <c r="A208" s="166">
        <v>205</v>
      </c>
      <c r="B208" s="166" t="s">
        <v>32</v>
      </c>
      <c r="C208" s="166" t="s">
        <v>215</v>
      </c>
      <c r="D208" s="167"/>
      <c r="E208" s="168" t="s">
        <v>63</v>
      </c>
      <c r="F208" s="169">
        <v>3000</v>
      </c>
      <c r="G208" s="168">
        <v>67</v>
      </c>
      <c r="H208" s="169">
        <v>201000</v>
      </c>
      <c r="I208" s="186"/>
      <c r="J208" s="186"/>
      <c r="K208" s="170" t="s">
        <v>2908</v>
      </c>
      <c r="L208" s="170"/>
      <c r="M208" s="157"/>
      <c r="N208" s="172">
        <v>201000</v>
      </c>
      <c r="O208" s="172"/>
      <c r="P208" s="173" t="s">
        <v>2461</v>
      </c>
      <c r="Q208" s="174" t="str">
        <f t="shared" si="3"/>
        <v>註3</v>
      </c>
      <c r="R208" s="203">
        <f>INDEX([1]告訴人!$D$15:$F$372,MATCH(C208,[1]告訴人!$F$15:$F$372,0),1)</f>
        <v>76</v>
      </c>
      <c r="S208" s="203" t="str">
        <f t="array" ref="S208">IF(OR(C208=[1]告訴人!$F$15:$F$372),"重疊","")</f>
        <v>重疊</v>
      </c>
    </row>
    <row r="209" spans="1:23" ht="22.65" customHeight="1">
      <c r="A209" s="166">
        <v>206</v>
      </c>
      <c r="B209" s="166" t="s">
        <v>32</v>
      </c>
      <c r="C209" s="166" t="s">
        <v>151</v>
      </c>
      <c r="D209" s="167"/>
      <c r="E209" s="168" t="s">
        <v>64</v>
      </c>
      <c r="F209" s="169">
        <v>10000</v>
      </c>
      <c r="G209" s="168">
        <v>25</v>
      </c>
      <c r="H209" s="169">
        <v>250000</v>
      </c>
      <c r="I209" s="186" t="s">
        <v>2921</v>
      </c>
      <c r="J209" s="186" t="s">
        <v>2921</v>
      </c>
      <c r="K209" s="170" t="s">
        <v>2462</v>
      </c>
      <c r="L209" s="170"/>
      <c r="M209" s="175" t="s">
        <v>2907</v>
      </c>
      <c r="N209" s="172"/>
      <c r="O209" s="172"/>
      <c r="P209" s="173" t="s">
        <v>1832</v>
      </c>
      <c r="Q209" s="174" t="str">
        <f t="shared" si="3"/>
        <v/>
      </c>
      <c r="R209" s="203">
        <f>INDEX([1]告訴人!$D$15:$F$372,MATCH(C209,[1]告訴人!$F$15:$F$372,0),1)</f>
        <v>175</v>
      </c>
      <c r="S209" s="203" t="str">
        <f t="array" ref="S209">IF(OR(C209=[1]告訴人!$F$15:$F$372),"重疊","")</f>
        <v>重疊</v>
      </c>
      <c r="T209" s="203">
        <v>1</v>
      </c>
    </row>
    <row r="210" spans="1:23" ht="22.65" customHeight="1">
      <c r="A210" s="166">
        <v>207</v>
      </c>
      <c r="B210" s="166" t="s">
        <v>32</v>
      </c>
      <c r="C210" s="166" t="s">
        <v>191</v>
      </c>
      <c r="D210" s="167"/>
      <c r="E210" s="168" t="s">
        <v>64</v>
      </c>
      <c r="F210" s="169">
        <v>2000</v>
      </c>
      <c r="G210" s="168">
        <v>25</v>
      </c>
      <c r="H210" s="169">
        <v>50000</v>
      </c>
      <c r="I210" s="186"/>
      <c r="J210" s="186"/>
      <c r="K210" s="170" t="s">
        <v>2908</v>
      </c>
      <c r="L210" s="170"/>
      <c r="M210" s="175"/>
      <c r="N210" s="172">
        <v>50000</v>
      </c>
      <c r="O210" s="172"/>
      <c r="P210" s="173" t="s">
        <v>2461</v>
      </c>
      <c r="Q210" s="174" t="str">
        <f t="shared" si="3"/>
        <v>註3</v>
      </c>
      <c r="R210" s="203">
        <f>INDEX([1]告訴人!$D$15:$F$372,MATCH(C210,[1]告訴人!$F$15:$F$372,0),1)</f>
        <v>356</v>
      </c>
      <c r="S210" s="203" t="str">
        <f t="array" ref="S210">IF(OR(C210=[1]告訴人!$F$15:$F$372),"重疊","")</f>
        <v>重疊</v>
      </c>
    </row>
    <row r="211" spans="1:23" ht="14.4" customHeight="1">
      <c r="A211" s="166">
        <v>208</v>
      </c>
      <c r="B211" s="166" t="s">
        <v>32</v>
      </c>
      <c r="C211" s="166" t="s">
        <v>311</v>
      </c>
      <c r="D211" s="167"/>
      <c r="E211" s="168" t="s">
        <v>64</v>
      </c>
      <c r="F211" s="169">
        <v>1000</v>
      </c>
      <c r="G211" s="168">
        <v>25</v>
      </c>
      <c r="H211" s="169">
        <v>25000</v>
      </c>
      <c r="I211" s="186" t="s">
        <v>2921</v>
      </c>
      <c r="J211" s="186" t="s">
        <v>2921</v>
      </c>
      <c r="K211" s="170" t="s">
        <v>2462</v>
      </c>
      <c r="L211" s="170"/>
      <c r="M211" s="157" t="s">
        <v>2907</v>
      </c>
      <c r="N211" s="172"/>
      <c r="O211" s="172"/>
      <c r="P211" s="173" t="s">
        <v>1832</v>
      </c>
      <c r="Q211" s="174" t="str">
        <f t="shared" si="3"/>
        <v/>
      </c>
      <c r="R211" s="203">
        <f>INDEX([1]告訴人!$D$15:$F$372,MATCH(C211,[1]告訴人!$F$15:$F$372,0),1)</f>
        <v>198</v>
      </c>
      <c r="S211" s="203" t="str">
        <f t="array" ref="S211">IF(OR(C211=[1]告訴人!$F$15:$F$372),"重疊","")</f>
        <v>重疊</v>
      </c>
      <c r="T211" s="203">
        <v>1</v>
      </c>
    </row>
    <row r="212" spans="1:23" ht="25.5" customHeight="1">
      <c r="A212" s="166">
        <v>209</v>
      </c>
      <c r="B212" s="166" t="s">
        <v>32</v>
      </c>
      <c r="C212" s="166" t="s">
        <v>191</v>
      </c>
      <c r="D212" s="167"/>
      <c r="E212" s="168" t="s">
        <v>64</v>
      </c>
      <c r="F212" s="169">
        <v>10000</v>
      </c>
      <c r="G212" s="168">
        <v>67</v>
      </c>
      <c r="H212" s="169">
        <v>670000</v>
      </c>
      <c r="I212" s="186"/>
      <c r="J212" s="186"/>
      <c r="K212" s="170" t="s">
        <v>2908</v>
      </c>
      <c r="L212" s="170"/>
      <c r="M212" s="157"/>
      <c r="N212" s="172">
        <v>670000</v>
      </c>
      <c r="O212" s="172"/>
      <c r="P212" s="173" t="s">
        <v>2461</v>
      </c>
      <c r="Q212" s="174" t="str">
        <f t="shared" si="3"/>
        <v>註3</v>
      </c>
      <c r="R212" s="203">
        <f>INDEX([1]告訴人!$D$15:$F$372,MATCH(C212,[1]告訴人!$F$15:$F$372,0),1)</f>
        <v>356</v>
      </c>
      <c r="S212" s="203" t="str">
        <f t="array" ref="S212">IF(OR(C212=[1]告訴人!$F$15:$F$372),"重疊","")</f>
        <v>重疊</v>
      </c>
    </row>
    <row r="213" spans="1:23" ht="15.65" customHeight="1">
      <c r="A213" s="166">
        <v>210</v>
      </c>
      <c r="B213" s="166" t="s">
        <v>32</v>
      </c>
      <c r="C213" s="166" t="s">
        <v>151</v>
      </c>
      <c r="D213" s="167"/>
      <c r="E213" s="168" t="s">
        <v>64</v>
      </c>
      <c r="F213" s="169">
        <v>10000</v>
      </c>
      <c r="G213" s="168">
        <v>69</v>
      </c>
      <c r="H213" s="169">
        <v>690000</v>
      </c>
      <c r="I213" s="186" t="s">
        <v>2921</v>
      </c>
      <c r="J213" s="186" t="s">
        <v>2921</v>
      </c>
      <c r="K213" s="170" t="s">
        <v>2462</v>
      </c>
      <c r="L213" s="170"/>
      <c r="M213" s="157" t="s">
        <v>2907</v>
      </c>
      <c r="N213" s="172"/>
      <c r="O213" s="172"/>
      <c r="P213" s="173" t="s">
        <v>1832</v>
      </c>
      <c r="Q213" s="174" t="str">
        <f t="shared" si="3"/>
        <v/>
      </c>
      <c r="R213" s="203">
        <f>INDEX([1]告訴人!$D$15:$F$372,MATCH(C213,[1]告訴人!$F$15:$F$372,0),1)</f>
        <v>175</v>
      </c>
      <c r="S213" s="203" t="str">
        <f t="array" ref="S213">IF(OR(C213=[1]告訴人!$F$15:$F$372),"重疊","")</f>
        <v>重疊</v>
      </c>
      <c r="T213" s="203">
        <v>1</v>
      </c>
    </row>
    <row r="214" spans="1:23">
      <c r="A214" s="166">
        <v>211</v>
      </c>
      <c r="B214" s="166" t="s">
        <v>32</v>
      </c>
      <c r="C214" s="166" t="s">
        <v>311</v>
      </c>
      <c r="D214" s="167"/>
      <c r="E214" s="168" t="s">
        <v>64</v>
      </c>
      <c r="F214" s="169">
        <v>1000</v>
      </c>
      <c r="G214" s="168">
        <v>69</v>
      </c>
      <c r="H214" s="169">
        <v>69000</v>
      </c>
      <c r="I214" s="186" t="s">
        <v>2921</v>
      </c>
      <c r="J214" s="186" t="s">
        <v>2921</v>
      </c>
      <c r="K214" s="170" t="s">
        <v>2462</v>
      </c>
      <c r="L214" s="170"/>
      <c r="M214" s="157" t="s">
        <v>2907</v>
      </c>
      <c r="N214" s="172"/>
      <c r="O214" s="172"/>
      <c r="P214" s="173" t="s">
        <v>1832</v>
      </c>
      <c r="Q214" s="174" t="str">
        <f t="shared" si="3"/>
        <v/>
      </c>
      <c r="R214" s="203">
        <f>INDEX([1]告訴人!$D$15:$F$372,MATCH(C214,[1]告訴人!$F$15:$F$372,0),1)</f>
        <v>198</v>
      </c>
      <c r="S214" s="203" t="str">
        <f t="array" ref="S214">IF(OR(C214=[1]告訴人!$F$15:$F$372),"重疊","")</f>
        <v>重疊</v>
      </c>
      <c r="T214" s="203">
        <v>1</v>
      </c>
    </row>
    <row r="215" spans="1:23" ht="45" customHeight="1">
      <c r="A215" s="166">
        <v>212</v>
      </c>
      <c r="B215" s="166" t="s">
        <v>32</v>
      </c>
      <c r="C215" s="166" t="s">
        <v>261</v>
      </c>
      <c r="D215" s="167"/>
      <c r="E215" s="168" t="s">
        <v>5</v>
      </c>
      <c r="F215" s="169">
        <v>2000</v>
      </c>
      <c r="G215" s="168">
        <v>25</v>
      </c>
      <c r="H215" s="169">
        <v>50000</v>
      </c>
      <c r="I215" s="186" t="s">
        <v>2921</v>
      </c>
      <c r="J215" s="186" t="s">
        <v>2921</v>
      </c>
      <c r="K215" s="170" t="s">
        <v>3158</v>
      </c>
      <c r="L215" s="170" t="s">
        <v>3601</v>
      </c>
      <c r="M215" s="157" t="s">
        <v>2907</v>
      </c>
      <c r="N215" s="172"/>
      <c r="O215" s="172">
        <v>50000</v>
      </c>
      <c r="P215" s="173" t="s">
        <v>2463</v>
      </c>
      <c r="Q215" s="174" t="str">
        <f t="shared" si="3"/>
        <v>註4</v>
      </c>
      <c r="R215" s="203">
        <f>INDEX([1]告訴人!$D$15:$F$372,MATCH(C215,[1]告訴人!$F$15:$F$372,0),1)</f>
        <v>185</v>
      </c>
      <c r="S215" s="203" t="str">
        <f t="array" ref="S215">IF(OR(C215=[1]告訴人!$F$15:$F$372),"重疊","")</f>
        <v>重疊</v>
      </c>
      <c r="T215" s="203">
        <v>1</v>
      </c>
      <c r="U215" s="203">
        <v>1</v>
      </c>
    </row>
    <row r="216" spans="1:23" ht="19.25" customHeight="1">
      <c r="A216" s="166">
        <v>213</v>
      </c>
      <c r="B216" s="166" t="s">
        <v>32</v>
      </c>
      <c r="C216" s="166" t="s">
        <v>256</v>
      </c>
      <c r="D216" s="167"/>
      <c r="E216" s="168" t="s">
        <v>5</v>
      </c>
      <c r="F216" s="169">
        <v>5000</v>
      </c>
      <c r="G216" s="168">
        <v>67</v>
      </c>
      <c r="H216" s="169">
        <v>335000</v>
      </c>
      <c r="I216" s="186" t="s">
        <v>2921</v>
      </c>
      <c r="J216" s="186" t="s">
        <v>2921</v>
      </c>
      <c r="K216" s="170" t="s">
        <v>2462</v>
      </c>
      <c r="L216" s="170"/>
      <c r="M216" s="157" t="s">
        <v>2907</v>
      </c>
      <c r="N216" s="172"/>
      <c r="O216" s="172"/>
      <c r="P216" s="173" t="s">
        <v>1832</v>
      </c>
      <c r="Q216" s="174" t="str">
        <f t="shared" si="3"/>
        <v/>
      </c>
      <c r="R216" s="203">
        <f>INDEX([1]告訴人!$D$15:$F$372,MATCH(C216,[1]告訴人!$F$15:$F$372,0),1)</f>
        <v>318</v>
      </c>
      <c r="S216" s="203" t="str">
        <f t="array" ref="S216">IF(OR(C216=[1]告訴人!$F$15:$F$372),"重疊","")</f>
        <v>重疊</v>
      </c>
      <c r="T216" s="203">
        <v>1</v>
      </c>
    </row>
    <row r="217" spans="1:23" ht="44.25" customHeight="1">
      <c r="A217" s="166">
        <v>214</v>
      </c>
      <c r="B217" s="166" t="s">
        <v>32</v>
      </c>
      <c r="C217" s="166" t="s">
        <v>147</v>
      </c>
      <c r="D217" s="167" t="s">
        <v>2927</v>
      </c>
      <c r="E217" s="168" t="s">
        <v>5</v>
      </c>
      <c r="F217" s="169">
        <v>2000</v>
      </c>
      <c r="G217" s="168">
        <v>69</v>
      </c>
      <c r="H217" s="169">
        <v>138000</v>
      </c>
      <c r="I217" s="186" t="s">
        <v>2922</v>
      </c>
      <c r="J217" s="186" t="s">
        <v>2922</v>
      </c>
      <c r="K217" s="170" t="s">
        <v>3158</v>
      </c>
      <c r="L217" s="170" t="s">
        <v>3581</v>
      </c>
      <c r="M217" s="171" t="s">
        <v>2907</v>
      </c>
      <c r="N217" s="172"/>
      <c r="O217" s="172">
        <v>138000</v>
      </c>
      <c r="P217" s="173" t="s">
        <v>2465</v>
      </c>
      <c r="Q217" s="174" t="str">
        <f t="shared" si="3"/>
        <v>註4</v>
      </c>
      <c r="R217" s="203">
        <f>INDEX([1]告訴人!$D$15:$F$372,MATCH(C217,[1]告訴人!$F$15:$F$372,0),1)</f>
        <v>233</v>
      </c>
      <c r="S217" s="203" t="str">
        <f t="array" ref="S217">IF(OR(C217=[1]告訴人!$F$15:$F$372),"重疊","")</f>
        <v>重疊</v>
      </c>
      <c r="T217" s="203">
        <v>1</v>
      </c>
      <c r="U217" s="203">
        <v>1</v>
      </c>
      <c r="W217" s="203" t="s">
        <v>2907</v>
      </c>
    </row>
    <row r="218" spans="1:23" ht="58.65" customHeight="1">
      <c r="A218" s="166">
        <v>215</v>
      </c>
      <c r="B218" s="166" t="s">
        <v>32</v>
      </c>
      <c r="C218" s="166" t="s">
        <v>227</v>
      </c>
      <c r="D218" s="167"/>
      <c r="E218" s="168" t="s">
        <v>5</v>
      </c>
      <c r="F218" s="169">
        <v>1000</v>
      </c>
      <c r="G218" s="168">
        <v>69</v>
      </c>
      <c r="H218" s="169">
        <v>69000</v>
      </c>
      <c r="I218" s="186" t="s">
        <v>2922</v>
      </c>
      <c r="J218" s="186" t="s">
        <v>2922</v>
      </c>
      <c r="K218" s="170" t="s">
        <v>3170</v>
      </c>
      <c r="L218" s="170" t="s">
        <v>2950</v>
      </c>
      <c r="M218" s="157" t="s">
        <v>2907</v>
      </c>
      <c r="N218" s="172"/>
      <c r="O218" s="172">
        <v>69000</v>
      </c>
      <c r="P218" s="173" t="s">
        <v>2465</v>
      </c>
      <c r="Q218" s="174" t="str">
        <f t="shared" si="3"/>
        <v>註4</v>
      </c>
      <c r="R218" s="203" t="e">
        <f>INDEX([1]告訴人!$D$15:$F$372,MATCH(C218,[1]告訴人!$F$15:$F$372,0),1)</f>
        <v>#N/A</v>
      </c>
      <c r="S218" s="203" t="str">
        <f t="array" ref="S218">IF(OR(C218=[1]告訴人!$F$15:$F$372),"重疊","")</f>
        <v/>
      </c>
      <c r="T218" s="203">
        <v>1</v>
      </c>
      <c r="U218" s="203">
        <v>1</v>
      </c>
      <c r="W218" s="203" t="s">
        <v>2907</v>
      </c>
    </row>
    <row r="219" spans="1:23" ht="47.25" customHeight="1">
      <c r="A219" s="166">
        <v>216</v>
      </c>
      <c r="B219" s="166" t="s">
        <v>32</v>
      </c>
      <c r="C219" s="166" t="s">
        <v>261</v>
      </c>
      <c r="D219" s="167"/>
      <c r="E219" s="168" t="s">
        <v>5</v>
      </c>
      <c r="F219" s="169">
        <v>2000</v>
      </c>
      <c r="G219" s="168">
        <v>69</v>
      </c>
      <c r="H219" s="169">
        <v>138000</v>
      </c>
      <c r="I219" s="186" t="s">
        <v>2921</v>
      </c>
      <c r="J219" s="186" t="s">
        <v>2921</v>
      </c>
      <c r="K219" s="170" t="s">
        <v>3158</v>
      </c>
      <c r="L219" s="170" t="s">
        <v>3581</v>
      </c>
      <c r="M219" s="175" t="s">
        <v>2907</v>
      </c>
      <c r="N219" s="172"/>
      <c r="O219" s="172">
        <v>138000</v>
      </c>
      <c r="P219" s="173" t="s">
        <v>2463</v>
      </c>
      <c r="Q219" s="174" t="str">
        <f t="shared" si="3"/>
        <v>註4</v>
      </c>
      <c r="R219" s="203">
        <f>INDEX([1]告訴人!$D$15:$F$372,MATCH(C219,[1]告訴人!$F$15:$F$372,0),1)</f>
        <v>185</v>
      </c>
      <c r="S219" s="203" t="str">
        <f t="array" ref="S219">IF(OR(C219=[1]告訴人!$F$15:$F$372),"重疊","")</f>
        <v>重疊</v>
      </c>
      <c r="T219" s="203">
        <v>1</v>
      </c>
      <c r="U219" s="203">
        <v>1</v>
      </c>
    </row>
    <row r="220" spans="1:23" ht="19.25" customHeight="1">
      <c r="A220" s="166">
        <v>217</v>
      </c>
      <c r="B220" s="166" t="s">
        <v>32</v>
      </c>
      <c r="C220" s="166" t="s">
        <v>302</v>
      </c>
      <c r="D220" s="167"/>
      <c r="E220" s="168" t="s">
        <v>5</v>
      </c>
      <c r="F220" s="169">
        <v>5000</v>
      </c>
      <c r="G220" s="168">
        <v>69</v>
      </c>
      <c r="H220" s="169">
        <v>345000</v>
      </c>
      <c r="I220" s="186"/>
      <c r="J220" s="186"/>
      <c r="K220" s="170" t="s">
        <v>2908</v>
      </c>
      <c r="L220" s="170"/>
      <c r="M220" s="157"/>
      <c r="N220" s="172">
        <v>345000</v>
      </c>
      <c r="O220" s="172"/>
      <c r="P220" s="173" t="s">
        <v>2461</v>
      </c>
      <c r="Q220" s="174" t="str">
        <f t="shared" si="3"/>
        <v>註3</v>
      </c>
      <c r="R220" s="203" t="e">
        <f>INDEX([1]告訴人!$D$15:$F$372,MATCH(C220,[1]告訴人!$F$15:$F$372,0),1)</f>
        <v>#N/A</v>
      </c>
      <c r="S220" s="203" t="str">
        <f t="array" ref="S220">IF(OR(C220=[1]告訴人!$F$15:$F$372),"重疊","")</f>
        <v/>
      </c>
    </row>
    <row r="221" spans="1:23" ht="16.25" customHeight="1">
      <c r="A221" s="166">
        <v>218</v>
      </c>
      <c r="B221" s="166" t="s">
        <v>32</v>
      </c>
      <c r="C221" s="166" t="s">
        <v>148</v>
      </c>
      <c r="D221" s="167"/>
      <c r="E221" s="168" t="s">
        <v>65</v>
      </c>
      <c r="F221" s="169">
        <v>1000</v>
      </c>
      <c r="G221" s="168">
        <v>25</v>
      </c>
      <c r="H221" s="169">
        <v>25000</v>
      </c>
      <c r="I221" s="186" t="s">
        <v>2921</v>
      </c>
      <c r="J221" s="186" t="s">
        <v>2921</v>
      </c>
      <c r="K221" s="170" t="s">
        <v>2462</v>
      </c>
      <c r="L221" s="170"/>
      <c r="M221" s="175" t="s">
        <v>2907</v>
      </c>
      <c r="N221" s="172"/>
      <c r="O221" s="172"/>
      <c r="P221" s="173" t="s">
        <v>1832</v>
      </c>
      <c r="Q221" s="174" t="str">
        <f t="shared" si="3"/>
        <v/>
      </c>
      <c r="R221" s="203">
        <f>INDEX([1]告訴人!$D$15:$F$372,MATCH(C221,[1]告訴人!$F$15:$F$372,0),1)</f>
        <v>172</v>
      </c>
      <c r="S221" s="203" t="str">
        <f t="array" ref="S221">IF(OR(C221=[1]告訴人!$F$15:$F$372),"重疊","")</f>
        <v>重疊</v>
      </c>
      <c r="T221" s="203">
        <v>1</v>
      </c>
    </row>
    <row r="222" spans="1:23" ht="15.65" customHeight="1">
      <c r="A222" s="166">
        <v>219</v>
      </c>
      <c r="B222" s="166" t="s">
        <v>32</v>
      </c>
      <c r="C222" s="166" t="s">
        <v>204</v>
      </c>
      <c r="D222" s="167"/>
      <c r="E222" s="168" t="s">
        <v>65</v>
      </c>
      <c r="F222" s="169">
        <v>1000</v>
      </c>
      <c r="G222" s="168">
        <v>25</v>
      </c>
      <c r="H222" s="169">
        <v>25000</v>
      </c>
      <c r="I222" s="186"/>
      <c r="J222" s="186"/>
      <c r="K222" s="170" t="s">
        <v>2908</v>
      </c>
      <c r="L222" s="170"/>
      <c r="M222" s="175"/>
      <c r="N222" s="172">
        <v>25000</v>
      </c>
      <c r="O222" s="172"/>
      <c r="P222" s="173" t="s">
        <v>2461</v>
      </c>
      <c r="Q222" s="174" t="str">
        <f t="shared" si="3"/>
        <v>註3</v>
      </c>
      <c r="R222" s="203" t="e">
        <f>INDEX([1]告訴人!$D$15:$F$372,MATCH(C222,[1]告訴人!$F$15:$F$372,0),1)</f>
        <v>#N/A</v>
      </c>
      <c r="S222" s="203" t="str">
        <f t="array" ref="S222">IF(OR(C222=[1]告訴人!$F$15:$F$372),"重疊","")</f>
        <v/>
      </c>
    </row>
    <row r="223" spans="1:23">
      <c r="A223" s="166">
        <v>220</v>
      </c>
      <c r="B223" s="166" t="s">
        <v>32</v>
      </c>
      <c r="C223" s="166" t="s">
        <v>215</v>
      </c>
      <c r="D223" s="167"/>
      <c r="E223" s="168" t="s">
        <v>65</v>
      </c>
      <c r="F223" s="169">
        <v>2000</v>
      </c>
      <c r="G223" s="168">
        <v>25</v>
      </c>
      <c r="H223" s="169">
        <v>50000</v>
      </c>
      <c r="I223" s="186"/>
      <c r="J223" s="186"/>
      <c r="K223" s="170" t="s">
        <v>2908</v>
      </c>
      <c r="L223" s="170"/>
      <c r="M223" s="157"/>
      <c r="N223" s="172">
        <v>50000</v>
      </c>
      <c r="O223" s="172"/>
      <c r="P223" s="173" t="s">
        <v>2461</v>
      </c>
      <c r="Q223" s="174" t="str">
        <f t="shared" si="3"/>
        <v>註3</v>
      </c>
      <c r="R223" s="203">
        <f>INDEX([1]告訴人!$D$15:$F$372,MATCH(C223,[1]告訴人!$F$15:$F$372,0),1)</f>
        <v>76</v>
      </c>
      <c r="S223" s="203" t="str">
        <f t="array" ref="S223">IF(OR(C223=[1]告訴人!$F$15:$F$372),"重疊","")</f>
        <v>重疊</v>
      </c>
    </row>
    <row r="224" spans="1:23">
      <c r="A224" s="166">
        <v>221</v>
      </c>
      <c r="B224" s="166" t="s">
        <v>32</v>
      </c>
      <c r="C224" s="166" t="s">
        <v>2951</v>
      </c>
      <c r="D224" s="167"/>
      <c r="E224" s="168" t="s">
        <v>65</v>
      </c>
      <c r="F224" s="169">
        <v>5000</v>
      </c>
      <c r="G224" s="168">
        <v>25</v>
      </c>
      <c r="H224" s="169">
        <v>125000</v>
      </c>
      <c r="I224" s="186" t="s">
        <v>2918</v>
      </c>
      <c r="J224" s="186" t="s">
        <v>2918</v>
      </c>
      <c r="K224" s="170" t="s">
        <v>2462</v>
      </c>
      <c r="L224" s="170"/>
      <c r="M224" s="171" t="s">
        <v>2905</v>
      </c>
      <c r="N224" s="172"/>
      <c r="O224" s="172"/>
      <c r="P224" s="173" t="s">
        <v>1832</v>
      </c>
      <c r="Q224" s="174" t="str">
        <f t="shared" si="3"/>
        <v/>
      </c>
      <c r="R224" s="203" t="e">
        <f>INDEX([1]告訴人!$D$15:$F$372,MATCH(C224,[1]告訴人!$F$15:$F$372,0),1)</f>
        <v>#N/A</v>
      </c>
      <c r="S224" s="203" t="str">
        <f t="array" ref="S224">IF(OR(C224=[1]告訴人!$F$15:$F$372),"重疊","")</f>
        <v/>
      </c>
      <c r="T224" s="203">
        <v>1</v>
      </c>
    </row>
    <row r="225" spans="1:22">
      <c r="A225" s="166">
        <v>222</v>
      </c>
      <c r="B225" s="166" t="s">
        <v>32</v>
      </c>
      <c r="C225" s="166" t="s">
        <v>244</v>
      </c>
      <c r="D225" s="167"/>
      <c r="E225" s="168" t="s">
        <v>65</v>
      </c>
      <c r="F225" s="169">
        <v>5000</v>
      </c>
      <c r="G225" s="168">
        <v>25</v>
      </c>
      <c r="H225" s="169">
        <v>125000</v>
      </c>
      <c r="I225" s="186"/>
      <c r="J225" s="186"/>
      <c r="K225" s="170" t="s">
        <v>2904</v>
      </c>
      <c r="L225" s="170"/>
      <c r="M225" s="175"/>
      <c r="N225" s="172">
        <v>125000</v>
      </c>
      <c r="O225" s="172"/>
      <c r="P225" s="173" t="s">
        <v>2461</v>
      </c>
      <c r="Q225" s="174" t="str">
        <f t="shared" si="3"/>
        <v>註3</v>
      </c>
      <c r="R225" s="203" t="e">
        <f>INDEX([1]告訴人!$D$15:$F$372,MATCH(C225,[1]告訴人!$F$15:$F$372,0),1)</f>
        <v>#N/A</v>
      </c>
      <c r="S225" s="203" t="str">
        <f t="array" ref="S225">IF(OR(C225=[1]告訴人!$F$15:$F$372),"重疊","")</f>
        <v/>
      </c>
    </row>
    <row r="226" spans="1:22" ht="60.75" customHeight="1">
      <c r="A226" s="166">
        <v>223</v>
      </c>
      <c r="B226" s="166" t="s">
        <v>32</v>
      </c>
      <c r="C226" s="166" t="s">
        <v>316</v>
      </c>
      <c r="D226" s="167"/>
      <c r="E226" s="168" t="s">
        <v>65</v>
      </c>
      <c r="F226" s="169">
        <v>2000</v>
      </c>
      <c r="G226" s="168">
        <v>25</v>
      </c>
      <c r="H226" s="169">
        <v>50000</v>
      </c>
      <c r="I226" s="186" t="s">
        <v>2918</v>
      </c>
      <c r="J226" s="186" t="s">
        <v>2918</v>
      </c>
      <c r="K226" s="170" t="s">
        <v>3188</v>
      </c>
      <c r="L226" s="170" t="s">
        <v>3602</v>
      </c>
      <c r="M226" s="157" t="s">
        <v>2905</v>
      </c>
      <c r="N226" s="172"/>
      <c r="O226" s="172">
        <v>50000</v>
      </c>
      <c r="P226" s="173" t="s">
        <v>2463</v>
      </c>
      <c r="Q226" s="174" t="str">
        <f t="shared" si="3"/>
        <v>註4</v>
      </c>
      <c r="R226" s="203">
        <f>INDEX([1]告訴人!$D$15:$F$372,MATCH(C226,[1]告訴人!$F$15:$F$372,0),1)</f>
        <v>190</v>
      </c>
      <c r="S226" s="203" t="str">
        <f t="array" ref="S226">IF(OR(C226=[1]告訴人!$F$15:$F$372),"重疊","")</f>
        <v>重疊</v>
      </c>
      <c r="T226" s="203">
        <v>1</v>
      </c>
    </row>
    <row r="227" spans="1:22">
      <c r="A227" s="166">
        <v>224</v>
      </c>
      <c r="B227" s="166" t="s">
        <v>32</v>
      </c>
      <c r="C227" s="166" t="s">
        <v>372</v>
      </c>
      <c r="D227" s="167"/>
      <c r="E227" s="168" t="s">
        <v>65</v>
      </c>
      <c r="F227" s="169">
        <v>2000</v>
      </c>
      <c r="G227" s="168">
        <v>67</v>
      </c>
      <c r="H227" s="169">
        <v>134000</v>
      </c>
      <c r="I227" s="186"/>
      <c r="J227" s="186"/>
      <c r="K227" s="170" t="s">
        <v>2904</v>
      </c>
      <c r="L227" s="170"/>
      <c r="M227" s="175"/>
      <c r="N227" s="172">
        <v>134000</v>
      </c>
      <c r="O227" s="172"/>
      <c r="P227" s="173" t="s">
        <v>2461</v>
      </c>
      <c r="Q227" s="174" t="str">
        <f t="shared" si="3"/>
        <v>註3</v>
      </c>
      <c r="R227" s="203" t="e">
        <f>INDEX([1]告訴人!$D$15:$F$372,MATCH(C227,[1]告訴人!$F$15:$F$372,0),1)</f>
        <v>#N/A</v>
      </c>
      <c r="S227" s="203" t="str">
        <f t="array" ref="S227">IF(OR(C227=[1]告訴人!$F$15:$F$372),"重疊","")</f>
        <v/>
      </c>
    </row>
    <row r="228" spans="1:22" ht="111" customHeight="1">
      <c r="A228" s="166">
        <v>225</v>
      </c>
      <c r="B228" s="166" t="s">
        <v>32</v>
      </c>
      <c r="C228" s="166" t="s">
        <v>213</v>
      </c>
      <c r="D228" s="167"/>
      <c r="E228" s="168" t="s">
        <v>65</v>
      </c>
      <c r="F228" s="169">
        <v>5000</v>
      </c>
      <c r="G228" s="168">
        <v>67</v>
      </c>
      <c r="H228" s="169">
        <v>335000</v>
      </c>
      <c r="I228" s="186" t="s">
        <v>2918</v>
      </c>
      <c r="J228" s="186" t="s">
        <v>2918</v>
      </c>
      <c r="K228" s="170" t="s">
        <v>3189</v>
      </c>
      <c r="L228" s="170" t="s">
        <v>3603</v>
      </c>
      <c r="M228" s="157" t="s">
        <v>2905</v>
      </c>
      <c r="N228" s="172">
        <v>335000</v>
      </c>
      <c r="O228" s="172"/>
      <c r="P228" s="173" t="s">
        <v>2461</v>
      </c>
      <c r="Q228" s="174" t="str">
        <f t="shared" si="3"/>
        <v>註3</v>
      </c>
      <c r="R228" s="203">
        <f>INDEX([1]告訴人!$D$15:$F$372,MATCH(C228,[1]告訴人!$F$15:$F$372,0),1)</f>
        <v>166</v>
      </c>
      <c r="S228" s="203" t="str">
        <f t="array" ref="S228">IF(OR(C228=[1]告訴人!$F$15:$F$372),"重疊","")</f>
        <v>重疊</v>
      </c>
      <c r="T228" s="203">
        <v>1</v>
      </c>
      <c r="V228" s="203">
        <v>1</v>
      </c>
    </row>
    <row r="229" spans="1:22">
      <c r="A229" s="166">
        <v>226</v>
      </c>
      <c r="B229" s="166" t="s">
        <v>32</v>
      </c>
      <c r="C229" s="166" t="s">
        <v>215</v>
      </c>
      <c r="D229" s="167"/>
      <c r="E229" s="168" t="s">
        <v>65</v>
      </c>
      <c r="F229" s="169">
        <v>2000</v>
      </c>
      <c r="G229" s="168">
        <v>67</v>
      </c>
      <c r="H229" s="169">
        <v>134000</v>
      </c>
      <c r="I229" s="186"/>
      <c r="J229" s="186"/>
      <c r="K229" s="170" t="s">
        <v>2904</v>
      </c>
      <c r="L229" s="170"/>
      <c r="M229" s="175"/>
      <c r="N229" s="172">
        <v>134000</v>
      </c>
      <c r="O229" s="172"/>
      <c r="P229" s="173" t="s">
        <v>2461</v>
      </c>
      <c r="Q229" s="174" t="str">
        <f t="shared" si="3"/>
        <v>註3</v>
      </c>
      <c r="R229" s="203">
        <f>INDEX([1]告訴人!$D$15:$F$372,MATCH(C229,[1]告訴人!$F$15:$F$372,0),1)</f>
        <v>76</v>
      </c>
      <c r="S229" s="203" t="str">
        <f t="array" ref="S229">IF(OR(C229=[1]告訴人!$F$15:$F$372),"重疊","")</f>
        <v>重疊</v>
      </c>
    </row>
    <row r="230" spans="1:22">
      <c r="A230" s="166">
        <v>227</v>
      </c>
      <c r="B230" s="166" t="s">
        <v>32</v>
      </c>
      <c r="C230" s="166" t="s">
        <v>431</v>
      </c>
      <c r="D230" s="167"/>
      <c r="E230" s="168" t="s">
        <v>65</v>
      </c>
      <c r="F230" s="169">
        <v>2000</v>
      </c>
      <c r="G230" s="168">
        <v>67</v>
      </c>
      <c r="H230" s="169">
        <v>134000</v>
      </c>
      <c r="I230" s="186"/>
      <c r="J230" s="186"/>
      <c r="K230" s="170" t="s">
        <v>2904</v>
      </c>
      <c r="L230" s="170"/>
      <c r="M230" s="175"/>
      <c r="N230" s="172">
        <v>134000</v>
      </c>
      <c r="O230" s="172"/>
      <c r="P230" s="173" t="s">
        <v>2461</v>
      </c>
      <c r="Q230" s="174" t="str">
        <f t="shared" si="3"/>
        <v>註3</v>
      </c>
      <c r="R230" s="203" t="e">
        <f>INDEX([1]告訴人!$D$15:$F$372,MATCH(C230,[1]告訴人!$F$15:$F$372,0),1)</f>
        <v>#N/A</v>
      </c>
      <c r="S230" s="203" t="str">
        <f t="array" ref="S230">IF(OR(C230=[1]告訴人!$F$15:$F$372),"重疊","")</f>
        <v/>
      </c>
    </row>
    <row r="231" spans="1:22" ht="18" customHeight="1">
      <c r="A231" s="166">
        <v>228</v>
      </c>
      <c r="B231" s="166" t="s">
        <v>32</v>
      </c>
      <c r="C231" s="166" t="s">
        <v>244</v>
      </c>
      <c r="D231" s="167"/>
      <c r="E231" s="168" t="s">
        <v>65</v>
      </c>
      <c r="F231" s="169">
        <v>5000</v>
      </c>
      <c r="G231" s="168">
        <v>67</v>
      </c>
      <c r="H231" s="169">
        <v>335000</v>
      </c>
      <c r="I231" s="186"/>
      <c r="J231" s="186"/>
      <c r="K231" s="170" t="s">
        <v>2904</v>
      </c>
      <c r="L231" s="170"/>
      <c r="M231" s="157"/>
      <c r="N231" s="172">
        <v>335000</v>
      </c>
      <c r="O231" s="172"/>
      <c r="P231" s="173" t="s">
        <v>2461</v>
      </c>
      <c r="Q231" s="174" t="str">
        <f t="shared" si="3"/>
        <v>註3</v>
      </c>
      <c r="R231" s="203" t="e">
        <f>INDEX([1]告訴人!$D$15:$F$372,MATCH(C231,[1]告訴人!$F$15:$F$372,0),1)</f>
        <v>#N/A</v>
      </c>
      <c r="S231" s="203" t="str">
        <f t="array" ref="S231">IF(OR(C231=[1]告訴人!$F$15:$F$372),"重疊","")</f>
        <v/>
      </c>
    </row>
    <row r="232" spans="1:22">
      <c r="A232" s="166">
        <v>229</v>
      </c>
      <c r="B232" s="166" t="s">
        <v>32</v>
      </c>
      <c r="C232" s="166" t="s">
        <v>490</v>
      </c>
      <c r="D232" s="167"/>
      <c r="E232" s="168" t="s">
        <v>65</v>
      </c>
      <c r="F232" s="169">
        <v>1000</v>
      </c>
      <c r="G232" s="168">
        <v>67</v>
      </c>
      <c r="H232" s="169">
        <v>67000</v>
      </c>
      <c r="I232" s="186"/>
      <c r="J232" s="186"/>
      <c r="K232" s="170" t="s">
        <v>2904</v>
      </c>
      <c r="L232" s="170"/>
      <c r="M232" s="175"/>
      <c r="N232" s="172">
        <v>67000</v>
      </c>
      <c r="O232" s="172"/>
      <c r="P232" s="173" t="s">
        <v>2461</v>
      </c>
      <c r="Q232" s="174" t="str">
        <f t="shared" si="3"/>
        <v>註3</v>
      </c>
      <c r="R232" s="203" t="e">
        <f>INDEX([1]告訴人!$D$15:$F$372,MATCH(C232,[1]告訴人!$F$15:$F$372,0),1)</f>
        <v>#N/A</v>
      </c>
      <c r="S232" s="203" t="str">
        <f t="array" ref="S232">IF(OR(C232=[1]告訴人!$F$15:$F$372),"重疊","")</f>
        <v/>
      </c>
    </row>
    <row r="233" spans="1:22" ht="18" customHeight="1">
      <c r="A233" s="166">
        <v>230</v>
      </c>
      <c r="B233" s="166" t="s">
        <v>32</v>
      </c>
      <c r="C233" s="166" t="s">
        <v>493</v>
      </c>
      <c r="D233" s="167"/>
      <c r="E233" s="168" t="s">
        <v>65</v>
      </c>
      <c r="F233" s="169">
        <v>1000</v>
      </c>
      <c r="G233" s="168">
        <v>67</v>
      </c>
      <c r="H233" s="169">
        <v>67000</v>
      </c>
      <c r="I233" s="186"/>
      <c r="J233" s="186"/>
      <c r="K233" s="170" t="s">
        <v>2904</v>
      </c>
      <c r="L233" s="170"/>
      <c r="M233" s="157"/>
      <c r="N233" s="172">
        <v>67000</v>
      </c>
      <c r="O233" s="172"/>
      <c r="P233" s="173" t="s">
        <v>2461</v>
      </c>
      <c r="Q233" s="174" t="str">
        <f t="shared" si="3"/>
        <v>註3</v>
      </c>
      <c r="R233" s="203" t="e">
        <f>INDEX([1]告訴人!$D$15:$F$372,MATCH(C233,[1]告訴人!$F$15:$F$372,0),1)</f>
        <v>#N/A</v>
      </c>
      <c r="S233" s="203" t="str">
        <f t="array" ref="S233">IF(OR(C233=[1]告訴人!$F$15:$F$372),"重疊","")</f>
        <v/>
      </c>
    </row>
    <row r="234" spans="1:22">
      <c r="A234" s="166">
        <v>231</v>
      </c>
      <c r="B234" s="166" t="s">
        <v>32</v>
      </c>
      <c r="C234" s="166" t="s">
        <v>495</v>
      </c>
      <c r="D234" s="167"/>
      <c r="E234" s="168" t="s">
        <v>65</v>
      </c>
      <c r="F234" s="169">
        <v>2000</v>
      </c>
      <c r="G234" s="168">
        <v>67</v>
      </c>
      <c r="H234" s="169">
        <v>134000</v>
      </c>
      <c r="I234" s="186"/>
      <c r="J234" s="186"/>
      <c r="K234" s="170" t="s">
        <v>2904</v>
      </c>
      <c r="L234" s="170"/>
      <c r="M234" s="175"/>
      <c r="N234" s="172">
        <v>134000</v>
      </c>
      <c r="O234" s="172"/>
      <c r="P234" s="173" t="s">
        <v>2461</v>
      </c>
      <c r="Q234" s="174" t="str">
        <f t="shared" si="3"/>
        <v>註3</v>
      </c>
      <c r="R234" s="203" t="e">
        <f>INDEX([1]告訴人!$D$15:$F$372,MATCH(C234,[1]告訴人!$F$15:$F$372,0),1)</f>
        <v>#N/A</v>
      </c>
      <c r="S234" s="203" t="str">
        <f t="array" ref="S234">IF(OR(C234=[1]告訴人!$F$15:$F$372),"重疊","")</f>
        <v/>
      </c>
    </row>
    <row r="235" spans="1:22" ht="67.25" customHeight="1">
      <c r="A235" s="166">
        <v>232</v>
      </c>
      <c r="B235" s="166" t="s">
        <v>32</v>
      </c>
      <c r="C235" s="166" t="s">
        <v>301</v>
      </c>
      <c r="D235" s="167"/>
      <c r="E235" s="168" t="s">
        <v>65</v>
      </c>
      <c r="F235" s="169">
        <v>3000</v>
      </c>
      <c r="G235" s="168">
        <v>67</v>
      </c>
      <c r="H235" s="169">
        <v>201000</v>
      </c>
      <c r="I235" s="186" t="s">
        <v>2918</v>
      </c>
      <c r="J235" s="186" t="s">
        <v>2918</v>
      </c>
      <c r="K235" s="170" t="s">
        <v>3082</v>
      </c>
      <c r="L235" s="170" t="s">
        <v>3677</v>
      </c>
      <c r="M235" s="157" t="s">
        <v>2905</v>
      </c>
      <c r="N235" s="172">
        <v>201000</v>
      </c>
      <c r="O235" s="172"/>
      <c r="P235" s="173" t="s">
        <v>2461</v>
      </c>
      <c r="Q235" s="174" t="str">
        <f t="shared" si="3"/>
        <v>註3</v>
      </c>
      <c r="R235" s="203">
        <f>INDEX([1]告訴人!$D$15:$F$372,MATCH(C235,[1]告訴人!$F$15:$F$372,0),1)</f>
        <v>256</v>
      </c>
      <c r="S235" s="203" t="str">
        <f t="array" ref="S235">IF(OR(C235=[1]告訴人!$F$15:$F$372),"重疊","")</f>
        <v>重疊</v>
      </c>
      <c r="T235" s="203">
        <v>1</v>
      </c>
    </row>
    <row r="236" spans="1:22" ht="51" customHeight="1">
      <c r="A236" s="166">
        <v>233</v>
      </c>
      <c r="B236" s="166" t="s">
        <v>32</v>
      </c>
      <c r="C236" s="166" t="s">
        <v>169</v>
      </c>
      <c r="D236" s="167"/>
      <c r="E236" s="168" t="s">
        <v>65</v>
      </c>
      <c r="F236" s="169">
        <v>1000</v>
      </c>
      <c r="G236" s="168">
        <v>69</v>
      </c>
      <c r="H236" s="169">
        <v>69000</v>
      </c>
      <c r="I236" s="186" t="s">
        <v>2918</v>
      </c>
      <c r="J236" s="186" t="s">
        <v>2918</v>
      </c>
      <c r="K236" s="170" t="s">
        <v>3158</v>
      </c>
      <c r="L236" s="170" t="s">
        <v>3581</v>
      </c>
      <c r="M236" s="175" t="s">
        <v>2905</v>
      </c>
      <c r="N236" s="172"/>
      <c r="O236" s="172">
        <v>69000</v>
      </c>
      <c r="P236" s="173" t="s">
        <v>2463</v>
      </c>
      <c r="Q236" s="174" t="str">
        <f t="shared" si="3"/>
        <v>註4</v>
      </c>
      <c r="R236" s="203">
        <f>INDEX([1]告訴人!$D$15:$F$372,MATCH(C236,[1]告訴人!$F$15:$F$372,0),1)</f>
        <v>229</v>
      </c>
      <c r="S236" s="203" t="str">
        <f t="array" ref="S236">IF(OR(C236=[1]告訴人!$F$15:$F$372),"重疊","")</f>
        <v>重疊</v>
      </c>
      <c r="T236" s="203">
        <v>1</v>
      </c>
      <c r="U236" s="203">
        <v>1</v>
      </c>
    </row>
    <row r="237" spans="1:22" ht="77.400000000000006" customHeight="1">
      <c r="A237" s="166">
        <v>234</v>
      </c>
      <c r="B237" s="166" t="s">
        <v>32</v>
      </c>
      <c r="C237" s="166" t="s">
        <v>196</v>
      </c>
      <c r="D237" s="167"/>
      <c r="E237" s="168" t="s">
        <v>65</v>
      </c>
      <c r="F237" s="169">
        <v>2000</v>
      </c>
      <c r="G237" s="168">
        <v>69</v>
      </c>
      <c r="H237" s="169">
        <v>138000</v>
      </c>
      <c r="I237" s="186" t="s">
        <v>2918</v>
      </c>
      <c r="J237" s="186" t="s">
        <v>2918</v>
      </c>
      <c r="K237" s="170" t="s">
        <v>2462</v>
      </c>
      <c r="L237" s="170" t="s">
        <v>3678</v>
      </c>
      <c r="M237" s="175" t="s">
        <v>2905</v>
      </c>
      <c r="N237" s="172"/>
      <c r="O237" s="172"/>
      <c r="P237" s="173" t="s">
        <v>1832</v>
      </c>
      <c r="Q237" s="174" t="str">
        <f t="shared" si="3"/>
        <v/>
      </c>
      <c r="R237" s="203">
        <f>INDEX([1]告訴人!$D$15:$F$372,MATCH(C237,[1]告訴人!$F$15:$F$372,0),1)</f>
        <v>209</v>
      </c>
      <c r="S237" s="203" t="str">
        <f t="array" ref="S237">IF(OR(C237=[1]告訴人!$F$15:$F$372),"重疊","")</f>
        <v>重疊</v>
      </c>
      <c r="T237" s="203">
        <v>1</v>
      </c>
    </row>
    <row r="238" spans="1:22">
      <c r="A238" s="166">
        <v>235</v>
      </c>
      <c r="B238" s="166" t="s">
        <v>32</v>
      </c>
      <c r="C238" s="166" t="s">
        <v>321</v>
      </c>
      <c r="D238" s="167"/>
      <c r="E238" s="168" t="s">
        <v>66</v>
      </c>
      <c r="F238" s="169">
        <v>4000</v>
      </c>
      <c r="G238" s="168">
        <v>25</v>
      </c>
      <c r="H238" s="169">
        <v>100000</v>
      </c>
      <c r="I238" s="186"/>
      <c r="J238" s="186"/>
      <c r="K238" s="170" t="s">
        <v>2904</v>
      </c>
      <c r="L238" s="170"/>
      <c r="M238" s="175"/>
      <c r="N238" s="172">
        <v>100000</v>
      </c>
      <c r="O238" s="172"/>
      <c r="P238" s="173" t="s">
        <v>2461</v>
      </c>
      <c r="Q238" s="174" t="str">
        <f t="shared" si="3"/>
        <v>註3</v>
      </c>
      <c r="R238" s="203" t="e">
        <f>INDEX([1]告訴人!$D$15:$F$372,MATCH(C238,[1]告訴人!$F$15:$F$372,0),1)</f>
        <v>#N/A</v>
      </c>
      <c r="S238" s="203" t="str">
        <f t="array" ref="S238">IF(OR(C238=[1]告訴人!$F$15:$F$372),"重疊","")</f>
        <v/>
      </c>
    </row>
    <row r="239" spans="1:22">
      <c r="A239" s="166">
        <v>236</v>
      </c>
      <c r="B239" s="166" t="s">
        <v>32</v>
      </c>
      <c r="C239" s="166" t="s">
        <v>447</v>
      </c>
      <c r="D239" s="167"/>
      <c r="E239" s="168" t="s">
        <v>66</v>
      </c>
      <c r="F239" s="169">
        <v>1000</v>
      </c>
      <c r="G239" s="168">
        <v>67</v>
      </c>
      <c r="H239" s="169">
        <v>67000</v>
      </c>
      <c r="I239" s="186"/>
      <c r="J239" s="186"/>
      <c r="K239" s="170" t="s">
        <v>2904</v>
      </c>
      <c r="L239" s="170"/>
      <c r="M239" s="175"/>
      <c r="N239" s="172">
        <v>67000</v>
      </c>
      <c r="O239" s="172"/>
      <c r="P239" s="173" t="s">
        <v>2461</v>
      </c>
      <c r="Q239" s="174" t="str">
        <f t="shared" si="3"/>
        <v>註3</v>
      </c>
      <c r="R239" s="203" t="e">
        <f>INDEX([1]告訴人!$D$15:$F$372,MATCH(C239,[1]告訴人!$F$15:$F$372,0),1)</f>
        <v>#N/A</v>
      </c>
      <c r="S239" s="203" t="str">
        <f t="array" ref="S239">IF(OR(C239=[1]告訴人!$F$15:$F$372),"重疊","")</f>
        <v/>
      </c>
    </row>
    <row r="240" spans="1:22">
      <c r="A240" s="166">
        <v>237</v>
      </c>
      <c r="B240" s="166" t="s">
        <v>32</v>
      </c>
      <c r="C240" s="166" t="s">
        <v>321</v>
      </c>
      <c r="D240" s="167"/>
      <c r="E240" s="168" t="s">
        <v>66</v>
      </c>
      <c r="F240" s="169">
        <v>3000</v>
      </c>
      <c r="G240" s="168">
        <v>67</v>
      </c>
      <c r="H240" s="169">
        <v>201000</v>
      </c>
      <c r="I240" s="186"/>
      <c r="J240" s="186"/>
      <c r="K240" s="170" t="s">
        <v>2904</v>
      </c>
      <c r="L240" s="170"/>
      <c r="M240" s="175"/>
      <c r="N240" s="172">
        <v>201000</v>
      </c>
      <c r="O240" s="172"/>
      <c r="P240" s="173" t="s">
        <v>2461</v>
      </c>
      <c r="Q240" s="174" t="str">
        <f t="shared" si="3"/>
        <v>註3</v>
      </c>
      <c r="R240" s="203" t="e">
        <f>INDEX([1]告訴人!$D$15:$F$372,MATCH(C240,[1]告訴人!$F$15:$F$372,0),1)</f>
        <v>#N/A</v>
      </c>
      <c r="S240" s="203" t="str">
        <f t="array" ref="S240">IF(OR(C240=[1]告訴人!$F$15:$F$372),"重疊","")</f>
        <v/>
      </c>
    </row>
    <row r="241" spans="1:22">
      <c r="A241" s="166">
        <v>238</v>
      </c>
      <c r="B241" s="166" t="s">
        <v>32</v>
      </c>
      <c r="C241" s="166" t="s">
        <v>284</v>
      </c>
      <c r="D241" s="167"/>
      <c r="E241" s="168" t="s">
        <v>6</v>
      </c>
      <c r="F241" s="169">
        <v>1000</v>
      </c>
      <c r="G241" s="168">
        <v>43</v>
      </c>
      <c r="H241" s="169">
        <v>43000</v>
      </c>
      <c r="I241" s="186"/>
      <c r="J241" s="186"/>
      <c r="K241" s="170" t="s">
        <v>2904</v>
      </c>
      <c r="L241" s="170"/>
      <c r="M241" s="175"/>
      <c r="N241" s="172">
        <v>43000</v>
      </c>
      <c r="O241" s="172"/>
      <c r="P241" s="173" t="s">
        <v>2461</v>
      </c>
      <c r="Q241" s="174" t="str">
        <f t="shared" si="3"/>
        <v>註3</v>
      </c>
      <c r="R241" s="203" t="e">
        <f>INDEX([1]告訴人!$D$15:$F$372,MATCH(C241,[1]告訴人!$F$15:$F$372,0),1)</f>
        <v>#N/A</v>
      </c>
      <c r="S241" s="203" t="str">
        <f t="array" ref="S241">IF(OR(C241=[1]告訴人!$F$15:$F$372),"重疊","")</f>
        <v/>
      </c>
    </row>
    <row r="242" spans="1:22" ht="80.25" customHeight="1">
      <c r="A242" s="166">
        <v>239</v>
      </c>
      <c r="B242" s="166" t="s">
        <v>32</v>
      </c>
      <c r="C242" s="166" t="s">
        <v>183</v>
      </c>
      <c r="D242" s="167"/>
      <c r="E242" s="168" t="s">
        <v>6</v>
      </c>
      <c r="F242" s="169">
        <v>20000</v>
      </c>
      <c r="G242" s="168">
        <v>67</v>
      </c>
      <c r="H242" s="169">
        <v>1340000</v>
      </c>
      <c r="I242" s="186" t="s">
        <v>2918</v>
      </c>
      <c r="J242" s="186" t="s">
        <v>2918</v>
      </c>
      <c r="K242" s="170" t="s">
        <v>3984</v>
      </c>
      <c r="L242" s="170" t="s">
        <v>3604</v>
      </c>
      <c r="M242" s="175" t="s">
        <v>2905</v>
      </c>
      <c r="N242" s="172"/>
      <c r="O242" s="172">
        <v>1340000</v>
      </c>
      <c r="P242" s="173" t="s">
        <v>2463</v>
      </c>
      <c r="Q242" s="174" t="str">
        <f t="shared" si="3"/>
        <v>註4</v>
      </c>
      <c r="R242" s="203">
        <f>INDEX([1]告訴人!$D$15:$F$372,MATCH(C242,[1]告訴人!$F$15:$F$372,0),1)</f>
        <v>287</v>
      </c>
      <c r="S242" s="203" t="str">
        <f t="array" ref="S242">IF(OR(C242=[1]告訴人!$F$15:$F$372),"重疊","")</f>
        <v>重疊</v>
      </c>
      <c r="T242" s="203">
        <v>1</v>
      </c>
    </row>
    <row r="243" spans="1:22" ht="109.5" customHeight="1">
      <c r="A243" s="166">
        <v>240</v>
      </c>
      <c r="B243" s="166" t="s">
        <v>32</v>
      </c>
      <c r="C243" s="166" t="s">
        <v>225</v>
      </c>
      <c r="D243" s="167"/>
      <c r="E243" s="168" t="s">
        <v>6</v>
      </c>
      <c r="F243" s="169">
        <v>6000</v>
      </c>
      <c r="G243" s="168">
        <v>67</v>
      </c>
      <c r="H243" s="169">
        <v>402000</v>
      </c>
      <c r="I243" s="186" t="s">
        <v>2918</v>
      </c>
      <c r="J243" s="186" t="s">
        <v>2918</v>
      </c>
      <c r="K243" s="170" t="s">
        <v>3985</v>
      </c>
      <c r="L243" s="170" t="s">
        <v>3605</v>
      </c>
      <c r="M243" s="175" t="s">
        <v>2905</v>
      </c>
      <c r="N243" s="172"/>
      <c r="O243" s="172">
        <v>402000</v>
      </c>
      <c r="P243" s="173" t="s">
        <v>2463</v>
      </c>
      <c r="Q243" s="174" t="str">
        <f t="shared" si="3"/>
        <v>註4</v>
      </c>
      <c r="R243" s="203">
        <f>INDEX([1]告訴人!$D$15:$F$372,MATCH(C243,[1]告訴人!$F$15:$F$372,0),1)</f>
        <v>10</v>
      </c>
      <c r="S243" s="203" t="str">
        <f t="array" ref="S243">IF(OR(C243=[1]告訴人!$F$15:$F$372),"重疊","")</f>
        <v>重疊</v>
      </c>
      <c r="T243" s="203">
        <v>1</v>
      </c>
    </row>
    <row r="244" spans="1:22" ht="84.9" customHeight="1">
      <c r="A244" s="166">
        <v>241</v>
      </c>
      <c r="B244" s="166" t="s">
        <v>32</v>
      </c>
      <c r="C244" s="166" t="s">
        <v>226</v>
      </c>
      <c r="D244" s="167"/>
      <c r="E244" s="168" t="s">
        <v>6</v>
      </c>
      <c r="F244" s="169">
        <v>14000</v>
      </c>
      <c r="G244" s="168">
        <v>67</v>
      </c>
      <c r="H244" s="169">
        <v>938000</v>
      </c>
      <c r="I244" s="186" t="s">
        <v>2918</v>
      </c>
      <c r="J244" s="186" t="s">
        <v>2918</v>
      </c>
      <c r="K244" s="170" t="s">
        <v>3984</v>
      </c>
      <c r="L244" s="170" t="s">
        <v>3679</v>
      </c>
      <c r="M244" s="175" t="s">
        <v>2905</v>
      </c>
      <c r="N244" s="172"/>
      <c r="O244" s="172">
        <v>938000</v>
      </c>
      <c r="P244" s="173" t="s">
        <v>2463</v>
      </c>
      <c r="Q244" s="174" t="str">
        <f t="shared" si="3"/>
        <v>註4</v>
      </c>
      <c r="R244" s="203">
        <f>INDEX([1]告訴人!$D$15:$F$372,MATCH(C244,[1]告訴人!$F$15:$F$372,0),1)</f>
        <v>244</v>
      </c>
      <c r="S244" s="203" t="str">
        <f t="array" ref="S244">IF(OR(C244=[1]告訴人!$F$15:$F$372),"重疊","")</f>
        <v>重疊</v>
      </c>
      <c r="T244" s="203">
        <v>1</v>
      </c>
    </row>
    <row r="245" spans="1:22" ht="78.5" customHeight="1">
      <c r="A245" s="166">
        <v>242</v>
      </c>
      <c r="B245" s="166" t="s">
        <v>32</v>
      </c>
      <c r="C245" s="166" t="s">
        <v>228</v>
      </c>
      <c r="D245" s="167"/>
      <c r="E245" s="168" t="s">
        <v>6</v>
      </c>
      <c r="F245" s="169">
        <v>10000</v>
      </c>
      <c r="G245" s="168">
        <v>67</v>
      </c>
      <c r="H245" s="169">
        <v>670000</v>
      </c>
      <c r="I245" s="186" t="s">
        <v>2918</v>
      </c>
      <c r="J245" s="186" t="s">
        <v>2918</v>
      </c>
      <c r="K245" s="170" t="s">
        <v>3984</v>
      </c>
      <c r="L245" s="170" t="s">
        <v>3680</v>
      </c>
      <c r="M245" s="175" t="s">
        <v>2905</v>
      </c>
      <c r="N245" s="172"/>
      <c r="O245" s="172">
        <v>670000</v>
      </c>
      <c r="P245" s="173" t="s">
        <v>2463</v>
      </c>
      <c r="Q245" s="174" t="str">
        <f t="shared" si="3"/>
        <v>註4</v>
      </c>
      <c r="R245" s="203">
        <f>INDEX([1]告訴人!$D$15:$F$372,MATCH(C245,[1]告訴人!$F$15:$F$372,0),1)</f>
        <v>314</v>
      </c>
      <c r="S245" s="203" t="str">
        <f t="array" ref="S245">IF(OR(C245=[1]告訴人!$F$15:$F$372),"重疊","")</f>
        <v>重疊</v>
      </c>
      <c r="T245" s="203">
        <v>1</v>
      </c>
    </row>
    <row r="246" spans="1:22" ht="42.75" customHeight="1">
      <c r="A246" s="166">
        <v>243</v>
      </c>
      <c r="B246" s="166" t="s">
        <v>32</v>
      </c>
      <c r="C246" s="166" t="s">
        <v>430</v>
      </c>
      <c r="D246" s="167"/>
      <c r="E246" s="168" t="s">
        <v>26</v>
      </c>
      <c r="F246" s="169">
        <v>1000</v>
      </c>
      <c r="G246" s="168">
        <v>67</v>
      </c>
      <c r="H246" s="169">
        <v>67000</v>
      </c>
      <c r="I246" s="346" t="s">
        <v>2952</v>
      </c>
      <c r="J246" s="346" t="s">
        <v>2952</v>
      </c>
      <c r="K246" s="170" t="s">
        <v>3078</v>
      </c>
      <c r="L246" s="170" t="s">
        <v>3576</v>
      </c>
      <c r="M246" s="175" t="s">
        <v>2905</v>
      </c>
      <c r="N246" s="172">
        <v>67000</v>
      </c>
      <c r="O246" s="172"/>
      <c r="P246" s="173" t="s">
        <v>2461</v>
      </c>
      <c r="Q246" s="174" t="str">
        <f t="shared" si="3"/>
        <v>註3</v>
      </c>
      <c r="R246" s="203" t="e">
        <f>INDEX([1]告訴人!$D$15:$F$372,MATCH(C246,[1]告訴人!$F$15:$F$372,0),1)</f>
        <v>#N/A</v>
      </c>
      <c r="S246" s="203" t="str">
        <f t="array" ref="S246">IF(OR(C246=[1]告訴人!$F$15:$F$372),"重疊","")</f>
        <v/>
      </c>
      <c r="T246" s="203">
        <v>1</v>
      </c>
      <c r="V246" s="203">
        <v>1</v>
      </c>
    </row>
    <row r="247" spans="1:22" ht="18" customHeight="1">
      <c r="A247" s="166">
        <v>244</v>
      </c>
      <c r="B247" s="166" t="s">
        <v>32</v>
      </c>
      <c r="C247" s="166" t="s">
        <v>242</v>
      </c>
      <c r="D247" s="167"/>
      <c r="E247" s="168" t="s">
        <v>26</v>
      </c>
      <c r="F247" s="169">
        <v>1000</v>
      </c>
      <c r="G247" s="168">
        <v>67</v>
      </c>
      <c r="H247" s="169">
        <v>67000</v>
      </c>
      <c r="I247" s="186"/>
      <c r="J247" s="186"/>
      <c r="K247" s="170" t="s">
        <v>2904</v>
      </c>
      <c r="L247" s="170"/>
      <c r="M247" s="175"/>
      <c r="N247" s="172">
        <v>67000</v>
      </c>
      <c r="O247" s="172"/>
      <c r="P247" s="173" t="s">
        <v>2461</v>
      </c>
      <c r="Q247" s="174" t="str">
        <f t="shared" si="3"/>
        <v>註3</v>
      </c>
      <c r="R247" s="203" t="e">
        <f>INDEX([1]告訴人!$D$15:$F$372,MATCH(C247,[1]告訴人!$F$15:$F$372,0),1)</f>
        <v>#N/A</v>
      </c>
      <c r="S247" s="203" t="str">
        <f t="array" ref="S247">IF(OR(C247=[1]告訴人!$F$15:$F$372),"重疊","")</f>
        <v/>
      </c>
    </row>
    <row r="248" spans="1:22">
      <c r="A248" s="166">
        <v>245</v>
      </c>
      <c r="B248" s="166" t="s">
        <v>32</v>
      </c>
      <c r="C248" s="166" t="s">
        <v>462</v>
      </c>
      <c r="D248" s="167"/>
      <c r="E248" s="168" t="s">
        <v>463</v>
      </c>
      <c r="F248" s="169">
        <v>1000</v>
      </c>
      <c r="G248" s="168">
        <v>67</v>
      </c>
      <c r="H248" s="169">
        <v>67000</v>
      </c>
      <c r="I248" s="186"/>
      <c r="J248" s="186"/>
      <c r="K248" s="170" t="s">
        <v>2904</v>
      </c>
      <c r="L248" s="170"/>
      <c r="M248" s="175"/>
      <c r="N248" s="172">
        <v>67000</v>
      </c>
      <c r="O248" s="172"/>
      <c r="P248" s="173" t="s">
        <v>2461</v>
      </c>
      <c r="Q248" s="174" t="str">
        <f t="shared" si="3"/>
        <v>註3</v>
      </c>
      <c r="R248" s="203" t="e">
        <f>INDEX([1]告訴人!$D$15:$F$372,MATCH(C248,[1]告訴人!$F$15:$F$372,0),1)</f>
        <v>#N/A</v>
      </c>
      <c r="S248" s="203" t="str">
        <f t="array" ref="S248">IF(OR(C248=[1]告訴人!$F$15:$F$372),"重疊","")</f>
        <v/>
      </c>
    </row>
    <row r="249" spans="1:22" ht="63.75" customHeight="1">
      <c r="A249" s="166">
        <v>246</v>
      </c>
      <c r="B249" s="166" t="s">
        <v>32</v>
      </c>
      <c r="C249" s="166" t="s">
        <v>208</v>
      </c>
      <c r="D249" s="167"/>
      <c r="E249" s="168" t="s">
        <v>107</v>
      </c>
      <c r="F249" s="169">
        <v>5000</v>
      </c>
      <c r="G249" s="168">
        <v>25</v>
      </c>
      <c r="H249" s="169">
        <v>125000</v>
      </c>
      <c r="I249" s="186" t="s">
        <v>2918</v>
      </c>
      <c r="J249" s="186" t="s">
        <v>2918</v>
      </c>
      <c r="K249" s="170" t="s">
        <v>3188</v>
      </c>
      <c r="L249" s="170" t="s">
        <v>3600</v>
      </c>
      <c r="M249" s="175" t="s">
        <v>2905</v>
      </c>
      <c r="N249" s="172"/>
      <c r="O249" s="172">
        <v>125000</v>
      </c>
      <c r="P249" s="173" t="s">
        <v>2463</v>
      </c>
      <c r="Q249" s="174" t="str">
        <f t="shared" si="3"/>
        <v>註4</v>
      </c>
      <c r="R249" s="203">
        <f>INDEX([1]告訴人!$D$15:$F$372,MATCH(C249,[1]告訴人!$F$15:$F$372,0),1)</f>
        <v>73</v>
      </c>
      <c r="S249" s="203" t="str">
        <f t="array" ref="S249">IF(OR(C249=[1]告訴人!$F$15:$F$372),"重疊","")</f>
        <v>重疊</v>
      </c>
      <c r="T249" s="203">
        <v>1</v>
      </c>
    </row>
    <row r="250" spans="1:22" ht="79.5" customHeight="1">
      <c r="A250" s="166">
        <v>247</v>
      </c>
      <c r="B250" s="166" t="s">
        <v>32</v>
      </c>
      <c r="C250" s="166" t="s">
        <v>216</v>
      </c>
      <c r="D250" s="167"/>
      <c r="E250" s="168" t="s">
        <v>107</v>
      </c>
      <c r="F250" s="169">
        <v>1000</v>
      </c>
      <c r="G250" s="168">
        <v>25</v>
      </c>
      <c r="H250" s="169">
        <v>25000</v>
      </c>
      <c r="I250" s="186" t="s">
        <v>2918</v>
      </c>
      <c r="J250" s="186" t="s">
        <v>2918</v>
      </c>
      <c r="K250" s="170" t="s">
        <v>3984</v>
      </c>
      <c r="L250" s="170" t="s">
        <v>3606</v>
      </c>
      <c r="M250" s="175" t="s">
        <v>2905</v>
      </c>
      <c r="N250" s="172"/>
      <c r="O250" s="172">
        <v>25000</v>
      </c>
      <c r="P250" s="173" t="s">
        <v>2463</v>
      </c>
      <c r="Q250" s="174" t="str">
        <f t="shared" si="3"/>
        <v>註4</v>
      </c>
      <c r="R250" s="203">
        <f>INDEX([1]告訴人!$D$15:$F$372,MATCH(C250,[1]告訴人!$F$15:$F$372,0),1)</f>
        <v>26</v>
      </c>
      <c r="S250" s="203" t="str">
        <f t="array" ref="S250">IF(OR(C250=[1]告訴人!$F$15:$F$372),"重疊","")</f>
        <v>重疊</v>
      </c>
      <c r="T250" s="203">
        <v>1</v>
      </c>
    </row>
    <row r="251" spans="1:22">
      <c r="A251" s="166">
        <v>248</v>
      </c>
      <c r="B251" s="166" t="s">
        <v>32</v>
      </c>
      <c r="C251" s="166" t="s">
        <v>268</v>
      </c>
      <c r="D251" s="167"/>
      <c r="E251" s="168" t="s">
        <v>107</v>
      </c>
      <c r="F251" s="169">
        <v>2000</v>
      </c>
      <c r="G251" s="168">
        <v>25</v>
      </c>
      <c r="H251" s="169">
        <v>50000</v>
      </c>
      <c r="I251" s="186" t="s">
        <v>2918</v>
      </c>
      <c r="J251" s="186" t="s">
        <v>2918</v>
      </c>
      <c r="K251" s="170" t="s">
        <v>2462</v>
      </c>
      <c r="L251" s="170"/>
      <c r="M251" s="175" t="s">
        <v>2905</v>
      </c>
      <c r="N251" s="172"/>
      <c r="O251" s="172"/>
      <c r="P251" s="173" t="s">
        <v>1832</v>
      </c>
      <c r="Q251" s="174" t="str">
        <f t="shared" si="3"/>
        <v/>
      </c>
      <c r="R251" s="203">
        <f>INDEX([1]告訴人!$D$15:$F$372,MATCH(C251,[1]告訴人!$F$15:$F$372,0),1)</f>
        <v>58</v>
      </c>
      <c r="S251" s="203" t="str">
        <f t="array" ref="S251">IF(OR(C251=[1]告訴人!$F$15:$F$372),"重疊","")</f>
        <v>重疊</v>
      </c>
      <c r="T251" s="203">
        <v>1</v>
      </c>
    </row>
    <row r="252" spans="1:22">
      <c r="A252" s="166">
        <v>249</v>
      </c>
      <c r="B252" s="166" t="s">
        <v>32</v>
      </c>
      <c r="C252" s="166" t="s">
        <v>3976</v>
      </c>
      <c r="D252" s="167"/>
      <c r="E252" s="168" t="s">
        <v>107</v>
      </c>
      <c r="F252" s="169">
        <v>2000</v>
      </c>
      <c r="G252" s="168">
        <v>25</v>
      </c>
      <c r="H252" s="169">
        <v>50000</v>
      </c>
      <c r="I252" s="186"/>
      <c r="J252" s="186"/>
      <c r="K252" s="170" t="s">
        <v>2904</v>
      </c>
      <c r="L252" s="170"/>
      <c r="M252" s="175"/>
      <c r="N252" s="172">
        <v>50000</v>
      </c>
      <c r="O252" s="172"/>
      <c r="P252" s="173" t="s">
        <v>2461</v>
      </c>
      <c r="Q252" s="174" t="str">
        <f t="shared" si="3"/>
        <v>註3</v>
      </c>
      <c r="R252" s="203" t="e">
        <f>INDEX([1]告訴人!$D$15:$F$372,MATCH(C252,[1]告訴人!$F$15:$F$372,0),1)</f>
        <v>#N/A</v>
      </c>
      <c r="S252" s="203" t="str">
        <f t="array" ref="S252">IF(OR(C252=[1]告訴人!$F$15:$F$372),"重疊","")</f>
        <v/>
      </c>
    </row>
    <row r="253" spans="1:22" ht="99.75" customHeight="1">
      <c r="A253" s="166">
        <v>250</v>
      </c>
      <c r="B253" s="166" t="s">
        <v>32</v>
      </c>
      <c r="C253" s="166" t="s">
        <v>314</v>
      </c>
      <c r="D253" s="167"/>
      <c r="E253" s="168" t="s">
        <v>107</v>
      </c>
      <c r="F253" s="169">
        <v>3000</v>
      </c>
      <c r="G253" s="168">
        <v>25</v>
      </c>
      <c r="H253" s="169">
        <v>75000</v>
      </c>
      <c r="I253" s="186" t="s">
        <v>2918</v>
      </c>
      <c r="J253" s="186" t="s">
        <v>2918</v>
      </c>
      <c r="K253" s="170" t="s">
        <v>3190</v>
      </c>
      <c r="L253" s="170" t="s">
        <v>2953</v>
      </c>
      <c r="M253" s="175" t="s">
        <v>2905</v>
      </c>
      <c r="N253" s="172"/>
      <c r="O253" s="172">
        <v>75000</v>
      </c>
      <c r="P253" s="173" t="s">
        <v>2463</v>
      </c>
      <c r="Q253" s="174" t="str">
        <f t="shared" si="3"/>
        <v>註4</v>
      </c>
      <c r="R253" s="203">
        <f>INDEX([1]告訴人!$D$15:$F$372,MATCH(C253,[1]告訴人!$F$15:$F$372,0),1)</f>
        <v>160</v>
      </c>
      <c r="S253" s="203" t="str">
        <f t="array" ref="S253">IF(OR(C253=[1]告訴人!$F$15:$F$372),"重疊","")</f>
        <v>重疊</v>
      </c>
      <c r="T253" s="203">
        <v>1</v>
      </c>
    </row>
    <row r="254" spans="1:22" ht="83.15" customHeight="1">
      <c r="A254" s="166">
        <v>251</v>
      </c>
      <c r="B254" s="166" t="s">
        <v>32</v>
      </c>
      <c r="C254" s="166" t="s">
        <v>133</v>
      </c>
      <c r="D254" s="167"/>
      <c r="E254" s="168" t="s">
        <v>107</v>
      </c>
      <c r="F254" s="169">
        <v>3000</v>
      </c>
      <c r="G254" s="168">
        <v>67</v>
      </c>
      <c r="H254" s="169">
        <v>201000</v>
      </c>
      <c r="I254" s="186" t="s">
        <v>2918</v>
      </c>
      <c r="J254" s="186" t="s">
        <v>2918</v>
      </c>
      <c r="K254" s="170" t="s">
        <v>3984</v>
      </c>
      <c r="L254" s="170" t="s">
        <v>3607</v>
      </c>
      <c r="M254" s="175" t="s">
        <v>2905</v>
      </c>
      <c r="N254" s="172"/>
      <c r="O254" s="172">
        <v>201000</v>
      </c>
      <c r="P254" s="173" t="s">
        <v>2463</v>
      </c>
      <c r="Q254" s="174" t="str">
        <f t="shared" si="3"/>
        <v>註4</v>
      </c>
      <c r="R254" s="203">
        <f>INDEX([1]告訴人!$D$15:$F$372,MATCH(C254,[1]告訴人!$F$15:$F$372,0),1)</f>
        <v>283</v>
      </c>
      <c r="S254" s="203" t="str">
        <f t="array" ref="S254">IF(OR(C254=[1]告訴人!$F$15:$F$372),"重疊","")</f>
        <v>重疊</v>
      </c>
      <c r="T254" s="203">
        <v>1</v>
      </c>
    </row>
    <row r="255" spans="1:22">
      <c r="A255" s="166">
        <v>252</v>
      </c>
      <c r="B255" s="166" t="s">
        <v>32</v>
      </c>
      <c r="C255" s="166" t="s">
        <v>436</v>
      </c>
      <c r="D255" s="167"/>
      <c r="E255" s="168" t="s">
        <v>107</v>
      </c>
      <c r="F255" s="169">
        <v>2000</v>
      </c>
      <c r="G255" s="168">
        <v>67</v>
      </c>
      <c r="H255" s="169">
        <v>134000</v>
      </c>
      <c r="I255" s="186"/>
      <c r="J255" s="186"/>
      <c r="K255" s="170" t="s">
        <v>2904</v>
      </c>
      <c r="L255" s="170"/>
      <c r="M255" s="175"/>
      <c r="N255" s="172">
        <v>134000</v>
      </c>
      <c r="O255" s="172"/>
      <c r="P255" s="173" t="s">
        <v>2461</v>
      </c>
      <c r="Q255" s="174" t="str">
        <f t="shared" si="3"/>
        <v>註3</v>
      </c>
      <c r="R255" s="203" t="e">
        <f>INDEX([1]告訴人!$D$15:$F$372,MATCH(C255,[1]告訴人!$F$15:$F$372,0),1)</f>
        <v>#N/A</v>
      </c>
      <c r="S255" s="203" t="str">
        <f t="array" ref="S255">IF(OR(C255=[1]告訴人!$F$15:$F$372),"重疊","")</f>
        <v/>
      </c>
    </row>
    <row r="256" spans="1:22">
      <c r="A256" s="166">
        <v>253</v>
      </c>
      <c r="B256" s="166" t="s">
        <v>32</v>
      </c>
      <c r="C256" s="166" t="s">
        <v>3976</v>
      </c>
      <c r="D256" s="167"/>
      <c r="E256" s="168" t="s">
        <v>107</v>
      </c>
      <c r="F256" s="169">
        <v>2000</v>
      </c>
      <c r="G256" s="168">
        <v>67</v>
      </c>
      <c r="H256" s="169">
        <v>134000</v>
      </c>
      <c r="I256" s="186"/>
      <c r="J256" s="186"/>
      <c r="K256" s="170" t="s">
        <v>2904</v>
      </c>
      <c r="L256" s="170"/>
      <c r="M256" s="175"/>
      <c r="N256" s="172">
        <v>134000</v>
      </c>
      <c r="O256" s="172"/>
      <c r="P256" s="173" t="s">
        <v>2461</v>
      </c>
      <c r="Q256" s="174" t="str">
        <f t="shared" si="3"/>
        <v>註3</v>
      </c>
      <c r="R256" s="203" t="e">
        <f>INDEX([1]告訴人!$D$15:$F$372,MATCH(C256,[1]告訴人!$F$15:$F$372,0),1)</f>
        <v>#N/A</v>
      </c>
      <c r="S256" s="203" t="str">
        <f t="array" ref="S256">IF(OR(C256=[1]告訴人!$F$15:$F$372),"重疊","")</f>
        <v/>
      </c>
    </row>
    <row r="257" spans="1:23" ht="97.5" customHeight="1">
      <c r="A257" s="166">
        <v>254</v>
      </c>
      <c r="B257" s="166" t="s">
        <v>32</v>
      </c>
      <c r="C257" s="166" t="s">
        <v>314</v>
      </c>
      <c r="D257" s="167"/>
      <c r="E257" s="168" t="s">
        <v>107</v>
      </c>
      <c r="F257" s="169">
        <v>3000</v>
      </c>
      <c r="G257" s="168">
        <v>67</v>
      </c>
      <c r="H257" s="169">
        <v>201000</v>
      </c>
      <c r="I257" s="186" t="s">
        <v>2918</v>
      </c>
      <c r="J257" s="186" t="s">
        <v>2918</v>
      </c>
      <c r="K257" s="170" t="s">
        <v>3190</v>
      </c>
      <c r="L257" s="170" t="s">
        <v>2953</v>
      </c>
      <c r="M257" s="175" t="s">
        <v>2905</v>
      </c>
      <c r="N257" s="172"/>
      <c r="O257" s="172">
        <v>201000</v>
      </c>
      <c r="P257" s="173" t="s">
        <v>2463</v>
      </c>
      <c r="Q257" s="174" t="str">
        <f t="shared" si="3"/>
        <v>註4</v>
      </c>
      <c r="R257" s="203">
        <f>INDEX([1]告訴人!$D$15:$F$372,MATCH(C257,[1]告訴人!$F$15:$F$372,0),1)</f>
        <v>160</v>
      </c>
      <c r="S257" s="203" t="str">
        <f t="array" ref="S257">IF(OR(C257=[1]告訴人!$F$15:$F$372),"重疊","")</f>
        <v>重疊</v>
      </c>
      <c r="T257" s="203">
        <v>1</v>
      </c>
    </row>
    <row r="258" spans="1:23" ht="144" customHeight="1">
      <c r="A258" s="166">
        <v>255</v>
      </c>
      <c r="B258" s="166" t="s">
        <v>32</v>
      </c>
      <c r="C258" s="166" t="s">
        <v>558</v>
      </c>
      <c r="D258" s="167"/>
      <c r="E258" s="168" t="s">
        <v>107</v>
      </c>
      <c r="F258" s="169">
        <v>1000</v>
      </c>
      <c r="G258" s="168">
        <v>69</v>
      </c>
      <c r="H258" s="169">
        <v>69000</v>
      </c>
      <c r="I258" s="346" t="s">
        <v>2943</v>
      </c>
      <c r="J258" s="346" t="s">
        <v>2943</v>
      </c>
      <c r="K258" s="170" t="s">
        <v>3170</v>
      </c>
      <c r="L258" s="170" t="s">
        <v>3584</v>
      </c>
      <c r="M258" s="175" t="s">
        <v>2905</v>
      </c>
      <c r="N258" s="172"/>
      <c r="O258" s="172">
        <v>69000</v>
      </c>
      <c r="P258" s="173" t="s">
        <v>2944</v>
      </c>
      <c r="Q258" s="174" t="str">
        <f t="shared" ref="Q258:Q321" si="4">IF(N258&lt;&gt;0,"註3",IF(O258&lt;&gt;0,"註4",""))</f>
        <v>註4</v>
      </c>
      <c r="R258" s="203" t="e">
        <f>INDEX([1]告訴人!$D$15:$F$372,MATCH(C258,[1]告訴人!$F$15:$F$372,0),1)</f>
        <v>#N/A</v>
      </c>
      <c r="S258" s="203" t="str">
        <f t="array" ref="S258">IF(OR(C258=[1]告訴人!$F$15:$F$372),"重疊","")</f>
        <v/>
      </c>
      <c r="T258" s="203">
        <v>1</v>
      </c>
      <c r="U258" s="203">
        <v>1</v>
      </c>
      <c r="W258" s="203" t="s">
        <v>2905</v>
      </c>
    </row>
    <row r="259" spans="1:23">
      <c r="A259" s="166">
        <v>256</v>
      </c>
      <c r="B259" s="166" t="s">
        <v>32</v>
      </c>
      <c r="C259" s="166" t="s">
        <v>268</v>
      </c>
      <c r="D259" s="167"/>
      <c r="E259" s="168" t="s">
        <v>107</v>
      </c>
      <c r="F259" s="169">
        <v>2000</v>
      </c>
      <c r="G259" s="168">
        <v>69</v>
      </c>
      <c r="H259" s="169">
        <v>138000</v>
      </c>
      <c r="I259" s="186" t="s">
        <v>2918</v>
      </c>
      <c r="J259" s="186" t="s">
        <v>2918</v>
      </c>
      <c r="K259" s="170" t="s">
        <v>2462</v>
      </c>
      <c r="L259" s="170"/>
      <c r="M259" s="175" t="s">
        <v>2905</v>
      </c>
      <c r="N259" s="172"/>
      <c r="O259" s="172"/>
      <c r="P259" s="173" t="s">
        <v>1832</v>
      </c>
      <c r="Q259" s="174" t="str">
        <f t="shared" si="4"/>
        <v/>
      </c>
      <c r="R259" s="203">
        <f>INDEX([1]告訴人!$D$15:$F$372,MATCH(C259,[1]告訴人!$F$15:$F$372,0),1)</f>
        <v>58</v>
      </c>
      <c r="S259" s="203" t="str">
        <f t="array" ref="S259">IF(OR(C259=[1]告訴人!$F$15:$F$372),"重疊","")</f>
        <v>重疊</v>
      </c>
      <c r="T259" s="203">
        <v>1</v>
      </c>
    </row>
    <row r="260" spans="1:23" ht="61.5" customHeight="1">
      <c r="A260" s="166">
        <v>257</v>
      </c>
      <c r="B260" s="166" t="s">
        <v>32</v>
      </c>
      <c r="C260" s="166" t="s">
        <v>29</v>
      </c>
      <c r="D260" s="255" t="s">
        <v>2954</v>
      </c>
      <c r="E260" s="168" t="s">
        <v>107</v>
      </c>
      <c r="F260" s="169">
        <v>2000</v>
      </c>
      <c r="G260" s="168">
        <v>69</v>
      </c>
      <c r="H260" s="169">
        <v>138000</v>
      </c>
      <c r="I260" s="346" t="s">
        <v>2912</v>
      </c>
      <c r="J260" s="346" t="s">
        <v>2912</v>
      </c>
      <c r="K260" s="170" t="s">
        <v>3158</v>
      </c>
      <c r="L260" s="170" t="s">
        <v>3608</v>
      </c>
      <c r="M260" s="175" t="s">
        <v>2905</v>
      </c>
      <c r="N260" s="172"/>
      <c r="O260" s="172">
        <v>138000</v>
      </c>
      <c r="P260" s="173" t="s">
        <v>2465</v>
      </c>
      <c r="Q260" s="174" t="str">
        <f t="shared" si="4"/>
        <v>註4</v>
      </c>
      <c r="R260" s="203">
        <f>INDEX([1]告訴人!$D$15:$F$372,MATCH(C260,[1]告訴人!$F$15:$F$372,0),1)</f>
        <v>12</v>
      </c>
      <c r="S260" s="203" t="str">
        <f t="array" ref="S260">IF(OR(C260=[1]告訴人!$F$15:$F$372),"重疊","")</f>
        <v>重疊</v>
      </c>
      <c r="T260" s="203">
        <v>1</v>
      </c>
      <c r="U260" s="203">
        <v>1</v>
      </c>
      <c r="W260" s="203" t="s">
        <v>2905</v>
      </c>
    </row>
    <row r="261" spans="1:23" ht="46.5" customHeight="1">
      <c r="A261" s="166">
        <v>258</v>
      </c>
      <c r="B261" s="166" t="s">
        <v>32</v>
      </c>
      <c r="C261" s="166" t="s">
        <v>306</v>
      </c>
      <c r="D261" s="167"/>
      <c r="E261" s="168" t="s">
        <v>67</v>
      </c>
      <c r="F261" s="169">
        <v>3000</v>
      </c>
      <c r="G261" s="168">
        <v>25</v>
      </c>
      <c r="H261" s="169">
        <v>75000</v>
      </c>
      <c r="I261" s="186" t="s">
        <v>2912</v>
      </c>
      <c r="J261" s="186" t="s">
        <v>2912</v>
      </c>
      <c r="K261" s="170" t="s">
        <v>3158</v>
      </c>
      <c r="L261" s="170" t="s">
        <v>3601</v>
      </c>
      <c r="M261" s="175" t="s">
        <v>2905</v>
      </c>
      <c r="N261" s="172"/>
      <c r="O261" s="172">
        <v>75000</v>
      </c>
      <c r="P261" s="173" t="s">
        <v>2955</v>
      </c>
      <c r="Q261" s="174" t="str">
        <f t="shared" si="4"/>
        <v>註4</v>
      </c>
      <c r="R261" s="203">
        <f>INDEX([1]告訴人!$D$15:$F$372,MATCH(C261,[1]告訴人!$F$15:$F$372,0),1)</f>
        <v>237</v>
      </c>
      <c r="S261" s="203" t="str">
        <f t="array" ref="S261">IF(OR(C261=[1]告訴人!$F$15:$F$372),"重疊","")</f>
        <v>重疊</v>
      </c>
      <c r="T261" s="203">
        <v>1</v>
      </c>
      <c r="U261" s="203">
        <v>1</v>
      </c>
      <c r="W261" s="203" t="s">
        <v>2905</v>
      </c>
    </row>
    <row r="262" spans="1:23">
      <c r="A262" s="166">
        <v>259</v>
      </c>
      <c r="B262" s="166" t="s">
        <v>32</v>
      </c>
      <c r="C262" s="166" t="s">
        <v>399</v>
      </c>
      <c r="D262" s="167"/>
      <c r="E262" s="168" t="s">
        <v>67</v>
      </c>
      <c r="F262" s="169">
        <v>1000</v>
      </c>
      <c r="G262" s="168">
        <v>67</v>
      </c>
      <c r="H262" s="169">
        <v>67000</v>
      </c>
      <c r="I262" s="186"/>
      <c r="J262" s="186"/>
      <c r="K262" s="170" t="s">
        <v>2904</v>
      </c>
      <c r="L262" s="170"/>
      <c r="M262" s="175"/>
      <c r="N262" s="172">
        <v>67000</v>
      </c>
      <c r="O262" s="172"/>
      <c r="P262" s="173" t="s">
        <v>2461</v>
      </c>
      <c r="Q262" s="174" t="str">
        <f t="shared" si="4"/>
        <v>註3</v>
      </c>
      <c r="R262" s="203" t="e">
        <f>INDEX([1]告訴人!$D$15:$F$372,MATCH(C262,[1]告訴人!$F$15:$F$372,0),1)</f>
        <v>#N/A</v>
      </c>
      <c r="S262" s="203" t="str">
        <f t="array" ref="S262">IF(OR(C262=[1]告訴人!$F$15:$F$372),"重疊","")</f>
        <v/>
      </c>
    </row>
    <row r="263" spans="1:23">
      <c r="A263" s="166">
        <v>260</v>
      </c>
      <c r="B263" s="166" t="s">
        <v>32</v>
      </c>
      <c r="C263" s="166" t="s">
        <v>442</v>
      </c>
      <c r="D263" s="167"/>
      <c r="E263" s="168" t="s">
        <v>67</v>
      </c>
      <c r="F263" s="169">
        <v>3000</v>
      </c>
      <c r="G263" s="168">
        <v>67</v>
      </c>
      <c r="H263" s="169">
        <v>201000</v>
      </c>
      <c r="I263" s="186"/>
      <c r="J263" s="186"/>
      <c r="K263" s="170" t="s">
        <v>2904</v>
      </c>
      <c r="L263" s="170"/>
      <c r="M263" s="175"/>
      <c r="N263" s="172">
        <v>201000</v>
      </c>
      <c r="O263" s="172"/>
      <c r="P263" s="173" t="s">
        <v>2461</v>
      </c>
      <c r="Q263" s="174" t="str">
        <f t="shared" si="4"/>
        <v>註3</v>
      </c>
      <c r="R263" s="203" t="e">
        <f>INDEX([1]告訴人!$D$15:$F$372,MATCH(C263,[1]告訴人!$F$15:$F$372,0),1)</f>
        <v>#N/A</v>
      </c>
      <c r="S263" s="203" t="str">
        <f t="array" ref="S263">IF(OR(C263=[1]告訴人!$F$15:$F$372),"重疊","")</f>
        <v/>
      </c>
    </row>
    <row r="264" spans="1:23" ht="47.25" customHeight="1">
      <c r="A264" s="166">
        <v>261</v>
      </c>
      <c r="B264" s="166" t="s">
        <v>32</v>
      </c>
      <c r="C264" s="166" t="s">
        <v>306</v>
      </c>
      <c r="D264" s="167"/>
      <c r="E264" s="168" t="s">
        <v>67</v>
      </c>
      <c r="F264" s="169">
        <v>3000</v>
      </c>
      <c r="G264" s="168">
        <v>67</v>
      </c>
      <c r="H264" s="169">
        <v>201000</v>
      </c>
      <c r="I264" s="186" t="s">
        <v>2912</v>
      </c>
      <c r="J264" s="186" t="s">
        <v>2912</v>
      </c>
      <c r="K264" s="170" t="s">
        <v>3158</v>
      </c>
      <c r="L264" s="170" t="s">
        <v>3609</v>
      </c>
      <c r="M264" s="175" t="s">
        <v>2905</v>
      </c>
      <c r="N264" s="172"/>
      <c r="O264" s="172">
        <v>201000</v>
      </c>
      <c r="P264" s="173" t="s">
        <v>2465</v>
      </c>
      <c r="Q264" s="174" t="str">
        <f t="shared" si="4"/>
        <v>註4</v>
      </c>
      <c r="R264" s="203">
        <f>INDEX([1]告訴人!$D$15:$F$372,MATCH(C264,[1]告訴人!$F$15:$F$372,0),1)</f>
        <v>237</v>
      </c>
      <c r="S264" s="203" t="str">
        <f t="array" ref="S264">IF(OR(C264=[1]告訴人!$F$15:$F$372),"重疊","")</f>
        <v>重疊</v>
      </c>
      <c r="T264" s="203">
        <v>1</v>
      </c>
      <c r="U264" s="203">
        <v>1</v>
      </c>
      <c r="W264" s="203" t="s">
        <v>2905</v>
      </c>
    </row>
    <row r="265" spans="1:23" ht="96.9" customHeight="1">
      <c r="A265" s="166">
        <v>262</v>
      </c>
      <c r="B265" s="166" t="s">
        <v>32</v>
      </c>
      <c r="C265" s="166" t="s">
        <v>2956</v>
      </c>
      <c r="D265" s="167" t="s">
        <v>2924</v>
      </c>
      <c r="E265" s="168" t="s">
        <v>108</v>
      </c>
      <c r="F265" s="169">
        <v>5000</v>
      </c>
      <c r="G265" s="168">
        <v>25</v>
      </c>
      <c r="H265" s="169">
        <v>125000</v>
      </c>
      <c r="I265" s="346" t="s">
        <v>2957</v>
      </c>
      <c r="J265" s="346" t="s">
        <v>2957</v>
      </c>
      <c r="K265" s="170" t="s">
        <v>3158</v>
      </c>
      <c r="L265" s="170" t="s">
        <v>3681</v>
      </c>
      <c r="M265" s="175" t="s">
        <v>2905</v>
      </c>
      <c r="N265" s="172"/>
      <c r="O265" s="172">
        <v>125000</v>
      </c>
      <c r="P265" s="173" t="s">
        <v>2958</v>
      </c>
      <c r="Q265" s="174" t="str">
        <f t="shared" si="4"/>
        <v>註4</v>
      </c>
      <c r="R265" s="203" t="e">
        <f>INDEX([1]告訴人!$D$15:$F$372,MATCH(C265,[1]告訴人!$F$15:$F$372,0),1)</f>
        <v>#N/A</v>
      </c>
      <c r="S265" s="203" t="str">
        <f t="array" ref="S265">IF(OR(C265=[1]告訴人!$F$15:$F$372),"重疊","")</f>
        <v/>
      </c>
      <c r="T265" s="203">
        <v>1</v>
      </c>
      <c r="U265" s="203">
        <v>1</v>
      </c>
      <c r="W265" s="203" t="s">
        <v>2905</v>
      </c>
    </row>
    <row r="266" spans="1:23" ht="99" customHeight="1">
      <c r="A266" s="166">
        <v>263</v>
      </c>
      <c r="B266" s="166" t="s">
        <v>32</v>
      </c>
      <c r="C266" s="166" t="s">
        <v>332</v>
      </c>
      <c r="D266" s="167"/>
      <c r="E266" s="168" t="s">
        <v>108</v>
      </c>
      <c r="F266" s="169">
        <v>10000</v>
      </c>
      <c r="G266" s="168">
        <v>36</v>
      </c>
      <c r="H266" s="169">
        <v>360000</v>
      </c>
      <c r="I266" s="186" t="s">
        <v>1083</v>
      </c>
      <c r="J266" s="186" t="s">
        <v>1083</v>
      </c>
      <c r="K266" s="170" t="s">
        <v>3159</v>
      </c>
      <c r="L266" s="170" t="s">
        <v>3610</v>
      </c>
      <c r="M266" s="157" t="s">
        <v>2905</v>
      </c>
      <c r="N266" s="172">
        <v>360000</v>
      </c>
      <c r="O266" s="172"/>
      <c r="P266" s="173" t="s">
        <v>2461</v>
      </c>
      <c r="Q266" s="174" t="str">
        <f t="shared" si="4"/>
        <v>註3</v>
      </c>
      <c r="R266" s="203">
        <f>INDEX([1]告訴人!$D$15:$F$372,MATCH(C266,[1]告訴人!$F$15:$F$372,0),1)</f>
        <v>16</v>
      </c>
      <c r="S266" s="203" t="str">
        <f t="array" ref="S266">IF(OR(C266=[1]告訴人!$F$15:$F$372),"重疊","")</f>
        <v>重疊</v>
      </c>
      <c r="T266" s="203">
        <v>1</v>
      </c>
      <c r="V266" s="203">
        <v>1</v>
      </c>
    </row>
    <row r="267" spans="1:23" ht="96.9" customHeight="1">
      <c r="A267" s="166">
        <v>264</v>
      </c>
      <c r="B267" s="166" t="s">
        <v>32</v>
      </c>
      <c r="C267" s="166" t="s">
        <v>2956</v>
      </c>
      <c r="D267" s="167" t="s">
        <v>2924</v>
      </c>
      <c r="E267" s="168" t="s">
        <v>108</v>
      </c>
      <c r="F267" s="169">
        <v>1000</v>
      </c>
      <c r="G267" s="168">
        <v>67</v>
      </c>
      <c r="H267" s="169">
        <v>67000</v>
      </c>
      <c r="I267" s="346" t="s">
        <v>2957</v>
      </c>
      <c r="J267" s="346" t="s">
        <v>2957</v>
      </c>
      <c r="K267" s="170" t="s">
        <v>3158</v>
      </c>
      <c r="L267" s="170" t="s">
        <v>3682</v>
      </c>
      <c r="M267" s="175" t="s">
        <v>2905</v>
      </c>
      <c r="N267" s="172"/>
      <c r="O267" s="172">
        <v>67000</v>
      </c>
      <c r="P267" s="173" t="s">
        <v>2958</v>
      </c>
      <c r="Q267" s="174" t="str">
        <f t="shared" si="4"/>
        <v>註4</v>
      </c>
      <c r="R267" s="203" t="e">
        <f>INDEX([1]告訴人!$D$15:$F$372,MATCH(C267,[1]告訴人!$F$15:$F$372,0),1)</f>
        <v>#N/A</v>
      </c>
      <c r="S267" s="203" t="str">
        <f t="array" ref="S267">IF(OR(C267=[1]告訴人!$F$15:$F$372),"重疊","")</f>
        <v/>
      </c>
      <c r="T267" s="203">
        <v>1</v>
      </c>
      <c r="U267" s="203">
        <v>1</v>
      </c>
      <c r="W267" s="203" t="s">
        <v>2959</v>
      </c>
    </row>
    <row r="268" spans="1:23" ht="16.25" customHeight="1">
      <c r="A268" s="166">
        <v>265</v>
      </c>
      <c r="B268" s="166" t="s">
        <v>32</v>
      </c>
      <c r="C268" s="166" t="s">
        <v>131</v>
      </c>
      <c r="D268" s="167"/>
      <c r="E268" s="168" t="s">
        <v>68</v>
      </c>
      <c r="F268" s="169">
        <v>3000</v>
      </c>
      <c r="G268" s="168">
        <v>25</v>
      </c>
      <c r="H268" s="169">
        <v>75000</v>
      </c>
      <c r="I268" s="186" t="s">
        <v>2918</v>
      </c>
      <c r="J268" s="186" t="s">
        <v>2918</v>
      </c>
      <c r="K268" s="170" t="s">
        <v>2462</v>
      </c>
      <c r="L268" s="170"/>
      <c r="M268" s="175" t="s">
        <v>2905</v>
      </c>
      <c r="N268" s="172"/>
      <c r="O268" s="172"/>
      <c r="P268" s="173" t="s">
        <v>1832</v>
      </c>
      <c r="Q268" s="174" t="str">
        <f t="shared" si="4"/>
        <v/>
      </c>
      <c r="R268" s="203" t="e">
        <f>INDEX([1]告訴人!$D$15:$F$372,MATCH(C268,[1]告訴人!$F$15:$F$372,0),1)</f>
        <v>#N/A</v>
      </c>
      <c r="S268" s="203" t="str">
        <f t="array" ref="S268">IF(OR(C268=[1]告訴人!$F$15:$F$372),"重疊","")</f>
        <v/>
      </c>
      <c r="T268" s="203">
        <v>1</v>
      </c>
    </row>
    <row r="269" spans="1:23">
      <c r="A269" s="166">
        <v>266</v>
      </c>
      <c r="B269" s="166" t="s">
        <v>32</v>
      </c>
      <c r="C269" s="166" t="s">
        <v>132</v>
      </c>
      <c r="D269" s="167"/>
      <c r="E269" s="168" t="s">
        <v>68</v>
      </c>
      <c r="F269" s="169">
        <v>2000</v>
      </c>
      <c r="G269" s="168">
        <v>25</v>
      </c>
      <c r="H269" s="169">
        <v>50000</v>
      </c>
      <c r="I269" s="186"/>
      <c r="J269" s="186"/>
      <c r="K269" s="170" t="s">
        <v>2904</v>
      </c>
      <c r="L269" s="170"/>
      <c r="M269" s="175"/>
      <c r="N269" s="172">
        <v>50000</v>
      </c>
      <c r="O269" s="172"/>
      <c r="P269" s="173" t="s">
        <v>2461</v>
      </c>
      <c r="Q269" s="174" t="str">
        <f t="shared" si="4"/>
        <v>註3</v>
      </c>
      <c r="R269" s="203" t="e">
        <f>INDEX([1]告訴人!$D$15:$F$372,MATCH(C269,[1]告訴人!$F$15:$F$372,0),1)</f>
        <v>#N/A</v>
      </c>
      <c r="S269" s="203" t="str">
        <f t="array" ref="S269">IF(OR(C269=[1]告訴人!$F$15:$F$372),"重疊","")</f>
        <v/>
      </c>
    </row>
    <row r="270" spans="1:23" ht="67.650000000000006" customHeight="1">
      <c r="A270" s="166">
        <v>267</v>
      </c>
      <c r="B270" s="166" t="s">
        <v>32</v>
      </c>
      <c r="C270" s="166" t="s">
        <v>285</v>
      </c>
      <c r="D270" s="167"/>
      <c r="E270" s="168" t="s">
        <v>68</v>
      </c>
      <c r="F270" s="169">
        <v>1000</v>
      </c>
      <c r="G270" s="168">
        <v>25</v>
      </c>
      <c r="H270" s="169">
        <v>25000</v>
      </c>
      <c r="I270" s="186" t="s">
        <v>2912</v>
      </c>
      <c r="J270" s="186" t="s">
        <v>2912</v>
      </c>
      <c r="K270" s="170" t="s">
        <v>3170</v>
      </c>
      <c r="L270" s="170" t="s">
        <v>3584</v>
      </c>
      <c r="M270" s="175" t="s">
        <v>2905</v>
      </c>
      <c r="N270" s="172"/>
      <c r="O270" s="172">
        <v>25000</v>
      </c>
      <c r="P270" s="173" t="s">
        <v>2465</v>
      </c>
      <c r="Q270" s="174" t="str">
        <f t="shared" si="4"/>
        <v>註4</v>
      </c>
      <c r="R270" s="203" t="e">
        <f>INDEX([1]告訴人!$D$15:$F$372,MATCH(C270,[1]告訴人!$F$15:$F$372,0),1)</f>
        <v>#N/A</v>
      </c>
      <c r="S270" s="203" t="str">
        <f t="array" ref="S270">IF(OR(C270=[1]告訴人!$F$15:$F$372),"重疊","")</f>
        <v/>
      </c>
      <c r="T270" s="203">
        <v>1</v>
      </c>
      <c r="U270" s="203">
        <v>1</v>
      </c>
      <c r="W270" s="203" t="s">
        <v>2905</v>
      </c>
    </row>
    <row r="271" spans="1:23" ht="18.75" customHeight="1">
      <c r="A271" s="166">
        <v>268</v>
      </c>
      <c r="B271" s="166" t="s">
        <v>32</v>
      </c>
      <c r="C271" s="166" t="s">
        <v>318</v>
      </c>
      <c r="D271" s="167"/>
      <c r="E271" s="168" t="s">
        <v>68</v>
      </c>
      <c r="F271" s="169">
        <v>1000</v>
      </c>
      <c r="G271" s="168">
        <v>25</v>
      </c>
      <c r="H271" s="169">
        <v>25000</v>
      </c>
      <c r="I271" s="186" t="s">
        <v>2918</v>
      </c>
      <c r="J271" s="186" t="s">
        <v>2918</v>
      </c>
      <c r="K271" s="170" t="s">
        <v>2462</v>
      </c>
      <c r="L271" s="170"/>
      <c r="M271" s="175" t="s">
        <v>2905</v>
      </c>
      <c r="N271" s="172"/>
      <c r="O271" s="172"/>
      <c r="P271" s="173" t="s">
        <v>1832</v>
      </c>
      <c r="Q271" s="174" t="str">
        <f t="shared" si="4"/>
        <v/>
      </c>
      <c r="R271" s="203" t="e">
        <f>INDEX([1]告訴人!$D$15:$F$372,MATCH(C271,[1]告訴人!$F$15:$F$372,0),1)</f>
        <v>#N/A</v>
      </c>
      <c r="S271" s="203" t="str">
        <f t="array" ref="S271">IF(OR(C271=[1]告訴人!$F$15:$F$372),"重疊","")</f>
        <v/>
      </c>
      <c r="T271" s="203">
        <v>1</v>
      </c>
    </row>
    <row r="272" spans="1:23" ht="17.5" customHeight="1">
      <c r="A272" s="166">
        <v>269</v>
      </c>
      <c r="B272" s="166" t="s">
        <v>32</v>
      </c>
      <c r="C272" s="166" t="s">
        <v>346</v>
      </c>
      <c r="D272" s="167"/>
      <c r="E272" s="168" t="s">
        <v>68</v>
      </c>
      <c r="F272" s="169">
        <v>1000</v>
      </c>
      <c r="G272" s="168">
        <v>67</v>
      </c>
      <c r="H272" s="169">
        <v>67000</v>
      </c>
      <c r="I272" s="186"/>
      <c r="J272" s="186"/>
      <c r="K272" s="170" t="s">
        <v>2904</v>
      </c>
      <c r="L272" s="170"/>
      <c r="M272" s="175"/>
      <c r="N272" s="172">
        <v>67000</v>
      </c>
      <c r="O272" s="172"/>
      <c r="P272" s="173" t="s">
        <v>2461</v>
      </c>
      <c r="Q272" s="174" t="str">
        <f t="shared" si="4"/>
        <v>註3</v>
      </c>
      <c r="R272" s="203" t="e">
        <f>INDEX([1]告訴人!$D$15:$F$372,MATCH(C272,[1]告訴人!$F$15:$F$372,0),1)</f>
        <v>#N/A</v>
      </c>
      <c r="S272" s="203" t="str">
        <f t="array" ref="S272">IF(OR(C272=[1]告訴人!$F$15:$F$372),"重疊","")</f>
        <v/>
      </c>
    </row>
    <row r="273" spans="1:23">
      <c r="A273" s="166">
        <v>270</v>
      </c>
      <c r="B273" s="166" t="s">
        <v>32</v>
      </c>
      <c r="C273" s="166" t="s">
        <v>132</v>
      </c>
      <c r="D273" s="167"/>
      <c r="E273" s="168" t="s">
        <v>68</v>
      </c>
      <c r="F273" s="169">
        <v>10000</v>
      </c>
      <c r="G273" s="168">
        <v>67</v>
      </c>
      <c r="H273" s="169">
        <v>670000</v>
      </c>
      <c r="I273" s="186"/>
      <c r="J273" s="186"/>
      <c r="K273" s="170" t="s">
        <v>2904</v>
      </c>
      <c r="L273" s="170"/>
      <c r="M273" s="175"/>
      <c r="N273" s="172">
        <v>670000</v>
      </c>
      <c r="O273" s="172"/>
      <c r="P273" s="173" t="s">
        <v>2461</v>
      </c>
      <c r="Q273" s="174" t="str">
        <f t="shared" si="4"/>
        <v>註3</v>
      </c>
      <c r="R273" s="203" t="e">
        <f>INDEX([1]告訴人!$D$15:$F$372,MATCH(C273,[1]告訴人!$F$15:$F$372,0),1)</f>
        <v>#N/A</v>
      </c>
      <c r="S273" s="203" t="str">
        <f t="array" ref="S273">IF(OR(C273=[1]告訴人!$F$15:$F$372),"重疊","")</f>
        <v/>
      </c>
    </row>
    <row r="274" spans="1:23" ht="48.75" customHeight="1">
      <c r="A274" s="166">
        <v>271</v>
      </c>
      <c r="B274" s="166" t="s">
        <v>32</v>
      </c>
      <c r="C274" s="166" t="s">
        <v>237</v>
      </c>
      <c r="D274" s="167"/>
      <c r="E274" s="168" t="s">
        <v>68</v>
      </c>
      <c r="F274" s="169">
        <v>2000</v>
      </c>
      <c r="G274" s="168">
        <v>67</v>
      </c>
      <c r="H274" s="169">
        <v>134000</v>
      </c>
      <c r="I274" s="186" t="s">
        <v>2912</v>
      </c>
      <c r="J274" s="186" t="s">
        <v>2912</v>
      </c>
      <c r="K274" s="170" t="s">
        <v>3158</v>
      </c>
      <c r="L274" s="170" t="s">
        <v>3609</v>
      </c>
      <c r="M274" s="175" t="s">
        <v>2905</v>
      </c>
      <c r="N274" s="172"/>
      <c r="O274" s="172">
        <v>134000</v>
      </c>
      <c r="P274" s="173" t="s">
        <v>2465</v>
      </c>
      <c r="Q274" s="174" t="str">
        <f t="shared" si="4"/>
        <v>註4</v>
      </c>
      <c r="R274" s="203">
        <f>INDEX([1]告訴人!$D$15:$F$372,MATCH(C274,[1]告訴人!$F$15:$F$372,0),1)</f>
        <v>232</v>
      </c>
      <c r="S274" s="203" t="str">
        <f t="array" ref="S274">IF(OR(C274=[1]告訴人!$F$15:$F$372),"重疊","")</f>
        <v>重疊</v>
      </c>
      <c r="T274" s="203">
        <v>1</v>
      </c>
      <c r="U274" s="203">
        <v>1</v>
      </c>
      <c r="W274" s="203" t="s">
        <v>2905</v>
      </c>
    </row>
    <row r="275" spans="1:23" ht="16.25" customHeight="1">
      <c r="A275" s="166">
        <v>272</v>
      </c>
      <c r="B275" s="166" t="s">
        <v>32</v>
      </c>
      <c r="C275" s="166" t="s">
        <v>318</v>
      </c>
      <c r="D275" s="167"/>
      <c r="E275" s="168" t="s">
        <v>68</v>
      </c>
      <c r="F275" s="169">
        <v>1000</v>
      </c>
      <c r="G275" s="168">
        <v>67</v>
      </c>
      <c r="H275" s="169">
        <v>67000</v>
      </c>
      <c r="I275" s="186" t="s">
        <v>2918</v>
      </c>
      <c r="J275" s="186" t="s">
        <v>2918</v>
      </c>
      <c r="K275" s="170" t="s">
        <v>2929</v>
      </c>
      <c r="L275" s="170"/>
      <c r="M275" s="157" t="s">
        <v>2905</v>
      </c>
      <c r="N275" s="172"/>
      <c r="O275" s="172"/>
      <c r="P275" s="173" t="s">
        <v>1832</v>
      </c>
      <c r="Q275" s="174" t="str">
        <f t="shared" si="4"/>
        <v/>
      </c>
      <c r="R275" s="203" t="e">
        <f>INDEX([1]告訴人!$D$15:$F$372,MATCH(C275,[1]告訴人!$F$15:$F$372,0),1)</f>
        <v>#N/A</v>
      </c>
      <c r="S275" s="203" t="str">
        <f t="array" ref="S275">IF(OR(C275=[1]告訴人!$F$15:$F$372),"重疊","")</f>
        <v/>
      </c>
      <c r="T275" s="203">
        <v>1</v>
      </c>
    </row>
    <row r="276" spans="1:23">
      <c r="A276" s="166">
        <v>273</v>
      </c>
      <c r="B276" s="166" t="s">
        <v>32</v>
      </c>
      <c r="C276" s="166" t="s">
        <v>131</v>
      </c>
      <c r="D276" s="167"/>
      <c r="E276" s="168" t="s">
        <v>68</v>
      </c>
      <c r="F276" s="169">
        <v>3000</v>
      </c>
      <c r="G276" s="168">
        <v>69</v>
      </c>
      <c r="H276" s="169">
        <v>207000</v>
      </c>
      <c r="I276" s="186" t="s">
        <v>2918</v>
      </c>
      <c r="J276" s="186" t="s">
        <v>2918</v>
      </c>
      <c r="K276" s="170" t="s">
        <v>2929</v>
      </c>
      <c r="L276" s="170"/>
      <c r="M276" s="175" t="s">
        <v>2905</v>
      </c>
      <c r="N276" s="172"/>
      <c r="O276" s="172"/>
      <c r="P276" s="173" t="s">
        <v>1832</v>
      </c>
      <c r="Q276" s="174" t="str">
        <f t="shared" si="4"/>
        <v/>
      </c>
      <c r="R276" s="203" t="e">
        <f>INDEX([1]告訴人!$D$15:$F$372,MATCH(C276,[1]告訴人!$F$15:$F$372,0),1)</f>
        <v>#N/A</v>
      </c>
      <c r="S276" s="203" t="str">
        <f t="array" ref="S276">IF(OR(C276=[1]告訴人!$F$15:$F$372),"重疊","")</f>
        <v/>
      </c>
      <c r="T276" s="203">
        <v>1</v>
      </c>
    </row>
    <row r="277" spans="1:23" ht="52.5" customHeight="1">
      <c r="A277" s="166">
        <v>274</v>
      </c>
      <c r="B277" s="166" t="s">
        <v>32</v>
      </c>
      <c r="C277" s="166" t="s">
        <v>197</v>
      </c>
      <c r="D277" s="167" t="s">
        <v>2928</v>
      </c>
      <c r="E277" s="168" t="s">
        <v>68</v>
      </c>
      <c r="F277" s="169">
        <v>1000</v>
      </c>
      <c r="G277" s="168">
        <v>69</v>
      </c>
      <c r="H277" s="169">
        <v>69000</v>
      </c>
      <c r="I277" s="186" t="s">
        <v>2912</v>
      </c>
      <c r="J277" s="186" t="s">
        <v>2912</v>
      </c>
      <c r="K277" s="170" t="s">
        <v>3158</v>
      </c>
      <c r="L277" s="170" t="s">
        <v>3581</v>
      </c>
      <c r="M277" s="175" t="s">
        <v>2905</v>
      </c>
      <c r="N277" s="172"/>
      <c r="O277" s="172">
        <v>69000</v>
      </c>
      <c r="P277" s="173" t="s">
        <v>2465</v>
      </c>
      <c r="Q277" s="174" t="str">
        <f t="shared" si="4"/>
        <v>註4</v>
      </c>
      <c r="R277" s="203">
        <f>INDEX([1]告訴人!$D$15:$F$372,MATCH(C277,[1]告訴人!$F$15:$F$372,0),1)</f>
        <v>127</v>
      </c>
      <c r="S277" s="203" t="str">
        <f t="array" ref="S277">IF(OR(C277=[1]告訴人!$F$15:$F$372),"重疊","")</f>
        <v>重疊</v>
      </c>
      <c r="T277" s="203">
        <v>1</v>
      </c>
      <c r="U277" s="203">
        <v>1</v>
      </c>
      <c r="W277" s="203" t="s">
        <v>2905</v>
      </c>
    </row>
    <row r="278" spans="1:23" ht="67.650000000000006" customHeight="1">
      <c r="A278" s="166">
        <v>275</v>
      </c>
      <c r="B278" s="166" t="s">
        <v>32</v>
      </c>
      <c r="C278" s="166" t="s">
        <v>285</v>
      </c>
      <c r="D278" s="167"/>
      <c r="E278" s="168" t="s">
        <v>68</v>
      </c>
      <c r="F278" s="169">
        <v>1000</v>
      </c>
      <c r="G278" s="168">
        <v>69</v>
      </c>
      <c r="H278" s="169">
        <v>69000</v>
      </c>
      <c r="I278" s="186" t="s">
        <v>2912</v>
      </c>
      <c r="J278" s="186" t="s">
        <v>2912</v>
      </c>
      <c r="K278" s="170" t="s">
        <v>3170</v>
      </c>
      <c r="L278" s="170" t="s">
        <v>3584</v>
      </c>
      <c r="M278" s="157" t="s">
        <v>2905</v>
      </c>
      <c r="N278" s="172"/>
      <c r="O278" s="172">
        <v>69000</v>
      </c>
      <c r="P278" s="173" t="s">
        <v>2465</v>
      </c>
      <c r="Q278" s="174" t="str">
        <f t="shared" si="4"/>
        <v>註4</v>
      </c>
      <c r="R278" s="203" t="e">
        <f>INDEX([1]告訴人!$D$15:$F$372,MATCH(C278,[1]告訴人!$F$15:$F$372,0),1)</f>
        <v>#N/A</v>
      </c>
      <c r="S278" s="203" t="str">
        <f t="array" ref="S278">IF(OR(C278=[1]告訴人!$F$15:$F$372),"重疊","")</f>
        <v/>
      </c>
      <c r="T278" s="203">
        <v>1</v>
      </c>
      <c r="U278" s="203">
        <v>1</v>
      </c>
      <c r="W278" s="203" t="s">
        <v>2905</v>
      </c>
    </row>
    <row r="279" spans="1:23" ht="20.399999999999999" customHeight="1">
      <c r="A279" s="166">
        <v>276</v>
      </c>
      <c r="B279" s="166" t="s">
        <v>32</v>
      </c>
      <c r="C279" s="166" t="s">
        <v>164</v>
      </c>
      <c r="D279" s="167"/>
      <c r="E279" s="168" t="s">
        <v>69</v>
      </c>
      <c r="F279" s="169">
        <v>2000</v>
      </c>
      <c r="G279" s="168">
        <v>25</v>
      </c>
      <c r="H279" s="169">
        <v>50000</v>
      </c>
      <c r="I279" s="346" t="s">
        <v>2960</v>
      </c>
      <c r="J279" s="346" t="s">
        <v>2960</v>
      </c>
      <c r="K279" s="170" t="s">
        <v>2462</v>
      </c>
      <c r="L279" s="170"/>
      <c r="M279" s="175" t="s">
        <v>2905</v>
      </c>
      <c r="N279" s="172"/>
      <c r="O279" s="172"/>
      <c r="P279" s="173" t="s">
        <v>1832</v>
      </c>
      <c r="Q279" s="174" t="str">
        <f t="shared" si="4"/>
        <v/>
      </c>
      <c r="R279" s="203">
        <f>INDEX([1]告訴人!$D$15:$F$372,MATCH(C279,[1]告訴人!$F$15:$F$372,0),1)</f>
        <v>343</v>
      </c>
      <c r="S279" s="203" t="str">
        <f t="array" ref="S279">IF(OR(C279=[1]告訴人!$F$15:$F$372),"重疊","")</f>
        <v>重疊</v>
      </c>
      <c r="T279" s="203">
        <v>1</v>
      </c>
    </row>
    <row r="280" spans="1:23" ht="18.649999999999999" customHeight="1">
      <c r="A280" s="166">
        <v>277</v>
      </c>
      <c r="B280" s="166" t="s">
        <v>32</v>
      </c>
      <c r="C280" s="166" t="s">
        <v>164</v>
      </c>
      <c r="D280" s="167"/>
      <c r="E280" s="168" t="s">
        <v>69</v>
      </c>
      <c r="F280" s="169">
        <v>2000</v>
      </c>
      <c r="G280" s="168">
        <v>67</v>
      </c>
      <c r="H280" s="169">
        <v>134000</v>
      </c>
      <c r="I280" s="346" t="s">
        <v>2960</v>
      </c>
      <c r="J280" s="346" t="s">
        <v>2960</v>
      </c>
      <c r="K280" s="170" t="s">
        <v>2462</v>
      </c>
      <c r="L280" s="170"/>
      <c r="M280" s="175" t="s">
        <v>2905</v>
      </c>
      <c r="N280" s="172"/>
      <c r="O280" s="172"/>
      <c r="P280" s="173" t="s">
        <v>1832</v>
      </c>
      <c r="Q280" s="174" t="str">
        <f t="shared" si="4"/>
        <v/>
      </c>
      <c r="R280" s="203">
        <f>INDEX([1]告訴人!$D$15:$F$372,MATCH(C280,[1]告訴人!$F$15:$F$372,0),1)</f>
        <v>343</v>
      </c>
      <c r="S280" s="203" t="str">
        <f t="array" ref="S280">IF(OR(C280=[1]告訴人!$F$15:$F$372),"重疊","")</f>
        <v>重疊</v>
      </c>
      <c r="T280" s="203">
        <v>1</v>
      </c>
    </row>
    <row r="281" spans="1:23" ht="83.25" customHeight="1">
      <c r="A281" s="166">
        <v>278</v>
      </c>
      <c r="B281" s="166" t="s">
        <v>32</v>
      </c>
      <c r="C281" s="166" t="s">
        <v>230</v>
      </c>
      <c r="D281" s="167"/>
      <c r="E281" s="168" t="s">
        <v>231</v>
      </c>
      <c r="F281" s="169">
        <v>1000</v>
      </c>
      <c r="G281" s="168">
        <v>25</v>
      </c>
      <c r="H281" s="169">
        <v>25000</v>
      </c>
      <c r="I281" s="186" t="s">
        <v>2918</v>
      </c>
      <c r="J281" s="186" t="s">
        <v>2918</v>
      </c>
      <c r="K281" s="170" t="s">
        <v>3984</v>
      </c>
      <c r="L281" s="170" t="s">
        <v>3611</v>
      </c>
      <c r="M281" s="175" t="s">
        <v>2907</v>
      </c>
      <c r="N281" s="172"/>
      <c r="O281" s="172">
        <v>25000</v>
      </c>
      <c r="P281" s="173" t="s">
        <v>2463</v>
      </c>
      <c r="Q281" s="174" t="str">
        <f t="shared" si="4"/>
        <v>註4</v>
      </c>
      <c r="R281" s="203">
        <f>INDEX([1]告訴人!$D$15:$F$372,MATCH(C281,[1]告訴人!$F$15:$F$372,0),1)</f>
        <v>315</v>
      </c>
      <c r="S281" s="203" t="str">
        <f t="array" ref="S281">IF(OR(C281=[1]告訴人!$F$15:$F$372),"重疊","")</f>
        <v>重疊</v>
      </c>
      <c r="T281" s="203">
        <v>1</v>
      </c>
    </row>
    <row r="282" spans="1:23" ht="78" customHeight="1">
      <c r="A282" s="166">
        <v>279</v>
      </c>
      <c r="B282" s="166" t="s">
        <v>32</v>
      </c>
      <c r="C282" s="166" t="s">
        <v>230</v>
      </c>
      <c r="D282" s="167"/>
      <c r="E282" s="168" t="s">
        <v>231</v>
      </c>
      <c r="F282" s="169">
        <v>1000</v>
      </c>
      <c r="G282" s="168">
        <v>67</v>
      </c>
      <c r="H282" s="169">
        <v>67000</v>
      </c>
      <c r="I282" s="186" t="s">
        <v>2921</v>
      </c>
      <c r="J282" s="186" t="s">
        <v>2921</v>
      </c>
      <c r="K282" s="170" t="s">
        <v>3984</v>
      </c>
      <c r="L282" s="170" t="s">
        <v>3611</v>
      </c>
      <c r="M282" s="175" t="s">
        <v>2907</v>
      </c>
      <c r="N282" s="172"/>
      <c r="O282" s="172">
        <v>67000</v>
      </c>
      <c r="P282" s="173" t="s">
        <v>2463</v>
      </c>
      <c r="Q282" s="174" t="str">
        <f t="shared" si="4"/>
        <v>註4</v>
      </c>
      <c r="R282" s="203">
        <f>INDEX([1]告訴人!$D$15:$F$372,MATCH(C282,[1]告訴人!$F$15:$F$372,0),1)</f>
        <v>315</v>
      </c>
      <c r="S282" s="203" t="str">
        <f t="array" ref="S282">IF(OR(C282=[1]告訴人!$F$15:$F$372),"重疊","")</f>
        <v>重疊</v>
      </c>
      <c r="T282" s="203">
        <v>1</v>
      </c>
    </row>
    <row r="283" spans="1:23" ht="16.25" customHeight="1">
      <c r="A283" s="166">
        <v>280</v>
      </c>
      <c r="B283" s="166" t="s">
        <v>32</v>
      </c>
      <c r="C283" s="166" t="s">
        <v>303</v>
      </c>
      <c r="D283" s="167"/>
      <c r="E283" s="168" t="s">
        <v>231</v>
      </c>
      <c r="F283" s="169">
        <v>3000</v>
      </c>
      <c r="G283" s="168">
        <v>67</v>
      </c>
      <c r="H283" s="169">
        <v>201000</v>
      </c>
      <c r="I283" s="186"/>
      <c r="J283" s="186"/>
      <c r="K283" s="170" t="s">
        <v>2908</v>
      </c>
      <c r="L283" s="170"/>
      <c r="M283" s="175"/>
      <c r="N283" s="172">
        <v>201000</v>
      </c>
      <c r="O283" s="172"/>
      <c r="P283" s="173" t="s">
        <v>2461</v>
      </c>
      <c r="Q283" s="174" t="str">
        <f t="shared" si="4"/>
        <v>註3</v>
      </c>
      <c r="R283" s="203" t="e">
        <f>INDEX([1]告訴人!$D$15:$F$372,MATCH(C283,[1]告訴人!$F$15:$F$372,0),1)</f>
        <v>#N/A</v>
      </c>
      <c r="S283" s="203" t="str">
        <f t="array" ref="S283">IF(OR(C283=[1]告訴人!$F$15:$F$372),"重疊","")</f>
        <v/>
      </c>
    </row>
    <row r="284" spans="1:23" ht="17.5" customHeight="1">
      <c r="A284" s="166">
        <v>281</v>
      </c>
      <c r="B284" s="166" t="s">
        <v>32</v>
      </c>
      <c r="C284" s="166" t="s">
        <v>303</v>
      </c>
      <c r="D284" s="167"/>
      <c r="E284" s="168" t="s">
        <v>7</v>
      </c>
      <c r="F284" s="169">
        <v>1000</v>
      </c>
      <c r="G284" s="168">
        <v>25</v>
      </c>
      <c r="H284" s="169">
        <v>25000</v>
      </c>
      <c r="I284" s="186"/>
      <c r="J284" s="186"/>
      <c r="K284" s="170" t="s">
        <v>2908</v>
      </c>
      <c r="L284" s="170"/>
      <c r="M284" s="175"/>
      <c r="N284" s="172">
        <v>25000</v>
      </c>
      <c r="O284" s="172"/>
      <c r="P284" s="173" t="s">
        <v>2461</v>
      </c>
      <c r="Q284" s="174" t="str">
        <f t="shared" si="4"/>
        <v>註3</v>
      </c>
      <c r="R284" s="203" t="e">
        <f>INDEX([1]告訴人!$D$15:$F$372,MATCH(C284,[1]告訴人!$F$15:$F$372,0),1)</f>
        <v>#N/A</v>
      </c>
      <c r="S284" s="203" t="str">
        <f t="array" ref="S284">IF(OR(C284=[1]告訴人!$F$15:$F$372),"重疊","")</f>
        <v/>
      </c>
    </row>
    <row r="285" spans="1:23" ht="79.5" customHeight="1">
      <c r="A285" s="166">
        <v>282</v>
      </c>
      <c r="B285" s="166" t="s">
        <v>32</v>
      </c>
      <c r="C285" s="166" t="s">
        <v>133</v>
      </c>
      <c r="D285" s="167"/>
      <c r="E285" s="168" t="s">
        <v>134</v>
      </c>
      <c r="F285" s="169">
        <v>3000</v>
      </c>
      <c r="G285" s="168">
        <v>25</v>
      </c>
      <c r="H285" s="169">
        <v>75000</v>
      </c>
      <c r="I285" s="186" t="s">
        <v>2921</v>
      </c>
      <c r="J285" s="186" t="s">
        <v>2921</v>
      </c>
      <c r="K285" s="170" t="s">
        <v>3984</v>
      </c>
      <c r="L285" s="170" t="s">
        <v>3612</v>
      </c>
      <c r="M285" s="175" t="s">
        <v>2907</v>
      </c>
      <c r="N285" s="172"/>
      <c r="O285" s="172">
        <v>75000</v>
      </c>
      <c r="P285" s="173" t="s">
        <v>2463</v>
      </c>
      <c r="Q285" s="174" t="str">
        <f t="shared" si="4"/>
        <v>註4</v>
      </c>
      <c r="R285" s="203">
        <f>INDEX([1]告訴人!$D$15:$F$372,MATCH(C285,[1]告訴人!$F$15:$F$372,0),1)</f>
        <v>283</v>
      </c>
      <c r="S285" s="203" t="str">
        <f t="array" ref="S285">IF(OR(C285=[1]告訴人!$F$15:$F$372),"重疊","")</f>
        <v>重疊</v>
      </c>
      <c r="T285" s="203">
        <v>1</v>
      </c>
    </row>
    <row r="286" spans="1:23" ht="81" customHeight="1">
      <c r="A286" s="166">
        <v>283</v>
      </c>
      <c r="B286" s="166" t="s">
        <v>32</v>
      </c>
      <c r="C286" s="166" t="s">
        <v>137</v>
      </c>
      <c r="D286" s="167"/>
      <c r="E286" s="168" t="s">
        <v>134</v>
      </c>
      <c r="F286" s="169">
        <v>2000</v>
      </c>
      <c r="G286" s="168">
        <v>25</v>
      </c>
      <c r="H286" s="169">
        <v>50000</v>
      </c>
      <c r="I286" s="186" t="s">
        <v>2921</v>
      </c>
      <c r="J286" s="186" t="s">
        <v>2921</v>
      </c>
      <c r="K286" s="170" t="s">
        <v>3986</v>
      </c>
      <c r="L286" s="170" t="s">
        <v>3613</v>
      </c>
      <c r="M286" s="175" t="s">
        <v>2907</v>
      </c>
      <c r="N286" s="172"/>
      <c r="O286" s="172">
        <v>50000</v>
      </c>
      <c r="P286" s="173" t="s">
        <v>2463</v>
      </c>
      <c r="Q286" s="174" t="str">
        <f t="shared" si="4"/>
        <v>註4</v>
      </c>
      <c r="R286" s="203">
        <f>INDEX([1]告訴人!$D$15:$F$372,MATCH(C286,[1]告訴人!$F$15:$F$372,0),1)</f>
        <v>48</v>
      </c>
      <c r="S286" s="203" t="str">
        <f t="array" ref="S286">IF(OR(C286=[1]告訴人!$F$15:$F$372),"重疊","")</f>
        <v>重疊</v>
      </c>
      <c r="T286" s="203">
        <v>1</v>
      </c>
    </row>
    <row r="287" spans="1:23" ht="19.25" customHeight="1">
      <c r="A287" s="166">
        <v>284</v>
      </c>
      <c r="B287" s="166" t="s">
        <v>32</v>
      </c>
      <c r="C287" s="166" t="s">
        <v>166</v>
      </c>
      <c r="D287" s="167"/>
      <c r="E287" s="168" t="s">
        <v>134</v>
      </c>
      <c r="F287" s="169">
        <v>1000</v>
      </c>
      <c r="G287" s="168">
        <v>25</v>
      </c>
      <c r="H287" s="169">
        <v>25000</v>
      </c>
      <c r="I287" s="186"/>
      <c r="J287" s="186"/>
      <c r="K287" s="170" t="s">
        <v>2908</v>
      </c>
      <c r="L287" s="170"/>
      <c r="M287" s="175"/>
      <c r="N287" s="172">
        <v>25000</v>
      </c>
      <c r="O287" s="172"/>
      <c r="P287" s="173" t="s">
        <v>2461</v>
      </c>
      <c r="Q287" s="174" t="str">
        <f t="shared" si="4"/>
        <v>註3</v>
      </c>
      <c r="R287" s="203" t="e">
        <f>INDEX([1]告訴人!$D$15:$F$372,MATCH(C287,[1]告訴人!$F$15:$F$372,0),1)</f>
        <v>#N/A</v>
      </c>
      <c r="S287" s="203" t="str">
        <f t="array" ref="S287">IF(OR(C287=[1]告訴人!$F$15:$F$372),"重疊","")</f>
        <v/>
      </c>
    </row>
    <row r="288" spans="1:23" ht="79.5" customHeight="1">
      <c r="A288" s="166">
        <v>285</v>
      </c>
      <c r="B288" s="166" t="s">
        <v>32</v>
      </c>
      <c r="C288" s="166" t="s">
        <v>183</v>
      </c>
      <c r="D288" s="167"/>
      <c r="E288" s="168" t="s">
        <v>134</v>
      </c>
      <c r="F288" s="169">
        <v>23000</v>
      </c>
      <c r="G288" s="168">
        <v>25</v>
      </c>
      <c r="H288" s="169">
        <v>575000</v>
      </c>
      <c r="I288" s="186" t="s">
        <v>2921</v>
      </c>
      <c r="J288" s="186" t="s">
        <v>2921</v>
      </c>
      <c r="K288" s="170" t="s">
        <v>3984</v>
      </c>
      <c r="L288" s="170" t="s">
        <v>3614</v>
      </c>
      <c r="M288" s="175" t="s">
        <v>2907</v>
      </c>
      <c r="N288" s="172"/>
      <c r="O288" s="172">
        <v>575000</v>
      </c>
      <c r="P288" s="173" t="s">
        <v>2463</v>
      </c>
      <c r="Q288" s="174" t="str">
        <f t="shared" si="4"/>
        <v>註4</v>
      </c>
      <c r="R288" s="203">
        <f>INDEX([1]告訴人!$D$15:$F$372,MATCH(C288,[1]告訴人!$F$15:$F$372,0),1)</f>
        <v>287</v>
      </c>
      <c r="S288" s="203" t="str">
        <f t="array" ref="S288">IF(OR(C288=[1]告訴人!$F$15:$F$372),"重疊","")</f>
        <v>重疊</v>
      </c>
      <c r="T288" s="203">
        <v>1</v>
      </c>
    </row>
    <row r="289" spans="1:23" ht="100.75" customHeight="1">
      <c r="A289" s="166">
        <v>286</v>
      </c>
      <c r="B289" s="166" t="s">
        <v>32</v>
      </c>
      <c r="C289" s="166" t="s">
        <v>187</v>
      </c>
      <c r="D289" s="255" t="s">
        <v>2961</v>
      </c>
      <c r="E289" s="168" t="s">
        <v>134</v>
      </c>
      <c r="F289" s="169">
        <v>2000</v>
      </c>
      <c r="G289" s="168">
        <v>25</v>
      </c>
      <c r="H289" s="169">
        <v>50000</v>
      </c>
      <c r="I289" s="186" t="s">
        <v>2921</v>
      </c>
      <c r="J289" s="186" t="s">
        <v>2921</v>
      </c>
      <c r="K289" s="170" t="s">
        <v>3191</v>
      </c>
      <c r="L289" s="170" t="s">
        <v>2962</v>
      </c>
      <c r="M289" s="175" t="s">
        <v>2907</v>
      </c>
      <c r="N289" s="172"/>
      <c r="O289" s="172">
        <v>50000</v>
      </c>
      <c r="P289" s="173" t="s">
        <v>2463</v>
      </c>
      <c r="Q289" s="174" t="str">
        <f t="shared" si="4"/>
        <v>註4</v>
      </c>
      <c r="R289" s="203">
        <f>INDEX([1]告訴人!$D$15:$F$372,MATCH(C289,[1]告訴人!$F$15:$F$372,0),1)</f>
        <v>348</v>
      </c>
      <c r="S289" s="203" t="str">
        <f t="array" ref="S289">IF(OR(C289=[1]告訴人!$F$15:$F$372),"重疊","")</f>
        <v>重疊</v>
      </c>
      <c r="T289" s="203">
        <v>1</v>
      </c>
    </row>
    <row r="290" spans="1:23" ht="99" customHeight="1">
      <c r="A290" s="166">
        <v>287</v>
      </c>
      <c r="B290" s="166" t="s">
        <v>32</v>
      </c>
      <c r="C290" s="166" t="s">
        <v>2963</v>
      </c>
      <c r="D290" s="167"/>
      <c r="E290" s="168" t="s">
        <v>134</v>
      </c>
      <c r="F290" s="169">
        <v>2000</v>
      </c>
      <c r="G290" s="168">
        <v>25</v>
      </c>
      <c r="H290" s="169">
        <v>50000</v>
      </c>
      <c r="I290" s="186" t="s">
        <v>2921</v>
      </c>
      <c r="J290" s="186" t="s">
        <v>2921</v>
      </c>
      <c r="K290" s="176" t="s">
        <v>3192</v>
      </c>
      <c r="L290" s="170" t="s">
        <v>2964</v>
      </c>
      <c r="M290" s="175" t="s">
        <v>2907</v>
      </c>
      <c r="N290" s="172"/>
      <c r="O290" s="172">
        <v>50000</v>
      </c>
      <c r="P290" s="173" t="s">
        <v>2463</v>
      </c>
      <c r="Q290" s="174" t="str">
        <f t="shared" si="4"/>
        <v>註4</v>
      </c>
      <c r="R290" s="203">
        <f>INDEX([1]告訴人!$D$15:$F$372,MATCH(C290,[1]告訴人!$F$15:$F$372,0),1)</f>
        <v>82</v>
      </c>
      <c r="S290" s="203" t="str">
        <f t="array" ref="S290">IF(OR(C290=[1]告訴人!$F$15:$F$372),"重疊","")</f>
        <v>重疊</v>
      </c>
      <c r="T290" s="203">
        <v>1</v>
      </c>
    </row>
    <row r="291" spans="1:23" ht="68.25" customHeight="1">
      <c r="A291" s="166">
        <v>288</v>
      </c>
      <c r="B291" s="166" t="s">
        <v>32</v>
      </c>
      <c r="C291" s="166" t="s">
        <v>219</v>
      </c>
      <c r="D291" s="167"/>
      <c r="E291" s="168" t="s">
        <v>134</v>
      </c>
      <c r="F291" s="169">
        <v>3000</v>
      </c>
      <c r="G291" s="168">
        <v>25</v>
      </c>
      <c r="H291" s="169">
        <v>75000</v>
      </c>
      <c r="I291" s="186" t="s">
        <v>2921</v>
      </c>
      <c r="J291" s="186" t="s">
        <v>2921</v>
      </c>
      <c r="K291" s="170" t="s">
        <v>3984</v>
      </c>
      <c r="L291" s="170" t="s">
        <v>3683</v>
      </c>
      <c r="M291" s="175" t="s">
        <v>2907</v>
      </c>
      <c r="N291" s="172"/>
      <c r="O291" s="172">
        <v>75000</v>
      </c>
      <c r="P291" s="173" t="s">
        <v>2463</v>
      </c>
      <c r="Q291" s="174" t="str">
        <f t="shared" si="4"/>
        <v>註4</v>
      </c>
      <c r="R291" s="203">
        <f>INDEX([1]告訴人!$D$15:$F$372,MATCH(C291,[1]告訴人!$F$15:$F$372,0),1)</f>
        <v>247</v>
      </c>
      <c r="S291" s="203" t="str">
        <f t="array" ref="S291">IF(OR(C291=[1]告訴人!$F$15:$F$372),"重疊","")</f>
        <v>重疊</v>
      </c>
      <c r="T291" s="203">
        <v>1</v>
      </c>
    </row>
    <row r="292" spans="1:23" ht="84" customHeight="1">
      <c r="A292" s="166">
        <v>289</v>
      </c>
      <c r="B292" s="166" t="s">
        <v>32</v>
      </c>
      <c r="C292" s="166" t="s">
        <v>221</v>
      </c>
      <c r="D292" s="167"/>
      <c r="E292" s="168" t="s">
        <v>134</v>
      </c>
      <c r="F292" s="169">
        <v>3000</v>
      </c>
      <c r="G292" s="168">
        <v>25</v>
      </c>
      <c r="H292" s="169">
        <v>75000</v>
      </c>
      <c r="I292" s="186" t="s">
        <v>2921</v>
      </c>
      <c r="J292" s="186" t="s">
        <v>2921</v>
      </c>
      <c r="K292" s="170" t="s">
        <v>3984</v>
      </c>
      <c r="L292" s="170" t="s">
        <v>3615</v>
      </c>
      <c r="M292" s="175" t="s">
        <v>2907</v>
      </c>
      <c r="N292" s="172"/>
      <c r="O292" s="172">
        <v>75000</v>
      </c>
      <c r="P292" s="173" t="s">
        <v>2463</v>
      </c>
      <c r="Q292" s="174" t="str">
        <f t="shared" si="4"/>
        <v>註4</v>
      </c>
      <c r="R292" s="203">
        <f>INDEX([1]告訴人!$D$15:$F$372,MATCH(C292,[1]告訴人!$F$15:$F$372,0),1)</f>
        <v>27</v>
      </c>
      <c r="S292" s="203" t="str">
        <f t="array" ref="S292">IF(OR(C292=[1]告訴人!$F$15:$F$372),"重疊","")</f>
        <v>重疊</v>
      </c>
      <c r="T292" s="203">
        <v>1</v>
      </c>
    </row>
    <row r="293" spans="1:23" ht="127.5" customHeight="1">
      <c r="A293" s="166">
        <v>290</v>
      </c>
      <c r="B293" s="166" t="s">
        <v>32</v>
      </c>
      <c r="C293" s="166" t="s">
        <v>225</v>
      </c>
      <c r="D293" s="167"/>
      <c r="E293" s="168" t="s">
        <v>134</v>
      </c>
      <c r="F293" s="169">
        <v>8000</v>
      </c>
      <c r="G293" s="168">
        <v>25</v>
      </c>
      <c r="H293" s="169">
        <v>200000</v>
      </c>
      <c r="I293" s="186" t="s">
        <v>2921</v>
      </c>
      <c r="J293" s="186" t="s">
        <v>2921</v>
      </c>
      <c r="K293" s="170" t="s">
        <v>3987</v>
      </c>
      <c r="L293" s="170" t="s">
        <v>3605</v>
      </c>
      <c r="M293" s="175" t="s">
        <v>2907</v>
      </c>
      <c r="N293" s="172"/>
      <c r="O293" s="172">
        <v>200000</v>
      </c>
      <c r="P293" s="173" t="s">
        <v>2463</v>
      </c>
      <c r="Q293" s="174" t="str">
        <f t="shared" si="4"/>
        <v>註4</v>
      </c>
      <c r="R293" s="203">
        <f>INDEX([1]告訴人!$D$15:$F$372,MATCH(C293,[1]告訴人!$F$15:$F$372,0),1)</f>
        <v>10</v>
      </c>
      <c r="S293" s="203" t="str">
        <f t="array" ref="S293">IF(OR(C293=[1]告訴人!$F$15:$F$372),"重疊","")</f>
        <v>重疊</v>
      </c>
      <c r="T293" s="203">
        <v>1</v>
      </c>
    </row>
    <row r="294" spans="1:23" ht="67.25" customHeight="1">
      <c r="A294" s="166">
        <v>291</v>
      </c>
      <c r="B294" s="166" t="s">
        <v>32</v>
      </c>
      <c r="C294" s="166" t="s">
        <v>226</v>
      </c>
      <c r="D294" s="167"/>
      <c r="E294" s="168" t="s">
        <v>134</v>
      </c>
      <c r="F294" s="169">
        <v>16000</v>
      </c>
      <c r="G294" s="168">
        <v>25</v>
      </c>
      <c r="H294" s="169">
        <v>400000</v>
      </c>
      <c r="I294" s="186" t="s">
        <v>2921</v>
      </c>
      <c r="J294" s="186" t="s">
        <v>2921</v>
      </c>
      <c r="K294" s="170" t="s">
        <v>3984</v>
      </c>
      <c r="L294" s="170" t="s">
        <v>3684</v>
      </c>
      <c r="M294" s="175" t="s">
        <v>2907</v>
      </c>
      <c r="N294" s="172"/>
      <c r="O294" s="172">
        <v>400000</v>
      </c>
      <c r="P294" s="173" t="s">
        <v>2463</v>
      </c>
      <c r="Q294" s="174" t="str">
        <f t="shared" si="4"/>
        <v>註4</v>
      </c>
      <c r="R294" s="203">
        <f>INDEX([1]告訴人!$D$15:$F$372,MATCH(C294,[1]告訴人!$F$15:$F$372,0),1)</f>
        <v>244</v>
      </c>
      <c r="S294" s="203" t="str">
        <f t="array" ref="S294">IF(OR(C294=[1]告訴人!$F$15:$F$372),"重疊","")</f>
        <v>重疊</v>
      </c>
      <c r="T294" s="203">
        <v>1</v>
      </c>
    </row>
    <row r="295" spans="1:23" ht="65.5" customHeight="1">
      <c r="A295" s="166">
        <v>292</v>
      </c>
      <c r="B295" s="166" t="s">
        <v>32</v>
      </c>
      <c r="C295" s="166" t="s">
        <v>228</v>
      </c>
      <c r="D295" s="167"/>
      <c r="E295" s="168" t="s">
        <v>134</v>
      </c>
      <c r="F295" s="169">
        <v>15000</v>
      </c>
      <c r="G295" s="168">
        <v>25</v>
      </c>
      <c r="H295" s="169">
        <v>375000</v>
      </c>
      <c r="I295" s="186" t="s">
        <v>2921</v>
      </c>
      <c r="J295" s="186" t="s">
        <v>2921</v>
      </c>
      <c r="K295" s="170" t="s">
        <v>3984</v>
      </c>
      <c r="L295" s="170" t="s">
        <v>3713</v>
      </c>
      <c r="M295" s="175" t="s">
        <v>2907</v>
      </c>
      <c r="N295" s="172"/>
      <c r="O295" s="172">
        <v>375000</v>
      </c>
      <c r="P295" s="173" t="s">
        <v>2463</v>
      </c>
      <c r="Q295" s="174" t="str">
        <f t="shared" si="4"/>
        <v>註4</v>
      </c>
      <c r="R295" s="203">
        <f>INDEX([1]告訴人!$D$15:$F$372,MATCH(C295,[1]告訴人!$F$15:$F$372,0),1)</f>
        <v>314</v>
      </c>
      <c r="S295" s="203" t="str">
        <f t="array" ref="S295">IF(OR(C295=[1]告訴人!$F$15:$F$372),"重疊","")</f>
        <v>重疊</v>
      </c>
      <c r="T295" s="203">
        <v>1</v>
      </c>
    </row>
    <row r="296" spans="1:23" ht="94" customHeight="1">
      <c r="A296" s="166">
        <v>293</v>
      </c>
      <c r="B296" s="166" t="s">
        <v>32</v>
      </c>
      <c r="C296" s="166" t="s">
        <v>229</v>
      </c>
      <c r="D296" s="167"/>
      <c r="E296" s="168" t="s">
        <v>134</v>
      </c>
      <c r="F296" s="169">
        <v>1000</v>
      </c>
      <c r="G296" s="168">
        <v>25</v>
      </c>
      <c r="H296" s="169">
        <v>25000</v>
      </c>
      <c r="I296" s="186" t="s">
        <v>2921</v>
      </c>
      <c r="J296" s="186" t="s">
        <v>2921</v>
      </c>
      <c r="K296" s="170" t="s">
        <v>3984</v>
      </c>
      <c r="L296" s="170" t="s">
        <v>3685</v>
      </c>
      <c r="M296" s="175" t="s">
        <v>2907</v>
      </c>
      <c r="N296" s="172"/>
      <c r="O296" s="172">
        <v>25000</v>
      </c>
      <c r="P296" s="173" t="s">
        <v>2463</v>
      </c>
      <c r="Q296" s="174" t="str">
        <f t="shared" si="4"/>
        <v>註4</v>
      </c>
      <c r="R296" s="203">
        <f>INDEX([1]告訴人!$D$15:$F$372,MATCH(C296,[1]告訴人!$F$15:$F$372,0),1)</f>
        <v>316</v>
      </c>
      <c r="S296" s="203" t="str">
        <f t="array" ref="S296">IF(OR(C296=[1]告訴人!$F$15:$F$372),"重疊","")</f>
        <v>重疊</v>
      </c>
      <c r="T296" s="203">
        <v>1</v>
      </c>
    </row>
    <row r="297" spans="1:23" ht="17" customHeight="1">
      <c r="A297" s="166">
        <v>294</v>
      </c>
      <c r="B297" s="166" t="s">
        <v>32</v>
      </c>
      <c r="C297" s="166" t="s">
        <v>243</v>
      </c>
      <c r="D297" s="167"/>
      <c r="E297" s="168" t="s">
        <v>134</v>
      </c>
      <c r="F297" s="169">
        <v>1000</v>
      </c>
      <c r="G297" s="168">
        <v>25</v>
      </c>
      <c r="H297" s="169">
        <v>25000</v>
      </c>
      <c r="I297" s="186"/>
      <c r="J297" s="186"/>
      <c r="K297" s="170" t="s">
        <v>2908</v>
      </c>
      <c r="L297" s="170"/>
      <c r="M297" s="175"/>
      <c r="N297" s="172">
        <v>25000</v>
      </c>
      <c r="O297" s="172"/>
      <c r="P297" s="173" t="s">
        <v>2461</v>
      </c>
      <c r="Q297" s="174" t="str">
        <f t="shared" si="4"/>
        <v>註3</v>
      </c>
      <c r="R297" s="203" t="e">
        <f>INDEX([1]告訴人!$D$15:$F$372,MATCH(C297,[1]告訴人!$F$15:$F$372,0),1)</f>
        <v>#N/A</v>
      </c>
      <c r="S297" s="203" t="str">
        <f t="array" ref="S297">IF(OR(C297=[1]告訴人!$F$15:$F$372),"重疊","")</f>
        <v/>
      </c>
    </row>
    <row r="298" spans="1:23" ht="107.25" customHeight="1">
      <c r="A298" s="166">
        <v>295</v>
      </c>
      <c r="B298" s="166" t="s">
        <v>32</v>
      </c>
      <c r="C298" s="166" t="s">
        <v>256</v>
      </c>
      <c r="D298" s="167"/>
      <c r="E298" s="168" t="s">
        <v>134</v>
      </c>
      <c r="F298" s="169">
        <v>5000</v>
      </c>
      <c r="G298" s="168">
        <v>25</v>
      </c>
      <c r="H298" s="169">
        <v>125000</v>
      </c>
      <c r="I298" s="186" t="s">
        <v>2921</v>
      </c>
      <c r="J298" s="186" t="s">
        <v>2921</v>
      </c>
      <c r="K298" s="176" t="s">
        <v>3193</v>
      </c>
      <c r="L298" s="170" t="s">
        <v>2964</v>
      </c>
      <c r="M298" s="175" t="s">
        <v>2907</v>
      </c>
      <c r="N298" s="172"/>
      <c r="O298" s="172">
        <v>125000</v>
      </c>
      <c r="P298" s="173" t="s">
        <v>2463</v>
      </c>
      <c r="Q298" s="174" t="str">
        <f t="shared" si="4"/>
        <v>註4</v>
      </c>
      <c r="R298" s="203">
        <f>INDEX([1]告訴人!$D$15:$F$372,MATCH(C298,[1]告訴人!$F$15:$F$372,0),1)</f>
        <v>318</v>
      </c>
      <c r="S298" s="203" t="str">
        <f t="array" ref="S298">IF(OR(C298=[1]告訴人!$F$15:$F$372),"重疊","")</f>
        <v>重疊</v>
      </c>
      <c r="T298" s="203">
        <v>1</v>
      </c>
    </row>
    <row r="299" spans="1:23" ht="56.25" customHeight="1">
      <c r="A299" s="166">
        <v>296</v>
      </c>
      <c r="B299" s="166" t="s">
        <v>32</v>
      </c>
      <c r="C299" s="166" t="s">
        <v>294</v>
      </c>
      <c r="D299" s="167"/>
      <c r="E299" s="168" t="s">
        <v>134</v>
      </c>
      <c r="F299" s="169">
        <v>2000</v>
      </c>
      <c r="G299" s="168">
        <v>25</v>
      </c>
      <c r="H299" s="169">
        <v>50000</v>
      </c>
      <c r="I299" s="186" t="s">
        <v>2922</v>
      </c>
      <c r="J299" s="186" t="s">
        <v>2922</v>
      </c>
      <c r="K299" s="170" t="s">
        <v>3158</v>
      </c>
      <c r="L299" s="170" t="s">
        <v>3601</v>
      </c>
      <c r="M299" s="175" t="s">
        <v>2907</v>
      </c>
      <c r="N299" s="172"/>
      <c r="O299" s="172">
        <v>50000</v>
      </c>
      <c r="P299" s="173" t="s">
        <v>2465</v>
      </c>
      <c r="Q299" s="174" t="str">
        <f t="shared" si="4"/>
        <v>註4</v>
      </c>
      <c r="R299" s="203">
        <f>INDEX([1]告訴人!$D$15:$F$372,MATCH(C299,[1]告訴人!$F$15:$F$372,0),1)</f>
        <v>79</v>
      </c>
      <c r="S299" s="203" t="str">
        <f t="array" ref="S299">IF(OR(C299=[1]告訴人!$F$15:$F$372),"重疊","")</f>
        <v>重疊</v>
      </c>
      <c r="T299" s="203">
        <v>1</v>
      </c>
      <c r="U299" s="203">
        <v>1</v>
      </c>
      <c r="W299" s="203" t="s">
        <v>2907</v>
      </c>
    </row>
    <row r="300" spans="1:23" ht="16.25" customHeight="1">
      <c r="A300" s="166">
        <v>297</v>
      </c>
      <c r="B300" s="166" t="s">
        <v>32</v>
      </c>
      <c r="C300" s="166" t="s">
        <v>174</v>
      </c>
      <c r="D300" s="167"/>
      <c r="E300" s="168" t="s">
        <v>134</v>
      </c>
      <c r="F300" s="169">
        <v>2000</v>
      </c>
      <c r="G300" s="168">
        <v>67</v>
      </c>
      <c r="H300" s="169">
        <v>134000</v>
      </c>
      <c r="I300" s="186" t="s">
        <v>2921</v>
      </c>
      <c r="J300" s="186" t="s">
        <v>2921</v>
      </c>
      <c r="K300" s="170" t="s">
        <v>2462</v>
      </c>
      <c r="L300" s="170"/>
      <c r="M300" s="175" t="s">
        <v>2907</v>
      </c>
      <c r="N300" s="172"/>
      <c r="O300" s="172"/>
      <c r="P300" s="173" t="s">
        <v>1832</v>
      </c>
      <c r="Q300" s="174" t="str">
        <f t="shared" si="4"/>
        <v/>
      </c>
      <c r="R300" s="203">
        <f>INDEX([1]告訴人!$D$15:$F$372,MATCH(C300,[1]告訴人!$F$15:$F$372,0),1)</f>
        <v>204</v>
      </c>
      <c r="S300" s="203" t="str">
        <f t="array" ref="S300">IF(OR(C300=[1]告訴人!$F$15:$F$372),"重疊","")</f>
        <v>重疊</v>
      </c>
      <c r="T300" s="203">
        <v>1</v>
      </c>
    </row>
    <row r="301" spans="1:23" ht="87" customHeight="1">
      <c r="A301" s="166">
        <v>298</v>
      </c>
      <c r="B301" s="166" t="s">
        <v>32</v>
      </c>
      <c r="C301" s="166" t="s">
        <v>183</v>
      </c>
      <c r="D301" s="167"/>
      <c r="E301" s="168" t="s">
        <v>134</v>
      </c>
      <c r="F301" s="169">
        <v>3000</v>
      </c>
      <c r="G301" s="168">
        <v>67</v>
      </c>
      <c r="H301" s="169">
        <v>201000</v>
      </c>
      <c r="I301" s="186" t="s">
        <v>2921</v>
      </c>
      <c r="J301" s="186" t="s">
        <v>2921</v>
      </c>
      <c r="K301" s="170" t="s">
        <v>3984</v>
      </c>
      <c r="L301" s="170" t="s">
        <v>3616</v>
      </c>
      <c r="M301" s="157" t="s">
        <v>2907</v>
      </c>
      <c r="N301" s="172"/>
      <c r="O301" s="172">
        <v>201000</v>
      </c>
      <c r="P301" s="173" t="s">
        <v>2463</v>
      </c>
      <c r="Q301" s="174" t="str">
        <f t="shared" si="4"/>
        <v>註4</v>
      </c>
      <c r="R301" s="203">
        <f>INDEX([1]告訴人!$D$15:$F$372,MATCH(C301,[1]告訴人!$F$15:$F$372,0),1)</f>
        <v>287</v>
      </c>
      <c r="S301" s="203" t="str">
        <f t="array" ref="S301">IF(OR(C301=[1]告訴人!$F$15:$F$372),"重疊","")</f>
        <v>重疊</v>
      </c>
      <c r="T301" s="203">
        <v>1</v>
      </c>
    </row>
    <row r="302" spans="1:23" ht="49.25" customHeight="1">
      <c r="A302" s="166">
        <v>299</v>
      </c>
      <c r="B302" s="166" t="s">
        <v>32</v>
      </c>
      <c r="C302" s="166" t="s">
        <v>187</v>
      </c>
      <c r="D302" s="167"/>
      <c r="E302" s="168" t="s">
        <v>134</v>
      </c>
      <c r="F302" s="169">
        <v>1000</v>
      </c>
      <c r="G302" s="168">
        <v>67</v>
      </c>
      <c r="H302" s="169">
        <v>67000</v>
      </c>
      <c r="I302" s="346" t="s">
        <v>2965</v>
      </c>
      <c r="J302" s="346" t="s">
        <v>2965</v>
      </c>
      <c r="K302" s="170" t="s">
        <v>3194</v>
      </c>
      <c r="L302" s="170" t="s">
        <v>2942</v>
      </c>
      <c r="M302" s="175" t="s">
        <v>2905</v>
      </c>
      <c r="N302" s="172"/>
      <c r="O302" s="172">
        <v>67000</v>
      </c>
      <c r="P302" s="173" t="s">
        <v>2463</v>
      </c>
      <c r="Q302" s="174" t="str">
        <f t="shared" si="4"/>
        <v>註4</v>
      </c>
      <c r="R302" s="203">
        <f>INDEX([1]告訴人!$D$15:$F$372,MATCH(C302,[1]告訴人!$F$15:$F$372,0),1)</f>
        <v>348</v>
      </c>
      <c r="S302" s="203" t="str">
        <f t="array" ref="S302">IF(OR(C302=[1]告訴人!$F$15:$F$372),"重疊","")</f>
        <v>重疊</v>
      </c>
      <c r="T302" s="203">
        <v>1</v>
      </c>
    </row>
    <row r="303" spans="1:23" ht="68.900000000000006" customHeight="1">
      <c r="A303" s="166">
        <v>300</v>
      </c>
      <c r="B303" s="166" t="s">
        <v>32</v>
      </c>
      <c r="C303" s="166" t="s">
        <v>219</v>
      </c>
      <c r="D303" s="167"/>
      <c r="E303" s="168" t="s">
        <v>134</v>
      </c>
      <c r="F303" s="169">
        <v>3000</v>
      </c>
      <c r="G303" s="168">
        <v>67</v>
      </c>
      <c r="H303" s="169">
        <v>201000</v>
      </c>
      <c r="I303" s="186" t="s">
        <v>2918</v>
      </c>
      <c r="J303" s="186" t="s">
        <v>2918</v>
      </c>
      <c r="K303" s="170" t="s">
        <v>3984</v>
      </c>
      <c r="L303" s="170" t="s">
        <v>3683</v>
      </c>
      <c r="M303" s="175" t="s">
        <v>2905</v>
      </c>
      <c r="N303" s="172"/>
      <c r="O303" s="172">
        <v>201000</v>
      </c>
      <c r="P303" s="173" t="s">
        <v>2463</v>
      </c>
      <c r="Q303" s="174" t="str">
        <f t="shared" si="4"/>
        <v>註4</v>
      </c>
      <c r="R303" s="203">
        <f>INDEX([1]告訴人!$D$15:$F$372,MATCH(C303,[1]告訴人!$F$15:$F$372,0),1)</f>
        <v>247</v>
      </c>
      <c r="S303" s="203" t="str">
        <f t="array" ref="S303">IF(OR(C303=[1]告訴人!$F$15:$F$372),"重疊","")</f>
        <v>重疊</v>
      </c>
      <c r="T303" s="203">
        <v>1</v>
      </c>
    </row>
    <row r="304" spans="1:23" ht="90.75" customHeight="1">
      <c r="A304" s="166">
        <v>301</v>
      </c>
      <c r="B304" s="166" t="s">
        <v>32</v>
      </c>
      <c r="C304" s="166" t="s">
        <v>221</v>
      </c>
      <c r="D304" s="167"/>
      <c r="E304" s="168" t="s">
        <v>134</v>
      </c>
      <c r="F304" s="169">
        <v>3000</v>
      </c>
      <c r="G304" s="168">
        <v>67</v>
      </c>
      <c r="H304" s="169">
        <v>201000</v>
      </c>
      <c r="I304" s="186" t="s">
        <v>2918</v>
      </c>
      <c r="J304" s="186" t="s">
        <v>2918</v>
      </c>
      <c r="K304" s="170" t="s">
        <v>3984</v>
      </c>
      <c r="L304" s="170" t="s">
        <v>3615</v>
      </c>
      <c r="M304" s="175" t="s">
        <v>2905</v>
      </c>
      <c r="N304" s="172"/>
      <c r="O304" s="172">
        <v>201000</v>
      </c>
      <c r="P304" s="173" t="s">
        <v>2463</v>
      </c>
      <c r="Q304" s="174" t="str">
        <f t="shared" si="4"/>
        <v>註4</v>
      </c>
      <c r="R304" s="203">
        <f>INDEX([1]告訴人!$D$15:$F$372,MATCH(C304,[1]告訴人!$F$15:$F$372,0),1)</f>
        <v>27</v>
      </c>
      <c r="S304" s="203" t="str">
        <f t="array" ref="S304">IF(OR(C304=[1]告訴人!$F$15:$F$372),"重疊","")</f>
        <v>重疊</v>
      </c>
      <c r="T304" s="203">
        <v>1</v>
      </c>
    </row>
    <row r="305" spans="1:23" ht="108" customHeight="1">
      <c r="A305" s="166">
        <v>302</v>
      </c>
      <c r="B305" s="166" t="s">
        <v>32</v>
      </c>
      <c r="C305" s="166" t="s">
        <v>225</v>
      </c>
      <c r="D305" s="167"/>
      <c r="E305" s="168" t="s">
        <v>134</v>
      </c>
      <c r="F305" s="169">
        <v>2000</v>
      </c>
      <c r="G305" s="168">
        <v>67</v>
      </c>
      <c r="H305" s="169">
        <v>134000</v>
      </c>
      <c r="I305" s="186" t="s">
        <v>2918</v>
      </c>
      <c r="J305" s="186" t="s">
        <v>2918</v>
      </c>
      <c r="K305" s="170" t="s">
        <v>3988</v>
      </c>
      <c r="L305" s="170" t="s">
        <v>3605</v>
      </c>
      <c r="M305" s="175" t="s">
        <v>2905</v>
      </c>
      <c r="N305" s="172"/>
      <c r="O305" s="172">
        <v>134000</v>
      </c>
      <c r="P305" s="173" t="s">
        <v>2463</v>
      </c>
      <c r="Q305" s="174" t="str">
        <f t="shared" si="4"/>
        <v>註4</v>
      </c>
      <c r="R305" s="203">
        <f>INDEX([1]告訴人!$D$15:$F$372,MATCH(C305,[1]告訴人!$F$15:$F$372,0),1)</f>
        <v>10</v>
      </c>
      <c r="S305" s="203" t="str">
        <f t="array" ref="S305">IF(OR(C305=[1]告訴人!$F$15:$F$372),"重疊","")</f>
        <v>重疊</v>
      </c>
      <c r="T305" s="203">
        <v>1</v>
      </c>
    </row>
    <row r="306" spans="1:23" ht="65.5" customHeight="1">
      <c r="A306" s="166">
        <v>303</v>
      </c>
      <c r="B306" s="166" t="s">
        <v>32</v>
      </c>
      <c r="C306" s="166" t="s">
        <v>226</v>
      </c>
      <c r="D306" s="167"/>
      <c r="E306" s="168" t="s">
        <v>134</v>
      </c>
      <c r="F306" s="169">
        <v>2000</v>
      </c>
      <c r="G306" s="168">
        <v>67</v>
      </c>
      <c r="H306" s="169">
        <v>134000</v>
      </c>
      <c r="I306" s="186" t="s">
        <v>2918</v>
      </c>
      <c r="J306" s="186" t="s">
        <v>2918</v>
      </c>
      <c r="K306" s="170" t="s">
        <v>3984</v>
      </c>
      <c r="L306" s="170" t="s">
        <v>3684</v>
      </c>
      <c r="M306" s="175" t="s">
        <v>2905</v>
      </c>
      <c r="N306" s="172"/>
      <c r="O306" s="172">
        <v>134000</v>
      </c>
      <c r="P306" s="173" t="s">
        <v>2463</v>
      </c>
      <c r="Q306" s="174" t="str">
        <f t="shared" si="4"/>
        <v>註4</v>
      </c>
      <c r="R306" s="203">
        <f>INDEX([1]告訴人!$D$15:$F$372,MATCH(C306,[1]告訴人!$F$15:$F$372,0),1)</f>
        <v>244</v>
      </c>
      <c r="S306" s="203" t="str">
        <f t="array" ref="S306">IF(OR(C306=[1]告訴人!$F$15:$F$372),"重疊","")</f>
        <v>重疊</v>
      </c>
      <c r="T306" s="203">
        <v>1</v>
      </c>
    </row>
    <row r="307" spans="1:23" ht="78" customHeight="1">
      <c r="A307" s="166">
        <v>304</v>
      </c>
      <c r="B307" s="166" t="s">
        <v>32</v>
      </c>
      <c r="C307" s="166" t="s">
        <v>228</v>
      </c>
      <c r="D307" s="167"/>
      <c r="E307" s="168" t="s">
        <v>134</v>
      </c>
      <c r="F307" s="169">
        <v>5000</v>
      </c>
      <c r="G307" s="168">
        <v>67</v>
      </c>
      <c r="H307" s="169">
        <v>335000</v>
      </c>
      <c r="I307" s="186" t="s">
        <v>2918</v>
      </c>
      <c r="J307" s="186" t="s">
        <v>2918</v>
      </c>
      <c r="K307" s="170" t="s">
        <v>3984</v>
      </c>
      <c r="L307" s="170" t="s">
        <v>3680</v>
      </c>
      <c r="M307" s="175" t="s">
        <v>2905</v>
      </c>
      <c r="N307" s="172"/>
      <c r="O307" s="172">
        <v>335000</v>
      </c>
      <c r="P307" s="173" t="s">
        <v>2463</v>
      </c>
      <c r="Q307" s="174" t="str">
        <f t="shared" si="4"/>
        <v>註4</v>
      </c>
      <c r="R307" s="203">
        <f>INDEX([1]告訴人!$D$15:$F$372,MATCH(C307,[1]告訴人!$F$15:$F$372,0),1)</f>
        <v>314</v>
      </c>
      <c r="S307" s="203" t="str">
        <f t="array" ref="S307">IF(OR(C307=[1]告訴人!$F$15:$F$372),"重疊","")</f>
        <v>重疊</v>
      </c>
      <c r="T307" s="203">
        <v>1</v>
      </c>
    </row>
    <row r="308" spans="1:23" ht="93" customHeight="1">
      <c r="A308" s="166">
        <v>305</v>
      </c>
      <c r="B308" s="166" t="s">
        <v>32</v>
      </c>
      <c r="C308" s="166" t="s">
        <v>229</v>
      </c>
      <c r="D308" s="167"/>
      <c r="E308" s="168" t="s">
        <v>134</v>
      </c>
      <c r="F308" s="169">
        <v>1000</v>
      </c>
      <c r="G308" s="168">
        <v>67</v>
      </c>
      <c r="H308" s="169">
        <v>67000</v>
      </c>
      <c r="I308" s="186" t="s">
        <v>2918</v>
      </c>
      <c r="J308" s="186" t="s">
        <v>2918</v>
      </c>
      <c r="K308" s="170" t="s">
        <v>3984</v>
      </c>
      <c r="L308" s="170" t="s">
        <v>3686</v>
      </c>
      <c r="M308" s="175" t="s">
        <v>2905</v>
      </c>
      <c r="N308" s="172"/>
      <c r="O308" s="172">
        <v>67000</v>
      </c>
      <c r="P308" s="173" t="s">
        <v>2463</v>
      </c>
      <c r="Q308" s="174" t="str">
        <f t="shared" si="4"/>
        <v>註4</v>
      </c>
      <c r="R308" s="203">
        <f>INDEX([1]告訴人!$D$15:$F$372,MATCH(C308,[1]告訴人!$F$15:$F$372,0),1)</f>
        <v>316</v>
      </c>
      <c r="S308" s="203" t="str">
        <f t="array" ref="S308">IF(OR(C308=[1]告訴人!$F$15:$F$372),"重疊","")</f>
        <v>重疊</v>
      </c>
      <c r="T308" s="203">
        <v>1</v>
      </c>
    </row>
    <row r="309" spans="1:23" ht="44.25" customHeight="1">
      <c r="A309" s="166">
        <v>306</v>
      </c>
      <c r="B309" s="166" t="s">
        <v>32</v>
      </c>
      <c r="C309" s="166" t="s">
        <v>294</v>
      </c>
      <c r="D309" s="167"/>
      <c r="E309" s="168" t="s">
        <v>134</v>
      </c>
      <c r="F309" s="169">
        <v>2000</v>
      </c>
      <c r="G309" s="168">
        <v>69</v>
      </c>
      <c r="H309" s="169">
        <v>138000</v>
      </c>
      <c r="I309" s="186" t="s">
        <v>2912</v>
      </c>
      <c r="J309" s="186" t="s">
        <v>2912</v>
      </c>
      <c r="K309" s="170" t="s">
        <v>3158</v>
      </c>
      <c r="L309" s="170" t="s">
        <v>3581</v>
      </c>
      <c r="M309" s="175" t="s">
        <v>2905</v>
      </c>
      <c r="N309" s="172"/>
      <c r="O309" s="172">
        <v>138000</v>
      </c>
      <c r="P309" s="173" t="s">
        <v>2465</v>
      </c>
      <c r="Q309" s="174" t="str">
        <f t="shared" si="4"/>
        <v>註4</v>
      </c>
      <c r="R309" s="203">
        <f>INDEX([1]告訴人!$D$15:$F$372,MATCH(C309,[1]告訴人!$F$15:$F$372,0),1)</f>
        <v>79</v>
      </c>
      <c r="S309" s="203" t="str">
        <f t="array" ref="S309">IF(OR(C309=[1]告訴人!$F$15:$F$372),"重疊","")</f>
        <v>重疊</v>
      </c>
      <c r="T309" s="203">
        <v>1</v>
      </c>
      <c r="U309" s="203">
        <v>1</v>
      </c>
      <c r="W309" s="203" t="s">
        <v>2905</v>
      </c>
    </row>
    <row r="310" spans="1:23" ht="71.25" customHeight="1">
      <c r="A310" s="166">
        <v>307</v>
      </c>
      <c r="B310" s="166" t="s">
        <v>32</v>
      </c>
      <c r="C310" s="166" t="s">
        <v>2966</v>
      </c>
      <c r="D310" s="167"/>
      <c r="E310" s="168" t="s">
        <v>109</v>
      </c>
      <c r="F310" s="169">
        <v>1000</v>
      </c>
      <c r="G310" s="168">
        <v>25</v>
      </c>
      <c r="H310" s="169">
        <v>25000</v>
      </c>
      <c r="I310" s="186" t="s">
        <v>2912</v>
      </c>
      <c r="J310" s="186" t="s">
        <v>2912</v>
      </c>
      <c r="K310" s="170" t="s">
        <v>3170</v>
      </c>
      <c r="L310" s="170" t="s">
        <v>3584</v>
      </c>
      <c r="M310" s="175" t="s">
        <v>2905</v>
      </c>
      <c r="N310" s="172"/>
      <c r="O310" s="172">
        <v>25000</v>
      </c>
      <c r="P310" s="173" t="s">
        <v>2465</v>
      </c>
      <c r="Q310" s="174" t="str">
        <f t="shared" si="4"/>
        <v>註4</v>
      </c>
      <c r="R310" s="203">
        <f>INDEX([1]告訴人!$D$15:$F$372,MATCH(C310,[1]告訴人!$F$15:$F$372,0),1)</f>
        <v>236</v>
      </c>
      <c r="S310" s="203" t="str">
        <f t="array" ref="S310">IF(OR(C310=[1]告訴人!$F$15:$F$372),"重疊","")</f>
        <v>重疊</v>
      </c>
      <c r="T310" s="203">
        <v>1</v>
      </c>
      <c r="U310" s="203">
        <v>1</v>
      </c>
      <c r="W310" s="203" t="s">
        <v>2905</v>
      </c>
    </row>
    <row r="311" spans="1:23" ht="17.5" customHeight="1">
      <c r="A311" s="166">
        <v>308</v>
      </c>
      <c r="B311" s="166" t="s">
        <v>32</v>
      </c>
      <c r="C311" s="166" t="s">
        <v>150</v>
      </c>
      <c r="D311" s="167"/>
      <c r="E311" s="168" t="s">
        <v>109</v>
      </c>
      <c r="F311" s="169">
        <v>1000</v>
      </c>
      <c r="G311" s="168">
        <v>25</v>
      </c>
      <c r="H311" s="169">
        <v>25000</v>
      </c>
      <c r="I311" s="186" t="s">
        <v>2918</v>
      </c>
      <c r="J311" s="186" t="s">
        <v>2918</v>
      </c>
      <c r="K311" s="170" t="s">
        <v>2462</v>
      </c>
      <c r="L311" s="170"/>
      <c r="M311" s="157" t="s">
        <v>2905</v>
      </c>
      <c r="N311" s="172"/>
      <c r="O311" s="172"/>
      <c r="P311" s="173" t="s">
        <v>1832</v>
      </c>
      <c r="Q311" s="174" t="str">
        <f t="shared" si="4"/>
        <v/>
      </c>
      <c r="R311" s="203">
        <f>INDEX([1]告訴人!$D$15:$F$372,MATCH(C311,[1]告訴人!$F$15:$F$372,0),1)</f>
        <v>219</v>
      </c>
      <c r="S311" s="203" t="str">
        <f t="array" ref="S311">IF(OR(C311=[1]告訴人!$F$15:$F$372),"重疊","")</f>
        <v>重疊</v>
      </c>
      <c r="T311" s="203">
        <v>1</v>
      </c>
    </row>
    <row r="312" spans="1:23" ht="42.75" customHeight="1">
      <c r="A312" s="166">
        <v>309</v>
      </c>
      <c r="B312" s="166" t="s">
        <v>32</v>
      </c>
      <c r="C312" s="166" t="s">
        <v>156</v>
      </c>
      <c r="D312" s="167"/>
      <c r="E312" s="168" t="s">
        <v>109</v>
      </c>
      <c r="F312" s="169">
        <v>2000</v>
      </c>
      <c r="G312" s="168">
        <v>25</v>
      </c>
      <c r="H312" s="169">
        <v>50000</v>
      </c>
      <c r="I312" s="186"/>
      <c r="J312" s="186"/>
      <c r="K312" s="170" t="s">
        <v>3158</v>
      </c>
      <c r="L312" s="170" t="s">
        <v>3617</v>
      </c>
      <c r="M312" s="175" t="s">
        <v>2905</v>
      </c>
      <c r="N312" s="172"/>
      <c r="O312" s="172">
        <v>50000</v>
      </c>
      <c r="P312" s="173" t="s">
        <v>2463</v>
      </c>
      <c r="Q312" s="174" t="str">
        <f t="shared" si="4"/>
        <v>註4</v>
      </c>
      <c r="R312" s="203">
        <f>INDEX([1]告訴人!$D$15:$F$372,MATCH(C312,[1]告訴人!$F$15:$F$372,0),1)</f>
        <v>35</v>
      </c>
      <c r="S312" s="203" t="str">
        <f t="array" ref="S312">IF(OR(C312=[1]告訴人!$F$15:$F$372),"重疊","")</f>
        <v>重疊</v>
      </c>
      <c r="T312" s="203">
        <v>1</v>
      </c>
      <c r="U312" s="203">
        <v>1</v>
      </c>
    </row>
    <row r="313" spans="1:23" ht="42.75" customHeight="1">
      <c r="A313" s="166">
        <v>310</v>
      </c>
      <c r="B313" s="166" t="s">
        <v>32</v>
      </c>
      <c r="C313" s="166" t="s">
        <v>158</v>
      </c>
      <c r="D313" s="167"/>
      <c r="E313" s="168" t="s">
        <v>109</v>
      </c>
      <c r="F313" s="169">
        <v>10000</v>
      </c>
      <c r="G313" s="168">
        <v>25</v>
      </c>
      <c r="H313" s="169">
        <v>250000</v>
      </c>
      <c r="I313" s="186" t="s">
        <v>2918</v>
      </c>
      <c r="J313" s="186" t="s">
        <v>2918</v>
      </c>
      <c r="K313" s="170" t="s">
        <v>3158</v>
      </c>
      <c r="L313" s="170" t="s">
        <v>3617</v>
      </c>
      <c r="M313" s="175" t="s">
        <v>2905</v>
      </c>
      <c r="N313" s="172"/>
      <c r="O313" s="172">
        <v>250000</v>
      </c>
      <c r="P313" s="173" t="s">
        <v>2463</v>
      </c>
      <c r="Q313" s="174" t="str">
        <f t="shared" si="4"/>
        <v>註4</v>
      </c>
      <c r="R313" s="203">
        <f>INDEX([1]告訴人!$D$15:$F$372,MATCH(C313,[1]告訴人!$F$15:$F$372,0),1)</f>
        <v>137</v>
      </c>
      <c r="S313" s="203" t="str">
        <f t="array" ref="S313">IF(OR(C313=[1]告訴人!$F$15:$F$372),"重疊","")</f>
        <v>重疊</v>
      </c>
      <c r="T313" s="203">
        <v>1</v>
      </c>
      <c r="U313" s="203">
        <v>1</v>
      </c>
    </row>
    <row r="314" spans="1:23">
      <c r="A314" s="166">
        <v>311</v>
      </c>
      <c r="B314" s="166" t="s">
        <v>32</v>
      </c>
      <c r="C314" s="166" t="s">
        <v>160</v>
      </c>
      <c r="D314" s="167"/>
      <c r="E314" s="168" t="s">
        <v>109</v>
      </c>
      <c r="F314" s="169">
        <v>2000</v>
      </c>
      <c r="G314" s="168">
        <v>25</v>
      </c>
      <c r="H314" s="169">
        <v>50000</v>
      </c>
      <c r="I314" s="186" t="s">
        <v>2918</v>
      </c>
      <c r="J314" s="186" t="s">
        <v>2918</v>
      </c>
      <c r="K314" s="170" t="s">
        <v>2462</v>
      </c>
      <c r="L314" s="170"/>
      <c r="M314" s="175" t="s">
        <v>2905</v>
      </c>
      <c r="N314" s="172"/>
      <c r="O314" s="172"/>
      <c r="P314" s="173" t="s">
        <v>1832</v>
      </c>
      <c r="Q314" s="174" t="str">
        <f t="shared" si="4"/>
        <v/>
      </c>
      <c r="R314" s="203">
        <f>INDEX([1]告訴人!$D$15:$F$372,MATCH(C314,[1]告訴人!$F$15:$F$372,0),1)</f>
        <v>115</v>
      </c>
      <c r="S314" s="203" t="str">
        <f t="array" ref="S314">IF(OR(C314=[1]告訴人!$F$15:$F$372),"重疊","")</f>
        <v>重疊</v>
      </c>
      <c r="T314" s="203">
        <v>1</v>
      </c>
    </row>
    <row r="315" spans="1:23" ht="42" customHeight="1">
      <c r="A315" s="166">
        <v>312</v>
      </c>
      <c r="B315" s="166" t="s">
        <v>32</v>
      </c>
      <c r="C315" s="166" t="s">
        <v>277</v>
      </c>
      <c r="D315" s="167"/>
      <c r="E315" s="168" t="s">
        <v>109</v>
      </c>
      <c r="F315" s="169">
        <v>1000</v>
      </c>
      <c r="G315" s="168">
        <v>25</v>
      </c>
      <c r="H315" s="169">
        <v>25000</v>
      </c>
      <c r="I315" s="186" t="s">
        <v>2918</v>
      </c>
      <c r="J315" s="186" t="s">
        <v>2918</v>
      </c>
      <c r="K315" s="170" t="s">
        <v>3158</v>
      </c>
      <c r="L315" s="170" t="s">
        <v>3617</v>
      </c>
      <c r="M315" s="175" t="s">
        <v>2905</v>
      </c>
      <c r="N315" s="172"/>
      <c r="O315" s="172">
        <v>25000</v>
      </c>
      <c r="P315" s="173" t="s">
        <v>2463</v>
      </c>
      <c r="Q315" s="174" t="str">
        <f t="shared" si="4"/>
        <v>註4</v>
      </c>
      <c r="R315" s="203">
        <f>INDEX([1]告訴人!$D$15:$F$372,MATCH(C315,[1]告訴人!$F$15:$F$372,0),1)</f>
        <v>187</v>
      </c>
      <c r="S315" s="203" t="str">
        <f t="array" ref="S315">IF(OR(C315=[1]告訴人!$F$15:$F$372),"重疊","")</f>
        <v>重疊</v>
      </c>
      <c r="T315" s="203">
        <v>1</v>
      </c>
      <c r="U315" s="203">
        <v>1</v>
      </c>
    </row>
    <row r="316" spans="1:23" ht="63" customHeight="1">
      <c r="A316" s="166">
        <v>313</v>
      </c>
      <c r="B316" s="166" t="s">
        <v>32</v>
      </c>
      <c r="C316" s="166" t="s">
        <v>288</v>
      </c>
      <c r="D316" s="167"/>
      <c r="E316" s="168" t="s">
        <v>109</v>
      </c>
      <c r="F316" s="169">
        <v>2000</v>
      </c>
      <c r="G316" s="168">
        <v>25</v>
      </c>
      <c r="H316" s="169">
        <v>50000</v>
      </c>
      <c r="I316" s="186" t="s">
        <v>2918</v>
      </c>
      <c r="J316" s="186" t="s">
        <v>2918</v>
      </c>
      <c r="K316" s="170" t="s">
        <v>3182</v>
      </c>
      <c r="L316" s="170" t="s">
        <v>3596</v>
      </c>
      <c r="M316" s="175" t="s">
        <v>2905</v>
      </c>
      <c r="N316" s="172"/>
      <c r="O316" s="172">
        <v>50000</v>
      </c>
      <c r="P316" s="173" t="s">
        <v>2463</v>
      </c>
      <c r="Q316" s="174" t="str">
        <f t="shared" si="4"/>
        <v>註4</v>
      </c>
      <c r="R316" s="203">
        <f>INDEX([1]告訴人!$D$15:$F$372,MATCH(C316,[1]告訴人!$F$15:$F$372,0),1)</f>
        <v>84</v>
      </c>
      <c r="S316" s="203" t="str">
        <f t="array" ref="S316">IF(OR(C316=[1]告訴人!$F$15:$F$372),"重疊","")</f>
        <v>重疊</v>
      </c>
      <c r="T316" s="203">
        <v>1</v>
      </c>
      <c r="U316" s="203">
        <v>1</v>
      </c>
    </row>
    <row r="317" spans="1:23" ht="42.75" customHeight="1">
      <c r="A317" s="166">
        <v>314</v>
      </c>
      <c r="B317" s="166" t="s">
        <v>32</v>
      </c>
      <c r="C317" s="166" t="s">
        <v>290</v>
      </c>
      <c r="D317" s="167"/>
      <c r="E317" s="168" t="s">
        <v>109</v>
      </c>
      <c r="F317" s="169">
        <v>3000</v>
      </c>
      <c r="G317" s="168">
        <v>25</v>
      </c>
      <c r="H317" s="169">
        <v>75000</v>
      </c>
      <c r="I317" s="186" t="s">
        <v>2918</v>
      </c>
      <c r="J317" s="186" t="s">
        <v>2918</v>
      </c>
      <c r="K317" s="170" t="s">
        <v>3158</v>
      </c>
      <c r="L317" s="170" t="s">
        <v>3617</v>
      </c>
      <c r="M317" s="175" t="s">
        <v>2905</v>
      </c>
      <c r="N317" s="172"/>
      <c r="O317" s="172">
        <v>75000</v>
      </c>
      <c r="P317" s="173" t="s">
        <v>2463</v>
      </c>
      <c r="Q317" s="174" t="str">
        <f t="shared" si="4"/>
        <v>註4</v>
      </c>
      <c r="R317" s="203">
        <f>INDEX([1]告訴人!$D$15:$F$372,MATCH(C317,[1]告訴人!$F$15:$F$372,0),1)</f>
        <v>281</v>
      </c>
      <c r="S317" s="203" t="str">
        <f t="array" ref="S317">IF(OR(C317=[1]告訴人!$F$15:$F$372),"重疊","")</f>
        <v>重疊</v>
      </c>
      <c r="T317" s="203">
        <v>1</v>
      </c>
      <c r="U317" s="203">
        <v>1</v>
      </c>
    </row>
    <row r="318" spans="1:23" ht="114.75" customHeight="1">
      <c r="A318" s="166">
        <v>315</v>
      </c>
      <c r="B318" s="166" t="s">
        <v>32</v>
      </c>
      <c r="C318" s="166" t="s">
        <v>292</v>
      </c>
      <c r="D318" s="167"/>
      <c r="E318" s="168" t="s">
        <v>109</v>
      </c>
      <c r="F318" s="169">
        <v>5000</v>
      </c>
      <c r="G318" s="168">
        <v>25</v>
      </c>
      <c r="H318" s="169">
        <v>125000</v>
      </c>
      <c r="I318" s="186" t="s">
        <v>2918</v>
      </c>
      <c r="J318" s="186" t="s">
        <v>2918</v>
      </c>
      <c r="K318" s="170" t="s">
        <v>3195</v>
      </c>
      <c r="L318" s="170" t="s">
        <v>3618</v>
      </c>
      <c r="M318" s="175" t="s">
        <v>2905</v>
      </c>
      <c r="N318" s="172">
        <v>125000</v>
      </c>
      <c r="O318" s="172"/>
      <c r="P318" s="173" t="s">
        <v>2461</v>
      </c>
      <c r="Q318" s="174" t="str">
        <f t="shared" si="4"/>
        <v>註3</v>
      </c>
      <c r="R318" s="203">
        <f>INDEX([1]告訴人!$D$15:$F$372,MATCH(C318,[1]告訴人!$F$15:$F$372,0),1)</f>
        <v>33</v>
      </c>
      <c r="S318" s="203" t="str">
        <f t="array" ref="S318">IF(OR(C318=[1]告訴人!$F$15:$F$372),"重疊","")</f>
        <v>重疊</v>
      </c>
      <c r="T318" s="203">
        <v>1</v>
      </c>
    </row>
    <row r="319" spans="1:23" ht="63.75" customHeight="1">
      <c r="A319" s="166">
        <v>316</v>
      </c>
      <c r="B319" s="166" t="s">
        <v>32</v>
      </c>
      <c r="C319" s="166" t="s">
        <v>295</v>
      </c>
      <c r="D319" s="167"/>
      <c r="E319" s="168" t="s">
        <v>109</v>
      </c>
      <c r="F319" s="169">
        <v>1000</v>
      </c>
      <c r="G319" s="168">
        <v>25</v>
      </c>
      <c r="H319" s="169">
        <v>25000</v>
      </c>
      <c r="I319" s="186" t="s">
        <v>2918</v>
      </c>
      <c r="J319" s="186" t="s">
        <v>2918</v>
      </c>
      <c r="K319" s="170" t="s">
        <v>3183</v>
      </c>
      <c r="L319" s="170" t="s">
        <v>3597</v>
      </c>
      <c r="M319" s="175" t="s">
        <v>2905</v>
      </c>
      <c r="N319" s="172"/>
      <c r="O319" s="172">
        <v>25000</v>
      </c>
      <c r="P319" s="173" t="s">
        <v>2463</v>
      </c>
      <c r="Q319" s="174" t="str">
        <f t="shared" si="4"/>
        <v>註4</v>
      </c>
      <c r="R319" s="203">
        <f>INDEX([1]告訴人!$D$15:$F$372,MATCH(C319,[1]告訴人!$F$15:$F$372,0),1)</f>
        <v>186</v>
      </c>
      <c r="S319" s="203" t="str">
        <f t="array" ref="S319">IF(OR(C319=[1]告訴人!$F$15:$F$372),"重疊","")</f>
        <v>重疊</v>
      </c>
      <c r="T319" s="203">
        <v>1</v>
      </c>
      <c r="U319" s="203">
        <v>1</v>
      </c>
    </row>
    <row r="320" spans="1:23" ht="34">
      <c r="A320" s="166">
        <v>317</v>
      </c>
      <c r="B320" s="166" t="s">
        <v>32</v>
      </c>
      <c r="C320" s="166" t="s">
        <v>296</v>
      </c>
      <c r="D320" s="167"/>
      <c r="E320" s="168" t="s">
        <v>109</v>
      </c>
      <c r="F320" s="169">
        <v>2000</v>
      </c>
      <c r="G320" s="168">
        <v>25</v>
      </c>
      <c r="H320" s="169">
        <v>50000</v>
      </c>
      <c r="I320" s="186" t="s">
        <v>2918</v>
      </c>
      <c r="J320" s="186" t="s">
        <v>2918</v>
      </c>
      <c r="K320" s="170" t="s">
        <v>3158</v>
      </c>
      <c r="L320" s="170" t="s">
        <v>3617</v>
      </c>
      <c r="M320" s="175" t="s">
        <v>2905</v>
      </c>
      <c r="N320" s="172"/>
      <c r="O320" s="172">
        <v>50000</v>
      </c>
      <c r="P320" s="173" t="s">
        <v>2463</v>
      </c>
      <c r="Q320" s="174" t="str">
        <f t="shared" si="4"/>
        <v>註4</v>
      </c>
      <c r="R320" s="203">
        <f>INDEX([1]告訴人!$D$15:$F$372,MATCH(C320,[1]告訴人!$F$15:$F$372,0),1)</f>
        <v>62</v>
      </c>
      <c r="S320" s="203" t="str">
        <f t="array" ref="S320">IF(OR(C320=[1]告訴人!$F$15:$F$372),"重疊","")</f>
        <v>重疊</v>
      </c>
      <c r="T320" s="203">
        <v>1</v>
      </c>
      <c r="U320" s="203">
        <v>1</v>
      </c>
    </row>
    <row r="321" spans="1:23">
      <c r="A321" s="166">
        <v>318</v>
      </c>
      <c r="B321" s="166" t="s">
        <v>32</v>
      </c>
      <c r="C321" s="166" t="s">
        <v>298</v>
      </c>
      <c r="D321" s="167"/>
      <c r="E321" s="168" t="s">
        <v>109</v>
      </c>
      <c r="F321" s="169">
        <v>1000</v>
      </c>
      <c r="G321" s="168">
        <v>25</v>
      </c>
      <c r="H321" s="169">
        <v>25000</v>
      </c>
      <c r="I321" s="186"/>
      <c r="J321" s="186"/>
      <c r="K321" s="170" t="s">
        <v>2904</v>
      </c>
      <c r="L321" s="170"/>
      <c r="M321" s="175"/>
      <c r="N321" s="172">
        <v>25000</v>
      </c>
      <c r="O321" s="172"/>
      <c r="P321" s="173" t="s">
        <v>2461</v>
      </c>
      <c r="Q321" s="174" t="str">
        <f t="shared" si="4"/>
        <v>註3</v>
      </c>
      <c r="R321" s="203" t="e">
        <f>INDEX([1]告訴人!$D$15:$F$372,MATCH(C321,[1]告訴人!$F$15:$F$372,0),1)</f>
        <v>#N/A</v>
      </c>
      <c r="S321" s="203" t="str">
        <f t="array" ref="S321">IF(OR(C321=[1]告訴人!$F$15:$F$372),"重疊","")</f>
        <v/>
      </c>
    </row>
    <row r="322" spans="1:23" ht="33.65" customHeight="1">
      <c r="A322" s="166">
        <v>319</v>
      </c>
      <c r="B322" s="166" t="s">
        <v>32</v>
      </c>
      <c r="C322" s="166" t="s">
        <v>300</v>
      </c>
      <c r="D322" s="167"/>
      <c r="E322" s="168" t="s">
        <v>109</v>
      </c>
      <c r="F322" s="169">
        <v>1000</v>
      </c>
      <c r="G322" s="168">
        <v>25</v>
      </c>
      <c r="H322" s="169">
        <v>25000</v>
      </c>
      <c r="I322" s="186" t="s">
        <v>2918</v>
      </c>
      <c r="J322" s="186" t="s">
        <v>2918</v>
      </c>
      <c r="K322" s="170" t="s">
        <v>3158</v>
      </c>
      <c r="L322" s="170" t="s">
        <v>3617</v>
      </c>
      <c r="M322" s="175" t="s">
        <v>2905</v>
      </c>
      <c r="N322" s="172"/>
      <c r="O322" s="172">
        <v>25000</v>
      </c>
      <c r="P322" s="173" t="s">
        <v>2463</v>
      </c>
      <c r="Q322" s="174" t="str">
        <f t="shared" ref="Q322:Q385" si="5">IF(N322&lt;&gt;0,"註3",IF(O322&lt;&gt;0,"註4",""))</f>
        <v>註4</v>
      </c>
      <c r="R322" s="203">
        <f>INDEX([1]告訴人!$D$15:$F$372,MATCH(C322,[1]告訴人!$F$15:$F$372,0),1)</f>
        <v>275</v>
      </c>
      <c r="S322" s="203" t="str">
        <f t="array" ref="S322">IF(OR(C322=[1]告訴人!$F$15:$F$372),"重疊","")</f>
        <v>重疊</v>
      </c>
      <c r="T322" s="203">
        <v>1</v>
      </c>
      <c r="U322" s="203">
        <v>1</v>
      </c>
    </row>
    <row r="323" spans="1:23" ht="17" customHeight="1">
      <c r="A323" s="166">
        <v>320</v>
      </c>
      <c r="B323" s="166" t="s">
        <v>32</v>
      </c>
      <c r="C323" s="166" t="s">
        <v>530</v>
      </c>
      <c r="D323" s="167"/>
      <c r="E323" s="168" t="s">
        <v>109</v>
      </c>
      <c r="F323" s="169">
        <v>2000</v>
      </c>
      <c r="G323" s="168">
        <v>67</v>
      </c>
      <c r="H323" s="169">
        <v>134000</v>
      </c>
      <c r="I323" s="186"/>
      <c r="J323" s="186"/>
      <c r="K323" s="170" t="s">
        <v>2904</v>
      </c>
      <c r="L323" s="170"/>
      <c r="M323" s="175"/>
      <c r="N323" s="172">
        <v>134000</v>
      </c>
      <c r="O323" s="172"/>
      <c r="P323" s="173" t="s">
        <v>2461</v>
      </c>
      <c r="Q323" s="174" t="str">
        <f t="shared" si="5"/>
        <v>註3</v>
      </c>
      <c r="R323" s="203" t="e">
        <f>INDEX([1]告訴人!$D$15:$F$372,MATCH(C323,[1]告訴人!$F$15:$F$372,0),1)</f>
        <v>#N/A</v>
      </c>
      <c r="S323" s="203" t="str">
        <f t="array" ref="S323">IF(OR(C323=[1]告訴人!$F$15:$F$372),"重疊","")</f>
        <v/>
      </c>
    </row>
    <row r="324" spans="1:23" ht="59.25" customHeight="1">
      <c r="A324" s="166">
        <v>321</v>
      </c>
      <c r="B324" s="166" t="s">
        <v>32</v>
      </c>
      <c r="C324" s="166" t="s">
        <v>122</v>
      </c>
      <c r="D324" s="167"/>
      <c r="E324" s="168" t="s">
        <v>109</v>
      </c>
      <c r="F324" s="169">
        <v>1000</v>
      </c>
      <c r="G324" s="168">
        <v>69</v>
      </c>
      <c r="H324" s="169">
        <v>69000</v>
      </c>
      <c r="I324" s="186" t="s">
        <v>2912</v>
      </c>
      <c r="J324" s="186" t="s">
        <v>2912</v>
      </c>
      <c r="K324" s="170" t="s">
        <v>3170</v>
      </c>
      <c r="L324" s="170" t="s">
        <v>3584</v>
      </c>
      <c r="M324" s="175" t="s">
        <v>2905</v>
      </c>
      <c r="N324" s="172"/>
      <c r="O324" s="172">
        <v>69000</v>
      </c>
      <c r="P324" s="173" t="s">
        <v>2465</v>
      </c>
      <c r="Q324" s="174" t="str">
        <f t="shared" si="5"/>
        <v>註4</v>
      </c>
      <c r="R324" s="203">
        <f>INDEX([1]告訴人!$D$15:$F$372,MATCH(C324,[1]告訴人!$F$15:$F$372,0),1)</f>
        <v>236</v>
      </c>
      <c r="S324" s="203" t="str">
        <f t="array" ref="S324">IF(OR(C324=[1]告訴人!$F$15:$F$372),"重疊","")</f>
        <v>重疊</v>
      </c>
      <c r="T324" s="203">
        <v>1</v>
      </c>
      <c r="U324" s="203">
        <v>1</v>
      </c>
      <c r="W324" s="203" t="s">
        <v>2905</v>
      </c>
    </row>
    <row r="325" spans="1:23" ht="79.650000000000006" customHeight="1">
      <c r="A325" s="166">
        <v>322</v>
      </c>
      <c r="B325" s="166" t="s">
        <v>32</v>
      </c>
      <c r="C325" s="166" t="s">
        <v>570</v>
      </c>
      <c r="D325" s="167"/>
      <c r="E325" s="168" t="s">
        <v>109</v>
      </c>
      <c r="F325" s="169">
        <v>1000</v>
      </c>
      <c r="G325" s="168">
        <v>69</v>
      </c>
      <c r="H325" s="169">
        <v>69000</v>
      </c>
      <c r="I325" s="186" t="s">
        <v>2918</v>
      </c>
      <c r="J325" s="186" t="s">
        <v>2918</v>
      </c>
      <c r="K325" s="170" t="s">
        <v>3196</v>
      </c>
      <c r="L325" s="170" t="s">
        <v>3687</v>
      </c>
      <c r="M325" s="175" t="s">
        <v>2905</v>
      </c>
      <c r="N325" s="172"/>
      <c r="O325" s="172">
        <v>69000</v>
      </c>
      <c r="P325" s="173" t="s">
        <v>2967</v>
      </c>
      <c r="Q325" s="174" t="str">
        <f t="shared" si="5"/>
        <v>註4</v>
      </c>
      <c r="R325" s="203">
        <f>INDEX([1]告訴人!$D$15:$F$372,MATCH(C325,[1]告訴人!$F$15:$F$372,0),1)</f>
        <v>28</v>
      </c>
      <c r="S325" s="203" t="str">
        <f t="array" ref="S325">IF(OR(C325=[1]告訴人!$F$15:$F$372),"重疊","")</f>
        <v>重疊</v>
      </c>
      <c r="T325" s="203">
        <v>1</v>
      </c>
    </row>
    <row r="326" spans="1:23">
      <c r="A326" s="166">
        <v>323</v>
      </c>
      <c r="B326" s="166" t="s">
        <v>32</v>
      </c>
      <c r="C326" s="166" t="s">
        <v>121</v>
      </c>
      <c r="D326" s="167"/>
      <c r="E326" s="168" t="s">
        <v>70</v>
      </c>
      <c r="F326" s="169">
        <v>1000</v>
      </c>
      <c r="G326" s="168">
        <v>25</v>
      </c>
      <c r="H326" s="169">
        <v>25000</v>
      </c>
      <c r="I326" s="186"/>
      <c r="J326" s="186"/>
      <c r="K326" s="170" t="s">
        <v>2904</v>
      </c>
      <c r="L326" s="170"/>
      <c r="M326" s="175"/>
      <c r="N326" s="172">
        <v>25000</v>
      </c>
      <c r="O326" s="172"/>
      <c r="P326" s="173" t="s">
        <v>2461</v>
      </c>
      <c r="Q326" s="174" t="str">
        <f t="shared" si="5"/>
        <v>註3</v>
      </c>
      <c r="R326" s="203" t="e">
        <f>INDEX([1]告訴人!$D$15:$F$372,MATCH(C326,[1]告訴人!$F$15:$F$372,0),1)</f>
        <v>#N/A</v>
      </c>
      <c r="S326" s="203" t="str">
        <f t="array" ref="S326">IF(OR(C326=[1]告訴人!$F$15:$F$372),"重疊","")</f>
        <v/>
      </c>
    </row>
    <row r="327" spans="1:23" ht="51" customHeight="1">
      <c r="A327" s="166">
        <v>324</v>
      </c>
      <c r="B327" s="166" t="s">
        <v>32</v>
      </c>
      <c r="C327" s="166" t="s">
        <v>147</v>
      </c>
      <c r="D327" s="167" t="s">
        <v>2928</v>
      </c>
      <c r="E327" s="168" t="s">
        <v>70</v>
      </c>
      <c r="F327" s="169">
        <v>2000</v>
      </c>
      <c r="G327" s="168">
        <v>25</v>
      </c>
      <c r="H327" s="169">
        <v>50000</v>
      </c>
      <c r="I327" s="186" t="s">
        <v>2912</v>
      </c>
      <c r="J327" s="186" t="s">
        <v>2912</v>
      </c>
      <c r="K327" s="170" t="s">
        <v>3158</v>
      </c>
      <c r="L327" s="170" t="s">
        <v>3617</v>
      </c>
      <c r="M327" s="175" t="s">
        <v>2905</v>
      </c>
      <c r="N327" s="172"/>
      <c r="O327" s="172">
        <v>50000</v>
      </c>
      <c r="P327" s="173" t="s">
        <v>2465</v>
      </c>
      <c r="Q327" s="174" t="str">
        <f t="shared" si="5"/>
        <v>註4</v>
      </c>
      <c r="R327" s="203">
        <f>INDEX([1]告訴人!$D$15:$F$372,MATCH(C327,[1]告訴人!$F$15:$F$372,0),1)</f>
        <v>233</v>
      </c>
      <c r="S327" s="203" t="str">
        <f t="array" ref="S327">IF(OR(C327=[1]告訴人!$F$15:$F$372),"重疊","")</f>
        <v>重疊</v>
      </c>
      <c r="T327" s="203">
        <v>1</v>
      </c>
      <c r="U327" s="203">
        <v>1</v>
      </c>
      <c r="W327" s="203" t="s">
        <v>2905</v>
      </c>
    </row>
    <row r="328" spans="1:23" ht="53.25" customHeight="1">
      <c r="A328" s="166">
        <v>325</v>
      </c>
      <c r="B328" s="166" t="s">
        <v>32</v>
      </c>
      <c r="C328" s="166" t="s">
        <v>169</v>
      </c>
      <c r="D328" s="167"/>
      <c r="E328" s="168" t="s">
        <v>70</v>
      </c>
      <c r="F328" s="169">
        <v>1000</v>
      </c>
      <c r="G328" s="168">
        <v>25</v>
      </c>
      <c r="H328" s="169">
        <v>25000</v>
      </c>
      <c r="I328" s="186" t="s">
        <v>2918</v>
      </c>
      <c r="J328" s="186" t="s">
        <v>2918</v>
      </c>
      <c r="K328" s="170" t="s">
        <v>3158</v>
      </c>
      <c r="L328" s="170" t="s">
        <v>3617</v>
      </c>
      <c r="M328" s="175" t="s">
        <v>2905</v>
      </c>
      <c r="N328" s="172"/>
      <c r="O328" s="172">
        <v>25000</v>
      </c>
      <c r="P328" s="173" t="s">
        <v>2463</v>
      </c>
      <c r="Q328" s="174" t="str">
        <f t="shared" si="5"/>
        <v>註4</v>
      </c>
      <c r="R328" s="203">
        <f>INDEX([1]告訴人!$D$15:$F$372,MATCH(C328,[1]告訴人!$F$15:$F$372,0),1)</f>
        <v>229</v>
      </c>
      <c r="S328" s="203" t="str">
        <f t="array" ref="S328">IF(OR(C328=[1]告訴人!$F$15:$F$372),"重疊","")</f>
        <v>重疊</v>
      </c>
      <c r="T328" s="203">
        <v>1</v>
      </c>
      <c r="U328" s="203">
        <v>1</v>
      </c>
    </row>
    <row r="329" spans="1:23" ht="69.75" customHeight="1">
      <c r="A329" s="166">
        <v>326</v>
      </c>
      <c r="B329" s="166" t="s">
        <v>32</v>
      </c>
      <c r="C329" s="166" t="s">
        <v>175</v>
      </c>
      <c r="D329" s="167"/>
      <c r="E329" s="168" t="s">
        <v>70</v>
      </c>
      <c r="F329" s="169">
        <v>3000</v>
      </c>
      <c r="G329" s="168">
        <v>25</v>
      </c>
      <c r="H329" s="169">
        <v>75000</v>
      </c>
      <c r="I329" s="186" t="s">
        <v>2912</v>
      </c>
      <c r="J329" s="186" t="s">
        <v>2912</v>
      </c>
      <c r="K329" s="170" t="s">
        <v>3170</v>
      </c>
      <c r="L329" s="170" t="s">
        <v>3584</v>
      </c>
      <c r="M329" s="175" t="s">
        <v>2905</v>
      </c>
      <c r="N329" s="172"/>
      <c r="O329" s="172">
        <v>75000</v>
      </c>
      <c r="P329" s="173" t="s">
        <v>2465</v>
      </c>
      <c r="Q329" s="174" t="str">
        <f t="shared" si="5"/>
        <v>註4</v>
      </c>
      <c r="R329" s="203" t="e">
        <f>INDEX([1]告訴人!$D$15:$F$372,MATCH(C329,[1]告訴人!$F$15:$F$372,0),1)</f>
        <v>#N/A</v>
      </c>
      <c r="S329" s="203" t="str">
        <f t="array" ref="S329">IF(OR(C329=[1]告訴人!$F$15:$F$372),"重疊","")</f>
        <v/>
      </c>
      <c r="T329" s="203">
        <v>1</v>
      </c>
      <c r="U329" s="203">
        <v>1</v>
      </c>
      <c r="W329" s="203" t="s">
        <v>2905</v>
      </c>
    </row>
    <row r="330" spans="1:23" ht="79.650000000000006" customHeight="1">
      <c r="A330" s="166">
        <v>327</v>
      </c>
      <c r="B330" s="166" t="s">
        <v>32</v>
      </c>
      <c r="C330" s="166" t="s">
        <v>196</v>
      </c>
      <c r="D330" s="167"/>
      <c r="E330" s="168" t="s">
        <v>70</v>
      </c>
      <c r="F330" s="169">
        <v>2000</v>
      </c>
      <c r="G330" s="168">
        <v>25</v>
      </c>
      <c r="H330" s="169">
        <v>50000</v>
      </c>
      <c r="I330" s="186" t="s">
        <v>2918</v>
      </c>
      <c r="J330" s="186" t="s">
        <v>2918</v>
      </c>
      <c r="K330" s="170" t="s">
        <v>2462</v>
      </c>
      <c r="L330" s="170" t="s">
        <v>3688</v>
      </c>
      <c r="M330" s="175" t="s">
        <v>2905</v>
      </c>
      <c r="N330" s="172"/>
      <c r="O330" s="172"/>
      <c r="P330" s="173" t="s">
        <v>1832</v>
      </c>
      <c r="Q330" s="174" t="str">
        <f t="shared" si="5"/>
        <v/>
      </c>
      <c r="R330" s="203">
        <f>INDEX([1]告訴人!$D$15:$F$372,MATCH(C330,[1]告訴人!$F$15:$F$372,0),1)</f>
        <v>209</v>
      </c>
      <c r="S330" s="203" t="str">
        <f t="array" ref="S330">IF(OR(C330=[1]告訴人!$F$15:$F$372),"重疊","")</f>
        <v>重疊</v>
      </c>
      <c r="T330" s="203">
        <v>1</v>
      </c>
    </row>
    <row r="331" spans="1:23" ht="48" customHeight="1">
      <c r="A331" s="166">
        <v>328</v>
      </c>
      <c r="B331" s="166" t="s">
        <v>32</v>
      </c>
      <c r="C331" s="166" t="s">
        <v>197</v>
      </c>
      <c r="D331" s="167" t="s">
        <v>2928</v>
      </c>
      <c r="E331" s="168" t="s">
        <v>70</v>
      </c>
      <c r="F331" s="169">
        <v>3000</v>
      </c>
      <c r="G331" s="168">
        <v>25</v>
      </c>
      <c r="H331" s="169">
        <v>75000</v>
      </c>
      <c r="I331" s="186" t="s">
        <v>2912</v>
      </c>
      <c r="J331" s="186" t="s">
        <v>2912</v>
      </c>
      <c r="K331" s="170" t="s">
        <v>3158</v>
      </c>
      <c r="L331" s="170" t="s">
        <v>3617</v>
      </c>
      <c r="M331" s="175" t="s">
        <v>2905</v>
      </c>
      <c r="N331" s="172"/>
      <c r="O331" s="172">
        <v>75000</v>
      </c>
      <c r="P331" s="173" t="s">
        <v>2465</v>
      </c>
      <c r="Q331" s="174" t="str">
        <f t="shared" si="5"/>
        <v>註4</v>
      </c>
      <c r="R331" s="203">
        <f>INDEX([1]告訴人!$D$15:$F$372,MATCH(C331,[1]告訴人!$F$15:$F$372,0),1)</f>
        <v>127</v>
      </c>
      <c r="S331" s="203" t="str">
        <f t="array" ref="S331">IF(OR(C331=[1]告訴人!$F$15:$F$372),"重疊","")</f>
        <v>重疊</v>
      </c>
      <c r="T331" s="203">
        <v>1</v>
      </c>
      <c r="U331" s="203">
        <v>1</v>
      </c>
      <c r="W331" s="203" t="s">
        <v>2905</v>
      </c>
    </row>
    <row r="332" spans="1:23" ht="61.5" customHeight="1">
      <c r="A332" s="166">
        <v>329</v>
      </c>
      <c r="B332" s="166" t="s">
        <v>32</v>
      </c>
      <c r="C332" s="166" t="s">
        <v>205</v>
      </c>
      <c r="D332" s="167"/>
      <c r="E332" s="168" t="s">
        <v>70</v>
      </c>
      <c r="F332" s="169">
        <v>2000</v>
      </c>
      <c r="G332" s="168">
        <v>25</v>
      </c>
      <c r="H332" s="169">
        <v>50000</v>
      </c>
      <c r="I332" s="186" t="s">
        <v>2912</v>
      </c>
      <c r="J332" s="186" t="s">
        <v>2912</v>
      </c>
      <c r="K332" s="170" t="s">
        <v>3170</v>
      </c>
      <c r="L332" s="170" t="s">
        <v>3584</v>
      </c>
      <c r="M332" s="175" t="s">
        <v>2905</v>
      </c>
      <c r="N332" s="172"/>
      <c r="O332" s="172">
        <v>50000</v>
      </c>
      <c r="P332" s="173" t="s">
        <v>2465</v>
      </c>
      <c r="Q332" s="174" t="str">
        <f t="shared" si="5"/>
        <v>註4</v>
      </c>
      <c r="R332" s="203" t="e">
        <f>INDEX([1]告訴人!$D$15:$F$372,MATCH(C332,[1]告訴人!$F$15:$F$372,0),1)</f>
        <v>#N/A</v>
      </c>
      <c r="S332" s="203" t="str">
        <f t="array" ref="S332">IF(OR(C332=[1]告訴人!$F$15:$F$372),"重疊","")</f>
        <v/>
      </c>
      <c r="T332" s="203">
        <v>1</v>
      </c>
      <c r="U332" s="203">
        <v>1</v>
      </c>
      <c r="W332" s="203" t="s">
        <v>2905</v>
      </c>
    </row>
    <row r="333" spans="1:23" ht="63.75" customHeight="1">
      <c r="A333" s="166">
        <v>330</v>
      </c>
      <c r="B333" s="166" t="s">
        <v>32</v>
      </c>
      <c r="C333" s="166" t="s">
        <v>227</v>
      </c>
      <c r="D333" s="167"/>
      <c r="E333" s="168" t="s">
        <v>70</v>
      </c>
      <c r="F333" s="169">
        <v>1000</v>
      </c>
      <c r="G333" s="168">
        <v>25</v>
      </c>
      <c r="H333" s="169">
        <v>25000</v>
      </c>
      <c r="I333" s="186" t="s">
        <v>2912</v>
      </c>
      <c r="J333" s="186" t="s">
        <v>2912</v>
      </c>
      <c r="K333" s="170" t="s">
        <v>3170</v>
      </c>
      <c r="L333" s="170" t="s">
        <v>3584</v>
      </c>
      <c r="M333" s="175" t="s">
        <v>2905</v>
      </c>
      <c r="N333" s="172"/>
      <c r="O333" s="172">
        <v>25000</v>
      </c>
      <c r="P333" s="173" t="s">
        <v>2465</v>
      </c>
      <c r="Q333" s="174" t="str">
        <f t="shared" si="5"/>
        <v>註4</v>
      </c>
      <c r="R333" s="203" t="e">
        <f>INDEX([1]告訴人!$D$15:$F$372,MATCH(C333,[1]告訴人!$F$15:$F$372,0),1)</f>
        <v>#N/A</v>
      </c>
      <c r="S333" s="203" t="str">
        <f t="array" ref="S333">IF(OR(C333=[1]告訴人!$F$15:$F$372),"重疊","")</f>
        <v/>
      </c>
      <c r="T333" s="203">
        <v>1</v>
      </c>
      <c r="U333" s="203">
        <v>1</v>
      </c>
      <c r="W333" s="203" t="s">
        <v>2905</v>
      </c>
    </row>
    <row r="334" spans="1:23" ht="51" customHeight="1">
      <c r="A334" s="166">
        <v>331</v>
      </c>
      <c r="B334" s="166" t="s">
        <v>32</v>
      </c>
      <c r="C334" s="166" t="s">
        <v>233</v>
      </c>
      <c r="D334" s="167" t="s">
        <v>2928</v>
      </c>
      <c r="E334" s="168" t="s">
        <v>70</v>
      </c>
      <c r="F334" s="169">
        <v>2000</v>
      </c>
      <c r="G334" s="168">
        <v>25</v>
      </c>
      <c r="H334" s="169">
        <v>50000</v>
      </c>
      <c r="I334" s="186" t="s">
        <v>2912</v>
      </c>
      <c r="J334" s="186" t="s">
        <v>2912</v>
      </c>
      <c r="K334" s="170" t="s">
        <v>3158</v>
      </c>
      <c r="L334" s="170" t="s">
        <v>3617</v>
      </c>
      <c r="M334" s="175" t="s">
        <v>2905</v>
      </c>
      <c r="N334" s="172"/>
      <c r="O334" s="172">
        <v>50000</v>
      </c>
      <c r="P334" s="173" t="s">
        <v>2465</v>
      </c>
      <c r="Q334" s="174" t="str">
        <f t="shared" si="5"/>
        <v>註4</v>
      </c>
      <c r="R334" s="203">
        <f>INDEX([1]告訴人!$D$15:$F$372,MATCH(C334,[1]告訴人!$F$15:$F$372,0),1)</f>
        <v>329</v>
      </c>
      <c r="S334" s="203" t="str">
        <f t="array" ref="S334">IF(OR(C334=[1]告訴人!$F$15:$F$372),"重疊","")</f>
        <v>重疊</v>
      </c>
      <c r="T334" s="203">
        <v>1</v>
      </c>
      <c r="U334" s="203">
        <v>1</v>
      </c>
      <c r="W334" s="203" t="s">
        <v>2905</v>
      </c>
    </row>
    <row r="335" spans="1:23" ht="81.650000000000006" customHeight="1">
      <c r="A335" s="166">
        <v>332</v>
      </c>
      <c r="B335" s="166" t="s">
        <v>32</v>
      </c>
      <c r="C335" s="166" t="s">
        <v>236</v>
      </c>
      <c r="D335" s="255" t="s">
        <v>2968</v>
      </c>
      <c r="E335" s="168" t="s">
        <v>70</v>
      </c>
      <c r="F335" s="169">
        <v>3000</v>
      </c>
      <c r="G335" s="168">
        <v>25</v>
      </c>
      <c r="H335" s="169">
        <v>75000</v>
      </c>
      <c r="I335" s="346" t="s">
        <v>2912</v>
      </c>
      <c r="J335" s="346" t="s">
        <v>2912</v>
      </c>
      <c r="K335" s="170" t="s">
        <v>3158</v>
      </c>
      <c r="L335" s="170" t="s">
        <v>3617</v>
      </c>
      <c r="M335" s="175" t="s">
        <v>2905</v>
      </c>
      <c r="N335" s="172"/>
      <c r="O335" s="172">
        <v>75000</v>
      </c>
      <c r="P335" s="173" t="s">
        <v>2465</v>
      </c>
      <c r="Q335" s="174" t="str">
        <f t="shared" si="5"/>
        <v>註4</v>
      </c>
      <c r="R335" s="203">
        <f>INDEX([1]告訴人!$D$15:$F$372,MATCH(C335,[1]告訴人!$F$15:$F$372,0),1)</f>
        <v>25</v>
      </c>
      <c r="S335" s="203" t="str">
        <f t="array" ref="S335">IF(OR(C335=[1]告訴人!$F$15:$F$372),"重疊","")</f>
        <v>重疊</v>
      </c>
      <c r="T335" s="203">
        <v>1</v>
      </c>
      <c r="U335" s="203">
        <v>1</v>
      </c>
      <c r="W335" s="203" t="s">
        <v>2905</v>
      </c>
    </row>
    <row r="336" spans="1:23" ht="57.75" customHeight="1">
      <c r="A336" s="166">
        <v>333</v>
      </c>
      <c r="B336" s="166" t="s">
        <v>32</v>
      </c>
      <c r="C336" s="166" t="s">
        <v>237</v>
      </c>
      <c r="D336" s="167"/>
      <c r="E336" s="168" t="s">
        <v>70</v>
      </c>
      <c r="F336" s="169">
        <v>2000</v>
      </c>
      <c r="G336" s="168">
        <v>25</v>
      </c>
      <c r="H336" s="169">
        <v>50000</v>
      </c>
      <c r="I336" s="186" t="s">
        <v>2912</v>
      </c>
      <c r="J336" s="186" t="s">
        <v>2912</v>
      </c>
      <c r="K336" s="170" t="s">
        <v>3158</v>
      </c>
      <c r="L336" s="170" t="s">
        <v>3617</v>
      </c>
      <c r="M336" s="175" t="s">
        <v>2905</v>
      </c>
      <c r="N336" s="172"/>
      <c r="O336" s="172">
        <v>50000</v>
      </c>
      <c r="P336" s="173" t="s">
        <v>2465</v>
      </c>
      <c r="Q336" s="174" t="str">
        <f t="shared" si="5"/>
        <v>註4</v>
      </c>
      <c r="R336" s="203">
        <f>INDEX([1]告訴人!$D$15:$F$372,MATCH(C336,[1]告訴人!$F$15:$F$372,0),1)</f>
        <v>232</v>
      </c>
      <c r="S336" s="203" t="str">
        <f t="array" ref="S336">IF(OR(C336=[1]告訴人!$F$15:$F$372),"重疊","")</f>
        <v>重疊</v>
      </c>
      <c r="T336" s="203">
        <v>1</v>
      </c>
      <c r="U336" s="203">
        <v>1</v>
      </c>
      <c r="W336" s="203" t="s">
        <v>2905</v>
      </c>
    </row>
    <row r="337" spans="1:23" ht="57.75" customHeight="1">
      <c r="A337" s="166">
        <v>334</v>
      </c>
      <c r="B337" s="166" t="s">
        <v>32</v>
      </c>
      <c r="C337" s="166" t="s">
        <v>247</v>
      </c>
      <c r="D337" s="167"/>
      <c r="E337" s="168" t="s">
        <v>70</v>
      </c>
      <c r="F337" s="169">
        <v>1000</v>
      </c>
      <c r="G337" s="168">
        <v>25</v>
      </c>
      <c r="H337" s="169">
        <v>25000</v>
      </c>
      <c r="I337" s="186" t="s">
        <v>2912</v>
      </c>
      <c r="J337" s="186" t="s">
        <v>2912</v>
      </c>
      <c r="K337" s="170" t="s">
        <v>3197</v>
      </c>
      <c r="L337" s="170" t="s">
        <v>2969</v>
      </c>
      <c r="M337" s="157" t="s">
        <v>2905</v>
      </c>
      <c r="N337" s="172">
        <v>25000</v>
      </c>
      <c r="O337" s="172"/>
      <c r="P337" s="173" t="s">
        <v>2466</v>
      </c>
      <c r="Q337" s="174" t="str">
        <f t="shared" si="5"/>
        <v>註3</v>
      </c>
      <c r="R337" s="203" t="e">
        <f>INDEX([1]告訴人!$D$15:$F$372,MATCH(C337,[1]告訴人!$F$15:$F$372,0),1)</f>
        <v>#N/A</v>
      </c>
      <c r="S337" s="203" t="str">
        <f t="array" ref="S337">IF(OR(C337=[1]告訴人!$F$15:$F$372),"重疊","")</f>
        <v/>
      </c>
      <c r="T337" s="203">
        <v>1</v>
      </c>
      <c r="W337" s="203" t="s">
        <v>2959</v>
      </c>
    </row>
    <row r="338" spans="1:23" ht="121.65" customHeight="1">
      <c r="A338" s="166">
        <v>335</v>
      </c>
      <c r="B338" s="166" t="s">
        <v>32</v>
      </c>
      <c r="C338" s="166" t="s">
        <v>258</v>
      </c>
      <c r="D338" s="167"/>
      <c r="E338" s="168" t="s">
        <v>70</v>
      </c>
      <c r="F338" s="169">
        <v>2000</v>
      </c>
      <c r="G338" s="168">
        <v>25</v>
      </c>
      <c r="H338" s="169">
        <v>50000</v>
      </c>
      <c r="I338" s="186" t="s">
        <v>2918</v>
      </c>
      <c r="J338" s="186" t="s">
        <v>2918</v>
      </c>
      <c r="K338" s="170" t="s">
        <v>3198</v>
      </c>
      <c r="L338" s="170" t="s">
        <v>3619</v>
      </c>
      <c r="M338" s="175" t="s">
        <v>2905</v>
      </c>
      <c r="N338" s="172">
        <v>50000</v>
      </c>
      <c r="O338" s="172"/>
      <c r="P338" s="173" t="s">
        <v>2461</v>
      </c>
      <c r="Q338" s="174" t="str">
        <f t="shared" si="5"/>
        <v>註3</v>
      </c>
      <c r="R338" s="203">
        <f>INDEX([1]告訴人!$D$15:$F$372,MATCH(C338,[1]告訴人!$F$15:$F$372,0),1)</f>
        <v>109</v>
      </c>
      <c r="S338" s="203" t="str">
        <f t="array" ref="S338">IF(OR(C338=[1]告訴人!$F$15:$F$372),"重疊","")</f>
        <v>重疊</v>
      </c>
      <c r="T338" s="203">
        <v>1</v>
      </c>
      <c r="V338" s="203">
        <v>1</v>
      </c>
    </row>
    <row r="339" spans="1:23" ht="163.5" customHeight="1">
      <c r="A339" s="166">
        <v>336</v>
      </c>
      <c r="B339" s="166" t="s">
        <v>32</v>
      </c>
      <c r="C339" s="166" t="s">
        <v>282</v>
      </c>
      <c r="D339" s="167"/>
      <c r="E339" s="168" t="s">
        <v>70</v>
      </c>
      <c r="F339" s="169">
        <v>3000</v>
      </c>
      <c r="G339" s="168">
        <v>25</v>
      </c>
      <c r="H339" s="169">
        <v>75000</v>
      </c>
      <c r="I339" s="346" t="s">
        <v>2970</v>
      </c>
      <c r="J339" s="346" t="s">
        <v>2970</v>
      </c>
      <c r="K339" s="170" t="s">
        <v>3199</v>
      </c>
      <c r="L339" s="170" t="s">
        <v>3620</v>
      </c>
      <c r="M339" s="175" t="s">
        <v>2905</v>
      </c>
      <c r="N339" s="172"/>
      <c r="O339" s="172">
        <v>75000</v>
      </c>
      <c r="P339" s="173" t="s">
        <v>2971</v>
      </c>
      <c r="Q339" s="174" t="str">
        <f t="shared" si="5"/>
        <v>註4</v>
      </c>
      <c r="R339" s="203">
        <f>INDEX([1]告訴人!$D$15:$F$372,MATCH(C339,[1]告訴人!$F$15:$F$372,0),1)</f>
        <v>183</v>
      </c>
      <c r="S339" s="203" t="str">
        <f t="array" ref="S339">IF(OR(C339=[1]告訴人!$F$15:$F$372),"重疊","")</f>
        <v>重疊</v>
      </c>
      <c r="T339" s="203">
        <v>1</v>
      </c>
      <c r="U339" s="203">
        <v>1</v>
      </c>
      <c r="W339" s="203" t="s">
        <v>2914</v>
      </c>
    </row>
    <row r="340" spans="1:23">
      <c r="A340" s="166">
        <v>337</v>
      </c>
      <c r="B340" s="166" t="s">
        <v>32</v>
      </c>
      <c r="C340" s="166" t="s">
        <v>284</v>
      </c>
      <c r="D340" s="167"/>
      <c r="E340" s="168" t="s">
        <v>70</v>
      </c>
      <c r="F340" s="169">
        <v>1000</v>
      </c>
      <c r="G340" s="168">
        <v>25</v>
      </c>
      <c r="H340" s="169">
        <v>25000</v>
      </c>
      <c r="I340" s="186"/>
      <c r="J340" s="186"/>
      <c r="K340" s="170" t="s">
        <v>2903</v>
      </c>
      <c r="L340" s="170"/>
      <c r="M340" s="175"/>
      <c r="N340" s="172">
        <v>25000</v>
      </c>
      <c r="O340" s="172"/>
      <c r="P340" s="173" t="s">
        <v>2461</v>
      </c>
      <c r="Q340" s="174" t="str">
        <f t="shared" si="5"/>
        <v>註3</v>
      </c>
      <c r="R340" s="203" t="e">
        <f>INDEX([1]告訴人!$D$15:$F$372,MATCH(C340,[1]告訴人!$F$15:$F$372,0),1)</f>
        <v>#N/A</v>
      </c>
      <c r="S340" s="203" t="str">
        <f t="array" ref="S340">IF(OR(C340=[1]告訴人!$F$15:$F$372),"重疊","")</f>
        <v/>
      </c>
    </row>
    <row r="341" spans="1:23" ht="51.75" customHeight="1">
      <c r="A341" s="166">
        <v>338</v>
      </c>
      <c r="B341" s="166" t="s">
        <v>32</v>
      </c>
      <c r="C341" s="166" t="s">
        <v>302</v>
      </c>
      <c r="D341" s="167"/>
      <c r="E341" s="168" t="s">
        <v>70</v>
      </c>
      <c r="F341" s="169">
        <v>5000</v>
      </c>
      <c r="G341" s="168">
        <v>25</v>
      </c>
      <c r="H341" s="169">
        <v>125000</v>
      </c>
      <c r="I341" s="186"/>
      <c r="J341" s="186"/>
      <c r="K341" s="170" t="s">
        <v>2903</v>
      </c>
      <c r="L341" s="170"/>
      <c r="M341" s="175"/>
      <c r="N341" s="172">
        <v>125000</v>
      </c>
      <c r="O341" s="172"/>
      <c r="P341" s="173" t="s">
        <v>2461</v>
      </c>
      <c r="Q341" s="174" t="str">
        <f t="shared" si="5"/>
        <v>註3</v>
      </c>
      <c r="R341" s="203" t="e">
        <f>INDEX([1]告訴人!$D$15:$F$372,MATCH(C341,[1]告訴人!$F$15:$F$372,0),1)</f>
        <v>#N/A</v>
      </c>
      <c r="S341" s="203" t="str">
        <f t="array" ref="S341">IF(OR(C341=[1]告訴人!$F$15:$F$372),"重疊","")</f>
        <v/>
      </c>
    </row>
    <row r="342" spans="1:23" ht="47.25" customHeight="1">
      <c r="A342" s="166">
        <v>339</v>
      </c>
      <c r="B342" s="166" t="s">
        <v>32</v>
      </c>
      <c r="C342" s="166" t="s">
        <v>309</v>
      </c>
      <c r="D342" s="167"/>
      <c r="E342" s="168" t="s">
        <v>70</v>
      </c>
      <c r="F342" s="169">
        <v>1000</v>
      </c>
      <c r="G342" s="168">
        <v>25</v>
      </c>
      <c r="H342" s="169">
        <v>25000</v>
      </c>
      <c r="I342" s="186" t="s">
        <v>2915</v>
      </c>
      <c r="J342" s="186" t="s">
        <v>2915</v>
      </c>
      <c r="K342" s="170" t="s">
        <v>3158</v>
      </c>
      <c r="L342" s="170" t="s">
        <v>3617</v>
      </c>
      <c r="M342" s="175" t="s">
        <v>2914</v>
      </c>
      <c r="N342" s="172"/>
      <c r="O342" s="172">
        <v>25000</v>
      </c>
      <c r="P342" s="173" t="s">
        <v>2463</v>
      </c>
      <c r="Q342" s="174" t="str">
        <f t="shared" si="5"/>
        <v>註4</v>
      </c>
      <c r="R342" s="203">
        <f>INDEX([1]告訴人!$D$15:$F$372,MATCH(C342,[1]告訴人!$F$15:$F$372,0),1)</f>
        <v>179</v>
      </c>
      <c r="S342" s="203" t="str">
        <f t="array" ref="S342">IF(OR(C342=[1]告訴人!$F$15:$F$372),"重疊","")</f>
        <v>重疊</v>
      </c>
      <c r="T342" s="203">
        <v>1</v>
      </c>
      <c r="U342" s="203">
        <v>1</v>
      </c>
    </row>
    <row r="343" spans="1:23" ht="54.75" customHeight="1">
      <c r="A343" s="166">
        <v>340</v>
      </c>
      <c r="B343" s="166" t="s">
        <v>32</v>
      </c>
      <c r="C343" s="166" t="s">
        <v>313</v>
      </c>
      <c r="D343" s="167"/>
      <c r="E343" s="168" t="s">
        <v>70</v>
      </c>
      <c r="F343" s="169">
        <v>10000</v>
      </c>
      <c r="G343" s="168">
        <v>25</v>
      </c>
      <c r="H343" s="169">
        <v>250000</v>
      </c>
      <c r="I343" s="186" t="s">
        <v>2936</v>
      </c>
      <c r="J343" s="186" t="s">
        <v>2936</v>
      </c>
      <c r="K343" s="170" t="s">
        <v>3158</v>
      </c>
      <c r="L343" s="170" t="s">
        <v>3617</v>
      </c>
      <c r="M343" s="175" t="s">
        <v>2914</v>
      </c>
      <c r="N343" s="172"/>
      <c r="O343" s="172">
        <v>250000</v>
      </c>
      <c r="P343" s="173" t="s">
        <v>2465</v>
      </c>
      <c r="Q343" s="174" t="str">
        <f t="shared" si="5"/>
        <v>註4</v>
      </c>
      <c r="R343" s="203">
        <f>INDEX([1]告訴人!$D$15:$F$372,MATCH(C343,[1]告訴人!$F$15:$F$372,0),1)</f>
        <v>83</v>
      </c>
      <c r="S343" s="203" t="str">
        <f t="array" ref="S343">IF(OR(C343=[1]告訴人!$F$15:$F$372),"重疊","")</f>
        <v>重疊</v>
      </c>
      <c r="T343" s="203">
        <v>1</v>
      </c>
      <c r="U343" s="203">
        <v>1</v>
      </c>
      <c r="W343" s="203" t="s">
        <v>2914</v>
      </c>
    </row>
    <row r="344" spans="1:23" ht="17" customHeight="1">
      <c r="A344" s="166">
        <v>341</v>
      </c>
      <c r="B344" s="166" t="s">
        <v>32</v>
      </c>
      <c r="C344" s="166" t="s">
        <v>320</v>
      </c>
      <c r="D344" s="167"/>
      <c r="E344" s="168" t="s">
        <v>70</v>
      </c>
      <c r="F344" s="169">
        <v>1000</v>
      </c>
      <c r="G344" s="168">
        <v>25</v>
      </c>
      <c r="H344" s="169">
        <v>25000</v>
      </c>
      <c r="I344" s="186"/>
      <c r="J344" s="186"/>
      <c r="K344" s="170" t="s">
        <v>2903</v>
      </c>
      <c r="L344" s="170"/>
      <c r="M344" s="157"/>
      <c r="N344" s="172">
        <v>25000</v>
      </c>
      <c r="O344" s="172"/>
      <c r="P344" s="173" t="s">
        <v>2461</v>
      </c>
      <c r="Q344" s="174" t="str">
        <f t="shared" si="5"/>
        <v>註3</v>
      </c>
      <c r="R344" s="203" t="e">
        <f>INDEX([1]告訴人!$D$15:$F$372,MATCH(C344,[1]告訴人!$F$15:$F$372,0),1)</f>
        <v>#N/A</v>
      </c>
      <c r="S344" s="203" t="str">
        <f t="array" ref="S344">IF(OR(C344=[1]告訴人!$F$15:$F$372),"重疊","")</f>
        <v/>
      </c>
    </row>
    <row r="345" spans="1:23" ht="82.5" customHeight="1">
      <c r="A345" s="166">
        <v>342</v>
      </c>
      <c r="B345" s="166" t="s">
        <v>32</v>
      </c>
      <c r="C345" s="166" t="s">
        <v>325</v>
      </c>
      <c r="D345" s="167"/>
      <c r="E345" s="168" t="s">
        <v>70</v>
      </c>
      <c r="F345" s="169">
        <v>1000</v>
      </c>
      <c r="G345" s="168">
        <v>25</v>
      </c>
      <c r="H345" s="169">
        <v>25000</v>
      </c>
      <c r="I345" s="186" t="s">
        <v>2936</v>
      </c>
      <c r="J345" s="186" t="s">
        <v>2936</v>
      </c>
      <c r="K345" s="170" t="s">
        <v>3200</v>
      </c>
      <c r="L345" s="170" t="s">
        <v>3621</v>
      </c>
      <c r="M345" s="175" t="s">
        <v>2914</v>
      </c>
      <c r="N345" s="172"/>
      <c r="O345" s="172">
        <v>25000</v>
      </c>
      <c r="P345" s="173" t="s">
        <v>2465</v>
      </c>
      <c r="Q345" s="174" t="str">
        <f t="shared" si="5"/>
        <v>註4</v>
      </c>
      <c r="R345" s="203">
        <f>INDEX([1]告訴人!$D$15:$F$372,MATCH(C345,[1]告訴人!$F$15:$F$372,0),1)</f>
        <v>63</v>
      </c>
      <c r="S345" s="203" t="str">
        <f t="array" ref="S345">IF(OR(C345=[1]告訴人!$F$15:$F$372),"重疊","")</f>
        <v>重疊</v>
      </c>
      <c r="T345" s="203">
        <v>1</v>
      </c>
      <c r="U345" s="203">
        <v>1</v>
      </c>
      <c r="W345" s="203" t="s">
        <v>2914</v>
      </c>
    </row>
    <row r="346" spans="1:23" ht="17" customHeight="1">
      <c r="A346" s="166">
        <v>343</v>
      </c>
      <c r="B346" s="166" t="s">
        <v>32</v>
      </c>
      <c r="C346" s="166" t="s">
        <v>121</v>
      </c>
      <c r="D346" s="167"/>
      <c r="E346" s="168" t="s">
        <v>70</v>
      </c>
      <c r="F346" s="169">
        <v>2000</v>
      </c>
      <c r="G346" s="168">
        <v>67</v>
      </c>
      <c r="H346" s="169">
        <v>134000</v>
      </c>
      <c r="I346" s="186"/>
      <c r="J346" s="186"/>
      <c r="K346" s="170" t="s">
        <v>2903</v>
      </c>
      <c r="L346" s="170"/>
      <c r="M346" s="157"/>
      <c r="N346" s="172">
        <v>134000</v>
      </c>
      <c r="O346" s="172"/>
      <c r="P346" s="173" t="s">
        <v>2461</v>
      </c>
      <c r="Q346" s="174" t="str">
        <f t="shared" si="5"/>
        <v>註3</v>
      </c>
      <c r="R346" s="203" t="e">
        <f>INDEX([1]告訴人!$D$15:$F$372,MATCH(C346,[1]告訴人!$F$15:$F$372,0),1)</f>
        <v>#N/A</v>
      </c>
      <c r="S346" s="203" t="str">
        <f t="array" ref="S346">IF(OR(C346=[1]告訴人!$F$15:$F$372),"重疊","")</f>
        <v/>
      </c>
    </row>
    <row r="347" spans="1:23" ht="125.25" customHeight="1">
      <c r="A347" s="166">
        <v>344</v>
      </c>
      <c r="B347" s="166" t="s">
        <v>32</v>
      </c>
      <c r="C347" s="166" t="s">
        <v>135</v>
      </c>
      <c r="D347" s="167"/>
      <c r="E347" s="168" t="s">
        <v>70</v>
      </c>
      <c r="F347" s="169">
        <v>2000</v>
      </c>
      <c r="G347" s="168">
        <v>67</v>
      </c>
      <c r="H347" s="169">
        <v>134000</v>
      </c>
      <c r="I347" s="186" t="s">
        <v>2915</v>
      </c>
      <c r="J347" s="186" t="s">
        <v>2915</v>
      </c>
      <c r="K347" s="170" t="s">
        <v>3201</v>
      </c>
      <c r="L347" s="170" t="s">
        <v>3622</v>
      </c>
      <c r="M347" s="175" t="s">
        <v>2914</v>
      </c>
      <c r="N347" s="172">
        <v>134000</v>
      </c>
      <c r="O347" s="172"/>
      <c r="P347" s="173" t="s">
        <v>2461</v>
      </c>
      <c r="Q347" s="174" t="str">
        <f t="shared" si="5"/>
        <v>註3</v>
      </c>
      <c r="R347" s="203">
        <f>INDEX([1]告訴人!$D$15:$F$372,MATCH(C347,[1]告訴人!$F$15:$F$372,0),1)</f>
        <v>168</v>
      </c>
      <c r="S347" s="203" t="str">
        <f t="array" ref="S347">IF(OR(C347=[1]告訴人!$F$15:$F$372),"重疊","")</f>
        <v>重疊</v>
      </c>
      <c r="T347" s="203">
        <v>1</v>
      </c>
      <c r="V347" s="203">
        <v>1</v>
      </c>
    </row>
    <row r="348" spans="1:23">
      <c r="A348" s="166">
        <v>345</v>
      </c>
      <c r="B348" s="166" t="s">
        <v>32</v>
      </c>
      <c r="C348" s="166" t="s">
        <v>402</v>
      </c>
      <c r="D348" s="167"/>
      <c r="E348" s="168" t="s">
        <v>70</v>
      </c>
      <c r="F348" s="169">
        <v>1000</v>
      </c>
      <c r="G348" s="168">
        <v>67</v>
      </c>
      <c r="H348" s="169">
        <v>67000</v>
      </c>
      <c r="I348" s="186"/>
      <c r="J348" s="186"/>
      <c r="K348" s="170" t="s">
        <v>2903</v>
      </c>
      <c r="L348" s="170"/>
      <c r="M348" s="175"/>
      <c r="N348" s="172">
        <v>67000</v>
      </c>
      <c r="O348" s="172"/>
      <c r="P348" s="173" t="s">
        <v>2461</v>
      </c>
      <c r="Q348" s="174" t="str">
        <f t="shared" si="5"/>
        <v>註3</v>
      </c>
      <c r="R348" s="203" t="e">
        <f>INDEX([1]告訴人!$D$15:$F$372,MATCH(C348,[1]告訴人!$F$15:$F$372,0),1)</f>
        <v>#N/A</v>
      </c>
      <c r="S348" s="203" t="str">
        <f t="array" ref="S348">IF(OR(C348=[1]告訴人!$F$15:$F$372),"重疊","")</f>
        <v/>
      </c>
    </row>
    <row r="349" spans="1:23" ht="17" customHeight="1">
      <c r="A349" s="166">
        <v>346</v>
      </c>
      <c r="B349" s="166" t="s">
        <v>32</v>
      </c>
      <c r="C349" s="166" t="s">
        <v>407</v>
      </c>
      <c r="D349" s="167"/>
      <c r="E349" s="168" t="s">
        <v>70</v>
      </c>
      <c r="F349" s="169">
        <v>3000</v>
      </c>
      <c r="G349" s="168">
        <v>67</v>
      </c>
      <c r="H349" s="169">
        <v>201000</v>
      </c>
      <c r="I349" s="186"/>
      <c r="J349" s="186"/>
      <c r="K349" s="170" t="s">
        <v>2903</v>
      </c>
      <c r="L349" s="170"/>
      <c r="M349" s="175"/>
      <c r="N349" s="172">
        <v>201000</v>
      </c>
      <c r="O349" s="172"/>
      <c r="P349" s="173" t="s">
        <v>2461</v>
      </c>
      <c r="Q349" s="174" t="str">
        <f t="shared" si="5"/>
        <v>註3</v>
      </c>
      <c r="R349" s="203" t="e">
        <f>INDEX([1]告訴人!$D$15:$F$372,MATCH(C349,[1]告訴人!$F$15:$F$372,0),1)</f>
        <v>#N/A</v>
      </c>
      <c r="S349" s="203" t="str">
        <f t="array" ref="S349">IF(OR(C349=[1]告訴人!$F$15:$F$372),"重疊","")</f>
        <v/>
      </c>
    </row>
    <row r="350" spans="1:23" ht="102.75" customHeight="1">
      <c r="A350" s="166">
        <v>347</v>
      </c>
      <c r="B350" s="166" t="s">
        <v>32</v>
      </c>
      <c r="C350" s="166" t="s">
        <v>434</v>
      </c>
      <c r="D350" s="167"/>
      <c r="E350" s="168" t="s">
        <v>70</v>
      </c>
      <c r="F350" s="169">
        <v>1000</v>
      </c>
      <c r="G350" s="168">
        <v>67</v>
      </c>
      <c r="H350" s="169">
        <v>67000</v>
      </c>
      <c r="I350" s="186" t="s">
        <v>2915</v>
      </c>
      <c r="J350" s="186" t="s">
        <v>2915</v>
      </c>
      <c r="K350" s="170" t="s">
        <v>3202</v>
      </c>
      <c r="L350" s="170" t="s">
        <v>3623</v>
      </c>
      <c r="M350" s="175" t="s">
        <v>2914</v>
      </c>
      <c r="N350" s="172">
        <v>67000</v>
      </c>
      <c r="O350" s="172"/>
      <c r="P350" s="173" t="s">
        <v>2461</v>
      </c>
      <c r="Q350" s="174" t="str">
        <f t="shared" si="5"/>
        <v>註3</v>
      </c>
      <c r="R350" s="203">
        <f>INDEX([1]告訴人!$D$15:$F$372,MATCH(C350,[1]告訴人!$F$15:$F$372,0),1)</f>
        <v>132</v>
      </c>
      <c r="S350" s="203" t="str">
        <f t="array" ref="S350">IF(OR(C350=[1]告訴人!$F$15:$F$372),"重疊","")</f>
        <v>重疊</v>
      </c>
      <c r="T350" s="203">
        <v>1</v>
      </c>
      <c r="V350" s="203">
        <v>1</v>
      </c>
    </row>
    <row r="351" spans="1:23" ht="16.25" customHeight="1">
      <c r="A351" s="166">
        <v>348</v>
      </c>
      <c r="B351" s="166" t="s">
        <v>32</v>
      </c>
      <c r="C351" s="166" t="s">
        <v>470</v>
      </c>
      <c r="D351" s="167"/>
      <c r="E351" s="168" t="s">
        <v>70</v>
      </c>
      <c r="F351" s="169">
        <v>2000</v>
      </c>
      <c r="G351" s="168">
        <v>67</v>
      </c>
      <c r="H351" s="169">
        <v>134000</v>
      </c>
      <c r="I351" s="186"/>
      <c r="J351" s="186"/>
      <c r="K351" s="170" t="s">
        <v>2903</v>
      </c>
      <c r="L351" s="170"/>
      <c r="M351" s="175"/>
      <c r="N351" s="172">
        <v>134000</v>
      </c>
      <c r="O351" s="172"/>
      <c r="P351" s="173" t="s">
        <v>2461</v>
      </c>
      <c r="Q351" s="174" t="str">
        <f t="shared" si="5"/>
        <v>註3</v>
      </c>
      <c r="R351" s="203" t="e">
        <f>INDEX([1]告訴人!$D$15:$F$372,MATCH(C351,[1]告訴人!$F$15:$F$372,0),1)</f>
        <v>#N/A</v>
      </c>
      <c r="S351" s="203" t="str">
        <f t="array" ref="S351">IF(OR(C351=[1]告訴人!$F$15:$F$372),"重疊","")</f>
        <v/>
      </c>
    </row>
    <row r="352" spans="1:23">
      <c r="A352" s="166">
        <v>349</v>
      </c>
      <c r="B352" s="166" t="s">
        <v>32</v>
      </c>
      <c r="C352" s="166" t="s">
        <v>478</v>
      </c>
      <c r="D352" s="167"/>
      <c r="E352" s="168" t="s">
        <v>70</v>
      </c>
      <c r="F352" s="169">
        <v>5000</v>
      </c>
      <c r="G352" s="168">
        <v>67</v>
      </c>
      <c r="H352" s="169">
        <v>335000</v>
      </c>
      <c r="I352" s="186"/>
      <c r="J352" s="186"/>
      <c r="K352" s="170" t="s">
        <v>2903</v>
      </c>
      <c r="L352" s="170"/>
      <c r="M352" s="175"/>
      <c r="N352" s="172">
        <v>335000</v>
      </c>
      <c r="O352" s="172"/>
      <c r="P352" s="173" t="s">
        <v>2461</v>
      </c>
      <c r="Q352" s="174" t="str">
        <f t="shared" si="5"/>
        <v>註3</v>
      </c>
      <c r="R352" s="203" t="e">
        <f>INDEX([1]告訴人!$D$15:$F$372,MATCH(C352,[1]告訴人!$F$15:$F$372,0),1)</f>
        <v>#N/A</v>
      </c>
      <c r="S352" s="203" t="str">
        <f t="array" ref="S352">IF(OR(C352=[1]告訴人!$F$15:$F$372),"重疊","")</f>
        <v/>
      </c>
    </row>
    <row r="353" spans="1:23">
      <c r="A353" s="166">
        <v>350</v>
      </c>
      <c r="B353" s="166" t="s">
        <v>32</v>
      </c>
      <c r="C353" s="166" t="s">
        <v>320</v>
      </c>
      <c r="D353" s="167"/>
      <c r="E353" s="168" t="s">
        <v>70</v>
      </c>
      <c r="F353" s="169">
        <v>1000</v>
      </c>
      <c r="G353" s="168">
        <v>67</v>
      </c>
      <c r="H353" s="169">
        <v>67000</v>
      </c>
      <c r="I353" s="186"/>
      <c r="J353" s="186"/>
      <c r="K353" s="170" t="s">
        <v>2903</v>
      </c>
      <c r="L353" s="170"/>
      <c r="M353" s="175"/>
      <c r="N353" s="172">
        <v>67000</v>
      </c>
      <c r="O353" s="172"/>
      <c r="P353" s="173" t="s">
        <v>2461</v>
      </c>
      <c r="Q353" s="174" t="str">
        <f t="shared" si="5"/>
        <v>註3</v>
      </c>
      <c r="R353" s="203" t="e">
        <f>INDEX([1]告訴人!$D$15:$F$372,MATCH(C353,[1]告訴人!$F$15:$F$372,0),1)</f>
        <v>#N/A</v>
      </c>
      <c r="S353" s="203" t="str">
        <f t="array" ref="S353">IF(OR(C353=[1]告訴人!$F$15:$F$372),"重疊","")</f>
        <v/>
      </c>
    </row>
    <row r="354" spans="1:23" ht="17.5" customHeight="1">
      <c r="A354" s="166">
        <v>351</v>
      </c>
      <c r="B354" s="166" t="s">
        <v>32</v>
      </c>
      <c r="C354" s="166" t="s">
        <v>538</v>
      </c>
      <c r="D354" s="167" t="s">
        <v>2972</v>
      </c>
      <c r="E354" s="168" t="s">
        <v>70</v>
      </c>
      <c r="F354" s="169">
        <v>3000</v>
      </c>
      <c r="G354" s="168">
        <v>67</v>
      </c>
      <c r="H354" s="169">
        <v>201000</v>
      </c>
      <c r="I354" s="346" t="s">
        <v>2973</v>
      </c>
      <c r="J354" s="346" t="s">
        <v>2973</v>
      </c>
      <c r="K354" s="170" t="s">
        <v>2903</v>
      </c>
      <c r="L354" s="170"/>
      <c r="M354" s="175"/>
      <c r="N354" s="172">
        <v>201000</v>
      </c>
      <c r="O354" s="172"/>
      <c r="P354" s="173" t="s">
        <v>2461</v>
      </c>
      <c r="Q354" s="174" t="str">
        <f t="shared" si="5"/>
        <v>註3</v>
      </c>
      <c r="R354" s="203" t="e">
        <f>INDEX([1]告訴人!$D$15:$F$372,MATCH(C354,[1]告訴人!$F$15:$F$372,0),1)</f>
        <v>#N/A</v>
      </c>
      <c r="S354" s="203" t="str">
        <f t="array" ref="S354">IF(OR(C354=[1]告訴人!$F$15:$F$372),"重疊","")</f>
        <v/>
      </c>
    </row>
    <row r="355" spans="1:23">
      <c r="A355" s="166">
        <v>352</v>
      </c>
      <c r="B355" s="166" t="s">
        <v>32</v>
      </c>
      <c r="C355" s="166" t="s">
        <v>131</v>
      </c>
      <c r="D355" s="167"/>
      <c r="E355" s="168" t="s">
        <v>71</v>
      </c>
      <c r="F355" s="169">
        <v>2000</v>
      </c>
      <c r="G355" s="168">
        <v>25</v>
      </c>
      <c r="H355" s="169">
        <v>50000</v>
      </c>
      <c r="I355" s="186" t="s">
        <v>2915</v>
      </c>
      <c r="J355" s="186" t="s">
        <v>2915</v>
      </c>
      <c r="K355" s="170" t="s">
        <v>2939</v>
      </c>
      <c r="L355" s="170"/>
      <c r="M355" s="175" t="s">
        <v>2914</v>
      </c>
      <c r="N355" s="172"/>
      <c r="O355" s="172"/>
      <c r="P355" s="173" t="s">
        <v>1832</v>
      </c>
      <c r="Q355" s="174" t="str">
        <f t="shared" si="5"/>
        <v/>
      </c>
      <c r="R355" s="203" t="e">
        <f>INDEX([1]告訴人!$D$15:$F$372,MATCH(C355,[1]告訴人!$F$15:$F$372,0),1)</f>
        <v>#N/A</v>
      </c>
      <c r="S355" s="203" t="str">
        <f t="array" ref="S355">IF(OR(C355=[1]告訴人!$F$15:$F$372),"重疊","")</f>
        <v/>
      </c>
      <c r="T355" s="203">
        <v>1</v>
      </c>
    </row>
    <row r="356" spans="1:23" ht="83.25" customHeight="1">
      <c r="A356" s="166">
        <v>353</v>
      </c>
      <c r="B356" s="166" t="s">
        <v>32</v>
      </c>
      <c r="C356" s="166" t="s">
        <v>196</v>
      </c>
      <c r="D356" s="167"/>
      <c r="E356" s="168" t="s">
        <v>71</v>
      </c>
      <c r="F356" s="169">
        <v>1000</v>
      </c>
      <c r="G356" s="168">
        <v>25</v>
      </c>
      <c r="H356" s="169">
        <v>25000</v>
      </c>
      <c r="I356" s="186" t="s">
        <v>2915</v>
      </c>
      <c r="J356" s="186" t="s">
        <v>2915</v>
      </c>
      <c r="K356" s="170" t="s">
        <v>2462</v>
      </c>
      <c r="L356" s="170" t="s">
        <v>3689</v>
      </c>
      <c r="M356" s="175" t="s">
        <v>2914</v>
      </c>
      <c r="N356" s="172"/>
      <c r="O356" s="172"/>
      <c r="P356" s="173" t="s">
        <v>1832</v>
      </c>
      <c r="Q356" s="174" t="str">
        <f t="shared" si="5"/>
        <v/>
      </c>
      <c r="R356" s="203">
        <f>INDEX([1]告訴人!$D$15:$F$372,MATCH(C356,[1]告訴人!$F$15:$F$372,0),1)</f>
        <v>209</v>
      </c>
      <c r="S356" s="203" t="str">
        <f t="array" ref="S356">IF(OR(C356=[1]告訴人!$F$15:$F$372),"重疊","")</f>
        <v>重疊</v>
      </c>
      <c r="T356" s="203">
        <v>1</v>
      </c>
    </row>
    <row r="357" spans="1:23" ht="32.4" customHeight="1">
      <c r="A357" s="166">
        <v>354</v>
      </c>
      <c r="B357" s="166" t="s">
        <v>32</v>
      </c>
      <c r="C357" s="166" t="s">
        <v>254</v>
      </c>
      <c r="D357" s="167" t="s">
        <v>2935</v>
      </c>
      <c r="E357" s="168" t="s">
        <v>71</v>
      </c>
      <c r="F357" s="169">
        <v>2000</v>
      </c>
      <c r="G357" s="168">
        <v>25</v>
      </c>
      <c r="H357" s="169">
        <v>50000</v>
      </c>
      <c r="I357" s="186" t="s">
        <v>2936</v>
      </c>
      <c r="J357" s="186" t="s">
        <v>2936</v>
      </c>
      <c r="K357" s="170" t="s">
        <v>3158</v>
      </c>
      <c r="L357" s="170" t="s">
        <v>3617</v>
      </c>
      <c r="M357" s="175" t="s">
        <v>2914</v>
      </c>
      <c r="N357" s="172"/>
      <c r="O357" s="172">
        <v>50000</v>
      </c>
      <c r="P357" s="173" t="s">
        <v>2465</v>
      </c>
      <c r="Q357" s="174" t="str">
        <f t="shared" si="5"/>
        <v>註4</v>
      </c>
      <c r="R357" s="203">
        <f>INDEX([1]告訴人!$D$15:$F$372,MATCH(C357,[1]告訴人!$F$15:$F$372,0),1)</f>
        <v>199</v>
      </c>
      <c r="S357" s="203" t="str">
        <f t="array" ref="S357">IF(OR(C357=[1]告訴人!$F$15:$F$372),"重疊","")</f>
        <v>重疊</v>
      </c>
      <c r="T357" s="203">
        <v>1</v>
      </c>
      <c r="U357" s="203">
        <v>1</v>
      </c>
      <c r="W357" s="203" t="s">
        <v>2914</v>
      </c>
    </row>
    <row r="358" spans="1:23" ht="17" customHeight="1">
      <c r="A358" s="166">
        <v>355</v>
      </c>
      <c r="B358" s="166" t="s">
        <v>32</v>
      </c>
      <c r="C358" s="166" t="s">
        <v>264</v>
      </c>
      <c r="D358" s="167"/>
      <c r="E358" s="168" t="s">
        <v>71</v>
      </c>
      <c r="F358" s="169">
        <v>1000</v>
      </c>
      <c r="G358" s="168">
        <v>25</v>
      </c>
      <c r="H358" s="169">
        <v>25000</v>
      </c>
      <c r="I358" s="186"/>
      <c r="J358" s="186"/>
      <c r="K358" s="170" t="s">
        <v>2903</v>
      </c>
      <c r="L358" s="170"/>
      <c r="M358" s="175"/>
      <c r="N358" s="172">
        <v>25000</v>
      </c>
      <c r="O358" s="172"/>
      <c r="P358" s="173" t="s">
        <v>2461</v>
      </c>
      <c r="Q358" s="174" t="str">
        <f t="shared" si="5"/>
        <v>註3</v>
      </c>
      <c r="R358" s="203" t="e">
        <f>INDEX([1]告訴人!$D$15:$F$372,MATCH(C358,[1]告訴人!$F$15:$F$372,0),1)</f>
        <v>#N/A</v>
      </c>
      <c r="S358" s="203" t="str">
        <f t="array" ref="S358">IF(OR(C358=[1]告訴人!$F$15:$F$372),"重疊","")</f>
        <v/>
      </c>
    </row>
    <row r="359" spans="1:23" ht="71.150000000000006" customHeight="1">
      <c r="A359" s="166">
        <v>356</v>
      </c>
      <c r="B359" s="166" t="s">
        <v>32</v>
      </c>
      <c r="C359" s="166" t="s">
        <v>267</v>
      </c>
      <c r="D359" s="167"/>
      <c r="E359" s="168" t="s">
        <v>71</v>
      </c>
      <c r="F359" s="169">
        <v>1000</v>
      </c>
      <c r="G359" s="168">
        <v>25</v>
      </c>
      <c r="H359" s="169">
        <v>25000</v>
      </c>
      <c r="I359" s="186" t="s">
        <v>2936</v>
      </c>
      <c r="J359" s="186" t="s">
        <v>2936</v>
      </c>
      <c r="K359" s="170" t="s">
        <v>3158</v>
      </c>
      <c r="L359" s="170" t="s">
        <v>3690</v>
      </c>
      <c r="M359" s="175" t="s">
        <v>2914</v>
      </c>
      <c r="N359" s="172"/>
      <c r="O359" s="172">
        <v>25000</v>
      </c>
      <c r="P359" s="173" t="s">
        <v>2465</v>
      </c>
      <c r="Q359" s="174" t="str">
        <f t="shared" si="5"/>
        <v>註4</v>
      </c>
      <c r="R359" s="203">
        <f>INDEX([1]告訴人!$D$15:$F$372,MATCH(C359,[1]告訴人!$F$15:$F$372,0),1)</f>
        <v>80</v>
      </c>
      <c r="S359" s="203" t="str">
        <f t="array" ref="S359">IF(OR(C359=[1]告訴人!$F$15:$F$372),"重疊","")</f>
        <v>重疊</v>
      </c>
      <c r="T359" s="203">
        <v>1</v>
      </c>
      <c r="U359" s="203">
        <v>1</v>
      </c>
      <c r="W359" s="203" t="s">
        <v>2914</v>
      </c>
    </row>
    <row r="360" spans="1:23">
      <c r="A360" s="166">
        <v>357</v>
      </c>
      <c r="B360" s="166" t="s">
        <v>32</v>
      </c>
      <c r="C360" s="166" t="s">
        <v>405</v>
      </c>
      <c r="D360" s="167"/>
      <c r="E360" s="168" t="s">
        <v>71</v>
      </c>
      <c r="F360" s="169">
        <v>3000</v>
      </c>
      <c r="G360" s="168">
        <v>67</v>
      </c>
      <c r="H360" s="169">
        <v>201000</v>
      </c>
      <c r="I360" s="186"/>
      <c r="J360" s="186"/>
      <c r="K360" s="170" t="s">
        <v>2903</v>
      </c>
      <c r="L360" s="170"/>
      <c r="M360" s="175"/>
      <c r="N360" s="172">
        <v>201000</v>
      </c>
      <c r="O360" s="172"/>
      <c r="P360" s="173" t="s">
        <v>2461</v>
      </c>
      <c r="Q360" s="174" t="str">
        <f t="shared" si="5"/>
        <v>註3</v>
      </c>
      <c r="R360" s="203" t="e">
        <f>INDEX([1]告訴人!$D$15:$F$372,MATCH(C360,[1]告訴人!$F$15:$F$372,0),1)</f>
        <v>#N/A</v>
      </c>
      <c r="S360" s="203" t="str">
        <f t="array" ref="S360">IF(OR(C360=[1]告訴人!$F$15:$F$372),"重疊","")</f>
        <v/>
      </c>
    </row>
    <row r="361" spans="1:23" ht="15.65" customHeight="1">
      <c r="A361" s="166">
        <v>358</v>
      </c>
      <c r="B361" s="166" t="s">
        <v>32</v>
      </c>
      <c r="C361" s="166" t="s">
        <v>264</v>
      </c>
      <c r="D361" s="167"/>
      <c r="E361" s="168" t="s">
        <v>71</v>
      </c>
      <c r="F361" s="169">
        <v>2000</v>
      </c>
      <c r="G361" s="168">
        <v>67</v>
      </c>
      <c r="H361" s="169">
        <v>134000</v>
      </c>
      <c r="I361" s="186"/>
      <c r="J361" s="186"/>
      <c r="K361" s="170" t="s">
        <v>2903</v>
      </c>
      <c r="L361" s="170"/>
      <c r="M361" s="175"/>
      <c r="N361" s="172">
        <v>134000</v>
      </c>
      <c r="O361" s="172"/>
      <c r="P361" s="173" t="s">
        <v>2461</v>
      </c>
      <c r="Q361" s="174" t="str">
        <f t="shared" si="5"/>
        <v>註3</v>
      </c>
      <c r="R361" s="203" t="e">
        <f>INDEX([1]告訴人!$D$15:$F$372,MATCH(C361,[1]告訴人!$F$15:$F$372,0),1)</f>
        <v>#N/A</v>
      </c>
      <c r="S361" s="203" t="str">
        <f t="array" ref="S361">IF(OR(C361=[1]告訴人!$F$15:$F$372),"重疊","")</f>
        <v/>
      </c>
    </row>
    <row r="362" spans="1:23">
      <c r="A362" s="166">
        <v>359</v>
      </c>
      <c r="B362" s="166" t="s">
        <v>32</v>
      </c>
      <c r="C362" s="166" t="s">
        <v>131</v>
      </c>
      <c r="D362" s="167"/>
      <c r="E362" s="168" t="s">
        <v>71</v>
      </c>
      <c r="F362" s="169">
        <v>2000</v>
      </c>
      <c r="G362" s="168">
        <v>69</v>
      </c>
      <c r="H362" s="169">
        <v>138000</v>
      </c>
      <c r="I362" s="186" t="s">
        <v>2915</v>
      </c>
      <c r="J362" s="186" t="s">
        <v>2915</v>
      </c>
      <c r="K362" s="170" t="s">
        <v>2939</v>
      </c>
      <c r="L362" s="170"/>
      <c r="M362" s="175" t="s">
        <v>2914</v>
      </c>
      <c r="N362" s="172"/>
      <c r="O362" s="172"/>
      <c r="P362" s="173" t="s">
        <v>1832</v>
      </c>
      <c r="Q362" s="174" t="str">
        <f t="shared" si="5"/>
        <v/>
      </c>
      <c r="R362" s="203" t="e">
        <f>INDEX([1]告訴人!$D$15:$F$372,MATCH(C362,[1]告訴人!$F$15:$F$372,0),1)</f>
        <v>#N/A</v>
      </c>
      <c r="S362" s="203" t="str">
        <f t="array" ref="S362">IF(OR(C362=[1]告訴人!$F$15:$F$372),"重疊","")</f>
        <v/>
      </c>
      <c r="T362" s="203">
        <v>1</v>
      </c>
    </row>
    <row r="363" spans="1:23">
      <c r="A363" s="166">
        <v>360</v>
      </c>
      <c r="B363" s="166" t="s">
        <v>32</v>
      </c>
      <c r="C363" s="166" t="s">
        <v>550</v>
      </c>
      <c r="D363" s="167"/>
      <c r="E363" s="168" t="s">
        <v>71</v>
      </c>
      <c r="F363" s="169">
        <v>1000</v>
      </c>
      <c r="G363" s="168">
        <v>69</v>
      </c>
      <c r="H363" s="169">
        <v>69000</v>
      </c>
      <c r="I363" s="186" t="s">
        <v>2915</v>
      </c>
      <c r="J363" s="186" t="s">
        <v>2915</v>
      </c>
      <c r="K363" s="170" t="s">
        <v>2462</v>
      </c>
      <c r="L363" s="170"/>
      <c r="M363" s="175" t="s">
        <v>2914</v>
      </c>
      <c r="N363" s="172"/>
      <c r="O363" s="172"/>
      <c r="P363" s="173" t="s">
        <v>1832</v>
      </c>
      <c r="Q363" s="174" t="str">
        <f t="shared" si="5"/>
        <v/>
      </c>
      <c r="R363" s="203">
        <f>INDEX([1]告訴人!$D$15:$F$372,MATCH(C363,[1]告訴人!$F$15:$F$372,0),1)</f>
        <v>5</v>
      </c>
      <c r="S363" s="203" t="str">
        <f t="array" ref="S363">IF(OR(C363=[1]告訴人!$F$15:$F$372),"重疊","")</f>
        <v>重疊</v>
      </c>
      <c r="T363" s="203">
        <v>1</v>
      </c>
    </row>
    <row r="364" spans="1:23" ht="85.5" customHeight="1">
      <c r="A364" s="166">
        <v>361</v>
      </c>
      <c r="B364" s="166" t="s">
        <v>32</v>
      </c>
      <c r="C364" s="166" t="s">
        <v>196</v>
      </c>
      <c r="D364" s="167"/>
      <c r="E364" s="168" t="s">
        <v>71</v>
      </c>
      <c r="F364" s="169">
        <v>1000</v>
      </c>
      <c r="G364" s="168">
        <v>69</v>
      </c>
      <c r="H364" s="169">
        <v>69000</v>
      </c>
      <c r="I364" s="186" t="s">
        <v>2915</v>
      </c>
      <c r="J364" s="186" t="s">
        <v>2915</v>
      </c>
      <c r="K364" s="170" t="s">
        <v>2462</v>
      </c>
      <c r="L364" s="170" t="s">
        <v>3691</v>
      </c>
      <c r="M364" s="175" t="s">
        <v>2914</v>
      </c>
      <c r="N364" s="172"/>
      <c r="O364" s="172"/>
      <c r="P364" s="173" t="s">
        <v>1832</v>
      </c>
      <c r="Q364" s="174" t="str">
        <f t="shared" si="5"/>
        <v/>
      </c>
      <c r="R364" s="203">
        <f>INDEX([1]告訴人!$D$15:$F$372,MATCH(C364,[1]告訴人!$F$15:$F$372,0),1)</f>
        <v>209</v>
      </c>
      <c r="S364" s="203" t="str">
        <f t="array" ref="S364">IF(OR(C364=[1]告訴人!$F$15:$F$372),"重疊","")</f>
        <v>重疊</v>
      </c>
      <c r="T364" s="203">
        <v>1</v>
      </c>
    </row>
    <row r="365" spans="1:23" ht="17" customHeight="1">
      <c r="A365" s="166">
        <v>362</v>
      </c>
      <c r="B365" s="166" t="s">
        <v>32</v>
      </c>
      <c r="C365" s="166" t="s">
        <v>562</v>
      </c>
      <c r="D365" s="167"/>
      <c r="E365" s="168" t="s">
        <v>71</v>
      </c>
      <c r="F365" s="169">
        <v>2000</v>
      </c>
      <c r="G365" s="168">
        <v>69</v>
      </c>
      <c r="H365" s="169">
        <v>138000</v>
      </c>
      <c r="I365" s="186" t="s">
        <v>2915</v>
      </c>
      <c r="J365" s="186" t="s">
        <v>2915</v>
      </c>
      <c r="K365" s="170" t="s">
        <v>2462</v>
      </c>
      <c r="L365" s="170"/>
      <c r="M365" s="175" t="s">
        <v>2914</v>
      </c>
      <c r="N365" s="172"/>
      <c r="O365" s="172"/>
      <c r="P365" s="173" t="s">
        <v>1832</v>
      </c>
      <c r="Q365" s="174" t="str">
        <f t="shared" si="5"/>
        <v/>
      </c>
      <c r="R365" s="203">
        <f>INDEX([1]告訴人!$D$15:$F$372,MATCH(C365,[1]告訴人!$F$15:$F$372,0),1)</f>
        <v>323</v>
      </c>
      <c r="S365" s="203" t="str">
        <f t="array" ref="S365">IF(OR(C365=[1]告訴人!$F$15:$F$372),"重疊","")</f>
        <v>重疊</v>
      </c>
      <c r="T365" s="203">
        <v>1</v>
      </c>
    </row>
    <row r="366" spans="1:23" ht="33.65" customHeight="1">
      <c r="A366" s="166">
        <v>363</v>
      </c>
      <c r="B366" s="166" t="s">
        <v>32</v>
      </c>
      <c r="C366" s="166" t="s">
        <v>254</v>
      </c>
      <c r="D366" s="167" t="s">
        <v>2935</v>
      </c>
      <c r="E366" s="168" t="s">
        <v>71</v>
      </c>
      <c r="F366" s="169">
        <v>2000</v>
      </c>
      <c r="G366" s="168">
        <v>69</v>
      </c>
      <c r="H366" s="169">
        <v>138000</v>
      </c>
      <c r="I366" s="186" t="s">
        <v>2936</v>
      </c>
      <c r="J366" s="186" t="s">
        <v>2936</v>
      </c>
      <c r="K366" s="170" t="s">
        <v>3158</v>
      </c>
      <c r="L366" s="170" t="s">
        <v>3581</v>
      </c>
      <c r="M366" s="175" t="s">
        <v>2914</v>
      </c>
      <c r="N366" s="172"/>
      <c r="O366" s="172">
        <v>138000</v>
      </c>
      <c r="P366" s="173" t="s">
        <v>2465</v>
      </c>
      <c r="Q366" s="174" t="str">
        <f t="shared" si="5"/>
        <v>註4</v>
      </c>
      <c r="R366" s="203">
        <f>INDEX([1]告訴人!$D$15:$F$372,MATCH(C366,[1]告訴人!$F$15:$F$372,0),1)</f>
        <v>199</v>
      </c>
      <c r="S366" s="203" t="str">
        <f t="array" ref="S366">IF(OR(C366=[1]告訴人!$F$15:$F$372),"重疊","")</f>
        <v>重疊</v>
      </c>
      <c r="T366" s="203">
        <v>1</v>
      </c>
      <c r="U366" s="203">
        <v>1</v>
      </c>
      <c r="W366" s="203" t="s">
        <v>2914</v>
      </c>
    </row>
    <row r="367" spans="1:23" ht="65.150000000000006" customHeight="1">
      <c r="A367" s="166">
        <v>364</v>
      </c>
      <c r="B367" s="166" t="s">
        <v>32</v>
      </c>
      <c r="C367" s="166" t="s">
        <v>2974</v>
      </c>
      <c r="D367" s="167"/>
      <c r="E367" s="168" t="s">
        <v>71</v>
      </c>
      <c r="F367" s="169">
        <v>1000</v>
      </c>
      <c r="G367" s="168">
        <v>69</v>
      </c>
      <c r="H367" s="169">
        <v>69000</v>
      </c>
      <c r="I367" s="186" t="s">
        <v>2936</v>
      </c>
      <c r="J367" s="186" t="s">
        <v>2936</v>
      </c>
      <c r="K367" s="170" t="s">
        <v>3158</v>
      </c>
      <c r="L367" s="170" t="s">
        <v>3692</v>
      </c>
      <c r="M367" s="175" t="s">
        <v>2914</v>
      </c>
      <c r="N367" s="172"/>
      <c r="O367" s="172">
        <v>69000</v>
      </c>
      <c r="P367" s="173" t="s">
        <v>2465</v>
      </c>
      <c r="Q367" s="174" t="str">
        <f t="shared" si="5"/>
        <v>註4</v>
      </c>
      <c r="R367" s="203">
        <f>INDEX([1]告訴人!$D$15:$F$372,MATCH(C367,[1]告訴人!$F$15:$F$372,0),1)</f>
        <v>80</v>
      </c>
      <c r="S367" s="203" t="str">
        <f t="array" ref="S367">IF(OR(C367=[1]告訴人!$F$15:$F$372),"重疊","")</f>
        <v>重疊</v>
      </c>
      <c r="T367" s="203">
        <v>1</v>
      </c>
      <c r="U367" s="203">
        <v>1</v>
      </c>
      <c r="W367" s="203" t="s">
        <v>2914</v>
      </c>
    </row>
    <row r="368" spans="1:23" ht="19.25" customHeight="1">
      <c r="A368" s="166">
        <v>365</v>
      </c>
      <c r="B368" s="166" t="s">
        <v>32</v>
      </c>
      <c r="C368" s="166" t="s">
        <v>572</v>
      </c>
      <c r="D368" s="167"/>
      <c r="E368" s="168" t="s">
        <v>71</v>
      </c>
      <c r="F368" s="169">
        <v>1000</v>
      </c>
      <c r="G368" s="168">
        <v>69</v>
      </c>
      <c r="H368" s="169">
        <v>69000</v>
      </c>
      <c r="I368" s="346" t="s">
        <v>2975</v>
      </c>
      <c r="J368" s="346" t="s">
        <v>2975</v>
      </c>
      <c r="K368" s="170" t="s">
        <v>2939</v>
      </c>
      <c r="L368" s="170"/>
      <c r="M368" s="175" t="s">
        <v>2914</v>
      </c>
      <c r="N368" s="172"/>
      <c r="O368" s="172"/>
      <c r="P368" s="173" t="s">
        <v>1832</v>
      </c>
      <c r="Q368" s="174" t="str">
        <f t="shared" si="5"/>
        <v/>
      </c>
      <c r="R368" s="203" t="e">
        <f>INDEX([1]告訴人!$D$15:$F$372,MATCH(C368,[1]告訴人!$F$15:$F$372,0),1)</f>
        <v>#N/A</v>
      </c>
      <c r="S368" s="203" t="str">
        <f t="array" ref="S368">IF(OR(C368=[1]告訴人!$F$15:$F$372),"重疊","")</f>
        <v/>
      </c>
      <c r="T368" s="203">
        <v>1</v>
      </c>
    </row>
    <row r="369" spans="1:23" ht="120.75" customHeight="1">
      <c r="A369" s="166">
        <v>366</v>
      </c>
      <c r="B369" s="166" t="s">
        <v>32</v>
      </c>
      <c r="C369" s="166" t="s">
        <v>573</v>
      </c>
      <c r="D369" s="167"/>
      <c r="E369" s="168" t="s">
        <v>71</v>
      </c>
      <c r="F369" s="169">
        <v>8000</v>
      </c>
      <c r="G369" s="168">
        <v>69</v>
      </c>
      <c r="H369" s="169">
        <v>552000</v>
      </c>
      <c r="I369" s="186" t="s">
        <v>2915</v>
      </c>
      <c r="J369" s="186" t="s">
        <v>2915</v>
      </c>
      <c r="K369" s="170" t="s">
        <v>3203</v>
      </c>
      <c r="L369" s="170" t="s">
        <v>2976</v>
      </c>
      <c r="M369" s="175" t="s">
        <v>2914</v>
      </c>
      <c r="N369" s="172"/>
      <c r="O369" s="172"/>
      <c r="P369" s="173" t="s">
        <v>1832</v>
      </c>
      <c r="Q369" s="174" t="str">
        <f t="shared" si="5"/>
        <v/>
      </c>
      <c r="R369" s="203">
        <f>INDEX([1]告訴人!$D$15:$F$372,MATCH(C369,[1]告訴人!$F$15:$F$372,0),1)</f>
        <v>307</v>
      </c>
      <c r="S369" s="203" t="str">
        <f t="array" ref="S369">IF(OR(C369=[1]告訴人!$F$15:$F$372),"重疊","")</f>
        <v>重疊</v>
      </c>
      <c r="T369" s="203">
        <v>1</v>
      </c>
    </row>
    <row r="370" spans="1:23" ht="82.25" customHeight="1">
      <c r="A370" s="166">
        <v>367</v>
      </c>
      <c r="B370" s="166" t="s">
        <v>32</v>
      </c>
      <c r="C370" s="166" t="s">
        <v>2977</v>
      </c>
      <c r="D370" s="167"/>
      <c r="E370" s="168" t="s">
        <v>72</v>
      </c>
      <c r="F370" s="169">
        <v>2000</v>
      </c>
      <c r="G370" s="168">
        <v>25</v>
      </c>
      <c r="H370" s="169">
        <v>50000</v>
      </c>
      <c r="I370" s="186" t="s">
        <v>2936</v>
      </c>
      <c r="J370" s="186" t="s">
        <v>2936</v>
      </c>
      <c r="K370" s="170" t="s">
        <v>3158</v>
      </c>
      <c r="L370" s="170" t="s">
        <v>3693</v>
      </c>
      <c r="M370" s="175" t="s">
        <v>2914</v>
      </c>
      <c r="N370" s="172"/>
      <c r="O370" s="172">
        <v>50000</v>
      </c>
      <c r="P370" s="173" t="s">
        <v>2465</v>
      </c>
      <c r="Q370" s="174" t="str">
        <f t="shared" si="5"/>
        <v>註4</v>
      </c>
      <c r="R370" s="203">
        <f>INDEX([1]告訴人!$D$15:$F$372,MATCH(C370,[1]告訴人!$F$15:$F$372,0),1)</f>
        <v>239</v>
      </c>
      <c r="S370" s="203" t="str">
        <f t="array" ref="S370">IF(OR(C370=[1]告訴人!$F$15:$F$372),"重疊","")</f>
        <v>重疊</v>
      </c>
      <c r="T370" s="203">
        <v>1</v>
      </c>
      <c r="U370" s="203">
        <v>1</v>
      </c>
      <c r="W370" s="203" t="s">
        <v>2914</v>
      </c>
    </row>
    <row r="371" spans="1:23" ht="18.649999999999999" customHeight="1">
      <c r="A371" s="166">
        <v>368</v>
      </c>
      <c r="B371" s="166" t="s">
        <v>32</v>
      </c>
      <c r="C371" s="166" t="s">
        <v>143</v>
      </c>
      <c r="D371" s="167"/>
      <c r="E371" s="168" t="s">
        <v>72</v>
      </c>
      <c r="F371" s="169">
        <v>5000</v>
      </c>
      <c r="G371" s="168">
        <v>25</v>
      </c>
      <c r="H371" s="169">
        <v>125000</v>
      </c>
      <c r="I371" s="186" t="s">
        <v>2915</v>
      </c>
      <c r="J371" s="186" t="s">
        <v>2915</v>
      </c>
      <c r="K371" s="170" t="s">
        <v>2462</v>
      </c>
      <c r="L371" s="170"/>
      <c r="M371" s="175" t="s">
        <v>2914</v>
      </c>
      <c r="N371" s="172"/>
      <c r="O371" s="172"/>
      <c r="P371" s="173" t="s">
        <v>1832</v>
      </c>
      <c r="Q371" s="174" t="str">
        <f t="shared" si="5"/>
        <v/>
      </c>
      <c r="R371" s="203">
        <f>INDEX([1]告訴人!$D$15:$F$372,MATCH(C371,[1]告訴人!$F$15:$F$372,0),1)</f>
        <v>50</v>
      </c>
      <c r="S371" s="203" t="str">
        <f t="array" ref="S371">IF(OR(C371=[1]告訴人!$F$15:$F$372),"重疊","")</f>
        <v>重疊</v>
      </c>
      <c r="T371" s="203">
        <v>1</v>
      </c>
    </row>
    <row r="372" spans="1:23" ht="17" customHeight="1">
      <c r="A372" s="166">
        <v>369</v>
      </c>
      <c r="B372" s="166" t="s">
        <v>32</v>
      </c>
      <c r="C372" s="166" t="s">
        <v>149</v>
      </c>
      <c r="D372" s="167"/>
      <c r="E372" s="168" t="s">
        <v>72</v>
      </c>
      <c r="F372" s="169">
        <v>1000</v>
      </c>
      <c r="G372" s="168">
        <v>25</v>
      </c>
      <c r="H372" s="169">
        <v>25000</v>
      </c>
      <c r="I372" s="186"/>
      <c r="J372" s="186"/>
      <c r="K372" s="170" t="s">
        <v>2903</v>
      </c>
      <c r="L372" s="170"/>
      <c r="M372" s="175"/>
      <c r="N372" s="172">
        <v>25000</v>
      </c>
      <c r="O372" s="172"/>
      <c r="P372" s="173" t="s">
        <v>2461</v>
      </c>
      <c r="Q372" s="174" t="str">
        <f t="shared" si="5"/>
        <v>註3</v>
      </c>
      <c r="R372" s="203" t="e">
        <f>INDEX([1]告訴人!$D$15:$F$372,MATCH(C372,[1]告訴人!$F$15:$F$372,0),1)</f>
        <v>#N/A</v>
      </c>
      <c r="S372" s="203" t="str">
        <f t="array" ref="S372">IF(OR(C372=[1]告訴人!$F$15:$F$372),"重疊","")</f>
        <v/>
      </c>
    </row>
    <row r="373" spans="1:23">
      <c r="A373" s="166">
        <v>370</v>
      </c>
      <c r="B373" s="166" t="s">
        <v>32</v>
      </c>
      <c r="C373" s="166" t="s">
        <v>159</v>
      </c>
      <c r="D373" s="167"/>
      <c r="E373" s="168" t="s">
        <v>72</v>
      </c>
      <c r="F373" s="169">
        <v>1000</v>
      </c>
      <c r="G373" s="168">
        <v>25</v>
      </c>
      <c r="H373" s="169">
        <v>25000</v>
      </c>
      <c r="I373" s="186"/>
      <c r="J373" s="186"/>
      <c r="K373" s="170" t="s">
        <v>2903</v>
      </c>
      <c r="L373" s="170"/>
      <c r="M373" s="175"/>
      <c r="N373" s="172">
        <v>25000</v>
      </c>
      <c r="O373" s="172"/>
      <c r="P373" s="173" t="s">
        <v>2461</v>
      </c>
      <c r="Q373" s="174" t="str">
        <f t="shared" si="5"/>
        <v>註3</v>
      </c>
      <c r="R373" s="203" t="e">
        <f>INDEX([1]告訴人!$D$15:$F$372,MATCH(C373,[1]告訴人!$F$15:$F$372,0),1)</f>
        <v>#N/A</v>
      </c>
      <c r="S373" s="203" t="str">
        <f t="array" ref="S373">IF(OR(C373=[1]告訴人!$F$15:$F$372),"重疊","")</f>
        <v/>
      </c>
    </row>
    <row r="374" spans="1:23">
      <c r="A374" s="166">
        <v>371</v>
      </c>
      <c r="B374" s="166" t="s">
        <v>32</v>
      </c>
      <c r="C374" s="166" t="s">
        <v>170</v>
      </c>
      <c r="D374" s="167"/>
      <c r="E374" s="168" t="s">
        <v>72</v>
      </c>
      <c r="F374" s="169">
        <v>5000</v>
      </c>
      <c r="G374" s="168">
        <v>25</v>
      </c>
      <c r="H374" s="169">
        <v>125000</v>
      </c>
      <c r="I374" s="186"/>
      <c r="J374" s="186"/>
      <c r="K374" s="170" t="s">
        <v>2903</v>
      </c>
      <c r="L374" s="170"/>
      <c r="M374" s="175"/>
      <c r="N374" s="172">
        <v>125000</v>
      </c>
      <c r="O374" s="172"/>
      <c r="P374" s="173" t="s">
        <v>2461</v>
      </c>
      <c r="Q374" s="174" t="str">
        <f t="shared" si="5"/>
        <v>註3</v>
      </c>
      <c r="R374" s="203" t="e">
        <f>INDEX([1]告訴人!$D$15:$F$372,MATCH(C374,[1]告訴人!$F$15:$F$372,0),1)</f>
        <v>#N/A</v>
      </c>
      <c r="S374" s="203" t="str">
        <f t="array" ref="S374">IF(OR(C374=[1]告訴人!$F$15:$F$372),"重疊","")</f>
        <v/>
      </c>
    </row>
    <row r="375" spans="1:23" ht="58.65" customHeight="1">
      <c r="A375" s="166">
        <v>372</v>
      </c>
      <c r="B375" s="166" t="s">
        <v>32</v>
      </c>
      <c r="C375" s="166" t="s">
        <v>173</v>
      </c>
      <c r="D375" s="167"/>
      <c r="E375" s="168" t="s">
        <v>72</v>
      </c>
      <c r="F375" s="169">
        <v>1000</v>
      </c>
      <c r="G375" s="168">
        <v>25</v>
      </c>
      <c r="H375" s="169">
        <v>25000</v>
      </c>
      <c r="I375" s="186" t="s">
        <v>2915</v>
      </c>
      <c r="J375" s="186" t="s">
        <v>2915</v>
      </c>
      <c r="K375" s="170" t="s">
        <v>3158</v>
      </c>
      <c r="L375" s="170" t="s">
        <v>3624</v>
      </c>
      <c r="M375" s="175" t="s">
        <v>2905</v>
      </c>
      <c r="N375" s="172"/>
      <c r="O375" s="172">
        <v>25000</v>
      </c>
      <c r="P375" s="173" t="s">
        <v>2463</v>
      </c>
      <c r="Q375" s="174" t="str">
        <f t="shared" si="5"/>
        <v>註4</v>
      </c>
      <c r="R375" s="203">
        <f>INDEX([1]告訴人!$D$15:$F$372,MATCH(C375,[1]告訴人!$F$15:$F$372,0),1)</f>
        <v>104</v>
      </c>
      <c r="S375" s="203" t="str">
        <f t="array" ref="S375">IF(OR(C375=[1]告訴人!$F$15:$F$372),"重疊","")</f>
        <v>重疊</v>
      </c>
      <c r="T375" s="203">
        <v>1</v>
      </c>
      <c r="U375" s="203">
        <v>1</v>
      </c>
    </row>
    <row r="376" spans="1:23" ht="47.25" customHeight="1">
      <c r="A376" s="166">
        <v>373</v>
      </c>
      <c r="B376" s="166" t="s">
        <v>32</v>
      </c>
      <c r="C376" s="166" t="s">
        <v>179</v>
      </c>
      <c r="D376" s="167"/>
      <c r="E376" s="168" t="s">
        <v>72</v>
      </c>
      <c r="F376" s="169">
        <v>1000</v>
      </c>
      <c r="G376" s="168">
        <v>25</v>
      </c>
      <c r="H376" s="169">
        <v>25000</v>
      </c>
      <c r="I376" s="186" t="s">
        <v>2912</v>
      </c>
      <c r="J376" s="186" t="s">
        <v>2912</v>
      </c>
      <c r="K376" s="170" t="s">
        <v>3158</v>
      </c>
      <c r="L376" s="170" t="s">
        <v>3624</v>
      </c>
      <c r="M376" s="175" t="s">
        <v>2905</v>
      </c>
      <c r="N376" s="172"/>
      <c r="O376" s="172">
        <v>25000</v>
      </c>
      <c r="P376" s="173" t="s">
        <v>2465</v>
      </c>
      <c r="Q376" s="174" t="str">
        <f t="shared" si="5"/>
        <v>註4</v>
      </c>
      <c r="R376" s="203">
        <f>INDEX([1]告訴人!$D$15:$F$372,MATCH(C376,[1]告訴人!$F$15:$F$372,0),1)</f>
        <v>271</v>
      </c>
      <c r="S376" s="203" t="str">
        <f t="array" ref="S376">IF(OR(C376=[1]告訴人!$F$15:$F$372),"重疊","")</f>
        <v>重疊</v>
      </c>
      <c r="T376" s="203">
        <v>1</v>
      </c>
      <c r="U376" s="203">
        <v>1</v>
      </c>
      <c r="W376" s="203" t="s">
        <v>2905</v>
      </c>
    </row>
    <row r="377" spans="1:23" ht="85.65" customHeight="1">
      <c r="A377" s="166">
        <v>374</v>
      </c>
      <c r="B377" s="166" t="s">
        <v>32</v>
      </c>
      <c r="C377" s="166" t="s">
        <v>188</v>
      </c>
      <c r="D377" s="167"/>
      <c r="E377" s="168" t="s">
        <v>72</v>
      </c>
      <c r="F377" s="169">
        <v>2000</v>
      </c>
      <c r="G377" s="168">
        <v>25</v>
      </c>
      <c r="H377" s="169">
        <v>50000</v>
      </c>
      <c r="I377" s="186" t="s">
        <v>2918</v>
      </c>
      <c r="J377" s="186" t="s">
        <v>2918</v>
      </c>
      <c r="K377" s="170" t="s">
        <v>3204</v>
      </c>
      <c r="L377" s="170" t="s">
        <v>3625</v>
      </c>
      <c r="M377" s="175" t="s">
        <v>2905</v>
      </c>
      <c r="N377" s="172">
        <v>50000</v>
      </c>
      <c r="O377" s="172"/>
      <c r="P377" s="173" t="s">
        <v>2461</v>
      </c>
      <c r="Q377" s="174" t="str">
        <f t="shared" si="5"/>
        <v>註3</v>
      </c>
      <c r="R377" s="203">
        <f>INDEX([1]告訴人!$D$15:$F$372,MATCH(C377,[1]告訴人!$F$15:$F$372,0),1)</f>
        <v>54</v>
      </c>
      <c r="S377" s="203" t="str">
        <f t="array" ref="S377">IF(OR(C377=[1]告訴人!$F$15:$F$372),"重疊","")</f>
        <v>重疊</v>
      </c>
      <c r="T377" s="203">
        <v>1</v>
      </c>
      <c r="V377" s="203">
        <v>1</v>
      </c>
    </row>
    <row r="378" spans="1:23">
      <c r="A378" s="166">
        <v>375</v>
      </c>
      <c r="B378" s="166" t="s">
        <v>32</v>
      </c>
      <c r="C378" s="166" t="s">
        <v>242</v>
      </c>
      <c r="D378" s="167"/>
      <c r="E378" s="168" t="s">
        <v>72</v>
      </c>
      <c r="F378" s="169">
        <v>1000</v>
      </c>
      <c r="G378" s="168">
        <v>25</v>
      </c>
      <c r="H378" s="169">
        <v>25000</v>
      </c>
      <c r="I378" s="186"/>
      <c r="J378" s="186"/>
      <c r="K378" s="170" t="s">
        <v>2904</v>
      </c>
      <c r="L378" s="170"/>
      <c r="M378" s="175"/>
      <c r="N378" s="172">
        <v>25000</v>
      </c>
      <c r="O378" s="172"/>
      <c r="P378" s="173" t="s">
        <v>2461</v>
      </c>
      <c r="Q378" s="174" t="str">
        <f t="shared" si="5"/>
        <v>註3</v>
      </c>
      <c r="R378" s="203" t="e">
        <f>INDEX([1]告訴人!$D$15:$F$372,MATCH(C378,[1]告訴人!$F$15:$F$372,0),1)</f>
        <v>#N/A</v>
      </c>
      <c r="S378" s="203" t="str">
        <f t="array" ref="S378">IF(OR(C378=[1]告訴人!$F$15:$F$372),"重疊","")</f>
        <v/>
      </c>
    </row>
    <row r="379" spans="1:23" ht="34">
      <c r="A379" s="166">
        <v>376</v>
      </c>
      <c r="B379" s="166" t="s">
        <v>32</v>
      </c>
      <c r="C379" s="166" t="s">
        <v>281</v>
      </c>
      <c r="D379" s="167"/>
      <c r="E379" s="168" t="s">
        <v>72</v>
      </c>
      <c r="F379" s="169">
        <v>5000</v>
      </c>
      <c r="G379" s="168">
        <v>25</v>
      </c>
      <c r="H379" s="169">
        <v>125000</v>
      </c>
      <c r="I379" s="186" t="s">
        <v>2918</v>
      </c>
      <c r="J379" s="186" t="s">
        <v>2918</v>
      </c>
      <c r="K379" s="170" t="s">
        <v>3158</v>
      </c>
      <c r="L379" s="170" t="s">
        <v>3624</v>
      </c>
      <c r="M379" s="175" t="s">
        <v>2905</v>
      </c>
      <c r="N379" s="172"/>
      <c r="O379" s="172">
        <v>125000</v>
      </c>
      <c r="P379" s="173" t="s">
        <v>2463</v>
      </c>
      <c r="Q379" s="174" t="str">
        <f t="shared" si="5"/>
        <v>註4</v>
      </c>
      <c r="R379" s="203">
        <f>INDEX([1]告訴人!$D$15:$F$372,MATCH(C379,[1]告訴人!$F$15:$F$372,0),1)</f>
        <v>290</v>
      </c>
      <c r="S379" s="203" t="str">
        <f t="array" ref="S379">IF(OR(C379=[1]告訴人!$F$15:$F$372),"重疊","")</f>
        <v>重疊</v>
      </c>
      <c r="T379" s="203">
        <v>1</v>
      </c>
      <c r="U379" s="203">
        <v>1</v>
      </c>
    </row>
    <row r="380" spans="1:23" ht="65.25" customHeight="1">
      <c r="A380" s="166">
        <v>377</v>
      </c>
      <c r="B380" s="166" t="s">
        <v>32</v>
      </c>
      <c r="C380" s="166" t="s">
        <v>287</v>
      </c>
      <c r="D380" s="167"/>
      <c r="E380" s="168" t="s">
        <v>72</v>
      </c>
      <c r="F380" s="169">
        <v>1000</v>
      </c>
      <c r="G380" s="168">
        <v>25</v>
      </c>
      <c r="H380" s="169">
        <v>25000</v>
      </c>
      <c r="I380" s="186" t="s">
        <v>2912</v>
      </c>
      <c r="J380" s="186" t="s">
        <v>2912</v>
      </c>
      <c r="K380" s="170" t="s">
        <v>3170</v>
      </c>
      <c r="L380" s="170" t="s">
        <v>3584</v>
      </c>
      <c r="M380" s="175" t="s">
        <v>2905</v>
      </c>
      <c r="N380" s="172"/>
      <c r="O380" s="172">
        <v>25000</v>
      </c>
      <c r="P380" s="173" t="s">
        <v>2465</v>
      </c>
      <c r="Q380" s="174" t="str">
        <f t="shared" si="5"/>
        <v>註4</v>
      </c>
      <c r="R380" s="203">
        <f>INDEX([1]告訴人!$D$15:$F$372,MATCH(C380,[1]告訴人!$F$15:$F$372,0),1)</f>
        <v>88</v>
      </c>
      <c r="S380" s="203" t="str">
        <f t="array" ref="S380">IF(OR(C380=[1]告訴人!$F$15:$F$372),"重疊","")</f>
        <v>重疊</v>
      </c>
      <c r="T380" s="203">
        <v>1</v>
      </c>
      <c r="U380" s="203">
        <v>1</v>
      </c>
      <c r="W380" s="203" t="s">
        <v>2905</v>
      </c>
    </row>
    <row r="381" spans="1:23">
      <c r="A381" s="166">
        <v>378</v>
      </c>
      <c r="B381" s="166" t="s">
        <v>32</v>
      </c>
      <c r="C381" s="166" t="s">
        <v>289</v>
      </c>
      <c r="D381" s="167"/>
      <c r="E381" s="168" t="s">
        <v>72</v>
      </c>
      <c r="F381" s="169">
        <v>7000</v>
      </c>
      <c r="G381" s="168">
        <v>25</v>
      </c>
      <c r="H381" s="169">
        <v>175000</v>
      </c>
      <c r="I381" s="186"/>
      <c r="J381" s="186"/>
      <c r="K381" s="170" t="s">
        <v>2904</v>
      </c>
      <c r="L381" s="170"/>
      <c r="M381" s="175"/>
      <c r="N381" s="172">
        <v>175000</v>
      </c>
      <c r="O381" s="172"/>
      <c r="P381" s="173" t="s">
        <v>2461</v>
      </c>
      <c r="Q381" s="174" t="str">
        <f t="shared" si="5"/>
        <v>註3</v>
      </c>
      <c r="R381" s="203" t="e">
        <f>INDEX([1]告訴人!$D$15:$F$372,MATCH(C381,[1]告訴人!$F$15:$F$372,0),1)</f>
        <v>#N/A</v>
      </c>
      <c r="S381" s="203" t="str">
        <f t="array" ref="S381">IF(OR(C381=[1]告訴人!$F$15:$F$372),"重疊","")</f>
        <v/>
      </c>
    </row>
    <row r="382" spans="1:23" ht="51.75" customHeight="1">
      <c r="A382" s="166">
        <v>379</v>
      </c>
      <c r="B382" s="166" t="s">
        <v>32</v>
      </c>
      <c r="C382" s="166" t="s">
        <v>173</v>
      </c>
      <c r="D382" s="167"/>
      <c r="E382" s="168" t="s">
        <v>72</v>
      </c>
      <c r="F382" s="169">
        <v>1000</v>
      </c>
      <c r="G382" s="168">
        <v>43</v>
      </c>
      <c r="H382" s="169">
        <v>43000</v>
      </c>
      <c r="I382" s="186" t="s">
        <v>1083</v>
      </c>
      <c r="J382" s="186" t="s">
        <v>1083</v>
      </c>
      <c r="K382" s="170" t="s">
        <v>3158</v>
      </c>
      <c r="L382" s="170" t="s">
        <v>3577</v>
      </c>
      <c r="M382" s="175" t="s">
        <v>2905</v>
      </c>
      <c r="N382" s="172"/>
      <c r="O382" s="172">
        <v>43000</v>
      </c>
      <c r="P382" s="173" t="s">
        <v>2463</v>
      </c>
      <c r="Q382" s="174" t="str">
        <f t="shared" si="5"/>
        <v>註4</v>
      </c>
      <c r="R382" s="203">
        <f>INDEX([1]告訴人!$D$15:$F$372,MATCH(C382,[1]告訴人!$F$15:$F$372,0),1)</f>
        <v>104</v>
      </c>
      <c r="S382" s="203" t="str">
        <f t="array" ref="S382">IF(OR(C382=[1]告訴人!$F$15:$F$372),"重疊","")</f>
        <v>重疊</v>
      </c>
      <c r="T382" s="203">
        <v>1</v>
      </c>
      <c r="U382" s="203">
        <v>1</v>
      </c>
    </row>
    <row r="383" spans="1:23">
      <c r="A383" s="166">
        <v>380</v>
      </c>
      <c r="B383" s="166" t="s">
        <v>32</v>
      </c>
      <c r="C383" s="166" t="s">
        <v>344</v>
      </c>
      <c r="D383" s="167"/>
      <c r="E383" s="168" t="s">
        <v>72</v>
      </c>
      <c r="F383" s="169">
        <v>1000</v>
      </c>
      <c r="G383" s="168">
        <v>67</v>
      </c>
      <c r="H383" s="169">
        <v>67000</v>
      </c>
      <c r="I383" s="186"/>
      <c r="J383" s="186"/>
      <c r="K383" s="170" t="s">
        <v>2904</v>
      </c>
      <c r="L383" s="170"/>
      <c r="M383" s="175"/>
      <c r="N383" s="172">
        <v>67000</v>
      </c>
      <c r="O383" s="172"/>
      <c r="P383" s="173" t="s">
        <v>2461</v>
      </c>
      <c r="Q383" s="174" t="str">
        <f t="shared" si="5"/>
        <v>註3</v>
      </c>
      <c r="R383" s="203" t="e">
        <f>INDEX([1]告訴人!$D$15:$F$372,MATCH(C383,[1]告訴人!$F$15:$F$372,0),1)</f>
        <v>#N/A</v>
      </c>
      <c r="S383" s="203" t="str">
        <f t="array" ref="S383">IF(OR(C383=[1]告訴人!$F$15:$F$372),"重疊","")</f>
        <v/>
      </c>
    </row>
    <row r="384" spans="1:23">
      <c r="A384" s="166">
        <v>381</v>
      </c>
      <c r="B384" s="166" t="s">
        <v>32</v>
      </c>
      <c r="C384" s="166" t="s">
        <v>143</v>
      </c>
      <c r="D384" s="167"/>
      <c r="E384" s="168" t="s">
        <v>72</v>
      </c>
      <c r="F384" s="169">
        <v>5000</v>
      </c>
      <c r="G384" s="168">
        <v>67</v>
      </c>
      <c r="H384" s="169">
        <v>335000</v>
      </c>
      <c r="I384" s="186" t="s">
        <v>2918</v>
      </c>
      <c r="J384" s="186" t="s">
        <v>2918</v>
      </c>
      <c r="K384" s="170" t="s">
        <v>2462</v>
      </c>
      <c r="L384" s="170"/>
      <c r="M384" s="175" t="s">
        <v>2905</v>
      </c>
      <c r="N384" s="172"/>
      <c r="O384" s="172"/>
      <c r="P384" s="173" t="s">
        <v>1832</v>
      </c>
      <c r="Q384" s="174" t="str">
        <f t="shared" si="5"/>
        <v/>
      </c>
      <c r="R384" s="203">
        <f>INDEX([1]告訴人!$D$15:$F$372,MATCH(C384,[1]告訴人!$F$15:$F$372,0),1)</f>
        <v>50</v>
      </c>
      <c r="S384" s="203" t="str">
        <f t="array" ref="S384">IF(OR(C384=[1]告訴人!$F$15:$F$372),"重疊","")</f>
        <v>重疊</v>
      </c>
      <c r="T384" s="203">
        <v>1</v>
      </c>
    </row>
    <row r="385" spans="1:23">
      <c r="A385" s="166">
        <v>382</v>
      </c>
      <c r="B385" s="166" t="s">
        <v>32</v>
      </c>
      <c r="C385" s="166" t="s">
        <v>149</v>
      </c>
      <c r="D385" s="167"/>
      <c r="E385" s="168" t="s">
        <v>72</v>
      </c>
      <c r="F385" s="169">
        <v>1000</v>
      </c>
      <c r="G385" s="168">
        <v>67</v>
      </c>
      <c r="H385" s="169">
        <v>67000</v>
      </c>
      <c r="I385" s="186"/>
      <c r="J385" s="186"/>
      <c r="K385" s="170" t="s">
        <v>2904</v>
      </c>
      <c r="L385" s="170"/>
      <c r="M385" s="175"/>
      <c r="N385" s="172">
        <v>67000</v>
      </c>
      <c r="O385" s="172"/>
      <c r="P385" s="173" t="s">
        <v>2461</v>
      </c>
      <c r="Q385" s="174" t="str">
        <f t="shared" si="5"/>
        <v>註3</v>
      </c>
      <c r="R385" s="203" t="e">
        <f>INDEX([1]告訴人!$D$15:$F$372,MATCH(C385,[1]告訴人!$F$15:$F$372,0),1)</f>
        <v>#N/A</v>
      </c>
      <c r="S385" s="203" t="str">
        <f t="array" ref="S385">IF(OR(C385=[1]告訴人!$F$15:$F$372),"重疊","")</f>
        <v/>
      </c>
    </row>
    <row r="386" spans="1:23">
      <c r="A386" s="166">
        <v>383</v>
      </c>
      <c r="B386" s="166" t="s">
        <v>32</v>
      </c>
      <c r="C386" s="166" t="s">
        <v>159</v>
      </c>
      <c r="D386" s="167"/>
      <c r="E386" s="168" t="s">
        <v>72</v>
      </c>
      <c r="F386" s="169">
        <v>1000</v>
      </c>
      <c r="G386" s="168">
        <v>67</v>
      </c>
      <c r="H386" s="169">
        <v>67000</v>
      </c>
      <c r="I386" s="186"/>
      <c r="J386" s="186"/>
      <c r="K386" s="170" t="s">
        <v>2904</v>
      </c>
      <c r="L386" s="170"/>
      <c r="M386" s="175"/>
      <c r="N386" s="172">
        <v>67000</v>
      </c>
      <c r="O386" s="172"/>
      <c r="P386" s="173" t="s">
        <v>2461</v>
      </c>
      <c r="Q386" s="174" t="str">
        <f t="shared" ref="Q386:Q449" si="6">IF(N386&lt;&gt;0,"註3",IF(O386&lt;&gt;0,"註4",""))</f>
        <v>註3</v>
      </c>
      <c r="R386" s="203" t="e">
        <f>INDEX([1]告訴人!$D$15:$F$372,MATCH(C386,[1]告訴人!$F$15:$F$372,0),1)</f>
        <v>#N/A</v>
      </c>
      <c r="S386" s="203" t="str">
        <f t="array" ref="S386">IF(OR(C386=[1]告訴人!$F$15:$F$372),"重疊","")</f>
        <v/>
      </c>
    </row>
    <row r="387" spans="1:23" ht="108.75" customHeight="1">
      <c r="A387" s="166">
        <v>384</v>
      </c>
      <c r="B387" s="166" t="s">
        <v>32</v>
      </c>
      <c r="C387" s="166" t="s">
        <v>188</v>
      </c>
      <c r="D387" s="167"/>
      <c r="E387" s="168" t="s">
        <v>72</v>
      </c>
      <c r="F387" s="169">
        <v>2000</v>
      </c>
      <c r="G387" s="168">
        <v>67</v>
      </c>
      <c r="H387" s="169">
        <v>134000</v>
      </c>
      <c r="I387" s="186" t="s">
        <v>2918</v>
      </c>
      <c r="J387" s="186" t="s">
        <v>2918</v>
      </c>
      <c r="K387" s="170" t="s">
        <v>3205</v>
      </c>
      <c r="L387" s="170" t="s">
        <v>3625</v>
      </c>
      <c r="M387" s="175" t="s">
        <v>2905</v>
      </c>
      <c r="N387" s="172">
        <v>134000</v>
      </c>
      <c r="O387" s="172"/>
      <c r="P387" s="173" t="s">
        <v>2461</v>
      </c>
      <c r="Q387" s="174" t="str">
        <f t="shared" si="6"/>
        <v>註3</v>
      </c>
      <c r="R387" s="203">
        <f>INDEX([1]告訴人!$D$15:$F$372,MATCH(C387,[1]告訴人!$F$15:$F$372,0),1)</f>
        <v>54</v>
      </c>
      <c r="S387" s="203" t="str">
        <f t="array" ref="S387">IF(OR(C387=[1]告訴人!$F$15:$F$372),"重疊","")</f>
        <v>重疊</v>
      </c>
      <c r="T387" s="203">
        <v>1</v>
      </c>
      <c r="V387" s="203">
        <v>1</v>
      </c>
    </row>
    <row r="388" spans="1:23">
      <c r="A388" s="166">
        <v>385</v>
      </c>
      <c r="B388" s="166" t="s">
        <v>32</v>
      </c>
      <c r="C388" s="166" t="s">
        <v>242</v>
      </c>
      <c r="D388" s="167"/>
      <c r="E388" s="168" t="s">
        <v>72</v>
      </c>
      <c r="F388" s="169">
        <v>1000</v>
      </c>
      <c r="G388" s="168">
        <v>67</v>
      </c>
      <c r="H388" s="169">
        <v>67000</v>
      </c>
      <c r="I388" s="186"/>
      <c r="J388" s="186"/>
      <c r="K388" s="170" t="s">
        <v>2904</v>
      </c>
      <c r="L388" s="170"/>
      <c r="M388" s="175"/>
      <c r="N388" s="172">
        <v>67000</v>
      </c>
      <c r="O388" s="172"/>
      <c r="P388" s="173" t="s">
        <v>2461</v>
      </c>
      <c r="Q388" s="174" t="str">
        <f t="shared" si="6"/>
        <v>註3</v>
      </c>
      <c r="R388" s="203" t="e">
        <f>INDEX([1]告訴人!$D$15:$F$372,MATCH(C388,[1]告訴人!$F$15:$F$372,0),1)</f>
        <v>#N/A</v>
      </c>
      <c r="S388" s="203" t="str">
        <f t="array" ref="S388">IF(OR(C388=[1]告訴人!$F$15:$F$372),"重疊","")</f>
        <v/>
      </c>
    </row>
    <row r="389" spans="1:23" ht="45.75" customHeight="1">
      <c r="A389" s="166">
        <v>386</v>
      </c>
      <c r="B389" s="166" t="s">
        <v>32</v>
      </c>
      <c r="C389" s="166" t="s">
        <v>281</v>
      </c>
      <c r="D389" s="167"/>
      <c r="E389" s="168" t="s">
        <v>72</v>
      </c>
      <c r="F389" s="169">
        <v>5000</v>
      </c>
      <c r="G389" s="168">
        <v>67</v>
      </c>
      <c r="H389" s="169">
        <v>335000</v>
      </c>
      <c r="I389" s="186" t="s">
        <v>2918</v>
      </c>
      <c r="J389" s="186" t="s">
        <v>2918</v>
      </c>
      <c r="K389" s="170" t="s">
        <v>3158</v>
      </c>
      <c r="L389" s="170" t="s">
        <v>3626</v>
      </c>
      <c r="M389" s="175" t="s">
        <v>2905</v>
      </c>
      <c r="N389" s="172"/>
      <c r="O389" s="172">
        <v>335000</v>
      </c>
      <c r="P389" s="173" t="s">
        <v>2463</v>
      </c>
      <c r="Q389" s="174" t="str">
        <f t="shared" si="6"/>
        <v>註4</v>
      </c>
      <c r="R389" s="203">
        <f>INDEX([1]告訴人!$D$15:$F$372,MATCH(C389,[1]告訴人!$F$15:$F$372,0),1)</f>
        <v>290</v>
      </c>
      <c r="S389" s="203" t="str">
        <f t="array" ref="S389">IF(OR(C389=[1]告訴人!$F$15:$F$372),"重疊","")</f>
        <v>重疊</v>
      </c>
      <c r="T389" s="203">
        <v>1</v>
      </c>
      <c r="U389" s="203">
        <v>1</v>
      </c>
    </row>
    <row r="390" spans="1:23" ht="43.5" customHeight="1">
      <c r="A390" s="166">
        <v>387</v>
      </c>
      <c r="B390" s="166" t="s">
        <v>32</v>
      </c>
      <c r="C390" s="166" t="s">
        <v>299</v>
      </c>
      <c r="D390" s="167"/>
      <c r="E390" s="168" t="s">
        <v>72</v>
      </c>
      <c r="F390" s="169">
        <v>1000</v>
      </c>
      <c r="G390" s="168">
        <v>67</v>
      </c>
      <c r="H390" s="169">
        <v>67000</v>
      </c>
      <c r="I390" s="186" t="s">
        <v>2918</v>
      </c>
      <c r="J390" s="186" t="s">
        <v>2918</v>
      </c>
      <c r="K390" s="170" t="s">
        <v>3077</v>
      </c>
      <c r="L390" s="170" t="s">
        <v>3594</v>
      </c>
      <c r="M390" s="175" t="s">
        <v>2905</v>
      </c>
      <c r="N390" s="172">
        <v>67000</v>
      </c>
      <c r="O390" s="172"/>
      <c r="P390" s="173" t="s">
        <v>2461</v>
      </c>
      <c r="Q390" s="174" t="str">
        <f t="shared" si="6"/>
        <v>註3</v>
      </c>
      <c r="R390" s="203">
        <f>INDEX([1]告訴人!$D$15:$F$372,MATCH(C390,[1]告訴人!$F$15:$F$372,0),1)</f>
        <v>337</v>
      </c>
      <c r="S390" s="203" t="str">
        <f t="array" ref="S390">IF(OR(C390=[1]告訴人!$F$15:$F$372),"重疊","")</f>
        <v>重疊</v>
      </c>
      <c r="T390" s="203">
        <v>1</v>
      </c>
    </row>
    <row r="391" spans="1:23" ht="62.4" customHeight="1">
      <c r="A391" s="166">
        <v>388</v>
      </c>
      <c r="B391" s="166" t="s">
        <v>32</v>
      </c>
      <c r="C391" s="166" t="s">
        <v>301</v>
      </c>
      <c r="D391" s="167"/>
      <c r="E391" s="168" t="s">
        <v>72</v>
      </c>
      <c r="F391" s="169">
        <v>1000</v>
      </c>
      <c r="G391" s="168">
        <v>67</v>
      </c>
      <c r="H391" s="169">
        <v>67000</v>
      </c>
      <c r="I391" s="186" t="s">
        <v>2918</v>
      </c>
      <c r="J391" s="186" t="s">
        <v>2918</v>
      </c>
      <c r="K391" s="170" t="s">
        <v>3077</v>
      </c>
      <c r="L391" s="170" t="s">
        <v>3677</v>
      </c>
      <c r="M391" s="175" t="s">
        <v>2905</v>
      </c>
      <c r="N391" s="172">
        <v>67000</v>
      </c>
      <c r="O391" s="172"/>
      <c r="P391" s="173" t="s">
        <v>2461</v>
      </c>
      <c r="Q391" s="174" t="str">
        <f t="shared" si="6"/>
        <v>註3</v>
      </c>
      <c r="R391" s="203">
        <f>INDEX([1]告訴人!$D$15:$F$372,MATCH(C391,[1]告訴人!$F$15:$F$372,0),1)</f>
        <v>256</v>
      </c>
      <c r="S391" s="203" t="str">
        <f t="array" ref="S391">IF(OR(C391=[1]告訴人!$F$15:$F$372),"重疊","")</f>
        <v>重疊</v>
      </c>
      <c r="T391" s="203">
        <v>1</v>
      </c>
    </row>
    <row r="392" spans="1:23" ht="86.25" customHeight="1">
      <c r="A392" s="166">
        <v>389</v>
      </c>
      <c r="B392" s="166" t="s">
        <v>32</v>
      </c>
      <c r="C392" s="166" t="s">
        <v>2978</v>
      </c>
      <c r="D392" s="167"/>
      <c r="E392" s="168" t="s">
        <v>72</v>
      </c>
      <c r="F392" s="169">
        <v>2000</v>
      </c>
      <c r="G392" s="168">
        <v>69</v>
      </c>
      <c r="H392" s="169">
        <v>138000</v>
      </c>
      <c r="I392" s="186" t="s">
        <v>2912</v>
      </c>
      <c r="J392" s="186" t="s">
        <v>2912</v>
      </c>
      <c r="K392" s="170" t="s">
        <v>3158</v>
      </c>
      <c r="L392" s="170" t="s">
        <v>3694</v>
      </c>
      <c r="M392" s="175" t="s">
        <v>2905</v>
      </c>
      <c r="N392" s="172"/>
      <c r="O392" s="172">
        <v>138000</v>
      </c>
      <c r="P392" s="173" t="s">
        <v>2465</v>
      </c>
      <c r="Q392" s="174" t="str">
        <f t="shared" si="6"/>
        <v>註4</v>
      </c>
      <c r="R392" s="203">
        <f>INDEX([1]告訴人!$D$15:$F$372,MATCH(C392,[1]告訴人!$F$15:$F$372,0),1)</f>
        <v>239</v>
      </c>
      <c r="S392" s="203" t="str">
        <f t="array" ref="S392">IF(OR(C392=[1]告訴人!$F$15:$F$372),"重疊","")</f>
        <v>重疊</v>
      </c>
      <c r="T392" s="203">
        <v>1</v>
      </c>
      <c r="U392" s="203">
        <v>1</v>
      </c>
      <c r="W392" s="203" t="s">
        <v>2905</v>
      </c>
    </row>
    <row r="393" spans="1:23" ht="19.25" customHeight="1">
      <c r="A393" s="166">
        <v>390</v>
      </c>
      <c r="B393" s="166" t="s">
        <v>32</v>
      </c>
      <c r="C393" s="166" t="s">
        <v>170</v>
      </c>
      <c r="D393" s="167"/>
      <c r="E393" s="168" t="s">
        <v>72</v>
      </c>
      <c r="F393" s="169">
        <v>5000</v>
      </c>
      <c r="G393" s="168">
        <v>69</v>
      </c>
      <c r="H393" s="169">
        <v>345000</v>
      </c>
      <c r="I393" s="186"/>
      <c r="J393" s="186"/>
      <c r="K393" s="170" t="s">
        <v>2904</v>
      </c>
      <c r="L393" s="170"/>
      <c r="M393" s="175"/>
      <c r="N393" s="172">
        <v>345000</v>
      </c>
      <c r="O393" s="172"/>
      <c r="P393" s="173" t="s">
        <v>2461</v>
      </c>
      <c r="Q393" s="174" t="str">
        <f t="shared" si="6"/>
        <v>註3</v>
      </c>
      <c r="R393" s="203" t="e">
        <f>INDEX([1]告訴人!$D$15:$F$372,MATCH(C393,[1]告訴人!$F$15:$F$372,0),1)</f>
        <v>#N/A</v>
      </c>
      <c r="S393" s="203" t="str">
        <f t="array" ref="S393">IF(OR(C393=[1]告訴人!$F$15:$F$372),"重疊","")</f>
        <v/>
      </c>
    </row>
    <row r="394" spans="1:23" ht="33" customHeight="1">
      <c r="A394" s="166">
        <v>391</v>
      </c>
      <c r="B394" s="166" t="s">
        <v>32</v>
      </c>
      <c r="C394" s="166" t="s">
        <v>179</v>
      </c>
      <c r="D394" s="167"/>
      <c r="E394" s="168" t="s">
        <v>72</v>
      </c>
      <c r="F394" s="169">
        <v>1000</v>
      </c>
      <c r="G394" s="168">
        <v>69</v>
      </c>
      <c r="H394" s="169">
        <v>69000</v>
      </c>
      <c r="I394" s="186" t="s">
        <v>2912</v>
      </c>
      <c r="J394" s="186" t="s">
        <v>2912</v>
      </c>
      <c r="K394" s="170" t="s">
        <v>3158</v>
      </c>
      <c r="L394" s="170" t="s">
        <v>3627</v>
      </c>
      <c r="M394" s="175" t="s">
        <v>2905</v>
      </c>
      <c r="N394" s="172"/>
      <c r="O394" s="172">
        <v>69000</v>
      </c>
      <c r="P394" s="173" t="s">
        <v>2465</v>
      </c>
      <c r="Q394" s="174" t="str">
        <f t="shared" si="6"/>
        <v>註4</v>
      </c>
      <c r="R394" s="203">
        <f>INDEX([1]告訴人!$D$15:$F$372,MATCH(C394,[1]告訴人!$F$15:$F$372,0),1)</f>
        <v>271</v>
      </c>
      <c r="S394" s="203" t="str">
        <f t="array" ref="S394">IF(OR(C394=[1]告訴人!$F$15:$F$372),"重疊","")</f>
        <v>重疊</v>
      </c>
      <c r="T394" s="203">
        <v>1</v>
      </c>
      <c r="U394" s="203">
        <v>1</v>
      </c>
      <c r="W394" s="203" t="s">
        <v>2905</v>
      </c>
    </row>
    <row r="395" spans="1:23" ht="18.649999999999999" customHeight="1">
      <c r="A395" s="166">
        <v>392</v>
      </c>
      <c r="B395" s="166" t="s">
        <v>32</v>
      </c>
      <c r="C395" s="166" t="s">
        <v>566</v>
      </c>
      <c r="D395" s="167"/>
      <c r="E395" s="168" t="s">
        <v>72</v>
      </c>
      <c r="F395" s="169">
        <v>1000</v>
      </c>
      <c r="G395" s="168">
        <v>69</v>
      </c>
      <c r="H395" s="169">
        <v>69000</v>
      </c>
      <c r="I395" s="186"/>
      <c r="J395" s="186"/>
      <c r="K395" s="170" t="s">
        <v>2904</v>
      </c>
      <c r="L395" s="170"/>
      <c r="M395" s="175"/>
      <c r="N395" s="172">
        <v>69000</v>
      </c>
      <c r="O395" s="172"/>
      <c r="P395" s="173" t="s">
        <v>2461</v>
      </c>
      <c r="Q395" s="174" t="str">
        <f t="shared" si="6"/>
        <v>註3</v>
      </c>
      <c r="R395" s="203" t="e">
        <f>INDEX([1]告訴人!$D$15:$F$372,MATCH(C395,[1]告訴人!$F$15:$F$372,0),1)</f>
        <v>#N/A</v>
      </c>
      <c r="S395" s="203" t="str">
        <f t="array" ref="S395">IF(OR(C395=[1]告訴人!$F$15:$F$372),"重疊","")</f>
        <v/>
      </c>
    </row>
    <row r="396" spans="1:23" ht="69" customHeight="1">
      <c r="A396" s="166">
        <v>393</v>
      </c>
      <c r="B396" s="166" t="s">
        <v>32</v>
      </c>
      <c r="C396" s="166" t="s">
        <v>287</v>
      </c>
      <c r="D396" s="167"/>
      <c r="E396" s="168" t="s">
        <v>72</v>
      </c>
      <c r="F396" s="169">
        <v>1000</v>
      </c>
      <c r="G396" s="168">
        <v>69</v>
      </c>
      <c r="H396" s="169">
        <v>69000</v>
      </c>
      <c r="I396" s="186" t="s">
        <v>2912</v>
      </c>
      <c r="J396" s="186" t="s">
        <v>2912</v>
      </c>
      <c r="K396" s="170" t="s">
        <v>3170</v>
      </c>
      <c r="L396" s="170" t="s">
        <v>3584</v>
      </c>
      <c r="M396" s="175" t="s">
        <v>2905</v>
      </c>
      <c r="N396" s="172"/>
      <c r="O396" s="172">
        <v>69000</v>
      </c>
      <c r="P396" s="173" t="s">
        <v>2465</v>
      </c>
      <c r="Q396" s="174" t="str">
        <f t="shared" si="6"/>
        <v>註4</v>
      </c>
      <c r="R396" s="203">
        <f>INDEX([1]告訴人!$D$15:$F$372,MATCH(C396,[1]告訴人!$F$15:$F$372,0),1)</f>
        <v>88</v>
      </c>
      <c r="S396" s="203" t="str">
        <f t="array" ref="S396">IF(OR(C396=[1]告訴人!$F$15:$F$372),"重疊","")</f>
        <v>重疊</v>
      </c>
      <c r="T396" s="203">
        <v>1</v>
      </c>
      <c r="U396" s="203">
        <v>1</v>
      </c>
      <c r="W396" s="203" t="s">
        <v>2905</v>
      </c>
    </row>
    <row r="397" spans="1:23" ht="17.25" customHeight="1">
      <c r="A397" s="166">
        <v>394</v>
      </c>
      <c r="B397" s="166" t="s">
        <v>32</v>
      </c>
      <c r="C397" s="166" t="s">
        <v>574</v>
      </c>
      <c r="D397" s="167"/>
      <c r="E397" s="168" t="s">
        <v>72</v>
      </c>
      <c r="F397" s="169">
        <v>2000</v>
      </c>
      <c r="G397" s="168">
        <v>69</v>
      </c>
      <c r="H397" s="169">
        <v>138000</v>
      </c>
      <c r="I397" s="186"/>
      <c r="J397" s="186"/>
      <c r="K397" s="170" t="s">
        <v>2904</v>
      </c>
      <c r="L397" s="170"/>
      <c r="M397" s="175"/>
      <c r="N397" s="172">
        <v>138000</v>
      </c>
      <c r="O397" s="172"/>
      <c r="P397" s="173" t="s">
        <v>2461</v>
      </c>
      <c r="Q397" s="174" t="str">
        <f t="shared" si="6"/>
        <v>註3</v>
      </c>
      <c r="R397" s="203" t="e">
        <f>INDEX([1]告訴人!$D$15:$F$372,MATCH(C397,[1]告訴人!$F$15:$F$372,0),1)</f>
        <v>#N/A</v>
      </c>
      <c r="S397" s="203" t="str">
        <f t="array" ref="S397">IF(OR(C397=[1]告訴人!$F$15:$F$372),"重疊","")</f>
        <v/>
      </c>
    </row>
    <row r="398" spans="1:23">
      <c r="A398" s="166">
        <v>395</v>
      </c>
      <c r="B398" s="166" t="s">
        <v>32</v>
      </c>
      <c r="C398" s="166" t="s">
        <v>578</v>
      </c>
      <c r="D398" s="167"/>
      <c r="E398" s="168" t="s">
        <v>72</v>
      </c>
      <c r="F398" s="169">
        <v>2000</v>
      </c>
      <c r="G398" s="168">
        <v>69</v>
      </c>
      <c r="H398" s="169">
        <v>138000</v>
      </c>
      <c r="I398" s="186" t="s">
        <v>2918</v>
      </c>
      <c r="J398" s="186" t="s">
        <v>2918</v>
      </c>
      <c r="K398" s="170" t="s">
        <v>2462</v>
      </c>
      <c r="L398" s="170"/>
      <c r="M398" s="175" t="s">
        <v>2905</v>
      </c>
      <c r="N398" s="172"/>
      <c r="O398" s="172"/>
      <c r="P398" s="173" t="s">
        <v>1832</v>
      </c>
      <c r="Q398" s="174" t="str">
        <f t="shared" si="6"/>
        <v/>
      </c>
      <c r="R398" s="203">
        <f>INDEX([1]告訴人!$D$15:$F$372,MATCH(C398,[1]告訴人!$F$15:$F$372,0),1)</f>
        <v>251</v>
      </c>
      <c r="S398" s="203" t="str">
        <f t="array" ref="S398">IF(OR(C398=[1]告訴人!$F$15:$F$372),"重疊","")</f>
        <v>重疊</v>
      </c>
      <c r="T398" s="203">
        <v>1</v>
      </c>
    </row>
    <row r="399" spans="1:23" ht="84" customHeight="1">
      <c r="A399" s="166">
        <v>396</v>
      </c>
      <c r="B399" s="166" t="s">
        <v>32</v>
      </c>
      <c r="C399" s="166" t="s">
        <v>213</v>
      </c>
      <c r="D399" s="167"/>
      <c r="E399" s="168" t="s">
        <v>73</v>
      </c>
      <c r="F399" s="169">
        <v>7000</v>
      </c>
      <c r="G399" s="168">
        <v>25</v>
      </c>
      <c r="H399" s="169">
        <v>175000</v>
      </c>
      <c r="I399" s="186" t="s">
        <v>2918</v>
      </c>
      <c r="J399" s="186" t="s">
        <v>2918</v>
      </c>
      <c r="K399" s="170" t="s">
        <v>3206</v>
      </c>
      <c r="L399" s="170" t="s">
        <v>3603</v>
      </c>
      <c r="M399" s="175" t="s">
        <v>2905</v>
      </c>
      <c r="N399" s="172">
        <v>175000</v>
      </c>
      <c r="O399" s="172"/>
      <c r="P399" s="173" t="s">
        <v>2461</v>
      </c>
      <c r="Q399" s="174" t="str">
        <f t="shared" si="6"/>
        <v>註3</v>
      </c>
      <c r="R399" s="203">
        <f>INDEX([1]告訴人!$D$15:$F$372,MATCH(C399,[1]告訴人!$F$15:$F$372,0),1)</f>
        <v>166</v>
      </c>
      <c r="S399" s="203" t="str">
        <f t="array" ref="S399">IF(OR(C399=[1]告訴人!$F$15:$F$372),"重疊","")</f>
        <v>重疊</v>
      </c>
      <c r="T399" s="203">
        <v>1</v>
      </c>
      <c r="V399" s="203">
        <v>1</v>
      </c>
    </row>
    <row r="400" spans="1:23" ht="108.75" customHeight="1">
      <c r="A400" s="166">
        <v>397</v>
      </c>
      <c r="B400" s="166" t="s">
        <v>32</v>
      </c>
      <c r="C400" s="166" t="s">
        <v>213</v>
      </c>
      <c r="D400" s="167"/>
      <c r="E400" s="168" t="s">
        <v>73</v>
      </c>
      <c r="F400" s="169">
        <v>2000</v>
      </c>
      <c r="G400" s="168">
        <v>67</v>
      </c>
      <c r="H400" s="169">
        <v>134000</v>
      </c>
      <c r="I400" s="186" t="s">
        <v>2918</v>
      </c>
      <c r="J400" s="186" t="s">
        <v>2918</v>
      </c>
      <c r="K400" s="170" t="s">
        <v>3189</v>
      </c>
      <c r="L400" s="170" t="s">
        <v>3603</v>
      </c>
      <c r="M400" s="175" t="s">
        <v>2905</v>
      </c>
      <c r="N400" s="172">
        <v>134000</v>
      </c>
      <c r="O400" s="172"/>
      <c r="P400" s="173" t="s">
        <v>2461</v>
      </c>
      <c r="Q400" s="174" t="str">
        <f t="shared" si="6"/>
        <v>註3</v>
      </c>
      <c r="R400" s="203">
        <f>INDEX([1]告訴人!$D$15:$F$372,MATCH(C400,[1]告訴人!$F$15:$F$372,0),1)</f>
        <v>166</v>
      </c>
      <c r="S400" s="203" t="str">
        <f t="array" ref="S400">IF(OR(C400=[1]告訴人!$F$15:$F$372),"重疊","")</f>
        <v>重疊</v>
      </c>
      <c r="T400" s="203">
        <v>1</v>
      </c>
      <c r="V400" s="203">
        <v>1</v>
      </c>
    </row>
    <row r="401" spans="1:22">
      <c r="A401" s="166">
        <v>398</v>
      </c>
      <c r="B401" s="166" t="s">
        <v>32</v>
      </c>
      <c r="C401" s="166" t="s">
        <v>146</v>
      </c>
      <c r="D401" s="167"/>
      <c r="E401" s="168" t="s">
        <v>74</v>
      </c>
      <c r="F401" s="169">
        <v>1000</v>
      </c>
      <c r="G401" s="168">
        <v>25</v>
      </c>
      <c r="H401" s="169">
        <v>25000</v>
      </c>
      <c r="I401" s="186"/>
      <c r="J401" s="186"/>
      <c r="K401" s="170" t="s">
        <v>2904</v>
      </c>
      <c r="L401" s="170"/>
      <c r="M401" s="175"/>
      <c r="N401" s="172">
        <v>25000</v>
      </c>
      <c r="O401" s="172"/>
      <c r="P401" s="173" t="s">
        <v>2461</v>
      </c>
      <c r="Q401" s="174" t="str">
        <f t="shared" si="6"/>
        <v>註3</v>
      </c>
      <c r="R401" s="203" t="e">
        <f>INDEX([1]告訴人!$D$15:$F$372,MATCH(C401,[1]告訴人!$F$15:$F$372,0),1)</f>
        <v>#N/A</v>
      </c>
      <c r="S401" s="203" t="str">
        <f t="array" ref="S401">IF(OR(C401=[1]告訴人!$F$15:$F$372),"重疊","")</f>
        <v/>
      </c>
    </row>
    <row r="402" spans="1:22" ht="99" customHeight="1">
      <c r="A402" s="166">
        <v>399</v>
      </c>
      <c r="B402" s="166" t="s">
        <v>32</v>
      </c>
      <c r="C402" s="166" t="s">
        <v>161</v>
      </c>
      <c r="D402" s="167"/>
      <c r="E402" s="168" t="s">
        <v>74</v>
      </c>
      <c r="F402" s="169">
        <v>1000</v>
      </c>
      <c r="G402" s="168">
        <v>25</v>
      </c>
      <c r="H402" s="169">
        <v>25000</v>
      </c>
      <c r="I402" s="186" t="s">
        <v>2918</v>
      </c>
      <c r="J402" s="186" t="s">
        <v>2918</v>
      </c>
      <c r="K402" s="170" t="s">
        <v>3207</v>
      </c>
      <c r="L402" s="170" t="s">
        <v>3628</v>
      </c>
      <c r="M402" s="175" t="s">
        <v>2905</v>
      </c>
      <c r="N402" s="172">
        <v>25000</v>
      </c>
      <c r="O402" s="172"/>
      <c r="P402" s="173" t="s">
        <v>2461</v>
      </c>
      <c r="Q402" s="174" t="str">
        <f t="shared" si="6"/>
        <v>註3</v>
      </c>
      <c r="R402" s="203">
        <f>INDEX([1]告訴人!$D$15:$F$372,MATCH(C402,[1]告訴人!$F$15:$F$372,0),1)</f>
        <v>55</v>
      </c>
      <c r="S402" s="203" t="str">
        <f t="array" ref="S402">IF(OR(C402=[1]告訴人!$F$15:$F$372),"重疊","")</f>
        <v>重疊</v>
      </c>
      <c r="T402" s="203">
        <v>1</v>
      </c>
      <c r="V402" s="203">
        <v>1</v>
      </c>
    </row>
    <row r="403" spans="1:22" ht="17.25" customHeight="1">
      <c r="A403" s="166">
        <v>400</v>
      </c>
      <c r="B403" s="166" t="s">
        <v>32</v>
      </c>
      <c r="C403" s="166" t="s">
        <v>167</v>
      </c>
      <c r="D403" s="167"/>
      <c r="E403" s="168" t="s">
        <v>74</v>
      </c>
      <c r="F403" s="169">
        <v>1000</v>
      </c>
      <c r="G403" s="168">
        <v>25</v>
      </c>
      <c r="H403" s="169">
        <v>25000</v>
      </c>
      <c r="I403" s="186" t="s">
        <v>2918</v>
      </c>
      <c r="J403" s="186" t="s">
        <v>2918</v>
      </c>
      <c r="K403" s="170" t="s">
        <v>2462</v>
      </c>
      <c r="L403" s="170"/>
      <c r="M403" s="175" t="s">
        <v>2905</v>
      </c>
      <c r="N403" s="172"/>
      <c r="O403" s="172"/>
      <c r="P403" s="173" t="s">
        <v>1832</v>
      </c>
      <c r="Q403" s="174" t="str">
        <f t="shared" si="6"/>
        <v/>
      </c>
      <c r="R403" s="203">
        <f>INDEX([1]告訴人!$D$15:$F$372,MATCH(C403,[1]告訴人!$F$15:$F$372,0),1)</f>
        <v>288</v>
      </c>
      <c r="S403" s="203" t="str">
        <f t="array" ref="S403">IF(OR(C403=[1]告訴人!$F$15:$F$372),"重疊","")</f>
        <v>重疊</v>
      </c>
      <c r="T403" s="203">
        <v>1</v>
      </c>
    </row>
    <row r="404" spans="1:22" ht="17.25" customHeight="1">
      <c r="A404" s="166">
        <v>401</v>
      </c>
      <c r="B404" s="166" t="s">
        <v>32</v>
      </c>
      <c r="C404" s="166" t="s">
        <v>186</v>
      </c>
      <c r="D404" s="167"/>
      <c r="E404" s="168" t="s">
        <v>74</v>
      </c>
      <c r="F404" s="169">
        <v>1000</v>
      </c>
      <c r="G404" s="168">
        <v>25</v>
      </c>
      <c r="H404" s="169">
        <v>25000</v>
      </c>
      <c r="I404" s="186"/>
      <c r="J404" s="186"/>
      <c r="K404" s="170" t="s">
        <v>2904</v>
      </c>
      <c r="L404" s="170"/>
      <c r="M404" s="175"/>
      <c r="N404" s="172">
        <v>25000</v>
      </c>
      <c r="O404" s="172"/>
      <c r="P404" s="173" t="s">
        <v>2461</v>
      </c>
      <c r="Q404" s="174" t="str">
        <f t="shared" si="6"/>
        <v>註3</v>
      </c>
      <c r="R404" s="203" t="e">
        <f>INDEX([1]告訴人!$D$15:$F$372,MATCH(C404,[1]告訴人!$F$15:$F$372,0),1)</f>
        <v>#N/A</v>
      </c>
      <c r="S404" s="203" t="str">
        <f t="array" ref="S404">IF(OR(C404=[1]告訴人!$F$15:$F$372),"重疊","")</f>
        <v/>
      </c>
    </row>
    <row r="405" spans="1:22" ht="54.75" customHeight="1">
      <c r="A405" s="166">
        <v>402</v>
      </c>
      <c r="B405" s="166" t="s">
        <v>32</v>
      </c>
      <c r="C405" s="166" t="s">
        <v>315</v>
      </c>
      <c r="D405" s="167"/>
      <c r="E405" s="168" t="s">
        <v>74</v>
      </c>
      <c r="F405" s="169">
        <v>5000</v>
      </c>
      <c r="G405" s="168">
        <v>25</v>
      </c>
      <c r="H405" s="169">
        <v>125000</v>
      </c>
      <c r="I405" s="186" t="s">
        <v>2918</v>
      </c>
      <c r="J405" s="186" t="s">
        <v>2918</v>
      </c>
      <c r="K405" s="170" t="s">
        <v>3176</v>
      </c>
      <c r="L405" s="170" t="s">
        <v>3589</v>
      </c>
      <c r="M405" s="175" t="s">
        <v>2905</v>
      </c>
      <c r="N405" s="172"/>
      <c r="O405" s="172">
        <v>125000</v>
      </c>
      <c r="P405" s="173" t="s">
        <v>2463</v>
      </c>
      <c r="Q405" s="174" t="str">
        <f t="shared" si="6"/>
        <v>註4</v>
      </c>
      <c r="R405" s="203">
        <f>INDEX([1]告訴人!$D$15:$F$372,MATCH(C405,[1]告訴人!$F$15:$F$372,0),1)</f>
        <v>240</v>
      </c>
      <c r="S405" s="203" t="str">
        <f t="array" ref="S405">IF(OR(C405=[1]告訴人!$F$15:$F$372),"重疊","")</f>
        <v>重疊</v>
      </c>
      <c r="T405" s="203">
        <v>1</v>
      </c>
    </row>
    <row r="406" spans="1:22" ht="54.75" customHeight="1">
      <c r="A406" s="166">
        <v>403</v>
      </c>
      <c r="B406" s="166" t="s">
        <v>32</v>
      </c>
      <c r="C406" s="166" t="s">
        <v>316</v>
      </c>
      <c r="D406" s="167"/>
      <c r="E406" s="168" t="s">
        <v>74</v>
      </c>
      <c r="F406" s="169">
        <v>3000</v>
      </c>
      <c r="G406" s="168">
        <v>25</v>
      </c>
      <c r="H406" s="169">
        <v>75000</v>
      </c>
      <c r="I406" s="186" t="s">
        <v>2918</v>
      </c>
      <c r="J406" s="186" t="s">
        <v>2918</v>
      </c>
      <c r="K406" s="170" t="s">
        <v>3188</v>
      </c>
      <c r="L406" s="170" t="s">
        <v>3629</v>
      </c>
      <c r="M406" s="175" t="s">
        <v>2905</v>
      </c>
      <c r="N406" s="172"/>
      <c r="O406" s="172">
        <v>75000</v>
      </c>
      <c r="P406" s="173" t="s">
        <v>2463</v>
      </c>
      <c r="Q406" s="174" t="str">
        <f t="shared" si="6"/>
        <v>註4</v>
      </c>
      <c r="R406" s="203">
        <f>INDEX([1]告訴人!$D$15:$F$372,MATCH(C406,[1]告訴人!$F$15:$F$372,0),1)</f>
        <v>190</v>
      </c>
      <c r="S406" s="203" t="str">
        <f t="array" ref="S406">IF(OR(C406=[1]告訴人!$F$15:$F$372),"重疊","")</f>
        <v>重疊</v>
      </c>
      <c r="T406" s="203">
        <v>1</v>
      </c>
    </row>
    <row r="407" spans="1:22" ht="17.25" customHeight="1">
      <c r="A407" s="166">
        <v>404</v>
      </c>
      <c r="B407" s="166" t="s">
        <v>32</v>
      </c>
      <c r="C407" s="166" t="s">
        <v>319</v>
      </c>
      <c r="D407" s="167"/>
      <c r="E407" s="168" t="s">
        <v>74</v>
      </c>
      <c r="F407" s="169">
        <v>1000</v>
      </c>
      <c r="G407" s="168">
        <v>25</v>
      </c>
      <c r="H407" s="169">
        <v>25000</v>
      </c>
      <c r="I407" s="186"/>
      <c r="J407" s="186"/>
      <c r="K407" s="170" t="s">
        <v>2904</v>
      </c>
      <c r="L407" s="170"/>
      <c r="M407" s="175"/>
      <c r="N407" s="172">
        <v>25000</v>
      </c>
      <c r="O407" s="172"/>
      <c r="P407" s="173" t="s">
        <v>2461</v>
      </c>
      <c r="Q407" s="174" t="str">
        <f t="shared" si="6"/>
        <v>註3</v>
      </c>
      <c r="R407" s="203" t="e">
        <f>INDEX([1]告訴人!$D$15:$F$372,MATCH(C407,[1]告訴人!$F$15:$F$372,0),1)</f>
        <v>#N/A</v>
      </c>
      <c r="S407" s="203" t="str">
        <f t="array" ref="S407">IF(OR(C407=[1]告訴人!$F$15:$F$372),"重疊","")</f>
        <v/>
      </c>
    </row>
    <row r="408" spans="1:22" ht="17.899999999999999" customHeight="1">
      <c r="A408" s="166">
        <v>405</v>
      </c>
      <c r="B408" s="166" t="s">
        <v>32</v>
      </c>
      <c r="C408" s="166" t="s">
        <v>356</v>
      </c>
      <c r="D408" s="167"/>
      <c r="E408" s="168" t="s">
        <v>74</v>
      </c>
      <c r="F408" s="169">
        <v>5000</v>
      </c>
      <c r="G408" s="168">
        <v>67</v>
      </c>
      <c r="H408" s="169">
        <v>335000</v>
      </c>
      <c r="I408" s="186"/>
      <c r="J408" s="186"/>
      <c r="K408" s="170" t="s">
        <v>2904</v>
      </c>
      <c r="L408" s="170"/>
      <c r="M408" s="175"/>
      <c r="N408" s="172">
        <v>335000</v>
      </c>
      <c r="O408" s="172"/>
      <c r="P408" s="173" t="s">
        <v>2461</v>
      </c>
      <c r="Q408" s="174" t="str">
        <f t="shared" si="6"/>
        <v>註3</v>
      </c>
      <c r="R408" s="203" t="e">
        <f>INDEX([1]告訴人!$D$15:$F$372,MATCH(C408,[1]告訴人!$F$15:$F$372,0),1)</f>
        <v>#N/A</v>
      </c>
      <c r="S408" s="203" t="str">
        <f t="array" ref="S408">IF(OR(C408=[1]告訴人!$F$15:$F$372),"重疊","")</f>
        <v/>
      </c>
    </row>
    <row r="409" spans="1:22" ht="16.25" customHeight="1">
      <c r="A409" s="166">
        <v>406</v>
      </c>
      <c r="B409" s="166" t="s">
        <v>32</v>
      </c>
      <c r="C409" s="166" t="s">
        <v>146</v>
      </c>
      <c r="D409" s="167"/>
      <c r="E409" s="168" t="s">
        <v>74</v>
      </c>
      <c r="F409" s="169">
        <v>1000</v>
      </c>
      <c r="G409" s="168">
        <v>67</v>
      </c>
      <c r="H409" s="169">
        <v>67000</v>
      </c>
      <c r="I409" s="186"/>
      <c r="J409" s="186"/>
      <c r="K409" s="170" t="s">
        <v>2904</v>
      </c>
      <c r="L409" s="170"/>
      <c r="M409" s="175"/>
      <c r="N409" s="172">
        <v>67000</v>
      </c>
      <c r="O409" s="172"/>
      <c r="P409" s="173" t="s">
        <v>2461</v>
      </c>
      <c r="Q409" s="174" t="str">
        <f t="shared" si="6"/>
        <v>註3</v>
      </c>
      <c r="R409" s="203" t="e">
        <f>INDEX([1]告訴人!$D$15:$F$372,MATCH(C409,[1]告訴人!$F$15:$F$372,0),1)</f>
        <v>#N/A</v>
      </c>
      <c r="S409" s="203" t="str">
        <f t="array" ref="S409">IF(OR(C409=[1]告訴人!$F$15:$F$372),"重疊","")</f>
        <v/>
      </c>
    </row>
    <row r="410" spans="1:22" ht="114.65" customHeight="1">
      <c r="A410" s="166">
        <v>407</v>
      </c>
      <c r="B410" s="166" t="s">
        <v>32</v>
      </c>
      <c r="C410" s="166" t="s">
        <v>161</v>
      </c>
      <c r="D410" s="167"/>
      <c r="E410" s="168" t="s">
        <v>74</v>
      </c>
      <c r="F410" s="169">
        <v>1000</v>
      </c>
      <c r="G410" s="168">
        <v>67</v>
      </c>
      <c r="H410" s="169">
        <v>67000</v>
      </c>
      <c r="I410" s="186" t="s">
        <v>2918</v>
      </c>
      <c r="J410" s="186" t="s">
        <v>2918</v>
      </c>
      <c r="K410" s="170" t="s">
        <v>3208</v>
      </c>
      <c r="L410" s="170" t="s">
        <v>3628</v>
      </c>
      <c r="M410" s="175" t="s">
        <v>2905</v>
      </c>
      <c r="N410" s="172">
        <v>67000</v>
      </c>
      <c r="O410" s="172"/>
      <c r="P410" s="173" t="s">
        <v>2461</v>
      </c>
      <c r="Q410" s="174" t="str">
        <f t="shared" si="6"/>
        <v>註3</v>
      </c>
      <c r="R410" s="203">
        <f>INDEX([1]告訴人!$D$15:$F$372,MATCH(C410,[1]告訴人!$F$15:$F$372,0),1)</f>
        <v>55</v>
      </c>
      <c r="S410" s="203" t="str">
        <f t="array" ref="S410">IF(OR(C410=[1]告訴人!$F$15:$F$372),"重疊","")</f>
        <v>重疊</v>
      </c>
      <c r="T410" s="203">
        <v>1</v>
      </c>
      <c r="V410" s="203">
        <v>1</v>
      </c>
    </row>
    <row r="411" spans="1:22">
      <c r="A411" s="166">
        <v>408</v>
      </c>
      <c r="B411" s="166" t="s">
        <v>32</v>
      </c>
      <c r="C411" s="166" t="s">
        <v>167</v>
      </c>
      <c r="D411" s="167"/>
      <c r="E411" s="168" t="s">
        <v>74</v>
      </c>
      <c r="F411" s="169">
        <v>1000</v>
      </c>
      <c r="G411" s="168">
        <v>67</v>
      </c>
      <c r="H411" s="169">
        <v>67000</v>
      </c>
      <c r="I411" s="186" t="s">
        <v>2918</v>
      </c>
      <c r="J411" s="186" t="s">
        <v>2918</v>
      </c>
      <c r="K411" s="170" t="s">
        <v>2462</v>
      </c>
      <c r="L411" s="170"/>
      <c r="M411" s="175" t="s">
        <v>2905</v>
      </c>
      <c r="N411" s="172"/>
      <c r="O411" s="172"/>
      <c r="P411" s="173" t="s">
        <v>1832</v>
      </c>
      <c r="Q411" s="174" t="str">
        <f t="shared" si="6"/>
        <v/>
      </c>
      <c r="R411" s="203">
        <f>INDEX([1]告訴人!$D$15:$F$372,MATCH(C411,[1]告訴人!$F$15:$F$372,0),1)</f>
        <v>288</v>
      </c>
      <c r="S411" s="203" t="str">
        <f t="array" ref="S411">IF(OR(C411=[1]告訴人!$F$15:$F$372),"重疊","")</f>
        <v>重疊</v>
      </c>
      <c r="T411" s="203">
        <v>1</v>
      </c>
    </row>
    <row r="412" spans="1:22" ht="17" customHeight="1">
      <c r="A412" s="166">
        <v>409</v>
      </c>
      <c r="B412" s="166" t="s">
        <v>32</v>
      </c>
      <c r="C412" s="166" t="s">
        <v>401</v>
      </c>
      <c r="D412" s="167"/>
      <c r="E412" s="168" t="s">
        <v>74</v>
      </c>
      <c r="F412" s="169">
        <v>2000</v>
      </c>
      <c r="G412" s="168">
        <v>67</v>
      </c>
      <c r="H412" s="169">
        <v>134000</v>
      </c>
      <c r="I412" s="186"/>
      <c r="J412" s="186"/>
      <c r="K412" s="170" t="s">
        <v>2904</v>
      </c>
      <c r="L412" s="170"/>
      <c r="M412" s="175"/>
      <c r="N412" s="172">
        <v>134000</v>
      </c>
      <c r="O412" s="172"/>
      <c r="P412" s="173" t="s">
        <v>2461</v>
      </c>
      <c r="Q412" s="174" t="str">
        <f t="shared" si="6"/>
        <v>註3</v>
      </c>
      <c r="R412" s="203" t="e">
        <f>INDEX([1]告訴人!$D$15:$F$372,MATCH(C412,[1]告訴人!$F$15:$F$372,0),1)</f>
        <v>#N/A</v>
      </c>
      <c r="S412" s="203" t="str">
        <f t="array" ref="S412">IF(OR(C412=[1]告訴人!$F$15:$F$372),"重疊","")</f>
        <v/>
      </c>
    </row>
    <row r="413" spans="1:22" ht="99.65" customHeight="1">
      <c r="A413" s="166">
        <v>410</v>
      </c>
      <c r="B413" s="166" t="s">
        <v>32</v>
      </c>
      <c r="C413" s="166" t="s">
        <v>494</v>
      </c>
      <c r="D413" s="255" t="s">
        <v>2979</v>
      </c>
      <c r="E413" s="168" t="s">
        <v>74</v>
      </c>
      <c r="F413" s="169">
        <v>2000</v>
      </c>
      <c r="G413" s="168">
        <v>67</v>
      </c>
      <c r="H413" s="169">
        <v>134000</v>
      </c>
      <c r="I413" s="186" t="s">
        <v>2918</v>
      </c>
      <c r="J413" s="186" t="s">
        <v>2918</v>
      </c>
      <c r="K413" s="170" t="s">
        <v>3984</v>
      </c>
      <c r="L413" s="170" t="s">
        <v>3630</v>
      </c>
      <c r="M413" s="175" t="s">
        <v>2905</v>
      </c>
      <c r="N413" s="172"/>
      <c r="O413" s="172">
        <v>134000</v>
      </c>
      <c r="P413" s="173" t="s">
        <v>2463</v>
      </c>
      <c r="Q413" s="174" t="str">
        <f t="shared" si="6"/>
        <v>註4</v>
      </c>
      <c r="R413" s="203">
        <f>INDEX([1]告訴人!$D$15:$F$372,MATCH(C413,[1]告訴人!$F$15:$F$372,0),1)</f>
        <v>81</v>
      </c>
      <c r="S413" s="203" t="str">
        <f t="array" ref="S413">IF(OR(C413=[1]告訴人!$F$15:$F$372),"重疊","")</f>
        <v>重疊</v>
      </c>
      <c r="T413" s="203">
        <v>1</v>
      </c>
    </row>
    <row r="414" spans="1:22">
      <c r="A414" s="166">
        <v>411</v>
      </c>
      <c r="B414" s="166" t="s">
        <v>32</v>
      </c>
      <c r="C414" s="166" t="s">
        <v>511</v>
      </c>
      <c r="D414" s="167"/>
      <c r="E414" s="168" t="s">
        <v>74</v>
      </c>
      <c r="F414" s="169">
        <v>2000</v>
      </c>
      <c r="G414" s="168">
        <v>67</v>
      </c>
      <c r="H414" s="169">
        <v>134000</v>
      </c>
      <c r="I414" s="186"/>
      <c r="J414" s="186"/>
      <c r="K414" s="170" t="s">
        <v>2904</v>
      </c>
      <c r="L414" s="170"/>
      <c r="M414" s="175"/>
      <c r="N414" s="172">
        <v>134000</v>
      </c>
      <c r="O414" s="172"/>
      <c r="P414" s="173" t="s">
        <v>2461</v>
      </c>
      <c r="Q414" s="174" t="str">
        <f t="shared" si="6"/>
        <v>註3</v>
      </c>
      <c r="R414" s="203" t="e">
        <f>INDEX([1]告訴人!$D$15:$F$372,MATCH(C414,[1]告訴人!$F$15:$F$372,0),1)</f>
        <v>#N/A</v>
      </c>
      <c r="S414" s="203" t="str">
        <f t="array" ref="S414">IF(OR(C414=[1]告訴人!$F$15:$F$372),"重疊","")</f>
        <v/>
      </c>
    </row>
    <row r="415" spans="1:22" ht="82.25" customHeight="1">
      <c r="A415" s="166">
        <v>412</v>
      </c>
      <c r="B415" s="166" t="s">
        <v>32</v>
      </c>
      <c r="C415" s="166" t="s">
        <v>315</v>
      </c>
      <c r="D415" s="167"/>
      <c r="E415" s="168" t="s">
        <v>74</v>
      </c>
      <c r="F415" s="169">
        <v>4000</v>
      </c>
      <c r="G415" s="168">
        <v>67</v>
      </c>
      <c r="H415" s="169">
        <v>268000</v>
      </c>
      <c r="I415" s="186" t="s">
        <v>2918</v>
      </c>
      <c r="J415" s="186" t="s">
        <v>2918</v>
      </c>
      <c r="K415" s="170" t="s">
        <v>3176</v>
      </c>
      <c r="L415" s="170" t="s">
        <v>3589</v>
      </c>
      <c r="M415" s="175" t="s">
        <v>2905</v>
      </c>
      <c r="N415" s="172"/>
      <c r="O415" s="172">
        <v>268000</v>
      </c>
      <c r="P415" s="173" t="s">
        <v>2463</v>
      </c>
      <c r="Q415" s="174" t="str">
        <f t="shared" si="6"/>
        <v>註4</v>
      </c>
      <c r="R415" s="203">
        <f>INDEX([1]告訴人!$D$15:$F$372,MATCH(C415,[1]告訴人!$F$15:$F$372,0),1)</f>
        <v>240</v>
      </c>
      <c r="S415" s="203" t="str">
        <f t="array" ref="S415">IF(OR(C415=[1]告訴人!$F$15:$F$372),"重疊","")</f>
        <v>重疊</v>
      </c>
      <c r="T415" s="203">
        <v>1</v>
      </c>
    </row>
    <row r="416" spans="1:22" ht="72.75" customHeight="1">
      <c r="A416" s="166">
        <v>413</v>
      </c>
      <c r="B416" s="166" t="s">
        <v>32</v>
      </c>
      <c r="C416" s="166" t="s">
        <v>316</v>
      </c>
      <c r="D416" s="167"/>
      <c r="E416" s="168" t="s">
        <v>74</v>
      </c>
      <c r="F416" s="169">
        <v>3000</v>
      </c>
      <c r="G416" s="168">
        <v>67</v>
      </c>
      <c r="H416" s="169">
        <v>201000</v>
      </c>
      <c r="I416" s="186" t="s">
        <v>2918</v>
      </c>
      <c r="J416" s="186" t="s">
        <v>2918</v>
      </c>
      <c r="K416" s="170" t="s">
        <v>3188</v>
      </c>
      <c r="L416" s="170" t="s">
        <v>3629</v>
      </c>
      <c r="M416" s="175" t="s">
        <v>2905</v>
      </c>
      <c r="N416" s="172"/>
      <c r="O416" s="172">
        <v>201000</v>
      </c>
      <c r="P416" s="173" t="s">
        <v>2463</v>
      </c>
      <c r="Q416" s="174" t="str">
        <f t="shared" si="6"/>
        <v>註4</v>
      </c>
      <c r="R416" s="203">
        <f>INDEX([1]告訴人!$D$15:$F$372,MATCH(C416,[1]告訴人!$F$15:$F$372,0),1)</f>
        <v>190</v>
      </c>
      <c r="S416" s="203" t="str">
        <f t="array" ref="S416">IF(OR(C416=[1]告訴人!$F$15:$F$372),"重疊","")</f>
        <v>重疊</v>
      </c>
      <c r="T416" s="203">
        <v>1</v>
      </c>
    </row>
    <row r="417" spans="1:22" ht="17" customHeight="1">
      <c r="A417" s="166">
        <v>414</v>
      </c>
      <c r="B417" s="166" t="s">
        <v>32</v>
      </c>
      <c r="C417" s="166" t="s">
        <v>319</v>
      </c>
      <c r="D417" s="167"/>
      <c r="E417" s="168" t="s">
        <v>74</v>
      </c>
      <c r="F417" s="169">
        <v>1000</v>
      </c>
      <c r="G417" s="168">
        <v>67</v>
      </c>
      <c r="H417" s="169">
        <v>67000</v>
      </c>
      <c r="I417" s="186"/>
      <c r="J417" s="186"/>
      <c r="K417" s="170" t="s">
        <v>2904</v>
      </c>
      <c r="L417" s="170"/>
      <c r="M417" s="175"/>
      <c r="N417" s="172">
        <v>67000</v>
      </c>
      <c r="O417" s="172"/>
      <c r="P417" s="173" t="s">
        <v>2461</v>
      </c>
      <c r="Q417" s="174" t="str">
        <f t="shared" si="6"/>
        <v>註3</v>
      </c>
      <c r="R417" s="203" t="e">
        <f>INDEX([1]告訴人!$D$15:$F$372,MATCH(C417,[1]告訴人!$F$15:$F$372,0),1)</f>
        <v>#N/A</v>
      </c>
      <c r="S417" s="203" t="str">
        <f t="array" ref="S417">IF(OR(C417=[1]告訴人!$F$15:$F$372),"重疊","")</f>
        <v/>
      </c>
    </row>
    <row r="418" spans="1:22" ht="18" customHeight="1">
      <c r="A418" s="166">
        <v>415</v>
      </c>
      <c r="B418" s="166" t="s">
        <v>32</v>
      </c>
      <c r="C418" s="166" t="s">
        <v>564</v>
      </c>
      <c r="D418" s="167"/>
      <c r="E418" s="168" t="s">
        <v>74</v>
      </c>
      <c r="F418" s="169">
        <v>1000</v>
      </c>
      <c r="G418" s="168">
        <v>69</v>
      </c>
      <c r="H418" s="169">
        <v>69000</v>
      </c>
      <c r="I418" s="186"/>
      <c r="J418" s="186"/>
      <c r="K418" s="170" t="s">
        <v>2904</v>
      </c>
      <c r="L418" s="170"/>
      <c r="M418" s="175"/>
      <c r="N418" s="172">
        <v>69000</v>
      </c>
      <c r="O418" s="172"/>
      <c r="P418" s="173" t="s">
        <v>2461</v>
      </c>
      <c r="Q418" s="174" t="str">
        <f t="shared" si="6"/>
        <v>註3</v>
      </c>
      <c r="R418" s="203" t="e">
        <f>INDEX([1]告訴人!$D$15:$F$372,MATCH(C418,[1]告訴人!$F$15:$F$372,0),1)</f>
        <v>#N/A</v>
      </c>
      <c r="S418" s="203" t="str">
        <f t="array" ref="S418">IF(OR(C418=[1]告訴人!$F$15:$F$372),"重疊","")</f>
        <v/>
      </c>
    </row>
    <row r="419" spans="1:22" ht="17.5" customHeight="1">
      <c r="A419" s="166">
        <v>416</v>
      </c>
      <c r="B419" s="166" t="s">
        <v>32</v>
      </c>
      <c r="C419" s="166" t="s">
        <v>396</v>
      </c>
      <c r="D419" s="167"/>
      <c r="E419" s="168" t="s">
        <v>397</v>
      </c>
      <c r="F419" s="169">
        <v>4000</v>
      </c>
      <c r="G419" s="168">
        <v>67</v>
      </c>
      <c r="H419" s="169">
        <v>268000</v>
      </c>
      <c r="I419" s="186"/>
      <c r="J419" s="186"/>
      <c r="K419" s="170" t="s">
        <v>2904</v>
      </c>
      <c r="L419" s="170"/>
      <c r="M419" s="175"/>
      <c r="N419" s="172">
        <v>268000</v>
      </c>
      <c r="O419" s="172"/>
      <c r="P419" s="173" t="s">
        <v>2461</v>
      </c>
      <c r="Q419" s="174" t="str">
        <f t="shared" si="6"/>
        <v>註3</v>
      </c>
      <c r="R419" s="203" t="e">
        <f>INDEX([1]告訴人!$D$15:$F$372,MATCH(C419,[1]告訴人!$F$15:$F$372,0),1)</f>
        <v>#N/A</v>
      </c>
      <c r="S419" s="203" t="str">
        <f t="array" ref="S419">IF(OR(C419=[1]告訴人!$F$15:$F$372),"重疊","")</f>
        <v/>
      </c>
    </row>
    <row r="420" spans="1:22" ht="64.5" customHeight="1">
      <c r="A420" s="166">
        <v>417</v>
      </c>
      <c r="B420" s="166" t="s">
        <v>32</v>
      </c>
      <c r="C420" s="166" t="s">
        <v>135</v>
      </c>
      <c r="D420" s="167"/>
      <c r="E420" s="168" t="s">
        <v>136</v>
      </c>
      <c r="F420" s="169">
        <v>3000</v>
      </c>
      <c r="G420" s="168">
        <v>25</v>
      </c>
      <c r="H420" s="169">
        <v>75000</v>
      </c>
      <c r="I420" s="186" t="s">
        <v>2918</v>
      </c>
      <c r="J420" s="186" t="s">
        <v>2918</v>
      </c>
      <c r="K420" s="170" t="s">
        <v>3207</v>
      </c>
      <c r="L420" s="170" t="s">
        <v>3622</v>
      </c>
      <c r="M420" s="175" t="s">
        <v>2905</v>
      </c>
      <c r="N420" s="172">
        <v>75000</v>
      </c>
      <c r="O420" s="172"/>
      <c r="P420" s="173" t="s">
        <v>2461</v>
      </c>
      <c r="Q420" s="174" t="str">
        <f t="shared" si="6"/>
        <v>註3</v>
      </c>
      <c r="R420" s="203">
        <f>INDEX([1]告訴人!$D$15:$F$372,MATCH(C420,[1]告訴人!$F$15:$F$372,0),1)</f>
        <v>168</v>
      </c>
      <c r="S420" s="203" t="str">
        <f t="array" ref="S420">IF(OR(C420=[1]告訴人!$F$15:$F$372),"重疊","")</f>
        <v>重疊</v>
      </c>
      <c r="T420" s="203">
        <v>1</v>
      </c>
      <c r="V420" s="203">
        <v>1</v>
      </c>
    </row>
    <row r="421" spans="1:22" ht="96.75" customHeight="1">
      <c r="A421" s="166">
        <v>418</v>
      </c>
      <c r="B421" s="166" t="s">
        <v>32</v>
      </c>
      <c r="C421" s="166" t="s">
        <v>137</v>
      </c>
      <c r="D421" s="167"/>
      <c r="E421" s="168" t="s">
        <v>136</v>
      </c>
      <c r="F421" s="169">
        <v>3000</v>
      </c>
      <c r="G421" s="168">
        <v>25</v>
      </c>
      <c r="H421" s="169">
        <v>75000</v>
      </c>
      <c r="I421" s="186" t="s">
        <v>2918</v>
      </c>
      <c r="J421" s="186" t="s">
        <v>2918</v>
      </c>
      <c r="K421" s="170" t="s">
        <v>3989</v>
      </c>
      <c r="L421" s="170" t="s">
        <v>3631</v>
      </c>
      <c r="M421" s="175" t="s">
        <v>2907</v>
      </c>
      <c r="N421" s="172"/>
      <c r="O421" s="172">
        <v>75000</v>
      </c>
      <c r="P421" s="173" t="s">
        <v>2463</v>
      </c>
      <c r="Q421" s="174" t="str">
        <f t="shared" si="6"/>
        <v>註4</v>
      </c>
      <c r="R421" s="203">
        <f>INDEX([1]告訴人!$D$15:$F$372,MATCH(C421,[1]告訴人!$F$15:$F$372,0),1)</f>
        <v>48</v>
      </c>
      <c r="S421" s="203" t="str">
        <f t="array" ref="S421">IF(OR(C421=[1]告訴人!$F$15:$F$372),"重疊","")</f>
        <v>重疊</v>
      </c>
      <c r="T421" s="203">
        <v>1</v>
      </c>
    </row>
    <row r="422" spans="1:22">
      <c r="A422" s="166">
        <v>419</v>
      </c>
      <c r="B422" s="166" t="s">
        <v>32</v>
      </c>
      <c r="C422" s="166" t="s">
        <v>138</v>
      </c>
      <c r="D422" s="167"/>
      <c r="E422" s="168" t="s">
        <v>136</v>
      </c>
      <c r="F422" s="169">
        <v>3000</v>
      </c>
      <c r="G422" s="168">
        <v>25</v>
      </c>
      <c r="H422" s="169">
        <v>75000</v>
      </c>
      <c r="I422" s="186"/>
      <c r="J422" s="186"/>
      <c r="K422" s="170" t="s">
        <v>2908</v>
      </c>
      <c r="L422" s="170"/>
      <c r="M422" s="175"/>
      <c r="N422" s="172">
        <v>75000</v>
      </c>
      <c r="O422" s="172"/>
      <c r="P422" s="173" t="s">
        <v>2461</v>
      </c>
      <c r="Q422" s="174" t="str">
        <f t="shared" si="6"/>
        <v>註3</v>
      </c>
      <c r="R422" s="203" t="e">
        <f>INDEX([1]告訴人!$D$15:$F$372,MATCH(C422,[1]告訴人!$F$15:$F$372,0),1)</f>
        <v>#N/A</v>
      </c>
      <c r="S422" s="203" t="str">
        <f t="array" ref="S422">IF(OR(C422=[1]告訴人!$F$15:$F$372),"重疊","")</f>
        <v/>
      </c>
    </row>
    <row r="423" spans="1:22" ht="18.25" customHeight="1">
      <c r="A423" s="166">
        <v>420</v>
      </c>
      <c r="B423" s="166" t="s">
        <v>32</v>
      </c>
      <c r="C423" s="166" t="s">
        <v>172</v>
      </c>
      <c r="D423" s="167"/>
      <c r="E423" s="168" t="s">
        <v>136</v>
      </c>
      <c r="F423" s="169">
        <v>1000</v>
      </c>
      <c r="G423" s="168">
        <v>25</v>
      </c>
      <c r="H423" s="169">
        <v>25000</v>
      </c>
      <c r="I423" s="186"/>
      <c r="J423" s="186"/>
      <c r="K423" s="170" t="s">
        <v>2908</v>
      </c>
      <c r="L423" s="170"/>
      <c r="M423" s="175"/>
      <c r="N423" s="172">
        <v>25000</v>
      </c>
      <c r="O423" s="172"/>
      <c r="P423" s="173" t="s">
        <v>2461</v>
      </c>
      <c r="Q423" s="174" t="str">
        <f t="shared" si="6"/>
        <v>註3</v>
      </c>
      <c r="R423" s="203" t="e">
        <f>INDEX([1]告訴人!$D$15:$F$372,MATCH(C423,[1]告訴人!$F$15:$F$372,0),1)</f>
        <v>#N/A</v>
      </c>
      <c r="S423" s="203" t="str">
        <f t="array" ref="S423">IF(OR(C423=[1]告訴人!$F$15:$F$372),"重疊","")</f>
        <v/>
      </c>
    </row>
    <row r="424" spans="1:22" ht="20.5" customHeight="1">
      <c r="A424" s="166">
        <v>421</v>
      </c>
      <c r="B424" s="166" t="s">
        <v>32</v>
      </c>
      <c r="C424" s="166" t="s">
        <v>174</v>
      </c>
      <c r="D424" s="167"/>
      <c r="E424" s="168" t="s">
        <v>136</v>
      </c>
      <c r="F424" s="169">
        <v>4000</v>
      </c>
      <c r="G424" s="168">
        <v>25</v>
      </c>
      <c r="H424" s="169">
        <v>100000</v>
      </c>
      <c r="I424" s="186" t="s">
        <v>2921</v>
      </c>
      <c r="J424" s="186" t="s">
        <v>2921</v>
      </c>
      <c r="K424" s="170" t="s">
        <v>2462</v>
      </c>
      <c r="L424" s="170"/>
      <c r="M424" s="175" t="s">
        <v>2907</v>
      </c>
      <c r="N424" s="172"/>
      <c r="O424" s="172"/>
      <c r="P424" s="173" t="s">
        <v>1832</v>
      </c>
      <c r="Q424" s="174" t="str">
        <f t="shared" si="6"/>
        <v/>
      </c>
      <c r="R424" s="203">
        <f>INDEX([1]告訴人!$D$15:$F$372,MATCH(C424,[1]告訴人!$F$15:$F$372,0),1)</f>
        <v>204</v>
      </c>
      <c r="S424" s="203" t="str">
        <f t="array" ref="S424">IF(OR(C424=[1]告訴人!$F$15:$F$372),"重疊","")</f>
        <v>重疊</v>
      </c>
      <c r="T424" s="203">
        <v>1</v>
      </c>
    </row>
    <row r="425" spans="1:22" ht="15.65" customHeight="1">
      <c r="A425" s="166">
        <v>422</v>
      </c>
      <c r="B425" s="166" t="s">
        <v>32</v>
      </c>
      <c r="C425" s="166" t="s">
        <v>176</v>
      </c>
      <c r="D425" s="167"/>
      <c r="E425" s="168" t="s">
        <v>136</v>
      </c>
      <c r="F425" s="169">
        <v>3000</v>
      </c>
      <c r="G425" s="168">
        <v>25</v>
      </c>
      <c r="H425" s="169">
        <v>75000</v>
      </c>
      <c r="I425" s="186" t="s">
        <v>2921</v>
      </c>
      <c r="J425" s="186" t="s">
        <v>2921</v>
      </c>
      <c r="K425" s="170" t="s">
        <v>2462</v>
      </c>
      <c r="L425" s="170"/>
      <c r="M425" s="175" t="s">
        <v>2907</v>
      </c>
      <c r="N425" s="172"/>
      <c r="O425" s="172"/>
      <c r="P425" s="173" t="s">
        <v>1832</v>
      </c>
      <c r="Q425" s="174" t="str">
        <f t="shared" si="6"/>
        <v/>
      </c>
      <c r="R425" s="203">
        <f>INDEX([1]告訴人!$D$15:$F$372,MATCH(C425,[1]告訴人!$F$15:$F$372,0),1)</f>
        <v>230</v>
      </c>
      <c r="S425" s="203" t="str">
        <f t="array" ref="S425">IF(OR(C425=[1]告訴人!$F$15:$F$372),"重疊","")</f>
        <v>重疊</v>
      </c>
      <c r="T425" s="203">
        <v>1</v>
      </c>
    </row>
    <row r="426" spans="1:22" ht="79.5" customHeight="1">
      <c r="A426" s="166">
        <v>423</v>
      </c>
      <c r="B426" s="166" t="s">
        <v>32</v>
      </c>
      <c r="C426" s="166" t="s">
        <v>183</v>
      </c>
      <c r="D426" s="167"/>
      <c r="E426" s="168" t="s">
        <v>136</v>
      </c>
      <c r="F426" s="169">
        <v>2000</v>
      </c>
      <c r="G426" s="168">
        <v>25</v>
      </c>
      <c r="H426" s="169">
        <v>50000</v>
      </c>
      <c r="I426" s="186" t="s">
        <v>2921</v>
      </c>
      <c r="J426" s="186" t="s">
        <v>2921</v>
      </c>
      <c r="K426" s="170" t="s">
        <v>3986</v>
      </c>
      <c r="L426" s="170" t="s">
        <v>3632</v>
      </c>
      <c r="M426" s="175" t="s">
        <v>2907</v>
      </c>
      <c r="N426" s="172"/>
      <c r="O426" s="172">
        <v>50000</v>
      </c>
      <c r="P426" s="173" t="s">
        <v>2463</v>
      </c>
      <c r="Q426" s="174" t="str">
        <f t="shared" si="6"/>
        <v>註4</v>
      </c>
      <c r="R426" s="203">
        <f>INDEX([1]告訴人!$D$15:$F$372,MATCH(C426,[1]告訴人!$F$15:$F$372,0),1)</f>
        <v>287</v>
      </c>
      <c r="S426" s="203" t="str">
        <f t="array" ref="S426">IF(OR(C426=[1]告訴人!$F$15:$F$372),"重疊","")</f>
        <v>重疊</v>
      </c>
      <c r="T426" s="203">
        <v>1</v>
      </c>
    </row>
    <row r="427" spans="1:22" ht="104.25" customHeight="1">
      <c r="A427" s="166">
        <v>424</v>
      </c>
      <c r="B427" s="166" t="s">
        <v>32</v>
      </c>
      <c r="C427" s="166" t="s">
        <v>192</v>
      </c>
      <c r="D427" s="167"/>
      <c r="E427" s="168" t="s">
        <v>136</v>
      </c>
      <c r="F427" s="169">
        <v>3000</v>
      </c>
      <c r="G427" s="168">
        <v>25</v>
      </c>
      <c r="H427" s="169">
        <v>75000</v>
      </c>
      <c r="I427" s="186" t="s">
        <v>2921</v>
      </c>
      <c r="J427" s="186" t="s">
        <v>2921</v>
      </c>
      <c r="K427" s="170" t="s">
        <v>3207</v>
      </c>
      <c r="L427" s="170" t="s">
        <v>3633</v>
      </c>
      <c r="M427" s="175" t="s">
        <v>2907</v>
      </c>
      <c r="N427" s="172">
        <v>75000</v>
      </c>
      <c r="O427" s="172"/>
      <c r="P427" s="173" t="s">
        <v>2461</v>
      </c>
      <c r="Q427" s="174" t="str">
        <f t="shared" si="6"/>
        <v>註3</v>
      </c>
      <c r="R427" s="203">
        <f>INDEX([1]告訴人!$D$15:$F$372,MATCH(C427,[1]告訴人!$F$15:$F$372,0),1)</f>
        <v>227</v>
      </c>
      <c r="S427" s="203" t="str">
        <f t="array" ref="S427">IF(OR(C427=[1]告訴人!$F$15:$F$372),"重疊","")</f>
        <v>重疊</v>
      </c>
      <c r="T427" s="203">
        <v>1</v>
      </c>
      <c r="V427" s="203">
        <v>1</v>
      </c>
    </row>
    <row r="428" spans="1:22" ht="15.65" customHeight="1">
      <c r="A428" s="166">
        <v>425</v>
      </c>
      <c r="B428" s="166" t="s">
        <v>32</v>
      </c>
      <c r="C428" s="166" t="s">
        <v>193</v>
      </c>
      <c r="D428" s="167"/>
      <c r="E428" s="168" t="s">
        <v>136</v>
      </c>
      <c r="F428" s="169">
        <v>1000</v>
      </c>
      <c r="G428" s="168">
        <v>25</v>
      </c>
      <c r="H428" s="169">
        <v>25000</v>
      </c>
      <c r="I428" s="186" t="s">
        <v>2921</v>
      </c>
      <c r="J428" s="186" t="s">
        <v>2921</v>
      </c>
      <c r="K428" s="176" t="s">
        <v>2980</v>
      </c>
      <c r="L428" s="170"/>
      <c r="M428" s="175" t="s">
        <v>2907</v>
      </c>
      <c r="N428" s="172"/>
      <c r="O428" s="172"/>
      <c r="P428" s="173" t="s">
        <v>1832</v>
      </c>
      <c r="Q428" s="174" t="str">
        <f t="shared" si="6"/>
        <v/>
      </c>
      <c r="R428" s="203">
        <f>INDEX([1]告訴人!$D$15:$F$372,MATCH(C428,[1]告訴人!$F$15:$F$372,0),1)</f>
        <v>82</v>
      </c>
      <c r="S428" s="203" t="str">
        <f t="array" ref="S428">IF(OR(C428=[1]告訴人!$F$15:$F$372),"重疊","")</f>
        <v>重疊</v>
      </c>
      <c r="T428" s="203">
        <v>1</v>
      </c>
    </row>
    <row r="429" spans="1:22" ht="82.4" customHeight="1">
      <c r="A429" s="166">
        <v>426</v>
      </c>
      <c r="B429" s="166" t="s">
        <v>32</v>
      </c>
      <c r="C429" s="166" t="s">
        <v>226</v>
      </c>
      <c r="D429" s="167"/>
      <c r="E429" s="168" t="s">
        <v>136</v>
      </c>
      <c r="F429" s="169">
        <v>5000</v>
      </c>
      <c r="G429" s="168">
        <v>25</v>
      </c>
      <c r="H429" s="169">
        <v>125000</v>
      </c>
      <c r="I429" s="186" t="s">
        <v>2921</v>
      </c>
      <c r="J429" s="186" t="s">
        <v>2921</v>
      </c>
      <c r="K429" s="170" t="s">
        <v>3984</v>
      </c>
      <c r="L429" s="170" t="s">
        <v>3695</v>
      </c>
      <c r="M429" s="175" t="s">
        <v>2907</v>
      </c>
      <c r="N429" s="172"/>
      <c r="O429" s="172">
        <v>125000</v>
      </c>
      <c r="P429" s="173" t="s">
        <v>2463</v>
      </c>
      <c r="Q429" s="174" t="str">
        <f t="shared" si="6"/>
        <v>註4</v>
      </c>
      <c r="R429" s="203">
        <f>INDEX([1]告訴人!$D$15:$F$372,MATCH(C429,[1]告訴人!$F$15:$F$372,0),1)</f>
        <v>244</v>
      </c>
      <c r="S429" s="203" t="str">
        <f t="array" ref="S429">IF(OR(C429=[1]告訴人!$F$15:$F$372),"重疊","")</f>
        <v>重疊</v>
      </c>
      <c r="T429" s="203">
        <v>1</v>
      </c>
    </row>
    <row r="430" spans="1:22">
      <c r="A430" s="166">
        <v>427</v>
      </c>
      <c r="B430" s="166" t="s">
        <v>32</v>
      </c>
      <c r="C430" s="166" t="s">
        <v>234</v>
      </c>
      <c r="D430" s="167"/>
      <c r="E430" s="168" t="s">
        <v>136</v>
      </c>
      <c r="F430" s="169">
        <v>5000</v>
      </c>
      <c r="G430" s="168">
        <v>25</v>
      </c>
      <c r="H430" s="169">
        <v>125000</v>
      </c>
      <c r="I430" s="186" t="s">
        <v>2921</v>
      </c>
      <c r="J430" s="186" t="s">
        <v>2921</v>
      </c>
      <c r="K430" s="170" t="s">
        <v>2980</v>
      </c>
      <c r="L430" s="170"/>
      <c r="M430" s="175" t="s">
        <v>2907</v>
      </c>
      <c r="N430" s="172"/>
      <c r="O430" s="172"/>
      <c r="P430" s="173" t="s">
        <v>1832</v>
      </c>
      <c r="Q430" s="174" t="str">
        <f t="shared" si="6"/>
        <v/>
      </c>
      <c r="R430" s="203" t="e">
        <f>INDEX([1]告訴人!$D$15:$F$372,MATCH(C430,[1]告訴人!$F$15:$F$372,0),1)</f>
        <v>#N/A</v>
      </c>
      <c r="S430" s="203" t="str">
        <f t="array" ref="S430">IF(OR(C430=[1]告訴人!$F$15:$F$372),"重疊","")</f>
        <v/>
      </c>
      <c r="T430" s="203">
        <v>1</v>
      </c>
    </row>
    <row r="431" spans="1:22" ht="34">
      <c r="A431" s="166">
        <v>428</v>
      </c>
      <c r="B431" s="166" t="s">
        <v>32</v>
      </c>
      <c r="C431" s="166" t="s">
        <v>246</v>
      </c>
      <c r="D431" s="167"/>
      <c r="E431" s="168" t="s">
        <v>136</v>
      </c>
      <c r="F431" s="169">
        <v>2000</v>
      </c>
      <c r="G431" s="168">
        <v>25</v>
      </c>
      <c r="H431" s="169">
        <v>50000</v>
      </c>
      <c r="I431" s="186" t="s">
        <v>2921</v>
      </c>
      <c r="J431" s="186" t="s">
        <v>2921</v>
      </c>
      <c r="K431" s="170" t="s">
        <v>3078</v>
      </c>
      <c r="L431" s="170" t="s">
        <v>3576</v>
      </c>
      <c r="M431" s="175" t="s">
        <v>2907</v>
      </c>
      <c r="N431" s="172">
        <v>50000</v>
      </c>
      <c r="O431" s="172"/>
      <c r="P431" s="173" t="s">
        <v>2461</v>
      </c>
      <c r="Q431" s="174" t="str">
        <f t="shared" si="6"/>
        <v>註3</v>
      </c>
      <c r="R431" s="203">
        <f>INDEX([1]告訴人!$D$15:$F$372,MATCH(C431,[1]告訴人!$F$15:$F$372,0),1)</f>
        <v>164</v>
      </c>
      <c r="S431" s="203" t="str">
        <f t="array" ref="S431">IF(OR(C431=[1]告訴人!$F$15:$F$372),"重疊","")</f>
        <v>重疊</v>
      </c>
      <c r="T431" s="203">
        <v>1</v>
      </c>
      <c r="V431" s="203">
        <v>1</v>
      </c>
    </row>
    <row r="432" spans="1:22">
      <c r="A432" s="166">
        <v>429</v>
      </c>
      <c r="B432" s="166" t="s">
        <v>32</v>
      </c>
      <c r="C432" s="166" t="s">
        <v>255</v>
      </c>
      <c r="D432" s="167"/>
      <c r="E432" s="168" t="s">
        <v>136</v>
      </c>
      <c r="F432" s="169">
        <v>1000</v>
      </c>
      <c r="G432" s="168">
        <v>25</v>
      </c>
      <c r="H432" s="169">
        <v>25000</v>
      </c>
      <c r="I432" s="346" t="s">
        <v>2921</v>
      </c>
      <c r="J432" s="346" t="s">
        <v>2921</v>
      </c>
      <c r="K432" s="170" t="s">
        <v>2462</v>
      </c>
      <c r="L432" s="170"/>
      <c r="M432" s="175" t="s">
        <v>2907</v>
      </c>
      <c r="N432" s="172"/>
      <c r="O432" s="172"/>
      <c r="P432" s="173" t="s">
        <v>1832</v>
      </c>
      <c r="Q432" s="174" t="str">
        <f t="shared" si="6"/>
        <v/>
      </c>
      <c r="R432" s="203">
        <f>INDEX([1]告訴人!$D$15:$F$372,MATCH(C432,[1]告訴人!$F$15:$F$372,0),1)</f>
        <v>29</v>
      </c>
      <c r="S432" s="203" t="str">
        <f t="array" ref="S432">IF(OR(C432=[1]告訴人!$F$15:$F$372),"重疊","")</f>
        <v>重疊</v>
      </c>
      <c r="T432" s="203">
        <v>1</v>
      </c>
    </row>
    <row r="433" spans="1:22">
      <c r="A433" s="166">
        <v>430</v>
      </c>
      <c r="B433" s="166" t="s">
        <v>32</v>
      </c>
      <c r="C433" s="166" t="s">
        <v>275</v>
      </c>
      <c r="D433" s="167"/>
      <c r="E433" s="168" t="s">
        <v>136</v>
      </c>
      <c r="F433" s="169">
        <v>3000</v>
      </c>
      <c r="G433" s="168">
        <v>25</v>
      </c>
      <c r="H433" s="169">
        <v>75000</v>
      </c>
      <c r="I433" s="346" t="s">
        <v>2921</v>
      </c>
      <c r="J433" s="346" t="s">
        <v>2921</v>
      </c>
      <c r="K433" s="170" t="s">
        <v>2462</v>
      </c>
      <c r="L433" s="170"/>
      <c r="M433" s="175" t="s">
        <v>2907</v>
      </c>
      <c r="N433" s="172"/>
      <c r="O433" s="172"/>
      <c r="P433" s="173" t="s">
        <v>1832</v>
      </c>
      <c r="Q433" s="174" t="str">
        <f t="shared" si="6"/>
        <v/>
      </c>
      <c r="R433" s="203">
        <f>INDEX([1]告訴人!$D$15:$F$372,MATCH(C433,[1]告訴人!$F$15:$F$372,0),1)</f>
        <v>95</v>
      </c>
      <c r="S433" s="203" t="str">
        <f t="array" ref="S433">IF(OR(C433=[1]告訴人!$F$15:$F$372),"重疊","")</f>
        <v>重疊</v>
      </c>
      <c r="T433" s="203">
        <v>1</v>
      </c>
    </row>
    <row r="434" spans="1:22" ht="65.25" customHeight="1">
      <c r="A434" s="166">
        <v>431</v>
      </c>
      <c r="B434" s="166" t="s">
        <v>32</v>
      </c>
      <c r="C434" s="166" t="s">
        <v>279</v>
      </c>
      <c r="D434" s="255"/>
      <c r="E434" s="168" t="s">
        <v>136</v>
      </c>
      <c r="F434" s="169">
        <v>1000</v>
      </c>
      <c r="G434" s="168">
        <v>25</v>
      </c>
      <c r="H434" s="169">
        <v>25000</v>
      </c>
      <c r="I434" s="346" t="s">
        <v>2921</v>
      </c>
      <c r="J434" s="346" t="s">
        <v>2921</v>
      </c>
      <c r="K434" s="170" t="s">
        <v>3188</v>
      </c>
      <c r="L434" s="170" t="s">
        <v>2981</v>
      </c>
      <c r="M434" s="175" t="s">
        <v>2907</v>
      </c>
      <c r="N434" s="172"/>
      <c r="O434" s="172">
        <v>25000</v>
      </c>
      <c r="P434" s="173" t="s">
        <v>2463</v>
      </c>
      <c r="Q434" s="174" t="str">
        <f t="shared" si="6"/>
        <v>註4</v>
      </c>
      <c r="R434" s="203">
        <f>INDEX([1]告訴人!$D$15:$F$372,MATCH(C434,[1]告訴人!$F$15:$F$372,0),1)</f>
        <v>3</v>
      </c>
      <c r="S434" s="203" t="str">
        <f t="array" ref="S434">IF(OR(C434=[1]告訴人!$F$15:$F$372),"重疊","")</f>
        <v>重疊</v>
      </c>
      <c r="T434" s="203">
        <v>1</v>
      </c>
    </row>
    <row r="435" spans="1:22">
      <c r="A435" s="166">
        <v>432</v>
      </c>
      <c r="B435" s="166" t="s">
        <v>32</v>
      </c>
      <c r="C435" s="166" t="s">
        <v>291</v>
      </c>
      <c r="D435" s="167"/>
      <c r="E435" s="168" t="s">
        <v>136</v>
      </c>
      <c r="F435" s="169">
        <v>3000</v>
      </c>
      <c r="G435" s="168">
        <v>25</v>
      </c>
      <c r="H435" s="169">
        <v>75000</v>
      </c>
      <c r="I435" s="186"/>
      <c r="J435" s="186"/>
      <c r="K435" s="170" t="s">
        <v>2908</v>
      </c>
      <c r="L435" s="170"/>
      <c r="M435" s="175"/>
      <c r="N435" s="172">
        <v>75000</v>
      </c>
      <c r="O435" s="172"/>
      <c r="P435" s="173" t="s">
        <v>2461</v>
      </c>
      <c r="Q435" s="174" t="str">
        <f t="shared" si="6"/>
        <v>註3</v>
      </c>
      <c r="R435" s="203" t="e">
        <f>INDEX([1]告訴人!$D$15:$F$372,MATCH(C435,[1]告訴人!$F$15:$F$372,0),1)</f>
        <v>#N/A</v>
      </c>
      <c r="S435" s="203" t="str">
        <f t="array" ref="S435">IF(OR(C435=[1]告訴人!$F$15:$F$372),"重疊","")</f>
        <v/>
      </c>
    </row>
    <row r="436" spans="1:22" ht="54" customHeight="1">
      <c r="A436" s="166">
        <v>433</v>
      </c>
      <c r="B436" s="166" t="s">
        <v>32</v>
      </c>
      <c r="C436" s="166" t="s">
        <v>297</v>
      </c>
      <c r="D436" s="167"/>
      <c r="E436" s="168" t="s">
        <v>136</v>
      </c>
      <c r="F436" s="169">
        <v>1000</v>
      </c>
      <c r="G436" s="168">
        <v>25</v>
      </c>
      <c r="H436" s="169">
        <v>25000</v>
      </c>
      <c r="I436" s="346" t="s">
        <v>2921</v>
      </c>
      <c r="J436" s="346" t="s">
        <v>2921</v>
      </c>
      <c r="K436" s="170" t="s">
        <v>3209</v>
      </c>
      <c r="L436" s="170" t="s">
        <v>2982</v>
      </c>
      <c r="M436" s="175" t="s">
        <v>2907</v>
      </c>
      <c r="N436" s="172"/>
      <c r="O436" s="172">
        <v>25000</v>
      </c>
      <c r="P436" s="173" t="s">
        <v>2463</v>
      </c>
      <c r="Q436" s="174" t="str">
        <f t="shared" si="6"/>
        <v>註4</v>
      </c>
      <c r="R436" s="203">
        <f>INDEX([1]告訴人!$D$15:$F$372,MATCH(C436,[1]告訴人!$F$15:$F$372,0),1)</f>
        <v>146</v>
      </c>
      <c r="S436" s="203" t="str">
        <f t="array" ref="S436">IF(OR(C436=[1]告訴人!$F$15:$F$372),"重疊","")</f>
        <v>重疊</v>
      </c>
      <c r="T436" s="203">
        <v>1</v>
      </c>
    </row>
    <row r="437" spans="1:22" ht="66" customHeight="1">
      <c r="A437" s="166">
        <v>434</v>
      </c>
      <c r="B437" s="166" t="s">
        <v>32</v>
      </c>
      <c r="C437" s="166" t="s">
        <v>304</v>
      </c>
      <c r="D437" s="167"/>
      <c r="E437" s="168" t="s">
        <v>136</v>
      </c>
      <c r="F437" s="169">
        <v>5000</v>
      </c>
      <c r="G437" s="168">
        <v>25</v>
      </c>
      <c r="H437" s="169">
        <v>125000</v>
      </c>
      <c r="I437" s="186" t="s">
        <v>2921</v>
      </c>
      <c r="J437" s="186" t="s">
        <v>2921</v>
      </c>
      <c r="K437" s="170" t="s">
        <v>3210</v>
      </c>
      <c r="L437" s="170" t="s">
        <v>3634</v>
      </c>
      <c r="M437" s="175" t="s">
        <v>2907</v>
      </c>
      <c r="N437" s="172"/>
      <c r="O437" s="172">
        <v>125000</v>
      </c>
      <c r="P437" s="173" t="s">
        <v>2463</v>
      </c>
      <c r="Q437" s="174" t="str">
        <f t="shared" si="6"/>
        <v>註4</v>
      </c>
      <c r="R437" s="203">
        <f>INDEX([1]告訴人!$D$15:$F$372,MATCH(C437,[1]告訴人!$F$15:$F$372,0),1)</f>
        <v>333</v>
      </c>
      <c r="S437" s="203" t="str">
        <f t="array" ref="S437">IF(OR(C437=[1]告訴人!$F$15:$F$372),"重疊","")</f>
        <v>重疊</v>
      </c>
      <c r="T437" s="203">
        <v>1</v>
      </c>
    </row>
    <row r="438" spans="1:22">
      <c r="A438" s="166">
        <v>435</v>
      </c>
      <c r="B438" s="166" t="s">
        <v>32</v>
      </c>
      <c r="C438" s="166" t="s">
        <v>305</v>
      </c>
      <c r="D438" s="167"/>
      <c r="E438" s="168" t="s">
        <v>136</v>
      </c>
      <c r="F438" s="169">
        <v>10000</v>
      </c>
      <c r="G438" s="168">
        <v>25</v>
      </c>
      <c r="H438" s="169">
        <v>250000</v>
      </c>
      <c r="I438" s="186"/>
      <c r="J438" s="186"/>
      <c r="K438" s="170" t="s">
        <v>2908</v>
      </c>
      <c r="L438" s="170"/>
      <c r="M438" s="175"/>
      <c r="N438" s="172">
        <v>250000</v>
      </c>
      <c r="O438" s="172"/>
      <c r="P438" s="173" t="s">
        <v>2461</v>
      </c>
      <c r="Q438" s="174" t="str">
        <f t="shared" si="6"/>
        <v>註3</v>
      </c>
      <c r="R438" s="203" t="e">
        <f>INDEX([1]告訴人!$D$15:$F$372,MATCH(C438,[1]告訴人!$F$15:$F$372,0),1)</f>
        <v>#N/A</v>
      </c>
      <c r="S438" s="203" t="str">
        <f t="array" ref="S438">IF(OR(C438=[1]告訴人!$F$15:$F$372),"重疊","")</f>
        <v/>
      </c>
    </row>
    <row r="439" spans="1:22" ht="17.5" customHeight="1">
      <c r="A439" s="166">
        <v>436</v>
      </c>
      <c r="B439" s="166" t="s">
        <v>32</v>
      </c>
      <c r="C439" s="166" t="s">
        <v>3976</v>
      </c>
      <c r="D439" s="167"/>
      <c r="E439" s="168" t="s">
        <v>136</v>
      </c>
      <c r="F439" s="169">
        <v>1000</v>
      </c>
      <c r="G439" s="168">
        <v>25</v>
      </c>
      <c r="H439" s="169">
        <v>25000</v>
      </c>
      <c r="I439" s="186"/>
      <c r="J439" s="186"/>
      <c r="K439" s="170" t="s">
        <v>2908</v>
      </c>
      <c r="L439" s="170"/>
      <c r="M439" s="175"/>
      <c r="N439" s="172">
        <v>25000</v>
      </c>
      <c r="O439" s="172"/>
      <c r="P439" s="173" t="s">
        <v>2461</v>
      </c>
      <c r="Q439" s="174" t="str">
        <f t="shared" si="6"/>
        <v>註3</v>
      </c>
      <c r="R439" s="203" t="e">
        <f>INDEX([1]告訴人!$D$15:$F$372,MATCH(C439,[1]告訴人!$F$15:$F$372,0),1)</f>
        <v>#N/A</v>
      </c>
      <c r="S439" s="203" t="str">
        <f t="array" ref="S439">IF(OR(C439=[1]告訴人!$F$15:$F$372),"重疊","")</f>
        <v/>
      </c>
    </row>
    <row r="440" spans="1:22">
      <c r="A440" s="166">
        <v>437</v>
      </c>
      <c r="B440" s="166" t="s">
        <v>32</v>
      </c>
      <c r="C440" s="166" t="s">
        <v>360</v>
      </c>
      <c r="D440" s="167"/>
      <c r="E440" s="168" t="s">
        <v>136</v>
      </c>
      <c r="F440" s="169">
        <v>1000</v>
      </c>
      <c r="G440" s="168">
        <v>67</v>
      </c>
      <c r="H440" s="169">
        <v>67000</v>
      </c>
      <c r="I440" s="186"/>
      <c r="J440" s="186"/>
      <c r="K440" s="170" t="s">
        <v>2908</v>
      </c>
      <c r="L440" s="170"/>
      <c r="M440" s="175"/>
      <c r="N440" s="172">
        <v>67000</v>
      </c>
      <c r="O440" s="172"/>
      <c r="P440" s="173" t="s">
        <v>2461</v>
      </c>
      <c r="Q440" s="174" t="str">
        <f t="shared" si="6"/>
        <v>註3</v>
      </c>
      <c r="R440" s="203" t="e">
        <f>INDEX([1]告訴人!$D$15:$F$372,MATCH(C440,[1]告訴人!$F$15:$F$372,0),1)</f>
        <v>#N/A</v>
      </c>
      <c r="S440" s="203" t="str">
        <f t="array" ref="S440">IF(OR(C440=[1]告訴人!$F$15:$F$372),"重疊","")</f>
        <v/>
      </c>
    </row>
    <row r="441" spans="1:22" ht="47.25" customHeight="1">
      <c r="A441" s="166">
        <v>438</v>
      </c>
      <c r="B441" s="166" t="s">
        <v>32</v>
      </c>
      <c r="C441" s="166" t="s">
        <v>135</v>
      </c>
      <c r="D441" s="167"/>
      <c r="E441" s="168" t="s">
        <v>136</v>
      </c>
      <c r="F441" s="169">
        <v>1000</v>
      </c>
      <c r="G441" s="168">
        <v>67</v>
      </c>
      <c r="H441" s="169">
        <v>67000</v>
      </c>
      <c r="I441" s="186" t="s">
        <v>2921</v>
      </c>
      <c r="J441" s="186" t="s">
        <v>2921</v>
      </c>
      <c r="K441" s="170" t="s">
        <v>3078</v>
      </c>
      <c r="L441" s="170" t="s">
        <v>3576</v>
      </c>
      <c r="M441" s="175" t="s">
        <v>2907</v>
      </c>
      <c r="N441" s="172">
        <v>67000</v>
      </c>
      <c r="O441" s="172"/>
      <c r="P441" s="173" t="s">
        <v>2461</v>
      </c>
      <c r="Q441" s="174" t="str">
        <f t="shared" si="6"/>
        <v>註3</v>
      </c>
      <c r="R441" s="203">
        <f>INDEX([1]告訴人!$D$15:$F$372,MATCH(C441,[1]告訴人!$F$15:$F$372,0),1)</f>
        <v>168</v>
      </c>
      <c r="S441" s="203" t="str">
        <f t="array" ref="S441">IF(OR(C441=[1]告訴人!$F$15:$F$372),"重疊","")</f>
        <v>重疊</v>
      </c>
      <c r="T441" s="203">
        <v>1</v>
      </c>
      <c r="V441" s="203">
        <v>1</v>
      </c>
    </row>
    <row r="442" spans="1:22" ht="81" customHeight="1">
      <c r="A442" s="166">
        <v>439</v>
      </c>
      <c r="B442" s="166" t="s">
        <v>32</v>
      </c>
      <c r="C442" s="166" t="s">
        <v>137</v>
      </c>
      <c r="D442" s="167"/>
      <c r="E442" s="168" t="s">
        <v>136</v>
      </c>
      <c r="F442" s="169">
        <v>3000</v>
      </c>
      <c r="G442" s="168">
        <v>67</v>
      </c>
      <c r="H442" s="169">
        <v>201000</v>
      </c>
      <c r="I442" s="186" t="s">
        <v>2921</v>
      </c>
      <c r="J442" s="186" t="s">
        <v>2921</v>
      </c>
      <c r="K442" s="170" t="s">
        <v>3984</v>
      </c>
      <c r="L442" s="170" t="s">
        <v>3635</v>
      </c>
      <c r="M442" s="175" t="s">
        <v>2907</v>
      </c>
      <c r="N442" s="172"/>
      <c r="O442" s="172">
        <v>201000</v>
      </c>
      <c r="P442" s="173" t="s">
        <v>2463</v>
      </c>
      <c r="Q442" s="174" t="str">
        <f t="shared" si="6"/>
        <v>註4</v>
      </c>
      <c r="R442" s="203">
        <f>INDEX([1]告訴人!$D$15:$F$372,MATCH(C442,[1]告訴人!$F$15:$F$372,0),1)</f>
        <v>48</v>
      </c>
      <c r="S442" s="203" t="str">
        <f t="array" ref="S442">IF(OR(C442=[1]告訴人!$F$15:$F$372),"重疊","")</f>
        <v>重疊</v>
      </c>
      <c r="T442" s="203">
        <v>1</v>
      </c>
    </row>
    <row r="443" spans="1:22" ht="18" customHeight="1">
      <c r="A443" s="166">
        <v>440</v>
      </c>
      <c r="B443" s="166" t="s">
        <v>32</v>
      </c>
      <c r="C443" s="166" t="s">
        <v>138</v>
      </c>
      <c r="D443" s="167"/>
      <c r="E443" s="168" t="s">
        <v>136</v>
      </c>
      <c r="F443" s="169">
        <v>1000</v>
      </c>
      <c r="G443" s="168">
        <v>67</v>
      </c>
      <c r="H443" s="169">
        <v>67000</v>
      </c>
      <c r="I443" s="186"/>
      <c r="J443" s="186"/>
      <c r="K443" s="170" t="s">
        <v>2908</v>
      </c>
      <c r="L443" s="170"/>
      <c r="M443" s="175"/>
      <c r="N443" s="172">
        <v>67000</v>
      </c>
      <c r="O443" s="172"/>
      <c r="P443" s="173" t="s">
        <v>2461</v>
      </c>
      <c r="Q443" s="174" t="str">
        <f t="shared" si="6"/>
        <v>註3</v>
      </c>
      <c r="R443" s="203" t="e">
        <f>INDEX([1]告訴人!$D$15:$F$372,MATCH(C443,[1]告訴人!$F$15:$F$372,0),1)</f>
        <v>#N/A</v>
      </c>
      <c r="S443" s="203" t="str">
        <f t="array" ref="S443">IF(OR(C443=[1]告訴人!$F$15:$F$372),"重疊","")</f>
        <v/>
      </c>
    </row>
    <row r="444" spans="1:22" ht="18" customHeight="1">
      <c r="A444" s="166">
        <v>441</v>
      </c>
      <c r="B444" s="166" t="s">
        <v>32</v>
      </c>
      <c r="C444" s="166" t="s">
        <v>139</v>
      </c>
      <c r="D444" s="167"/>
      <c r="E444" s="168" t="s">
        <v>136</v>
      </c>
      <c r="F444" s="169">
        <v>1000</v>
      </c>
      <c r="G444" s="168">
        <v>67</v>
      </c>
      <c r="H444" s="169">
        <v>67000</v>
      </c>
      <c r="I444" s="186"/>
      <c r="J444" s="186"/>
      <c r="K444" s="170" t="s">
        <v>2908</v>
      </c>
      <c r="L444" s="170"/>
      <c r="M444" s="175"/>
      <c r="N444" s="172">
        <v>67000</v>
      </c>
      <c r="O444" s="172"/>
      <c r="P444" s="173" t="s">
        <v>2461</v>
      </c>
      <c r="Q444" s="174" t="str">
        <f t="shared" si="6"/>
        <v>註3</v>
      </c>
      <c r="R444" s="203" t="e">
        <f>INDEX([1]告訴人!$D$15:$F$372,MATCH(C444,[1]告訴人!$F$15:$F$372,0),1)</f>
        <v>#N/A</v>
      </c>
      <c r="S444" s="203" t="str">
        <f t="array" ref="S444">IF(OR(C444=[1]告訴人!$F$15:$F$372),"重疊","")</f>
        <v/>
      </c>
    </row>
    <row r="445" spans="1:22">
      <c r="A445" s="166">
        <v>442</v>
      </c>
      <c r="B445" s="166" t="s">
        <v>32</v>
      </c>
      <c r="C445" s="166" t="s">
        <v>172</v>
      </c>
      <c r="D445" s="167"/>
      <c r="E445" s="168" t="s">
        <v>136</v>
      </c>
      <c r="F445" s="169">
        <v>1000</v>
      </c>
      <c r="G445" s="168">
        <v>67</v>
      </c>
      <c r="H445" s="169">
        <v>67000</v>
      </c>
      <c r="I445" s="186"/>
      <c r="J445" s="186"/>
      <c r="K445" s="170" t="s">
        <v>2908</v>
      </c>
      <c r="L445" s="170"/>
      <c r="M445" s="175"/>
      <c r="N445" s="172">
        <v>67000</v>
      </c>
      <c r="O445" s="172"/>
      <c r="P445" s="173" t="s">
        <v>2461</v>
      </c>
      <c r="Q445" s="174" t="str">
        <f t="shared" si="6"/>
        <v>註3</v>
      </c>
      <c r="R445" s="203" t="e">
        <f>INDEX([1]告訴人!$D$15:$F$372,MATCH(C445,[1]告訴人!$F$15:$F$372,0),1)</f>
        <v>#N/A</v>
      </c>
      <c r="S445" s="203" t="str">
        <f t="array" ref="S445">IF(OR(C445=[1]告訴人!$F$15:$F$372),"重疊","")</f>
        <v/>
      </c>
    </row>
    <row r="446" spans="1:22">
      <c r="A446" s="166">
        <v>443</v>
      </c>
      <c r="B446" s="166" t="s">
        <v>32</v>
      </c>
      <c r="C446" s="166" t="s">
        <v>174</v>
      </c>
      <c r="D446" s="167"/>
      <c r="E446" s="168" t="s">
        <v>136</v>
      </c>
      <c r="F446" s="169">
        <v>2000</v>
      </c>
      <c r="G446" s="168">
        <v>67</v>
      </c>
      <c r="H446" s="169">
        <v>134000</v>
      </c>
      <c r="I446" s="186" t="s">
        <v>2921</v>
      </c>
      <c r="J446" s="186" t="s">
        <v>2921</v>
      </c>
      <c r="K446" s="170" t="s">
        <v>2462</v>
      </c>
      <c r="L446" s="170"/>
      <c r="M446" s="175" t="s">
        <v>2907</v>
      </c>
      <c r="N446" s="172"/>
      <c r="O446" s="172"/>
      <c r="P446" s="173" t="s">
        <v>1832</v>
      </c>
      <c r="Q446" s="174" t="str">
        <f t="shared" si="6"/>
        <v/>
      </c>
      <c r="R446" s="203">
        <f>INDEX([1]告訴人!$D$15:$F$372,MATCH(C446,[1]告訴人!$F$15:$F$372,0),1)</f>
        <v>204</v>
      </c>
      <c r="S446" s="203" t="str">
        <f t="array" ref="S446">IF(OR(C446=[1]告訴人!$F$15:$F$372),"重疊","")</f>
        <v>重疊</v>
      </c>
      <c r="T446" s="203">
        <v>1</v>
      </c>
    </row>
    <row r="447" spans="1:22" ht="14" customHeight="1">
      <c r="A447" s="166">
        <v>444</v>
      </c>
      <c r="B447" s="166" t="s">
        <v>32</v>
      </c>
      <c r="C447" s="166" t="s">
        <v>176</v>
      </c>
      <c r="D447" s="167"/>
      <c r="E447" s="168" t="s">
        <v>136</v>
      </c>
      <c r="F447" s="169">
        <v>3000</v>
      </c>
      <c r="G447" s="168">
        <v>67</v>
      </c>
      <c r="H447" s="169">
        <v>201000</v>
      </c>
      <c r="I447" s="186" t="s">
        <v>2921</v>
      </c>
      <c r="J447" s="186" t="s">
        <v>2921</v>
      </c>
      <c r="K447" s="170" t="s">
        <v>2462</v>
      </c>
      <c r="L447" s="170"/>
      <c r="M447" s="175" t="s">
        <v>2907</v>
      </c>
      <c r="N447" s="172"/>
      <c r="O447" s="172"/>
      <c r="P447" s="173" t="s">
        <v>1832</v>
      </c>
      <c r="Q447" s="174" t="str">
        <f t="shared" si="6"/>
        <v/>
      </c>
      <c r="R447" s="203">
        <f>INDEX([1]告訴人!$D$15:$F$372,MATCH(C447,[1]告訴人!$F$15:$F$372,0),1)</f>
        <v>230</v>
      </c>
      <c r="S447" s="203" t="str">
        <f t="array" ref="S447">IF(OR(C447=[1]告訴人!$F$15:$F$372),"重疊","")</f>
        <v>重疊</v>
      </c>
      <c r="T447" s="203">
        <v>1</v>
      </c>
    </row>
    <row r="448" spans="1:22" ht="84" customHeight="1">
      <c r="A448" s="166">
        <v>445</v>
      </c>
      <c r="B448" s="166" t="s">
        <v>32</v>
      </c>
      <c r="C448" s="166" t="s">
        <v>183</v>
      </c>
      <c r="D448" s="167"/>
      <c r="E448" s="168" t="s">
        <v>136</v>
      </c>
      <c r="F448" s="169">
        <v>2000</v>
      </c>
      <c r="G448" s="168">
        <v>67</v>
      </c>
      <c r="H448" s="169">
        <v>134000</v>
      </c>
      <c r="I448" s="186" t="s">
        <v>2921</v>
      </c>
      <c r="J448" s="186" t="s">
        <v>2921</v>
      </c>
      <c r="K448" s="170" t="s">
        <v>3984</v>
      </c>
      <c r="L448" s="170" t="s">
        <v>3636</v>
      </c>
      <c r="M448" s="175" t="s">
        <v>2907</v>
      </c>
      <c r="N448" s="172"/>
      <c r="O448" s="172">
        <v>134000</v>
      </c>
      <c r="P448" s="173" t="s">
        <v>2463</v>
      </c>
      <c r="Q448" s="174" t="str">
        <f t="shared" si="6"/>
        <v>註4</v>
      </c>
      <c r="R448" s="203">
        <f>INDEX([1]告訴人!$D$15:$F$372,MATCH(C448,[1]告訴人!$F$15:$F$372,0),1)</f>
        <v>287</v>
      </c>
      <c r="S448" s="203" t="str">
        <f t="array" ref="S448">IF(OR(C448=[1]告訴人!$F$15:$F$372),"重疊","")</f>
        <v>重疊</v>
      </c>
      <c r="T448" s="203">
        <v>1</v>
      </c>
    </row>
    <row r="449" spans="1:23">
      <c r="A449" s="166">
        <v>446</v>
      </c>
      <c r="B449" s="166" t="s">
        <v>32</v>
      </c>
      <c r="C449" s="166" t="s">
        <v>417</v>
      </c>
      <c r="D449" s="167"/>
      <c r="E449" s="168" t="s">
        <v>136</v>
      </c>
      <c r="F449" s="169">
        <v>4000</v>
      </c>
      <c r="G449" s="168">
        <v>67</v>
      </c>
      <c r="H449" s="169">
        <v>268000</v>
      </c>
      <c r="I449" s="186"/>
      <c r="J449" s="186"/>
      <c r="K449" s="170" t="s">
        <v>2908</v>
      </c>
      <c r="L449" s="170"/>
      <c r="M449" s="175"/>
      <c r="N449" s="172">
        <v>268000</v>
      </c>
      <c r="O449" s="172"/>
      <c r="P449" s="173" t="s">
        <v>2461</v>
      </c>
      <c r="Q449" s="174" t="str">
        <f t="shared" si="6"/>
        <v>註3</v>
      </c>
      <c r="R449" s="203" t="e">
        <f>INDEX([1]告訴人!$D$15:$F$372,MATCH(C449,[1]告訴人!$F$15:$F$372,0),1)</f>
        <v>#N/A</v>
      </c>
      <c r="S449" s="203" t="str">
        <f t="array" ref="S449">IF(OR(C449=[1]告訴人!$F$15:$F$372),"重疊","")</f>
        <v/>
      </c>
    </row>
    <row r="450" spans="1:23" ht="68">
      <c r="A450" s="166">
        <v>447</v>
      </c>
      <c r="B450" s="166" t="s">
        <v>32</v>
      </c>
      <c r="C450" s="166" t="s">
        <v>226</v>
      </c>
      <c r="D450" s="167"/>
      <c r="E450" s="168" t="s">
        <v>136</v>
      </c>
      <c r="F450" s="169">
        <v>5000</v>
      </c>
      <c r="G450" s="168">
        <v>67</v>
      </c>
      <c r="H450" s="169">
        <v>335000</v>
      </c>
      <c r="I450" s="186" t="s">
        <v>2921</v>
      </c>
      <c r="J450" s="186" t="s">
        <v>2921</v>
      </c>
      <c r="K450" s="170" t="s">
        <v>3984</v>
      </c>
      <c r="L450" s="170" t="s">
        <v>3684</v>
      </c>
      <c r="M450" s="175" t="s">
        <v>2907</v>
      </c>
      <c r="N450" s="172"/>
      <c r="O450" s="172">
        <v>335000</v>
      </c>
      <c r="P450" s="173" t="s">
        <v>2463</v>
      </c>
      <c r="Q450" s="174" t="str">
        <f t="shared" ref="Q450:Q513" si="7">IF(N450&lt;&gt;0,"註3",IF(O450&lt;&gt;0,"註4",""))</f>
        <v>註4</v>
      </c>
      <c r="R450" s="203">
        <f>INDEX([1]告訴人!$D$15:$F$372,MATCH(C450,[1]告訴人!$F$15:$F$372,0),1)</f>
        <v>244</v>
      </c>
      <c r="S450" s="203" t="str">
        <f t="array" ref="S450">IF(OR(C450=[1]告訴人!$F$15:$F$372),"重疊","")</f>
        <v>重疊</v>
      </c>
      <c r="T450" s="203">
        <v>1</v>
      </c>
    </row>
    <row r="451" spans="1:23">
      <c r="A451" s="166">
        <v>448</v>
      </c>
      <c r="B451" s="166" t="s">
        <v>32</v>
      </c>
      <c r="C451" s="166" t="s">
        <v>234</v>
      </c>
      <c r="D451" s="167"/>
      <c r="E451" s="168" t="s">
        <v>136</v>
      </c>
      <c r="F451" s="169">
        <v>5000</v>
      </c>
      <c r="G451" s="168">
        <v>67</v>
      </c>
      <c r="H451" s="169">
        <v>335000</v>
      </c>
      <c r="I451" s="186" t="s">
        <v>2921</v>
      </c>
      <c r="J451" s="186" t="s">
        <v>2921</v>
      </c>
      <c r="K451" s="170" t="s">
        <v>2980</v>
      </c>
      <c r="L451" s="170"/>
      <c r="M451" s="175" t="s">
        <v>2907</v>
      </c>
      <c r="N451" s="172"/>
      <c r="O451" s="172"/>
      <c r="P451" s="173" t="s">
        <v>1832</v>
      </c>
      <c r="Q451" s="174" t="str">
        <f t="shared" si="7"/>
        <v/>
      </c>
      <c r="R451" s="203" t="e">
        <f>INDEX([1]告訴人!$D$15:$F$372,MATCH(C451,[1]告訴人!$F$15:$F$372,0),1)</f>
        <v>#N/A</v>
      </c>
      <c r="S451" s="203" t="str">
        <f t="array" ref="S451">IF(OR(C451=[1]告訴人!$F$15:$F$372),"重疊","")</f>
        <v/>
      </c>
      <c r="T451" s="203">
        <v>1</v>
      </c>
    </row>
    <row r="452" spans="1:23" ht="30" customHeight="1">
      <c r="A452" s="166">
        <v>449</v>
      </c>
      <c r="B452" s="166" t="s">
        <v>32</v>
      </c>
      <c r="C452" s="166" t="s">
        <v>440</v>
      </c>
      <c r="D452" s="167"/>
      <c r="E452" s="168" t="s">
        <v>136</v>
      </c>
      <c r="F452" s="169">
        <v>1000</v>
      </c>
      <c r="G452" s="168">
        <v>67</v>
      </c>
      <c r="H452" s="169">
        <v>67000</v>
      </c>
      <c r="I452" s="186"/>
      <c r="J452" s="186"/>
      <c r="K452" s="170" t="s">
        <v>2908</v>
      </c>
      <c r="L452" s="170"/>
      <c r="M452" s="175"/>
      <c r="N452" s="172">
        <v>67000</v>
      </c>
      <c r="O452" s="172"/>
      <c r="P452" s="173" t="s">
        <v>2461</v>
      </c>
      <c r="Q452" s="174" t="str">
        <f t="shared" si="7"/>
        <v>註3</v>
      </c>
      <c r="R452" s="203" t="e">
        <f>INDEX([1]告訴人!$D$15:$F$372,MATCH(C452,[1]告訴人!$F$15:$F$372,0),1)</f>
        <v>#N/A</v>
      </c>
      <c r="S452" s="203" t="str">
        <f t="array" ref="S452">IF(OR(C452=[1]告訴人!$F$15:$F$372),"重疊","")</f>
        <v/>
      </c>
    </row>
    <row r="453" spans="1:23" ht="105" customHeight="1">
      <c r="A453" s="166">
        <v>450</v>
      </c>
      <c r="B453" s="166" t="s">
        <v>32</v>
      </c>
      <c r="C453" s="166" t="s">
        <v>255</v>
      </c>
      <c r="D453" s="167"/>
      <c r="E453" s="168" t="s">
        <v>136</v>
      </c>
      <c r="F453" s="169">
        <v>1000</v>
      </c>
      <c r="G453" s="168">
        <v>67</v>
      </c>
      <c r="H453" s="169">
        <v>67000</v>
      </c>
      <c r="I453" s="346" t="s">
        <v>2921</v>
      </c>
      <c r="J453" s="346" t="s">
        <v>2921</v>
      </c>
      <c r="K453" s="170" t="s">
        <v>3990</v>
      </c>
      <c r="L453" s="170" t="s">
        <v>2983</v>
      </c>
      <c r="M453" s="175" t="s">
        <v>2907</v>
      </c>
      <c r="N453" s="172"/>
      <c r="O453" s="172">
        <v>67000</v>
      </c>
      <c r="P453" s="173" t="s">
        <v>2463</v>
      </c>
      <c r="Q453" s="174" t="str">
        <f t="shared" si="7"/>
        <v>註4</v>
      </c>
      <c r="R453" s="203">
        <f>INDEX([1]告訴人!$D$15:$F$372,MATCH(C453,[1]告訴人!$F$15:$F$372,0),1)</f>
        <v>29</v>
      </c>
      <c r="S453" s="203" t="str">
        <f t="array" ref="S453">IF(OR(C453=[1]告訴人!$F$15:$F$372),"重疊","")</f>
        <v>重疊</v>
      </c>
      <c r="T453" s="203">
        <v>1</v>
      </c>
    </row>
    <row r="454" spans="1:23">
      <c r="A454" s="166">
        <v>451</v>
      </c>
      <c r="B454" s="166" t="s">
        <v>32</v>
      </c>
      <c r="C454" s="166" t="s">
        <v>275</v>
      </c>
      <c r="D454" s="167"/>
      <c r="E454" s="168" t="s">
        <v>136</v>
      </c>
      <c r="F454" s="169">
        <v>3000</v>
      </c>
      <c r="G454" s="168">
        <v>67</v>
      </c>
      <c r="H454" s="169">
        <v>201000</v>
      </c>
      <c r="I454" s="346" t="s">
        <v>2921</v>
      </c>
      <c r="J454" s="346" t="s">
        <v>2921</v>
      </c>
      <c r="K454" s="170" t="s">
        <v>2980</v>
      </c>
      <c r="L454" s="170"/>
      <c r="M454" s="175" t="s">
        <v>2907</v>
      </c>
      <c r="N454" s="172"/>
      <c r="O454" s="172"/>
      <c r="P454" s="173" t="s">
        <v>1832</v>
      </c>
      <c r="Q454" s="174" t="str">
        <f t="shared" si="7"/>
        <v/>
      </c>
      <c r="R454" s="203">
        <f>INDEX([1]告訴人!$D$15:$F$372,MATCH(C454,[1]告訴人!$F$15:$F$372,0),1)</f>
        <v>95</v>
      </c>
      <c r="S454" s="203" t="str">
        <f t="array" ref="S454">IF(OR(C454=[1]告訴人!$F$15:$F$372),"重疊","")</f>
        <v>重疊</v>
      </c>
      <c r="T454" s="203">
        <v>1</v>
      </c>
    </row>
    <row r="455" spans="1:23" ht="66" customHeight="1">
      <c r="A455" s="166">
        <v>452</v>
      </c>
      <c r="B455" s="166" t="s">
        <v>32</v>
      </c>
      <c r="C455" s="166" t="s">
        <v>279</v>
      </c>
      <c r="D455" s="255"/>
      <c r="E455" s="168" t="s">
        <v>136</v>
      </c>
      <c r="F455" s="169">
        <v>1000</v>
      </c>
      <c r="G455" s="168">
        <v>67</v>
      </c>
      <c r="H455" s="169">
        <v>67000</v>
      </c>
      <c r="I455" s="346" t="s">
        <v>2921</v>
      </c>
      <c r="J455" s="346" t="s">
        <v>2921</v>
      </c>
      <c r="K455" s="170" t="s">
        <v>3188</v>
      </c>
      <c r="L455" s="170" t="s">
        <v>2981</v>
      </c>
      <c r="M455" s="175" t="s">
        <v>2907</v>
      </c>
      <c r="N455" s="172"/>
      <c r="O455" s="172">
        <v>67000</v>
      </c>
      <c r="P455" s="173" t="s">
        <v>2463</v>
      </c>
      <c r="Q455" s="174" t="str">
        <f t="shared" si="7"/>
        <v>註4</v>
      </c>
      <c r="R455" s="203">
        <f>INDEX([1]告訴人!$D$15:$F$372,MATCH(C455,[1]告訴人!$F$15:$F$372,0),1)</f>
        <v>3</v>
      </c>
      <c r="S455" s="203" t="str">
        <f t="array" ref="S455">IF(OR(C455=[1]告訴人!$F$15:$F$372),"重疊","")</f>
        <v>重疊</v>
      </c>
      <c r="T455" s="203">
        <v>1</v>
      </c>
    </row>
    <row r="456" spans="1:23">
      <c r="A456" s="166">
        <v>453</v>
      </c>
      <c r="B456" s="166" t="s">
        <v>32</v>
      </c>
      <c r="C456" s="166" t="s">
        <v>291</v>
      </c>
      <c r="D456" s="167"/>
      <c r="E456" s="168" t="s">
        <v>136</v>
      </c>
      <c r="F456" s="169">
        <v>3000</v>
      </c>
      <c r="G456" s="168">
        <v>67</v>
      </c>
      <c r="H456" s="169">
        <v>201000</v>
      </c>
      <c r="I456" s="186"/>
      <c r="J456" s="186"/>
      <c r="K456" s="170" t="s">
        <v>2908</v>
      </c>
      <c r="L456" s="170"/>
      <c r="M456" s="175"/>
      <c r="N456" s="172">
        <v>201000</v>
      </c>
      <c r="O456" s="172"/>
      <c r="P456" s="173" t="s">
        <v>2461</v>
      </c>
      <c r="Q456" s="174" t="str">
        <f t="shared" si="7"/>
        <v>註3</v>
      </c>
      <c r="R456" s="203" t="e">
        <f>INDEX([1]告訴人!$D$15:$F$372,MATCH(C456,[1]告訴人!$F$15:$F$372,0),1)</f>
        <v>#N/A</v>
      </c>
      <c r="S456" s="203" t="str">
        <f t="array" ref="S456">IF(OR(C456=[1]告訴人!$F$15:$F$372),"重疊","")</f>
        <v/>
      </c>
    </row>
    <row r="457" spans="1:23" ht="43.5" customHeight="1">
      <c r="A457" s="166">
        <v>454</v>
      </c>
      <c r="B457" s="166" t="s">
        <v>32</v>
      </c>
      <c r="C457" s="166" t="s">
        <v>498</v>
      </c>
      <c r="D457" s="167"/>
      <c r="E457" s="168" t="s">
        <v>136</v>
      </c>
      <c r="F457" s="169">
        <v>2000</v>
      </c>
      <c r="G457" s="168">
        <v>67</v>
      </c>
      <c r="H457" s="169">
        <v>134000</v>
      </c>
      <c r="I457" s="186"/>
      <c r="J457" s="186"/>
      <c r="K457" s="170" t="s">
        <v>2908</v>
      </c>
      <c r="L457" s="170"/>
      <c r="M457" s="175"/>
      <c r="N457" s="172">
        <v>134000</v>
      </c>
      <c r="O457" s="172"/>
      <c r="P457" s="173" t="s">
        <v>2461</v>
      </c>
      <c r="Q457" s="174" t="str">
        <f t="shared" si="7"/>
        <v>註3</v>
      </c>
      <c r="R457" s="203" t="e">
        <f>INDEX([1]告訴人!$D$15:$F$372,MATCH(C457,[1]告訴人!$F$15:$F$372,0),1)</f>
        <v>#N/A</v>
      </c>
      <c r="S457" s="203" t="str">
        <f t="array" ref="S457">IF(OR(C457=[1]告訴人!$F$15:$F$372),"重疊","")</f>
        <v/>
      </c>
    </row>
    <row r="458" spans="1:23" ht="65.25" customHeight="1">
      <c r="A458" s="166">
        <v>455</v>
      </c>
      <c r="B458" s="166" t="s">
        <v>32</v>
      </c>
      <c r="C458" s="166" t="s">
        <v>304</v>
      </c>
      <c r="D458" s="167"/>
      <c r="E458" s="168" t="s">
        <v>136</v>
      </c>
      <c r="F458" s="169">
        <v>5000</v>
      </c>
      <c r="G458" s="168">
        <v>67</v>
      </c>
      <c r="H458" s="169">
        <v>335000</v>
      </c>
      <c r="I458" s="186" t="s">
        <v>2921</v>
      </c>
      <c r="J458" s="186" t="s">
        <v>2921</v>
      </c>
      <c r="K458" s="170" t="s">
        <v>3210</v>
      </c>
      <c r="L458" s="170" t="s">
        <v>3634</v>
      </c>
      <c r="M458" s="175" t="s">
        <v>2907</v>
      </c>
      <c r="N458" s="172"/>
      <c r="O458" s="172">
        <v>335000</v>
      </c>
      <c r="P458" s="173" t="s">
        <v>2463</v>
      </c>
      <c r="Q458" s="174" t="str">
        <f t="shared" si="7"/>
        <v>註4</v>
      </c>
      <c r="R458" s="203">
        <f>INDEX([1]告訴人!$D$15:$F$372,MATCH(C458,[1]告訴人!$F$15:$F$372,0),1)</f>
        <v>333</v>
      </c>
      <c r="S458" s="203" t="str">
        <f t="array" ref="S458">IF(OR(C458=[1]告訴人!$F$15:$F$372),"重疊","")</f>
        <v>重疊</v>
      </c>
      <c r="T458" s="203">
        <v>1</v>
      </c>
    </row>
    <row r="459" spans="1:23" ht="85.65" customHeight="1">
      <c r="A459" s="166">
        <v>456</v>
      </c>
      <c r="B459" s="166" t="s">
        <v>32</v>
      </c>
      <c r="C459" s="166" t="s">
        <v>515</v>
      </c>
      <c r="D459" s="167"/>
      <c r="E459" s="168" t="s">
        <v>136</v>
      </c>
      <c r="F459" s="169">
        <v>2000</v>
      </c>
      <c r="G459" s="168">
        <v>67</v>
      </c>
      <c r="H459" s="169">
        <v>134000</v>
      </c>
      <c r="I459" s="346" t="s">
        <v>2921</v>
      </c>
      <c r="J459" s="346" t="s">
        <v>2921</v>
      </c>
      <c r="K459" s="170" t="s">
        <v>3984</v>
      </c>
      <c r="L459" s="170" t="s">
        <v>3637</v>
      </c>
      <c r="M459" s="175" t="s">
        <v>2907</v>
      </c>
      <c r="N459" s="172"/>
      <c r="O459" s="172">
        <v>134000</v>
      </c>
      <c r="P459" s="173" t="s">
        <v>2463</v>
      </c>
      <c r="Q459" s="174" t="str">
        <f t="shared" si="7"/>
        <v>註4</v>
      </c>
      <c r="R459" s="203">
        <f>INDEX([1]告訴人!$D$15:$F$372,MATCH(C459,[1]告訴人!$F$15:$F$372,0),1)</f>
        <v>269</v>
      </c>
      <c r="S459" s="203" t="str">
        <f t="array" ref="S459">IF(OR(C459=[1]告訴人!$F$15:$F$372),"重疊","")</f>
        <v>重疊</v>
      </c>
      <c r="T459" s="203">
        <v>1</v>
      </c>
    </row>
    <row r="460" spans="1:23">
      <c r="A460" s="166">
        <v>457</v>
      </c>
      <c r="B460" s="166" t="s">
        <v>32</v>
      </c>
      <c r="C460" s="166" t="s">
        <v>3976</v>
      </c>
      <c r="D460" s="167"/>
      <c r="E460" s="168" t="s">
        <v>136</v>
      </c>
      <c r="F460" s="169">
        <v>1000</v>
      </c>
      <c r="G460" s="168">
        <v>67</v>
      </c>
      <c r="H460" s="169">
        <v>67000</v>
      </c>
      <c r="I460" s="186"/>
      <c r="J460" s="186"/>
      <c r="K460" s="170" t="s">
        <v>2908</v>
      </c>
      <c r="L460" s="170"/>
      <c r="M460" s="175"/>
      <c r="N460" s="172">
        <v>67000</v>
      </c>
      <c r="O460" s="172"/>
      <c r="P460" s="173" t="s">
        <v>2461</v>
      </c>
      <c r="Q460" s="174" t="str">
        <f t="shared" si="7"/>
        <v>註3</v>
      </c>
      <c r="R460" s="203" t="e">
        <f>INDEX([1]告訴人!$D$15:$F$372,MATCH(C460,[1]告訴人!$F$15:$F$372,0),1)</f>
        <v>#N/A</v>
      </c>
      <c r="S460" s="203" t="str">
        <f t="array" ref="S460">IF(OR(C460=[1]告訴人!$F$15:$F$372),"重疊","")</f>
        <v/>
      </c>
    </row>
    <row r="461" spans="1:23">
      <c r="A461" s="166">
        <v>458</v>
      </c>
      <c r="B461" s="166" t="s">
        <v>32</v>
      </c>
      <c r="C461" s="166" t="s">
        <v>522</v>
      </c>
      <c r="D461" s="167"/>
      <c r="E461" s="168" t="s">
        <v>136</v>
      </c>
      <c r="F461" s="169">
        <v>20000</v>
      </c>
      <c r="G461" s="168">
        <v>67</v>
      </c>
      <c r="H461" s="169">
        <v>1340000</v>
      </c>
      <c r="I461" s="186"/>
      <c r="J461" s="186"/>
      <c r="K461" s="170" t="s">
        <v>2908</v>
      </c>
      <c r="L461" s="170"/>
      <c r="M461" s="175"/>
      <c r="N461" s="172">
        <v>1340000</v>
      </c>
      <c r="O461" s="172"/>
      <c r="P461" s="173" t="s">
        <v>2461</v>
      </c>
      <c r="Q461" s="174" t="str">
        <f t="shared" si="7"/>
        <v>註3</v>
      </c>
      <c r="R461" s="203" t="e">
        <f>INDEX([1]告訴人!$D$15:$F$372,MATCH(C461,[1]告訴人!$F$15:$F$372,0),1)</f>
        <v>#N/A</v>
      </c>
      <c r="S461" s="203" t="str">
        <f t="array" ref="S461">IF(OR(C461=[1]告訴人!$F$15:$F$372),"重疊","")</f>
        <v/>
      </c>
    </row>
    <row r="462" spans="1:23">
      <c r="A462" s="166">
        <v>459</v>
      </c>
      <c r="B462" s="166" t="s">
        <v>32</v>
      </c>
      <c r="C462" s="166" t="s">
        <v>526</v>
      </c>
      <c r="D462" s="167"/>
      <c r="E462" s="168" t="s">
        <v>136</v>
      </c>
      <c r="F462" s="169">
        <v>3000</v>
      </c>
      <c r="G462" s="168">
        <v>67</v>
      </c>
      <c r="H462" s="169">
        <v>201000</v>
      </c>
      <c r="I462" s="186"/>
      <c r="J462" s="186"/>
      <c r="K462" s="170" t="s">
        <v>2908</v>
      </c>
      <c r="L462" s="170"/>
      <c r="M462" s="175"/>
      <c r="N462" s="172">
        <v>201000</v>
      </c>
      <c r="O462" s="172"/>
      <c r="P462" s="173" t="s">
        <v>2461</v>
      </c>
      <c r="Q462" s="174" t="str">
        <f t="shared" si="7"/>
        <v>註3</v>
      </c>
      <c r="R462" s="203" t="e">
        <f>INDEX([1]告訴人!$D$15:$F$372,MATCH(C462,[1]告訴人!$F$15:$F$372,0),1)</f>
        <v>#N/A</v>
      </c>
      <c r="S462" s="203" t="str">
        <f t="array" ref="S462">IF(OR(C462=[1]告訴人!$F$15:$F$372),"重疊","")</f>
        <v/>
      </c>
    </row>
    <row r="463" spans="1:23" ht="95.15" customHeight="1">
      <c r="A463" s="166">
        <v>460</v>
      </c>
      <c r="B463" s="166" t="s">
        <v>32</v>
      </c>
      <c r="C463" s="166" t="s">
        <v>201</v>
      </c>
      <c r="D463" s="167" t="s">
        <v>2926</v>
      </c>
      <c r="E463" s="168" t="s">
        <v>202</v>
      </c>
      <c r="F463" s="169">
        <v>1000</v>
      </c>
      <c r="G463" s="168">
        <v>25</v>
      </c>
      <c r="H463" s="169">
        <v>25000</v>
      </c>
      <c r="I463" s="186" t="s">
        <v>2922</v>
      </c>
      <c r="J463" s="186" t="s">
        <v>2922</v>
      </c>
      <c r="K463" s="170" t="s">
        <v>3158</v>
      </c>
      <c r="L463" s="170" t="s">
        <v>3696</v>
      </c>
      <c r="M463" s="175" t="s">
        <v>2907</v>
      </c>
      <c r="N463" s="172"/>
      <c r="O463" s="172">
        <v>25000</v>
      </c>
      <c r="P463" s="173" t="s">
        <v>2465</v>
      </c>
      <c r="Q463" s="174" t="str">
        <f t="shared" si="7"/>
        <v>註4</v>
      </c>
      <c r="R463" s="203">
        <f>INDEX([1]告訴人!$D$15:$F$372,MATCH(C463,[1]告訴人!$F$15:$F$372,0),1)</f>
        <v>141</v>
      </c>
      <c r="S463" s="203" t="str">
        <f t="array" ref="S463">IF(OR(C463=[1]告訴人!$F$15:$F$372),"重疊","")</f>
        <v>重疊</v>
      </c>
      <c r="T463" s="203">
        <v>1</v>
      </c>
      <c r="U463" s="203">
        <v>1</v>
      </c>
      <c r="W463" s="203" t="s">
        <v>2907</v>
      </c>
    </row>
    <row r="464" spans="1:23" ht="54" customHeight="1">
      <c r="A464" s="166">
        <v>461</v>
      </c>
      <c r="B464" s="166" t="s">
        <v>32</v>
      </c>
      <c r="C464" s="166" t="s">
        <v>270</v>
      </c>
      <c r="D464" s="167"/>
      <c r="E464" s="168" t="s">
        <v>202</v>
      </c>
      <c r="F464" s="169">
        <v>1000</v>
      </c>
      <c r="G464" s="168">
        <v>25</v>
      </c>
      <c r="H464" s="169">
        <v>25000</v>
      </c>
      <c r="I464" s="186" t="s">
        <v>2922</v>
      </c>
      <c r="J464" s="186" t="s">
        <v>2922</v>
      </c>
      <c r="K464" s="170" t="s">
        <v>3158</v>
      </c>
      <c r="L464" s="170" t="s">
        <v>3624</v>
      </c>
      <c r="M464" s="175" t="s">
        <v>2907</v>
      </c>
      <c r="N464" s="172"/>
      <c r="O464" s="172">
        <v>25000</v>
      </c>
      <c r="P464" s="173" t="s">
        <v>2465</v>
      </c>
      <c r="Q464" s="174" t="str">
        <f t="shared" si="7"/>
        <v>註4</v>
      </c>
      <c r="R464" s="203">
        <f>INDEX([1]告訴人!$D$15:$F$372,MATCH(C464,[1]告訴人!$F$15:$F$372,0),1)</f>
        <v>31</v>
      </c>
      <c r="S464" s="203" t="str">
        <f t="array" ref="S464">IF(OR(C464=[1]告訴人!$F$15:$F$372),"重疊","")</f>
        <v>重疊</v>
      </c>
      <c r="T464" s="203">
        <v>1</v>
      </c>
      <c r="U464" s="203">
        <v>1</v>
      </c>
      <c r="W464" s="203" t="s">
        <v>2907</v>
      </c>
    </row>
    <row r="465" spans="1:23" ht="48.75" customHeight="1">
      <c r="A465" s="166">
        <v>462</v>
      </c>
      <c r="B465" s="166" t="s">
        <v>32</v>
      </c>
      <c r="C465" s="166" t="s">
        <v>270</v>
      </c>
      <c r="D465" s="167"/>
      <c r="E465" s="168" t="s">
        <v>202</v>
      </c>
      <c r="F465" s="169">
        <v>1000</v>
      </c>
      <c r="G465" s="168">
        <v>43</v>
      </c>
      <c r="H465" s="169">
        <v>43000</v>
      </c>
      <c r="I465" s="186" t="s">
        <v>2922</v>
      </c>
      <c r="J465" s="186" t="s">
        <v>2922</v>
      </c>
      <c r="K465" s="170" t="s">
        <v>3158</v>
      </c>
      <c r="L465" s="170" t="s">
        <v>3577</v>
      </c>
      <c r="M465" s="175" t="s">
        <v>2907</v>
      </c>
      <c r="N465" s="172"/>
      <c r="O465" s="172">
        <v>43000</v>
      </c>
      <c r="P465" s="173" t="s">
        <v>2465</v>
      </c>
      <c r="Q465" s="174" t="str">
        <f t="shared" si="7"/>
        <v>註4</v>
      </c>
      <c r="R465" s="203">
        <f>INDEX([1]告訴人!$D$15:$F$372,MATCH(C465,[1]告訴人!$F$15:$F$372,0),1)</f>
        <v>31</v>
      </c>
      <c r="S465" s="203" t="str">
        <f t="array" ref="S465">IF(OR(C465=[1]告訴人!$F$15:$F$372),"重疊","")</f>
        <v>重疊</v>
      </c>
      <c r="T465" s="203">
        <v>1</v>
      </c>
      <c r="U465" s="203">
        <v>1</v>
      </c>
      <c r="W465" s="203" t="s">
        <v>2907</v>
      </c>
    </row>
    <row r="466" spans="1:23" ht="33.5" customHeight="1">
      <c r="A466" s="166">
        <v>463</v>
      </c>
      <c r="B466" s="166" t="s">
        <v>32</v>
      </c>
      <c r="C466" s="166" t="s">
        <v>201</v>
      </c>
      <c r="D466" s="167" t="s">
        <v>2926</v>
      </c>
      <c r="E466" s="168" t="s">
        <v>202</v>
      </c>
      <c r="F466" s="169">
        <v>1000</v>
      </c>
      <c r="G466" s="168">
        <v>67</v>
      </c>
      <c r="H466" s="169">
        <v>67000</v>
      </c>
      <c r="I466" s="186" t="s">
        <v>2922</v>
      </c>
      <c r="J466" s="186" t="s">
        <v>2922</v>
      </c>
      <c r="K466" s="170" t="s">
        <v>3158</v>
      </c>
      <c r="L466" s="170" t="s">
        <v>3714</v>
      </c>
      <c r="M466" s="175" t="s">
        <v>2907</v>
      </c>
      <c r="N466" s="172"/>
      <c r="O466" s="172">
        <v>67000</v>
      </c>
      <c r="P466" s="173" t="s">
        <v>2465</v>
      </c>
      <c r="Q466" s="174" t="str">
        <f t="shared" si="7"/>
        <v>註4</v>
      </c>
      <c r="R466" s="203">
        <f>INDEX([1]告訴人!$D$15:$F$372,MATCH(C466,[1]告訴人!$F$15:$F$372,0),1)</f>
        <v>141</v>
      </c>
      <c r="S466" s="203" t="str">
        <f t="array" ref="S466">IF(OR(C466=[1]告訴人!$F$15:$F$372),"重疊","")</f>
        <v>重疊</v>
      </c>
      <c r="T466" s="203">
        <v>1</v>
      </c>
      <c r="U466" s="203">
        <v>1</v>
      </c>
      <c r="W466" s="203" t="s">
        <v>2907</v>
      </c>
    </row>
    <row r="467" spans="1:23" ht="16.25" customHeight="1">
      <c r="A467" s="166">
        <v>464</v>
      </c>
      <c r="B467" s="166" t="s">
        <v>32</v>
      </c>
      <c r="C467" s="166" t="s">
        <v>245</v>
      </c>
      <c r="D467" s="167"/>
      <c r="E467" s="168" t="s">
        <v>202</v>
      </c>
      <c r="F467" s="169">
        <v>1000</v>
      </c>
      <c r="G467" s="168">
        <v>67</v>
      </c>
      <c r="H467" s="169">
        <v>67000</v>
      </c>
      <c r="I467" s="186"/>
      <c r="J467" s="186"/>
      <c r="K467" s="170" t="s">
        <v>2908</v>
      </c>
      <c r="L467" s="170"/>
      <c r="M467" s="175"/>
      <c r="N467" s="172">
        <v>67000</v>
      </c>
      <c r="O467" s="172"/>
      <c r="P467" s="173" t="s">
        <v>2461</v>
      </c>
      <c r="Q467" s="174" t="str">
        <f t="shared" si="7"/>
        <v>註3</v>
      </c>
      <c r="R467" s="203" t="e">
        <f>INDEX([1]告訴人!$D$15:$F$372,MATCH(C467,[1]告訴人!$F$15:$F$372,0),1)</f>
        <v>#N/A</v>
      </c>
      <c r="S467" s="203" t="str">
        <f t="array" ref="S467">IF(OR(C467=[1]告訴人!$F$15:$F$372),"重疊","")</f>
        <v/>
      </c>
    </row>
    <row r="468" spans="1:23">
      <c r="A468" s="166">
        <v>465</v>
      </c>
      <c r="B468" s="166" t="s">
        <v>32</v>
      </c>
      <c r="C468" s="166" t="s">
        <v>248</v>
      </c>
      <c r="D468" s="167"/>
      <c r="E468" s="168" t="s">
        <v>249</v>
      </c>
      <c r="F468" s="169">
        <v>1000</v>
      </c>
      <c r="G468" s="168">
        <v>25</v>
      </c>
      <c r="H468" s="169">
        <v>25000</v>
      </c>
      <c r="I468" s="186"/>
      <c r="J468" s="186"/>
      <c r="K468" s="170" t="s">
        <v>2908</v>
      </c>
      <c r="L468" s="170"/>
      <c r="M468" s="175"/>
      <c r="N468" s="172">
        <v>25000</v>
      </c>
      <c r="O468" s="172"/>
      <c r="P468" s="173" t="s">
        <v>2461</v>
      </c>
      <c r="Q468" s="174" t="str">
        <f t="shared" si="7"/>
        <v>註3</v>
      </c>
      <c r="R468" s="203" t="e">
        <f>INDEX([1]告訴人!$D$15:$F$372,MATCH(C468,[1]告訴人!$F$15:$F$372,0),1)</f>
        <v>#N/A</v>
      </c>
      <c r="S468" s="203" t="str">
        <f t="array" ref="S468">IF(OR(C468=[1]告訴人!$F$15:$F$372),"重疊","")</f>
        <v/>
      </c>
    </row>
    <row r="469" spans="1:23" ht="18.649999999999999" customHeight="1">
      <c r="A469" s="166">
        <v>466</v>
      </c>
      <c r="B469" s="166" t="s">
        <v>32</v>
      </c>
      <c r="C469" s="166" t="s">
        <v>248</v>
      </c>
      <c r="D469" s="167"/>
      <c r="E469" s="168" t="s">
        <v>249</v>
      </c>
      <c r="F469" s="169">
        <v>1000</v>
      </c>
      <c r="G469" s="168">
        <v>67</v>
      </c>
      <c r="H469" s="169">
        <v>67000</v>
      </c>
      <c r="I469" s="186"/>
      <c r="J469" s="186"/>
      <c r="K469" s="170" t="s">
        <v>2908</v>
      </c>
      <c r="L469" s="170"/>
      <c r="M469" s="175"/>
      <c r="N469" s="172">
        <v>67000</v>
      </c>
      <c r="O469" s="172"/>
      <c r="P469" s="173" t="s">
        <v>2461</v>
      </c>
      <c r="Q469" s="174" t="str">
        <f t="shared" si="7"/>
        <v>註3</v>
      </c>
      <c r="R469" s="203" t="e">
        <f>INDEX([1]告訴人!$D$15:$F$372,MATCH(C469,[1]告訴人!$F$15:$F$372,0),1)</f>
        <v>#N/A</v>
      </c>
      <c r="S469" s="203" t="str">
        <f t="array" ref="S469">IF(OR(C469=[1]告訴人!$F$15:$F$372),"重疊","")</f>
        <v/>
      </c>
    </row>
    <row r="470" spans="1:23">
      <c r="A470" s="166">
        <v>467</v>
      </c>
      <c r="B470" s="166" t="s">
        <v>32</v>
      </c>
      <c r="C470" s="166" t="s">
        <v>512</v>
      </c>
      <c r="D470" s="167"/>
      <c r="E470" s="168" t="s">
        <v>249</v>
      </c>
      <c r="F470" s="169">
        <v>2000</v>
      </c>
      <c r="G470" s="168">
        <v>67</v>
      </c>
      <c r="H470" s="169">
        <v>134000</v>
      </c>
      <c r="I470" s="186"/>
      <c r="J470" s="186"/>
      <c r="K470" s="170" t="s">
        <v>2908</v>
      </c>
      <c r="L470" s="170"/>
      <c r="M470" s="175"/>
      <c r="N470" s="172">
        <v>134000</v>
      </c>
      <c r="O470" s="172"/>
      <c r="P470" s="173" t="s">
        <v>2461</v>
      </c>
      <c r="Q470" s="174" t="str">
        <f t="shared" si="7"/>
        <v>註3</v>
      </c>
      <c r="R470" s="203" t="e">
        <f>INDEX([1]告訴人!$D$15:$F$372,MATCH(C470,[1]告訴人!$F$15:$F$372,0),1)</f>
        <v>#N/A</v>
      </c>
      <c r="S470" s="203" t="str">
        <f t="array" ref="S470">IF(OR(C470=[1]告訴人!$F$15:$F$372),"重疊","")</f>
        <v/>
      </c>
    </row>
    <row r="471" spans="1:23" ht="48" customHeight="1">
      <c r="A471" s="166">
        <v>468</v>
      </c>
      <c r="B471" s="166" t="s">
        <v>32</v>
      </c>
      <c r="C471" s="166" t="s">
        <v>299</v>
      </c>
      <c r="D471" s="167"/>
      <c r="E471" s="168" t="s">
        <v>75</v>
      </c>
      <c r="F471" s="169">
        <v>3000</v>
      </c>
      <c r="G471" s="168">
        <v>25</v>
      </c>
      <c r="H471" s="169">
        <v>75000</v>
      </c>
      <c r="I471" s="186" t="s">
        <v>2921</v>
      </c>
      <c r="J471" s="186" t="s">
        <v>2921</v>
      </c>
      <c r="K471" s="170" t="s">
        <v>3077</v>
      </c>
      <c r="L471" s="170" t="s">
        <v>3594</v>
      </c>
      <c r="M471" s="175" t="s">
        <v>2907</v>
      </c>
      <c r="N471" s="172">
        <v>75000</v>
      </c>
      <c r="O471" s="172"/>
      <c r="P471" s="173" t="s">
        <v>2461</v>
      </c>
      <c r="Q471" s="174" t="str">
        <f t="shared" si="7"/>
        <v>註3</v>
      </c>
      <c r="R471" s="203">
        <f>INDEX([1]告訴人!$D$15:$F$372,MATCH(C471,[1]告訴人!$F$15:$F$372,0),1)</f>
        <v>337</v>
      </c>
      <c r="S471" s="203" t="str">
        <f t="array" ref="S471">IF(OR(C471=[1]告訴人!$F$15:$F$372),"重疊","")</f>
        <v>重疊</v>
      </c>
      <c r="T471" s="203">
        <v>1</v>
      </c>
    </row>
    <row r="472" spans="1:23" ht="95.75" customHeight="1">
      <c r="A472" s="166">
        <v>469</v>
      </c>
      <c r="B472" s="166" t="s">
        <v>32</v>
      </c>
      <c r="C472" s="166" t="s">
        <v>301</v>
      </c>
      <c r="D472" s="167"/>
      <c r="E472" s="168" t="s">
        <v>75</v>
      </c>
      <c r="F472" s="169">
        <v>4000</v>
      </c>
      <c r="G472" s="168">
        <v>25</v>
      </c>
      <c r="H472" s="169">
        <v>100000</v>
      </c>
      <c r="I472" s="186" t="s">
        <v>2921</v>
      </c>
      <c r="J472" s="186" t="s">
        <v>2921</v>
      </c>
      <c r="K472" s="170" t="s">
        <v>3077</v>
      </c>
      <c r="L472" s="170" t="s">
        <v>3697</v>
      </c>
      <c r="M472" s="175" t="s">
        <v>2907</v>
      </c>
      <c r="N472" s="172">
        <v>100000</v>
      </c>
      <c r="O472" s="172"/>
      <c r="P472" s="173" t="s">
        <v>2461</v>
      </c>
      <c r="Q472" s="174" t="str">
        <f t="shared" si="7"/>
        <v>註3</v>
      </c>
      <c r="R472" s="203">
        <f>INDEX([1]告訴人!$D$15:$F$372,MATCH(C472,[1]告訴人!$F$15:$F$372,0),1)</f>
        <v>256</v>
      </c>
      <c r="S472" s="203" t="str">
        <f t="array" ref="S472">IF(OR(C472=[1]告訴人!$F$15:$F$372),"重疊","")</f>
        <v>重疊</v>
      </c>
      <c r="T472" s="203">
        <v>1</v>
      </c>
    </row>
    <row r="473" spans="1:23">
      <c r="A473" s="166">
        <v>470</v>
      </c>
      <c r="B473" s="166" t="s">
        <v>32</v>
      </c>
      <c r="C473" s="166" t="s">
        <v>376</v>
      </c>
      <c r="D473" s="167"/>
      <c r="E473" s="168" t="s">
        <v>377</v>
      </c>
      <c r="F473" s="169">
        <v>6000</v>
      </c>
      <c r="G473" s="168">
        <v>67</v>
      </c>
      <c r="H473" s="169">
        <v>402000</v>
      </c>
      <c r="I473" s="186"/>
      <c r="J473" s="186"/>
      <c r="K473" s="170" t="s">
        <v>2908</v>
      </c>
      <c r="L473" s="170"/>
      <c r="M473" s="175"/>
      <c r="N473" s="172">
        <v>402000</v>
      </c>
      <c r="O473" s="172"/>
      <c r="P473" s="173" t="s">
        <v>2461</v>
      </c>
      <c r="Q473" s="174" t="str">
        <f t="shared" si="7"/>
        <v>註3</v>
      </c>
      <c r="R473" s="203" t="e">
        <f>INDEX([1]告訴人!$D$15:$F$372,MATCH(C473,[1]告訴人!$F$15:$F$372,0),1)</f>
        <v>#N/A</v>
      </c>
      <c r="S473" s="203" t="str">
        <f t="array" ref="S473">IF(OR(C473=[1]告訴人!$F$15:$F$372),"重疊","")</f>
        <v/>
      </c>
    </row>
    <row r="474" spans="1:23" ht="17.5" customHeight="1">
      <c r="A474" s="166">
        <v>471</v>
      </c>
      <c r="B474" s="166" t="s">
        <v>32</v>
      </c>
      <c r="C474" s="166" t="s">
        <v>459</v>
      </c>
      <c r="D474" s="167"/>
      <c r="E474" s="168" t="s">
        <v>377</v>
      </c>
      <c r="F474" s="169">
        <v>1000</v>
      </c>
      <c r="G474" s="168">
        <v>67</v>
      </c>
      <c r="H474" s="169">
        <v>67000</v>
      </c>
      <c r="I474" s="186"/>
      <c r="J474" s="186"/>
      <c r="K474" s="170" t="s">
        <v>2908</v>
      </c>
      <c r="L474" s="170"/>
      <c r="M474" s="175"/>
      <c r="N474" s="172">
        <v>67000</v>
      </c>
      <c r="O474" s="172"/>
      <c r="P474" s="173" t="s">
        <v>2461</v>
      </c>
      <c r="Q474" s="174" t="str">
        <f t="shared" si="7"/>
        <v>註3</v>
      </c>
      <c r="R474" s="203" t="e">
        <f>INDEX([1]告訴人!$D$15:$F$372,MATCH(C474,[1]告訴人!$F$15:$F$372,0),1)</f>
        <v>#N/A</v>
      </c>
      <c r="S474" s="203" t="str">
        <f t="array" ref="S474">IF(OR(C474=[1]告訴人!$F$15:$F$372),"重疊","")</f>
        <v/>
      </c>
    </row>
    <row r="475" spans="1:23" ht="116" customHeight="1">
      <c r="A475" s="166">
        <v>472</v>
      </c>
      <c r="B475" s="166" t="s">
        <v>32</v>
      </c>
      <c r="C475" s="166" t="s">
        <v>491</v>
      </c>
      <c r="D475" s="167"/>
      <c r="E475" s="168" t="s">
        <v>377</v>
      </c>
      <c r="F475" s="169">
        <v>2000</v>
      </c>
      <c r="G475" s="168">
        <v>67</v>
      </c>
      <c r="H475" s="169">
        <v>134000</v>
      </c>
      <c r="I475" s="186" t="s">
        <v>2921</v>
      </c>
      <c r="J475" s="186" t="s">
        <v>2921</v>
      </c>
      <c r="K475" s="170" t="s">
        <v>3211</v>
      </c>
      <c r="L475" s="170" t="s">
        <v>2984</v>
      </c>
      <c r="M475" s="175" t="s">
        <v>2907</v>
      </c>
      <c r="N475" s="172">
        <v>134000</v>
      </c>
      <c r="O475" s="172"/>
      <c r="P475" s="173" t="s">
        <v>2461</v>
      </c>
      <c r="Q475" s="174" t="str">
        <f t="shared" si="7"/>
        <v>註3</v>
      </c>
      <c r="R475" s="203">
        <f>INDEX([1]告訴人!$D$15:$F$372,MATCH(C475,[1]告訴人!$F$15:$F$372,0),1)</f>
        <v>14</v>
      </c>
      <c r="S475" s="203" t="str">
        <f t="array" ref="S475">IF(OR(C475=[1]告訴人!$F$15:$F$372),"重疊","")</f>
        <v>重疊</v>
      </c>
      <c r="T475" s="203">
        <v>1</v>
      </c>
      <c r="V475" s="203">
        <v>1</v>
      </c>
    </row>
    <row r="476" spans="1:23">
      <c r="A476" s="166">
        <v>473</v>
      </c>
      <c r="B476" s="166" t="s">
        <v>32</v>
      </c>
      <c r="C476" s="166" t="s">
        <v>323</v>
      </c>
      <c r="D476" s="167"/>
      <c r="E476" s="168" t="s">
        <v>324</v>
      </c>
      <c r="F476" s="169">
        <v>1000</v>
      </c>
      <c r="G476" s="168">
        <v>25</v>
      </c>
      <c r="H476" s="169">
        <v>25000</v>
      </c>
      <c r="I476" s="186"/>
      <c r="J476" s="186"/>
      <c r="K476" s="170" t="s">
        <v>2908</v>
      </c>
      <c r="L476" s="170"/>
      <c r="M476" s="175"/>
      <c r="N476" s="172">
        <v>25000</v>
      </c>
      <c r="O476" s="172"/>
      <c r="P476" s="173" t="s">
        <v>2461</v>
      </c>
      <c r="Q476" s="174" t="str">
        <f t="shared" si="7"/>
        <v>註3</v>
      </c>
      <c r="R476" s="203" t="e">
        <f>INDEX([1]告訴人!$D$15:$F$372,MATCH(C476,[1]告訴人!$F$15:$F$372,0),1)</f>
        <v>#N/A</v>
      </c>
      <c r="S476" s="203" t="str">
        <f t="array" ref="S476">IF(OR(C476=[1]告訴人!$F$15:$F$372),"重疊","")</f>
        <v/>
      </c>
    </row>
    <row r="477" spans="1:23">
      <c r="A477" s="166">
        <v>474</v>
      </c>
      <c r="B477" s="166" t="s">
        <v>32</v>
      </c>
      <c r="C477" s="166" t="s">
        <v>326</v>
      </c>
      <c r="D477" s="167"/>
      <c r="E477" s="168" t="s">
        <v>324</v>
      </c>
      <c r="F477" s="169">
        <v>1000</v>
      </c>
      <c r="G477" s="168">
        <v>25</v>
      </c>
      <c r="H477" s="169">
        <v>25000</v>
      </c>
      <c r="I477" s="186"/>
      <c r="J477" s="186"/>
      <c r="K477" s="170" t="s">
        <v>2908</v>
      </c>
      <c r="L477" s="170"/>
      <c r="M477" s="175"/>
      <c r="N477" s="172">
        <v>25000</v>
      </c>
      <c r="O477" s="172"/>
      <c r="P477" s="173" t="s">
        <v>2461</v>
      </c>
      <c r="Q477" s="174" t="str">
        <f t="shared" si="7"/>
        <v>註3</v>
      </c>
      <c r="R477" s="203" t="e">
        <f>INDEX([1]告訴人!$D$15:$F$372,MATCH(C477,[1]告訴人!$F$15:$F$372,0),1)</f>
        <v>#N/A</v>
      </c>
      <c r="S477" s="203" t="str">
        <f t="array" ref="S477">IF(OR(C477=[1]告訴人!$F$15:$F$372),"重疊","")</f>
        <v/>
      </c>
    </row>
    <row r="478" spans="1:23">
      <c r="A478" s="166">
        <v>475</v>
      </c>
      <c r="B478" s="166" t="s">
        <v>32</v>
      </c>
      <c r="C478" s="166" t="s">
        <v>323</v>
      </c>
      <c r="D478" s="167"/>
      <c r="E478" s="168" t="s">
        <v>324</v>
      </c>
      <c r="F478" s="169">
        <v>3000</v>
      </c>
      <c r="G478" s="168">
        <v>67</v>
      </c>
      <c r="H478" s="169">
        <v>201000</v>
      </c>
      <c r="I478" s="186"/>
      <c r="J478" s="186"/>
      <c r="K478" s="170" t="s">
        <v>2908</v>
      </c>
      <c r="L478" s="170"/>
      <c r="M478" s="175"/>
      <c r="N478" s="172">
        <v>201000</v>
      </c>
      <c r="O478" s="172"/>
      <c r="P478" s="173" t="s">
        <v>2461</v>
      </c>
      <c r="Q478" s="174" t="str">
        <f t="shared" si="7"/>
        <v>註3</v>
      </c>
      <c r="R478" s="203" t="e">
        <f>INDEX([1]告訴人!$D$15:$F$372,MATCH(C478,[1]告訴人!$F$15:$F$372,0),1)</f>
        <v>#N/A</v>
      </c>
      <c r="S478" s="203" t="str">
        <f t="array" ref="S478">IF(OR(C478=[1]告訴人!$F$15:$F$372),"重疊","")</f>
        <v/>
      </c>
    </row>
    <row r="479" spans="1:23" ht="16.25" customHeight="1">
      <c r="A479" s="166">
        <v>476</v>
      </c>
      <c r="B479" s="166" t="s">
        <v>32</v>
      </c>
      <c r="C479" s="166" t="s">
        <v>326</v>
      </c>
      <c r="D479" s="167"/>
      <c r="E479" s="168" t="s">
        <v>324</v>
      </c>
      <c r="F479" s="169">
        <v>2000</v>
      </c>
      <c r="G479" s="168">
        <v>67</v>
      </c>
      <c r="H479" s="169">
        <v>134000</v>
      </c>
      <c r="I479" s="186"/>
      <c r="J479" s="186"/>
      <c r="K479" s="170" t="s">
        <v>2908</v>
      </c>
      <c r="L479" s="170"/>
      <c r="M479" s="175"/>
      <c r="N479" s="172">
        <v>134000</v>
      </c>
      <c r="O479" s="172"/>
      <c r="P479" s="173" t="s">
        <v>2461</v>
      </c>
      <c r="Q479" s="174" t="str">
        <f t="shared" si="7"/>
        <v>註3</v>
      </c>
      <c r="R479" s="203" t="e">
        <f>INDEX([1]告訴人!$D$15:$F$372,MATCH(C479,[1]告訴人!$F$15:$F$372,0),1)</f>
        <v>#N/A</v>
      </c>
      <c r="S479" s="203" t="str">
        <f t="array" ref="S479">IF(OR(C479=[1]告訴人!$F$15:$F$372),"重疊","")</f>
        <v/>
      </c>
    </row>
    <row r="480" spans="1:23" ht="43.5" customHeight="1">
      <c r="A480" s="166">
        <v>477</v>
      </c>
      <c r="B480" s="166" t="s">
        <v>32</v>
      </c>
      <c r="C480" s="166" t="s">
        <v>130</v>
      </c>
      <c r="D480" s="167" t="s">
        <v>2926</v>
      </c>
      <c r="E480" s="168" t="s">
        <v>76</v>
      </c>
      <c r="F480" s="169">
        <v>1000</v>
      </c>
      <c r="G480" s="168">
        <v>25</v>
      </c>
      <c r="H480" s="169">
        <v>25000</v>
      </c>
      <c r="I480" s="186" t="s">
        <v>2922</v>
      </c>
      <c r="J480" s="186" t="s">
        <v>2922</v>
      </c>
      <c r="K480" s="170" t="s">
        <v>3158</v>
      </c>
      <c r="L480" s="170" t="s">
        <v>3624</v>
      </c>
      <c r="M480" s="175" t="s">
        <v>2907</v>
      </c>
      <c r="N480" s="172"/>
      <c r="O480" s="172">
        <v>25000</v>
      </c>
      <c r="P480" s="173" t="s">
        <v>2465</v>
      </c>
      <c r="Q480" s="174" t="str">
        <f t="shared" si="7"/>
        <v>註4</v>
      </c>
      <c r="R480" s="203">
        <f>INDEX([1]告訴人!$D$15:$F$372,MATCH(C480,[1]告訴人!$F$15:$F$372,0),1)</f>
        <v>258</v>
      </c>
      <c r="S480" s="203" t="str">
        <f t="array" ref="S480">IF(OR(C480=[1]告訴人!$F$15:$F$372),"重疊","")</f>
        <v>重疊</v>
      </c>
      <c r="T480" s="203">
        <v>1</v>
      </c>
      <c r="U480" s="203">
        <v>1</v>
      </c>
      <c r="W480" s="203" t="s">
        <v>2907</v>
      </c>
    </row>
    <row r="481" spans="1:23">
      <c r="A481" s="166">
        <v>478</v>
      </c>
      <c r="B481" s="166" t="s">
        <v>32</v>
      </c>
      <c r="C481" s="166" t="s">
        <v>209</v>
      </c>
      <c r="D481" s="167"/>
      <c r="E481" s="168" t="s">
        <v>76</v>
      </c>
      <c r="F481" s="169">
        <v>2000</v>
      </c>
      <c r="G481" s="168">
        <v>25</v>
      </c>
      <c r="H481" s="169">
        <v>50000</v>
      </c>
      <c r="I481" s="186"/>
      <c r="J481" s="186"/>
      <c r="K481" s="170" t="s">
        <v>2908</v>
      </c>
      <c r="L481" s="170"/>
      <c r="M481" s="175"/>
      <c r="N481" s="172">
        <v>50000</v>
      </c>
      <c r="O481" s="172"/>
      <c r="P481" s="173" t="s">
        <v>2461</v>
      </c>
      <c r="Q481" s="174" t="str">
        <f t="shared" si="7"/>
        <v>註3</v>
      </c>
      <c r="R481" s="203" t="e">
        <f>INDEX([1]告訴人!$D$15:$F$372,MATCH(C481,[1]告訴人!$F$15:$F$372,0),1)</f>
        <v>#N/A</v>
      </c>
      <c r="S481" s="203" t="str">
        <f t="array" ref="S481">IF(OR(C481=[1]告訴人!$F$15:$F$372),"重疊","")</f>
        <v/>
      </c>
    </row>
    <row r="482" spans="1:23" ht="46.5" customHeight="1">
      <c r="A482" s="166">
        <v>479</v>
      </c>
      <c r="B482" s="166" t="s">
        <v>32</v>
      </c>
      <c r="C482" s="166" t="s">
        <v>2926</v>
      </c>
      <c r="D482" s="167" t="s">
        <v>2926</v>
      </c>
      <c r="E482" s="168" t="s">
        <v>76</v>
      </c>
      <c r="F482" s="169">
        <v>1000</v>
      </c>
      <c r="G482" s="168">
        <v>43</v>
      </c>
      <c r="H482" s="169">
        <v>43000</v>
      </c>
      <c r="I482" s="186" t="s">
        <v>2922</v>
      </c>
      <c r="J482" s="186" t="s">
        <v>2922</v>
      </c>
      <c r="K482" s="170" t="s">
        <v>3158</v>
      </c>
      <c r="L482" s="170" t="s">
        <v>3577</v>
      </c>
      <c r="M482" s="175" t="s">
        <v>2907</v>
      </c>
      <c r="N482" s="172"/>
      <c r="O482" s="172">
        <v>43000</v>
      </c>
      <c r="P482" s="173" t="s">
        <v>2465</v>
      </c>
      <c r="Q482" s="174" t="str">
        <f t="shared" si="7"/>
        <v>註4</v>
      </c>
      <c r="R482" s="203">
        <f>INDEX([1]告訴人!$D$15:$F$372,MATCH(C482,[1]告訴人!$F$15:$F$372,0),1)</f>
        <v>258</v>
      </c>
      <c r="S482" s="203" t="str">
        <f t="array" ref="S482">IF(OR(C482=[1]告訴人!$F$15:$F$372),"重疊","")</f>
        <v>重疊</v>
      </c>
      <c r="T482" s="203">
        <v>1</v>
      </c>
      <c r="U482" s="203">
        <v>1</v>
      </c>
      <c r="W482" s="203" t="s">
        <v>2907</v>
      </c>
    </row>
    <row r="483" spans="1:23">
      <c r="A483" s="166">
        <v>480</v>
      </c>
      <c r="B483" s="166" t="s">
        <v>32</v>
      </c>
      <c r="C483" s="166" t="s">
        <v>359</v>
      </c>
      <c r="D483" s="167"/>
      <c r="E483" s="168" t="s">
        <v>76</v>
      </c>
      <c r="F483" s="169">
        <v>2000</v>
      </c>
      <c r="G483" s="168">
        <v>67</v>
      </c>
      <c r="H483" s="169">
        <v>134000</v>
      </c>
      <c r="I483" s="186"/>
      <c r="J483" s="186"/>
      <c r="K483" s="170" t="s">
        <v>2908</v>
      </c>
      <c r="L483" s="170"/>
      <c r="M483" s="175"/>
      <c r="N483" s="172">
        <v>134000</v>
      </c>
      <c r="O483" s="172"/>
      <c r="P483" s="173" t="s">
        <v>2461</v>
      </c>
      <c r="Q483" s="174" t="str">
        <f t="shared" si="7"/>
        <v>註3</v>
      </c>
      <c r="R483" s="203" t="e">
        <f>INDEX([1]告訴人!$D$15:$F$372,MATCH(C483,[1]告訴人!$F$15:$F$372,0),1)</f>
        <v>#N/A</v>
      </c>
      <c r="S483" s="203" t="str">
        <f t="array" ref="S483">IF(OR(C483=[1]告訴人!$F$15:$F$372),"重疊","")</f>
        <v/>
      </c>
    </row>
    <row r="484" spans="1:23">
      <c r="A484" s="166">
        <v>481</v>
      </c>
      <c r="B484" s="166" t="s">
        <v>32</v>
      </c>
      <c r="C484" s="166" t="s">
        <v>153</v>
      </c>
      <c r="D484" s="167"/>
      <c r="E484" s="168" t="s">
        <v>76</v>
      </c>
      <c r="F484" s="169">
        <v>5000</v>
      </c>
      <c r="G484" s="168">
        <v>67</v>
      </c>
      <c r="H484" s="169">
        <v>335000</v>
      </c>
      <c r="I484" s="186"/>
      <c r="J484" s="186"/>
      <c r="K484" s="170" t="s">
        <v>2908</v>
      </c>
      <c r="L484" s="170"/>
      <c r="M484" s="175"/>
      <c r="N484" s="172">
        <v>335000</v>
      </c>
      <c r="O484" s="172"/>
      <c r="P484" s="173" t="s">
        <v>2461</v>
      </c>
      <c r="Q484" s="174" t="str">
        <f t="shared" si="7"/>
        <v>註3</v>
      </c>
      <c r="R484" s="203" t="e">
        <f>INDEX([1]告訴人!$D$15:$F$372,MATCH(C484,[1]告訴人!$F$15:$F$372,0),1)</f>
        <v>#N/A</v>
      </c>
      <c r="S484" s="203" t="str">
        <f t="array" ref="S484">IF(OR(C484=[1]告訴人!$F$15:$F$372),"重疊","")</f>
        <v/>
      </c>
    </row>
    <row r="485" spans="1:23" ht="16.25" customHeight="1">
      <c r="A485" s="166">
        <v>482</v>
      </c>
      <c r="B485" s="166" t="s">
        <v>32</v>
      </c>
      <c r="C485" s="166" t="s">
        <v>165</v>
      </c>
      <c r="D485" s="167"/>
      <c r="E485" s="168" t="s">
        <v>76</v>
      </c>
      <c r="F485" s="169">
        <v>1000</v>
      </c>
      <c r="G485" s="168">
        <v>67</v>
      </c>
      <c r="H485" s="169">
        <v>67000</v>
      </c>
      <c r="I485" s="186"/>
      <c r="J485" s="186"/>
      <c r="K485" s="170" t="s">
        <v>2908</v>
      </c>
      <c r="L485" s="170"/>
      <c r="M485" s="175"/>
      <c r="N485" s="172">
        <v>67000</v>
      </c>
      <c r="O485" s="172"/>
      <c r="P485" s="173" t="s">
        <v>2461</v>
      </c>
      <c r="Q485" s="174" t="str">
        <f t="shared" si="7"/>
        <v>註3</v>
      </c>
      <c r="R485" s="203" t="e">
        <f>INDEX([1]告訴人!$D$15:$F$372,MATCH(C485,[1]告訴人!$F$15:$F$372,0),1)</f>
        <v>#N/A</v>
      </c>
      <c r="S485" s="203" t="str">
        <f t="array" ref="S485">IF(OR(C485=[1]告訴人!$F$15:$F$372),"重疊","")</f>
        <v/>
      </c>
    </row>
    <row r="486" spans="1:23" ht="17.899999999999999" customHeight="1">
      <c r="A486" s="166">
        <v>483</v>
      </c>
      <c r="B486" s="166" t="s">
        <v>32</v>
      </c>
      <c r="C486" s="166" t="s">
        <v>405</v>
      </c>
      <c r="D486" s="167"/>
      <c r="E486" s="168" t="s">
        <v>76</v>
      </c>
      <c r="F486" s="169">
        <v>2000</v>
      </c>
      <c r="G486" s="168">
        <v>67</v>
      </c>
      <c r="H486" s="169">
        <v>134000</v>
      </c>
      <c r="I486" s="186"/>
      <c r="J486" s="186"/>
      <c r="K486" s="170" t="s">
        <v>2908</v>
      </c>
      <c r="L486" s="170"/>
      <c r="M486" s="175"/>
      <c r="N486" s="172">
        <v>134000</v>
      </c>
      <c r="O486" s="172"/>
      <c r="P486" s="173" t="s">
        <v>2461</v>
      </c>
      <c r="Q486" s="174" t="str">
        <f t="shared" si="7"/>
        <v>註3</v>
      </c>
      <c r="R486" s="203" t="e">
        <f>INDEX([1]告訴人!$D$15:$F$372,MATCH(C486,[1]告訴人!$F$15:$F$372,0),1)</f>
        <v>#N/A</v>
      </c>
      <c r="S486" s="203" t="str">
        <f t="array" ref="S486">IF(OR(C486=[1]告訴人!$F$15:$F$372),"重疊","")</f>
        <v/>
      </c>
    </row>
    <row r="487" spans="1:23" ht="17.899999999999999" customHeight="1">
      <c r="A487" s="166">
        <v>484</v>
      </c>
      <c r="B487" s="166" t="s">
        <v>32</v>
      </c>
      <c r="C487" s="166" t="s">
        <v>209</v>
      </c>
      <c r="D487" s="167"/>
      <c r="E487" s="168" t="s">
        <v>76</v>
      </c>
      <c r="F487" s="169">
        <v>4000</v>
      </c>
      <c r="G487" s="168">
        <v>67</v>
      </c>
      <c r="H487" s="169">
        <v>268000</v>
      </c>
      <c r="I487" s="186"/>
      <c r="J487" s="186"/>
      <c r="K487" s="170" t="s">
        <v>2908</v>
      </c>
      <c r="L487" s="170"/>
      <c r="M487" s="175"/>
      <c r="N487" s="172">
        <v>268000</v>
      </c>
      <c r="O487" s="172"/>
      <c r="P487" s="173" t="s">
        <v>2461</v>
      </c>
      <c r="Q487" s="174" t="str">
        <f t="shared" si="7"/>
        <v>註3</v>
      </c>
      <c r="R487" s="203" t="e">
        <f>INDEX([1]告訴人!$D$15:$F$372,MATCH(C487,[1]告訴人!$F$15:$F$372,0),1)</f>
        <v>#N/A</v>
      </c>
      <c r="S487" s="203" t="str">
        <f t="array" ref="S487">IF(OR(C487=[1]告訴人!$F$15:$F$372),"重疊","")</f>
        <v/>
      </c>
    </row>
    <row r="488" spans="1:23" ht="17.899999999999999" customHeight="1">
      <c r="A488" s="166">
        <v>485</v>
      </c>
      <c r="B488" s="166" t="s">
        <v>32</v>
      </c>
      <c r="C488" s="166" t="s">
        <v>486</v>
      </c>
      <c r="D488" s="167"/>
      <c r="E488" s="168" t="s">
        <v>76</v>
      </c>
      <c r="F488" s="169">
        <v>2000</v>
      </c>
      <c r="G488" s="168">
        <v>67</v>
      </c>
      <c r="H488" s="169">
        <v>134000</v>
      </c>
      <c r="I488" s="186"/>
      <c r="J488" s="186"/>
      <c r="K488" s="170" t="s">
        <v>2908</v>
      </c>
      <c r="L488" s="170"/>
      <c r="M488" s="175"/>
      <c r="N488" s="172">
        <v>134000</v>
      </c>
      <c r="O488" s="172"/>
      <c r="P488" s="173" t="s">
        <v>2461</v>
      </c>
      <c r="Q488" s="174" t="str">
        <f t="shared" si="7"/>
        <v>註3</v>
      </c>
      <c r="R488" s="203" t="e">
        <f>INDEX([1]告訴人!$D$15:$F$372,MATCH(C488,[1]告訴人!$F$15:$F$372,0),1)</f>
        <v>#N/A</v>
      </c>
      <c r="S488" s="203" t="str">
        <f t="array" ref="S488">IF(OR(C488=[1]告訴人!$F$15:$F$372),"重疊","")</f>
        <v/>
      </c>
    </row>
    <row r="489" spans="1:23" ht="17.899999999999999" customHeight="1">
      <c r="A489" s="166">
        <v>486</v>
      </c>
      <c r="B489" s="166" t="s">
        <v>32</v>
      </c>
      <c r="C489" s="166" t="s">
        <v>245</v>
      </c>
      <c r="D489" s="167"/>
      <c r="E489" s="168" t="s">
        <v>77</v>
      </c>
      <c r="F489" s="169">
        <v>1000</v>
      </c>
      <c r="G489" s="168">
        <v>25</v>
      </c>
      <c r="H489" s="169">
        <v>25000</v>
      </c>
      <c r="I489" s="186"/>
      <c r="J489" s="186"/>
      <c r="K489" s="170" t="s">
        <v>2908</v>
      </c>
      <c r="L489" s="170"/>
      <c r="M489" s="175"/>
      <c r="N489" s="172">
        <v>25000</v>
      </c>
      <c r="O489" s="172"/>
      <c r="P489" s="173" t="s">
        <v>2461</v>
      </c>
      <c r="Q489" s="174" t="str">
        <f t="shared" si="7"/>
        <v>註3</v>
      </c>
      <c r="R489" s="203" t="e">
        <f>INDEX([1]告訴人!$D$15:$F$372,MATCH(C489,[1]告訴人!$F$15:$F$372,0),1)</f>
        <v>#N/A</v>
      </c>
      <c r="S489" s="203" t="str">
        <f t="array" ref="S489">IF(OR(C489=[1]告訴人!$F$15:$F$372),"重疊","")</f>
        <v/>
      </c>
    </row>
    <row r="490" spans="1:23" ht="79" customHeight="1">
      <c r="A490" s="166">
        <v>487</v>
      </c>
      <c r="B490" s="166" t="s">
        <v>32</v>
      </c>
      <c r="C490" s="166" t="s">
        <v>418</v>
      </c>
      <c r="D490" s="167"/>
      <c r="E490" s="168" t="s">
        <v>77</v>
      </c>
      <c r="F490" s="169">
        <v>2000</v>
      </c>
      <c r="G490" s="168">
        <v>67</v>
      </c>
      <c r="H490" s="169">
        <v>134000</v>
      </c>
      <c r="I490" s="186" t="s">
        <v>2921</v>
      </c>
      <c r="J490" s="186" t="s">
        <v>2921</v>
      </c>
      <c r="K490" s="170" t="s">
        <v>3212</v>
      </c>
      <c r="L490" s="170" t="s">
        <v>3638</v>
      </c>
      <c r="M490" s="175" t="s">
        <v>2907</v>
      </c>
      <c r="N490" s="172">
        <v>134000</v>
      </c>
      <c r="O490" s="172"/>
      <c r="P490" s="173" t="s">
        <v>2461</v>
      </c>
      <c r="Q490" s="174" t="str">
        <f t="shared" si="7"/>
        <v>註3</v>
      </c>
      <c r="R490" s="203">
        <f>INDEX([1]告訴人!$D$15:$F$372,MATCH(C490,[1]告訴人!$F$15:$F$372,0),1)</f>
        <v>276</v>
      </c>
      <c r="S490" s="203" t="str">
        <f t="array" ref="S490">IF(OR(C490=[1]告訴人!$F$15:$F$372),"重疊","")</f>
        <v>重疊</v>
      </c>
      <c r="T490" s="203">
        <v>1</v>
      </c>
      <c r="V490" s="203">
        <v>1</v>
      </c>
    </row>
    <row r="491" spans="1:23" ht="84" customHeight="1">
      <c r="A491" s="166">
        <v>488</v>
      </c>
      <c r="B491" s="166" t="s">
        <v>32</v>
      </c>
      <c r="C491" s="166" t="s">
        <v>437</v>
      </c>
      <c r="D491" s="167"/>
      <c r="E491" s="168" t="s">
        <v>77</v>
      </c>
      <c r="F491" s="169">
        <v>1000</v>
      </c>
      <c r="G491" s="168">
        <v>67</v>
      </c>
      <c r="H491" s="169">
        <v>67000</v>
      </c>
      <c r="I491" s="186" t="s">
        <v>2921</v>
      </c>
      <c r="J491" s="186" t="s">
        <v>2921</v>
      </c>
      <c r="K491" s="170" t="s">
        <v>3154</v>
      </c>
      <c r="L491" s="170" t="s">
        <v>3639</v>
      </c>
      <c r="M491" s="175" t="s">
        <v>2907</v>
      </c>
      <c r="N491" s="172">
        <v>67000</v>
      </c>
      <c r="O491" s="172"/>
      <c r="P491" s="173" t="s">
        <v>2461</v>
      </c>
      <c r="Q491" s="174" t="str">
        <f t="shared" si="7"/>
        <v>註3</v>
      </c>
      <c r="R491" s="203">
        <f>INDEX([1]告訴人!$D$15:$F$372,MATCH(C491,[1]告訴人!$F$15:$F$372,0),1)</f>
        <v>330</v>
      </c>
      <c r="S491" s="203" t="str">
        <f t="array" ref="S491">IF(OR(C491=[1]告訴人!$F$15:$F$372),"重疊","")</f>
        <v>重疊</v>
      </c>
      <c r="T491" s="203">
        <v>1</v>
      </c>
      <c r="V491" s="203">
        <v>1</v>
      </c>
    </row>
    <row r="492" spans="1:23" ht="18.25" customHeight="1">
      <c r="A492" s="166">
        <v>489</v>
      </c>
      <c r="B492" s="166" t="s">
        <v>32</v>
      </c>
      <c r="C492" s="166" t="s">
        <v>177</v>
      </c>
      <c r="D492" s="167"/>
      <c r="E492" s="168" t="s">
        <v>110</v>
      </c>
      <c r="F492" s="169">
        <v>1000</v>
      </c>
      <c r="G492" s="168">
        <v>25</v>
      </c>
      <c r="H492" s="169">
        <v>25000</v>
      </c>
      <c r="I492" s="186"/>
      <c r="J492" s="186"/>
      <c r="K492" s="170" t="s">
        <v>2908</v>
      </c>
      <c r="L492" s="170"/>
      <c r="M492" s="175"/>
      <c r="N492" s="172">
        <v>25000</v>
      </c>
      <c r="O492" s="172"/>
      <c r="P492" s="173" t="s">
        <v>2461</v>
      </c>
      <c r="Q492" s="174" t="str">
        <f t="shared" si="7"/>
        <v>註3</v>
      </c>
      <c r="R492" s="203" t="e">
        <f>INDEX([1]告訴人!$D$15:$F$372,MATCH(C492,[1]告訴人!$F$15:$F$372,0),1)</f>
        <v>#N/A</v>
      </c>
      <c r="S492" s="203" t="str">
        <f t="array" ref="S492">IF(OR(C492=[1]告訴人!$F$15:$F$372),"重疊","")</f>
        <v/>
      </c>
    </row>
    <row r="493" spans="1:23" ht="18.25" customHeight="1">
      <c r="A493" s="166">
        <v>490</v>
      </c>
      <c r="B493" s="166" t="s">
        <v>32</v>
      </c>
      <c r="C493" s="166" t="s">
        <v>177</v>
      </c>
      <c r="D493" s="167"/>
      <c r="E493" s="168" t="s">
        <v>110</v>
      </c>
      <c r="F493" s="169">
        <v>1000</v>
      </c>
      <c r="G493" s="168">
        <v>25</v>
      </c>
      <c r="H493" s="169">
        <v>25000</v>
      </c>
      <c r="I493" s="186"/>
      <c r="J493" s="186"/>
      <c r="K493" s="170" t="s">
        <v>2908</v>
      </c>
      <c r="L493" s="170"/>
      <c r="M493" s="175"/>
      <c r="N493" s="172">
        <v>25000</v>
      </c>
      <c r="O493" s="172"/>
      <c r="P493" s="173" t="s">
        <v>2461</v>
      </c>
      <c r="Q493" s="174" t="str">
        <f t="shared" si="7"/>
        <v>註3</v>
      </c>
      <c r="R493" s="203" t="e">
        <f>INDEX([1]告訴人!$D$15:$F$372,MATCH(C493,[1]告訴人!$F$15:$F$372,0),1)</f>
        <v>#N/A</v>
      </c>
      <c r="S493" s="203" t="str">
        <f t="array" ref="S493">IF(OR(C493=[1]告訴人!$F$15:$F$372),"重疊","")</f>
        <v/>
      </c>
    </row>
    <row r="494" spans="1:23" ht="18.25" customHeight="1">
      <c r="A494" s="166">
        <v>491</v>
      </c>
      <c r="B494" s="166" t="s">
        <v>32</v>
      </c>
      <c r="C494" s="166" t="s">
        <v>241</v>
      </c>
      <c r="D494" s="167"/>
      <c r="E494" s="168" t="s">
        <v>110</v>
      </c>
      <c r="F494" s="169">
        <v>3000</v>
      </c>
      <c r="G494" s="168">
        <v>25</v>
      </c>
      <c r="H494" s="169">
        <v>75000</v>
      </c>
      <c r="I494" s="186"/>
      <c r="J494" s="186"/>
      <c r="K494" s="170" t="s">
        <v>2908</v>
      </c>
      <c r="L494" s="170"/>
      <c r="M494" s="175"/>
      <c r="N494" s="172">
        <v>75000</v>
      </c>
      <c r="O494" s="172"/>
      <c r="P494" s="173" t="s">
        <v>2461</v>
      </c>
      <c r="Q494" s="174" t="str">
        <f t="shared" si="7"/>
        <v>註3</v>
      </c>
      <c r="R494" s="203" t="e">
        <f>INDEX([1]告訴人!$D$15:$F$372,MATCH(C494,[1]告訴人!$F$15:$F$372,0),1)</f>
        <v>#N/A</v>
      </c>
      <c r="S494" s="203" t="str">
        <f t="array" ref="S494">IF(OR(C494=[1]告訴人!$F$15:$F$372),"重疊","")</f>
        <v/>
      </c>
    </row>
    <row r="495" spans="1:23" ht="18.25" customHeight="1">
      <c r="A495" s="166">
        <v>492</v>
      </c>
      <c r="B495" s="166" t="s">
        <v>32</v>
      </c>
      <c r="C495" s="166" t="s">
        <v>177</v>
      </c>
      <c r="D495" s="167"/>
      <c r="E495" s="168" t="s">
        <v>110</v>
      </c>
      <c r="F495" s="169">
        <v>1000</v>
      </c>
      <c r="G495" s="168">
        <v>67</v>
      </c>
      <c r="H495" s="169">
        <v>67000</v>
      </c>
      <c r="I495" s="186"/>
      <c r="J495" s="186"/>
      <c r="K495" s="170" t="s">
        <v>2908</v>
      </c>
      <c r="L495" s="170"/>
      <c r="M495" s="175"/>
      <c r="N495" s="172">
        <v>67000</v>
      </c>
      <c r="O495" s="172"/>
      <c r="P495" s="173" t="s">
        <v>2461</v>
      </c>
      <c r="Q495" s="174" t="str">
        <f t="shared" si="7"/>
        <v>註3</v>
      </c>
      <c r="R495" s="203" t="e">
        <f>INDEX([1]告訴人!$D$15:$F$372,MATCH(C495,[1]告訴人!$F$15:$F$372,0),1)</f>
        <v>#N/A</v>
      </c>
      <c r="S495" s="203" t="str">
        <f t="array" ref="S495">IF(OR(C495=[1]告訴人!$F$15:$F$372),"重疊","")</f>
        <v/>
      </c>
    </row>
    <row r="496" spans="1:23" ht="18.25" customHeight="1">
      <c r="A496" s="166">
        <v>493</v>
      </c>
      <c r="B496" s="166" t="s">
        <v>32</v>
      </c>
      <c r="C496" s="166" t="s">
        <v>177</v>
      </c>
      <c r="D496" s="167"/>
      <c r="E496" s="168" t="s">
        <v>110</v>
      </c>
      <c r="F496" s="169">
        <v>1000</v>
      </c>
      <c r="G496" s="168">
        <v>67</v>
      </c>
      <c r="H496" s="169">
        <v>67000</v>
      </c>
      <c r="I496" s="186"/>
      <c r="J496" s="186"/>
      <c r="K496" s="170" t="s">
        <v>2908</v>
      </c>
      <c r="L496" s="170"/>
      <c r="M496" s="175"/>
      <c r="N496" s="172">
        <v>67000</v>
      </c>
      <c r="O496" s="172"/>
      <c r="P496" s="173" t="s">
        <v>2461</v>
      </c>
      <c r="Q496" s="174" t="str">
        <f t="shared" si="7"/>
        <v>註3</v>
      </c>
      <c r="R496" s="203" t="e">
        <f>INDEX([1]告訴人!$D$15:$F$372,MATCH(C496,[1]告訴人!$F$15:$F$372,0),1)</f>
        <v>#N/A</v>
      </c>
      <c r="S496" s="203" t="str">
        <f t="array" ref="S496">IF(OR(C496=[1]告訴人!$F$15:$F$372),"重疊","")</f>
        <v/>
      </c>
    </row>
    <row r="497" spans="1:22" ht="18.25" customHeight="1">
      <c r="A497" s="166">
        <v>494</v>
      </c>
      <c r="B497" s="166" t="s">
        <v>32</v>
      </c>
      <c r="C497" s="166" t="s">
        <v>241</v>
      </c>
      <c r="D497" s="167"/>
      <c r="E497" s="168" t="s">
        <v>110</v>
      </c>
      <c r="F497" s="169">
        <v>3000</v>
      </c>
      <c r="G497" s="168">
        <v>67</v>
      </c>
      <c r="H497" s="169">
        <v>201000</v>
      </c>
      <c r="I497" s="186"/>
      <c r="J497" s="186"/>
      <c r="K497" s="170" t="s">
        <v>2908</v>
      </c>
      <c r="L497" s="170"/>
      <c r="M497" s="175"/>
      <c r="N497" s="172">
        <v>201000</v>
      </c>
      <c r="O497" s="172"/>
      <c r="P497" s="173" t="s">
        <v>2461</v>
      </c>
      <c r="Q497" s="174" t="str">
        <f t="shared" si="7"/>
        <v>註3</v>
      </c>
      <c r="R497" s="203" t="e">
        <f>INDEX([1]告訴人!$D$15:$F$372,MATCH(C497,[1]告訴人!$F$15:$F$372,0),1)</f>
        <v>#N/A</v>
      </c>
      <c r="S497" s="203" t="str">
        <f t="array" ref="S497">IF(OR(C497=[1]告訴人!$F$15:$F$372),"重疊","")</f>
        <v/>
      </c>
    </row>
    <row r="498" spans="1:22" ht="18.25" customHeight="1">
      <c r="A498" s="166">
        <v>495</v>
      </c>
      <c r="B498" s="166" t="s">
        <v>32</v>
      </c>
      <c r="C498" s="166" t="s">
        <v>446</v>
      </c>
      <c r="D498" s="167"/>
      <c r="E498" s="168" t="s">
        <v>110</v>
      </c>
      <c r="F498" s="169">
        <v>3000</v>
      </c>
      <c r="G498" s="168">
        <v>67</v>
      </c>
      <c r="H498" s="169">
        <v>201000</v>
      </c>
      <c r="I498" s="186"/>
      <c r="J498" s="186"/>
      <c r="K498" s="170" t="s">
        <v>2908</v>
      </c>
      <c r="L498" s="170"/>
      <c r="M498" s="175"/>
      <c r="N498" s="172">
        <v>201000</v>
      </c>
      <c r="O498" s="172"/>
      <c r="P498" s="173" t="s">
        <v>2461</v>
      </c>
      <c r="Q498" s="174" t="str">
        <f t="shared" si="7"/>
        <v>註3</v>
      </c>
      <c r="R498" s="203" t="e">
        <f>INDEX([1]告訴人!$D$15:$F$372,MATCH(C498,[1]告訴人!$F$15:$F$372,0),1)</f>
        <v>#N/A</v>
      </c>
      <c r="S498" s="203" t="str">
        <f t="array" ref="S498">IF(OR(C498=[1]告訴人!$F$15:$F$372),"重疊","")</f>
        <v/>
      </c>
    </row>
    <row r="499" spans="1:22" ht="16.649999999999999" customHeight="1">
      <c r="A499" s="166">
        <v>496</v>
      </c>
      <c r="B499" s="166" t="s">
        <v>32</v>
      </c>
      <c r="C499" s="166" t="s">
        <v>119</v>
      </c>
      <c r="D499" s="167"/>
      <c r="E499" s="168" t="s">
        <v>120</v>
      </c>
      <c r="F499" s="169">
        <v>1000</v>
      </c>
      <c r="G499" s="168">
        <v>25</v>
      </c>
      <c r="H499" s="169">
        <v>25000</v>
      </c>
      <c r="I499" s="186"/>
      <c r="J499" s="186"/>
      <c r="K499" s="170" t="s">
        <v>2908</v>
      </c>
      <c r="L499" s="170"/>
      <c r="M499" s="175"/>
      <c r="N499" s="172">
        <v>25000</v>
      </c>
      <c r="O499" s="172"/>
      <c r="P499" s="173" t="s">
        <v>2461</v>
      </c>
      <c r="Q499" s="174" t="str">
        <f t="shared" si="7"/>
        <v>註3</v>
      </c>
      <c r="R499" s="203" t="e">
        <f>INDEX([1]告訴人!$D$15:$F$372,MATCH(C499,[1]告訴人!$F$15:$F$372,0),1)</f>
        <v>#N/A</v>
      </c>
      <c r="S499" s="203" t="str">
        <f t="array" ref="S499">IF(OR(C499=[1]告訴人!$F$15:$F$372),"重疊","")</f>
        <v/>
      </c>
    </row>
    <row r="500" spans="1:22" ht="16.649999999999999" customHeight="1">
      <c r="A500" s="166">
        <v>497</v>
      </c>
      <c r="B500" s="166" t="s">
        <v>32</v>
      </c>
      <c r="C500" s="166" t="s">
        <v>119</v>
      </c>
      <c r="D500" s="167"/>
      <c r="E500" s="168" t="s">
        <v>120</v>
      </c>
      <c r="F500" s="169">
        <v>1000</v>
      </c>
      <c r="G500" s="168">
        <v>67</v>
      </c>
      <c r="H500" s="169">
        <v>67000</v>
      </c>
      <c r="I500" s="186"/>
      <c r="J500" s="186"/>
      <c r="K500" s="170" t="s">
        <v>2908</v>
      </c>
      <c r="L500" s="170"/>
      <c r="M500" s="175"/>
      <c r="N500" s="172">
        <v>67000</v>
      </c>
      <c r="O500" s="172"/>
      <c r="P500" s="173" t="s">
        <v>2461</v>
      </c>
      <c r="Q500" s="174" t="str">
        <f t="shared" si="7"/>
        <v>註3</v>
      </c>
      <c r="R500" s="203" t="e">
        <f>INDEX([1]告訴人!$D$15:$F$372,MATCH(C500,[1]告訴人!$F$15:$F$372,0),1)</f>
        <v>#N/A</v>
      </c>
      <c r="S500" s="203" t="str">
        <f t="array" ref="S500">IF(OR(C500=[1]告訴人!$F$15:$F$372),"重疊","")</f>
        <v/>
      </c>
    </row>
    <row r="501" spans="1:22" ht="16.649999999999999" customHeight="1">
      <c r="A501" s="166">
        <v>498</v>
      </c>
      <c r="B501" s="166" t="s">
        <v>32</v>
      </c>
      <c r="C501" s="166" t="s">
        <v>3977</v>
      </c>
      <c r="D501" s="167"/>
      <c r="E501" s="168" t="s">
        <v>120</v>
      </c>
      <c r="F501" s="169">
        <v>1000</v>
      </c>
      <c r="G501" s="168">
        <v>67</v>
      </c>
      <c r="H501" s="169">
        <v>67000</v>
      </c>
      <c r="I501" s="186"/>
      <c r="J501" s="186"/>
      <c r="K501" s="170" t="s">
        <v>2908</v>
      </c>
      <c r="L501" s="170"/>
      <c r="M501" s="175"/>
      <c r="N501" s="172">
        <v>67000</v>
      </c>
      <c r="O501" s="172"/>
      <c r="P501" s="173" t="s">
        <v>2461</v>
      </c>
      <c r="Q501" s="174" t="str">
        <f t="shared" si="7"/>
        <v>註3</v>
      </c>
      <c r="R501" s="203" t="e">
        <f>INDEX([1]告訴人!$D$15:$F$372,MATCH(C501,[1]告訴人!$F$15:$F$372,0),1)</f>
        <v>#N/A</v>
      </c>
      <c r="S501" s="203" t="str">
        <f t="array" ref="S501">IF(OR(C501=[1]告訴人!$F$15:$F$372),"重疊","")</f>
        <v/>
      </c>
    </row>
    <row r="502" spans="1:22" ht="16.649999999999999" customHeight="1">
      <c r="A502" s="166">
        <v>499</v>
      </c>
      <c r="B502" s="166" t="s">
        <v>32</v>
      </c>
      <c r="C502" s="166" t="s">
        <v>465</v>
      </c>
      <c r="D502" s="167"/>
      <c r="E502" s="168" t="s">
        <v>120</v>
      </c>
      <c r="F502" s="169">
        <v>1000</v>
      </c>
      <c r="G502" s="168">
        <v>67</v>
      </c>
      <c r="H502" s="169">
        <v>67000</v>
      </c>
      <c r="I502" s="186"/>
      <c r="J502" s="186"/>
      <c r="K502" s="170" t="s">
        <v>2908</v>
      </c>
      <c r="L502" s="170"/>
      <c r="M502" s="175"/>
      <c r="N502" s="172">
        <v>67000</v>
      </c>
      <c r="O502" s="172"/>
      <c r="P502" s="173" t="s">
        <v>2461</v>
      </c>
      <c r="Q502" s="174" t="str">
        <f t="shared" si="7"/>
        <v>註3</v>
      </c>
      <c r="R502" s="203" t="e">
        <f>INDEX([1]告訴人!$D$15:$F$372,MATCH(C502,[1]告訴人!$F$15:$F$372,0),1)</f>
        <v>#N/A</v>
      </c>
      <c r="S502" s="203" t="str">
        <f t="array" ref="S502">IF(OR(C502=[1]告訴人!$F$15:$F$372),"重疊","")</f>
        <v/>
      </c>
    </row>
    <row r="503" spans="1:22" ht="18.25" customHeight="1">
      <c r="A503" s="166">
        <v>500</v>
      </c>
      <c r="B503" s="166" t="s">
        <v>32</v>
      </c>
      <c r="C503" s="166" t="s">
        <v>155</v>
      </c>
      <c r="D503" s="167"/>
      <c r="E503" s="168" t="s">
        <v>78</v>
      </c>
      <c r="F503" s="169">
        <v>1000</v>
      </c>
      <c r="G503" s="168">
        <v>25</v>
      </c>
      <c r="H503" s="169">
        <v>25000</v>
      </c>
      <c r="I503" s="186"/>
      <c r="J503" s="186"/>
      <c r="K503" s="170" t="s">
        <v>2908</v>
      </c>
      <c r="L503" s="170"/>
      <c r="M503" s="175"/>
      <c r="N503" s="172">
        <v>25000</v>
      </c>
      <c r="O503" s="172"/>
      <c r="P503" s="173" t="s">
        <v>2461</v>
      </c>
      <c r="Q503" s="174" t="str">
        <f t="shared" si="7"/>
        <v>註3</v>
      </c>
      <c r="R503" s="203" t="e">
        <f>INDEX([1]告訴人!$D$15:$F$372,MATCH(C503,[1]告訴人!$F$15:$F$372,0),1)</f>
        <v>#N/A</v>
      </c>
      <c r="S503" s="203" t="str">
        <f t="array" ref="S503">IF(OR(C503=[1]告訴人!$F$15:$F$372),"重疊","")</f>
        <v/>
      </c>
    </row>
    <row r="504" spans="1:22" ht="18.25" customHeight="1">
      <c r="A504" s="166">
        <v>501</v>
      </c>
      <c r="B504" s="166" t="s">
        <v>32</v>
      </c>
      <c r="C504" s="166" t="s">
        <v>307</v>
      </c>
      <c r="D504" s="167"/>
      <c r="E504" s="168" t="s">
        <v>78</v>
      </c>
      <c r="F504" s="169">
        <v>3000</v>
      </c>
      <c r="G504" s="168">
        <v>25</v>
      </c>
      <c r="H504" s="169">
        <v>75000</v>
      </c>
      <c r="I504" s="186"/>
      <c r="J504" s="186"/>
      <c r="K504" s="170" t="s">
        <v>2908</v>
      </c>
      <c r="L504" s="170"/>
      <c r="M504" s="175"/>
      <c r="N504" s="172">
        <v>75000</v>
      </c>
      <c r="O504" s="172"/>
      <c r="P504" s="173" t="s">
        <v>2461</v>
      </c>
      <c r="Q504" s="174" t="str">
        <f t="shared" si="7"/>
        <v>註3</v>
      </c>
      <c r="R504" s="203" t="e">
        <f>INDEX([1]告訴人!$D$15:$F$372,MATCH(C504,[1]告訴人!$F$15:$F$372,0),1)</f>
        <v>#N/A</v>
      </c>
      <c r="S504" s="203" t="str">
        <f t="array" ref="S504">IF(OR(C504=[1]告訴人!$F$15:$F$372),"重疊","")</f>
        <v/>
      </c>
    </row>
    <row r="505" spans="1:22" ht="18.25" customHeight="1">
      <c r="A505" s="166">
        <v>502</v>
      </c>
      <c r="B505" s="166" t="s">
        <v>32</v>
      </c>
      <c r="C505" s="166" t="s">
        <v>155</v>
      </c>
      <c r="D505" s="167"/>
      <c r="E505" s="168" t="s">
        <v>78</v>
      </c>
      <c r="F505" s="169">
        <v>4000</v>
      </c>
      <c r="G505" s="168">
        <v>67</v>
      </c>
      <c r="H505" s="169">
        <v>268000</v>
      </c>
      <c r="I505" s="186"/>
      <c r="J505" s="186"/>
      <c r="K505" s="170" t="s">
        <v>2908</v>
      </c>
      <c r="L505" s="170"/>
      <c r="M505" s="175"/>
      <c r="N505" s="172">
        <v>268000</v>
      </c>
      <c r="O505" s="172"/>
      <c r="P505" s="173" t="s">
        <v>2461</v>
      </c>
      <c r="Q505" s="174" t="str">
        <f t="shared" si="7"/>
        <v>註3</v>
      </c>
      <c r="R505" s="203" t="e">
        <f>INDEX([1]告訴人!$D$15:$F$372,MATCH(C505,[1]告訴人!$F$15:$F$372,0),1)</f>
        <v>#N/A</v>
      </c>
      <c r="S505" s="203" t="str">
        <f t="array" ref="S505">IF(OR(C505=[1]告訴人!$F$15:$F$372),"重疊","")</f>
        <v/>
      </c>
    </row>
    <row r="506" spans="1:22" ht="18.25" customHeight="1">
      <c r="A506" s="166">
        <v>503</v>
      </c>
      <c r="B506" s="166" t="s">
        <v>32</v>
      </c>
      <c r="C506" s="166" t="s">
        <v>482</v>
      </c>
      <c r="D506" s="167"/>
      <c r="E506" s="168" t="s">
        <v>78</v>
      </c>
      <c r="F506" s="169">
        <v>6000</v>
      </c>
      <c r="G506" s="168">
        <v>67</v>
      </c>
      <c r="H506" s="169">
        <v>402000</v>
      </c>
      <c r="I506" s="186"/>
      <c r="J506" s="186"/>
      <c r="K506" s="170" t="s">
        <v>2908</v>
      </c>
      <c r="L506" s="170"/>
      <c r="M506" s="175"/>
      <c r="N506" s="172">
        <v>402000</v>
      </c>
      <c r="O506" s="172"/>
      <c r="P506" s="173" t="s">
        <v>2461</v>
      </c>
      <c r="Q506" s="174" t="str">
        <f t="shared" si="7"/>
        <v>註3</v>
      </c>
      <c r="R506" s="203" t="e">
        <f>INDEX([1]告訴人!$D$15:$F$372,MATCH(C506,[1]告訴人!$F$15:$F$372,0),1)</f>
        <v>#N/A</v>
      </c>
      <c r="S506" s="203" t="str">
        <f t="array" ref="S506">IF(OR(C506=[1]告訴人!$F$15:$F$372),"重疊","")</f>
        <v/>
      </c>
    </row>
    <row r="507" spans="1:22" ht="18.25" customHeight="1">
      <c r="A507" s="166">
        <v>504</v>
      </c>
      <c r="B507" s="166" t="s">
        <v>32</v>
      </c>
      <c r="C507" s="166" t="s">
        <v>307</v>
      </c>
      <c r="D507" s="167"/>
      <c r="E507" s="168" t="s">
        <v>78</v>
      </c>
      <c r="F507" s="169">
        <v>3000</v>
      </c>
      <c r="G507" s="168">
        <v>67</v>
      </c>
      <c r="H507" s="169">
        <v>201000</v>
      </c>
      <c r="I507" s="186"/>
      <c r="J507" s="186"/>
      <c r="K507" s="170" t="s">
        <v>2908</v>
      </c>
      <c r="L507" s="170"/>
      <c r="M507" s="175"/>
      <c r="N507" s="172">
        <v>201000</v>
      </c>
      <c r="O507" s="172"/>
      <c r="P507" s="173" t="s">
        <v>2461</v>
      </c>
      <c r="Q507" s="174" t="str">
        <f t="shared" si="7"/>
        <v>註3</v>
      </c>
      <c r="R507" s="203" t="e">
        <f>INDEX([1]告訴人!$D$15:$F$372,MATCH(C507,[1]告訴人!$F$15:$F$372,0),1)</f>
        <v>#N/A</v>
      </c>
      <c r="S507" s="203" t="str">
        <f t="array" ref="S507">IF(OR(C507=[1]告訴人!$F$15:$F$372),"重疊","")</f>
        <v/>
      </c>
    </row>
    <row r="508" spans="1:22" ht="17.25" customHeight="1">
      <c r="A508" s="166">
        <v>505</v>
      </c>
      <c r="B508" s="166" t="s">
        <v>32</v>
      </c>
      <c r="C508" s="166" t="s">
        <v>214</v>
      </c>
      <c r="D508" s="167"/>
      <c r="E508" s="168" t="s">
        <v>11</v>
      </c>
      <c r="F508" s="169">
        <v>1000</v>
      </c>
      <c r="G508" s="168">
        <v>25</v>
      </c>
      <c r="H508" s="169">
        <v>25000</v>
      </c>
      <c r="I508" s="186"/>
      <c r="J508" s="186"/>
      <c r="K508" s="170" t="s">
        <v>2908</v>
      </c>
      <c r="L508" s="170"/>
      <c r="M508" s="175"/>
      <c r="N508" s="172">
        <v>25000</v>
      </c>
      <c r="O508" s="172"/>
      <c r="P508" s="173" t="s">
        <v>2461</v>
      </c>
      <c r="Q508" s="174" t="str">
        <f t="shared" si="7"/>
        <v>註3</v>
      </c>
      <c r="R508" s="203" t="e">
        <f>INDEX([1]告訴人!$D$15:$F$372,MATCH(C508,[1]告訴人!$F$15:$F$372,0),1)</f>
        <v>#N/A</v>
      </c>
      <c r="S508" s="203" t="str">
        <f t="array" ref="S508">IF(OR(C508=[1]告訴人!$F$15:$F$372),"重疊","")</f>
        <v/>
      </c>
    </row>
    <row r="509" spans="1:22" ht="17.25" customHeight="1">
      <c r="A509" s="166">
        <v>506</v>
      </c>
      <c r="B509" s="166" t="s">
        <v>32</v>
      </c>
      <c r="C509" s="166" t="s">
        <v>214</v>
      </c>
      <c r="D509" s="167"/>
      <c r="E509" s="168" t="s">
        <v>11</v>
      </c>
      <c r="F509" s="169">
        <v>1000</v>
      </c>
      <c r="G509" s="168">
        <v>67</v>
      </c>
      <c r="H509" s="169">
        <v>67000</v>
      </c>
      <c r="I509" s="186"/>
      <c r="J509" s="186"/>
      <c r="K509" s="170" t="s">
        <v>2908</v>
      </c>
      <c r="L509" s="170"/>
      <c r="M509" s="175"/>
      <c r="N509" s="172">
        <v>67000</v>
      </c>
      <c r="O509" s="172"/>
      <c r="P509" s="173" t="s">
        <v>2461</v>
      </c>
      <c r="Q509" s="174" t="str">
        <f t="shared" si="7"/>
        <v>註3</v>
      </c>
      <c r="R509" s="203" t="e">
        <f>INDEX([1]告訴人!$D$15:$F$372,MATCH(C509,[1]告訴人!$F$15:$F$372,0),1)</f>
        <v>#N/A</v>
      </c>
      <c r="S509" s="203" t="str">
        <f t="array" ref="S509">IF(OR(C509=[1]告訴人!$F$15:$F$372),"重疊","")</f>
        <v/>
      </c>
    </row>
    <row r="510" spans="1:22" ht="17" customHeight="1">
      <c r="A510" s="166">
        <v>507</v>
      </c>
      <c r="B510" s="166" t="s">
        <v>32</v>
      </c>
      <c r="C510" s="166" t="s">
        <v>250</v>
      </c>
      <c r="D510" s="167"/>
      <c r="E510" s="168" t="s">
        <v>251</v>
      </c>
      <c r="F510" s="169">
        <v>1000</v>
      </c>
      <c r="G510" s="168">
        <v>25</v>
      </c>
      <c r="H510" s="169">
        <v>25000</v>
      </c>
      <c r="I510" s="186"/>
      <c r="J510" s="186"/>
      <c r="K510" s="170" t="s">
        <v>2908</v>
      </c>
      <c r="L510" s="170"/>
      <c r="M510" s="175"/>
      <c r="N510" s="172">
        <v>25000</v>
      </c>
      <c r="O510" s="172"/>
      <c r="P510" s="173" t="s">
        <v>2461</v>
      </c>
      <c r="Q510" s="174" t="str">
        <f t="shared" si="7"/>
        <v>註3</v>
      </c>
      <c r="R510" s="203" t="e">
        <f>INDEX([1]告訴人!$D$15:$F$372,MATCH(C510,[1]告訴人!$F$15:$F$372,0),1)</f>
        <v>#N/A</v>
      </c>
      <c r="S510" s="203" t="str">
        <f t="array" ref="S510">IF(OR(C510=[1]告訴人!$F$15:$F$372),"重疊","")</f>
        <v/>
      </c>
    </row>
    <row r="511" spans="1:22" ht="98.4" customHeight="1">
      <c r="A511" s="166">
        <v>508</v>
      </c>
      <c r="B511" s="166" t="s">
        <v>32</v>
      </c>
      <c r="C511" s="166" t="s">
        <v>3261</v>
      </c>
      <c r="D511" s="167"/>
      <c r="E511" s="168" t="s">
        <v>251</v>
      </c>
      <c r="F511" s="169">
        <v>2000</v>
      </c>
      <c r="G511" s="168">
        <v>25</v>
      </c>
      <c r="H511" s="169">
        <v>50000</v>
      </c>
      <c r="I511" s="186" t="s">
        <v>2918</v>
      </c>
      <c r="J511" s="186" t="s">
        <v>2918</v>
      </c>
      <c r="K511" s="170" t="s">
        <v>3080</v>
      </c>
      <c r="L511" s="170" t="s">
        <v>3698</v>
      </c>
      <c r="M511" s="175" t="s">
        <v>2905</v>
      </c>
      <c r="N511" s="172">
        <v>50000</v>
      </c>
      <c r="O511" s="172"/>
      <c r="P511" s="173" t="s">
        <v>2461</v>
      </c>
      <c r="Q511" s="174" t="str">
        <f t="shared" si="7"/>
        <v>註3</v>
      </c>
      <c r="R511" s="203" t="e">
        <f>INDEX([1]告訴人!$D$15:$F$372,MATCH(C511,[1]告訴人!$F$15:$F$372,0),1)</f>
        <v>#N/A</v>
      </c>
      <c r="S511" s="203" t="str">
        <f t="array" ref="S511">IF(OR(C511=[1]告訴人!$F$15:$F$372),"重疊","")</f>
        <v/>
      </c>
      <c r="T511" s="203">
        <v>1</v>
      </c>
      <c r="V511" s="203">
        <v>1</v>
      </c>
    </row>
    <row r="512" spans="1:22" ht="17.899999999999999" customHeight="1">
      <c r="A512" s="166">
        <v>509</v>
      </c>
      <c r="B512" s="166" t="s">
        <v>32</v>
      </c>
      <c r="C512" s="166" t="s">
        <v>330</v>
      </c>
      <c r="D512" s="167"/>
      <c r="E512" s="168" t="s">
        <v>251</v>
      </c>
      <c r="F512" s="169">
        <v>1000</v>
      </c>
      <c r="G512" s="168">
        <v>35</v>
      </c>
      <c r="H512" s="169">
        <v>35000</v>
      </c>
      <c r="I512" s="186"/>
      <c r="J512" s="186"/>
      <c r="K512" s="170" t="s">
        <v>2904</v>
      </c>
      <c r="L512" s="170"/>
      <c r="M512" s="175"/>
      <c r="N512" s="172">
        <v>35000</v>
      </c>
      <c r="O512" s="172"/>
      <c r="P512" s="173" t="s">
        <v>2461</v>
      </c>
      <c r="Q512" s="174" t="str">
        <f t="shared" si="7"/>
        <v>註3</v>
      </c>
      <c r="R512" s="203" t="e">
        <f>INDEX([1]告訴人!$D$15:$F$372,MATCH(C512,[1]告訴人!$F$15:$F$372,0),1)</f>
        <v>#N/A</v>
      </c>
      <c r="S512" s="203" t="str">
        <f t="array" ref="S512">IF(OR(C512=[1]告訴人!$F$15:$F$372),"重疊","")</f>
        <v/>
      </c>
    </row>
    <row r="513" spans="1:26" ht="17.899999999999999" customHeight="1">
      <c r="A513" s="166">
        <v>510</v>
      </c>
      <c r="B513" s="166" t="s">
        <v>32</v>
      </c>
      <c r="C513" s="166" t="s">
        <v>330</v>
      </c>
      <c r="D513" s="167"/>
      <c r="E513" s="168" t="s">
        <v>251</v>
      </c>
      <c r="F513" s="169">
        <v>1000</v>
      </c>
      <c r="G513" s="168">
        <v>67</v>
      </c>
      <c r="H513" s="169">
        <v>67000</v>
      </c>
      <c r="I513" s="186"/>
      <c r="J513" s="186"/>
      <c r="K513" s="170" t="s">
        <v>2904</v>
      </c>
      <c r="L513" s="170"/>
      <c r="M513" s="175"/>
      <c r="N513" s="172">
        <v>67000</v>
      </c>
      <c r="O513" s="172"/>
      <c r="P513" s="173" t="s">
        <v>2461</v>
      </c>
      <c r="Q513" s="174" t="str">
        <f t="shared" si="7"/>
        <v>註3</v>
      </c>
      <c r="R513" s="203" t="e">
        <f>INDEX([1]告訴人!$D$15:$F$372,MATCH(C513,[1]告訴人!$F$15:$F$372,0),1)</f>
        <v>#N/A</v>
      </c>
      <c r="S513" s="203" t="str">
        <f t="array" ref="S513">IF(OR(C513=[1]告訴人!$F$15:$F$372),"重疊","")</f>
        <v/>
      </c>
    </row>
    <row r="514" spans="1:26" ht="17.25" customHeight="1">
      <c r="A514" s="166">
        <v>511</v>
      </c>
      <c r="B514" s="166" t="s">
        <v>32</v>
      </c>
      <c r="C514" s="166" t="s">
        <v>250</v>
      </c>
      <c r="D514" s="167"/>
      <c r="E514" s="168" t="s">
        <v>251</v>
      </c>
      <c r="F514" s="169">
        <v>4000</v>
      </c>
      <c r="G514" s="168">
        <v>67</v>
      </c>
      <c r="H514" s="169">
        <v>268000</v>
      </c>
      <c r="I514" s="186"/>
      <c r="J514" s="186"/>
      <c r="K514" s="170" t="s">
        <v>2904</v>
      </c>
      <c r="L514" s="170"/>
      <c r="M514" s="175"/>
      <c r="N514" s="172">
        <v>268000</v>
      </c>
      <c r="O514" s="172"/>
      <c r="P514" s="173" t="s">
        <v>2461</v>
      </c>
      <c r="Q514" s="174" t="str">
        <f t="shared" ref="Q514:Q577" si="8">IF(N514&lt;&gt;0,"註3",IF(O514&lt;&gt;0,"註4",""))</f>
        <v>註3</v>
      </c>
      <c r="R514" s="203" t="e">
        <f>INDEX([1]告訴人!$D$15:$F$372,MATCH(C514,[1]告訴人!$F$15:$F$372,0),1)</f>
        <v>#N/A</v>
      </c>
      <c r="S514" s="203" t="str">
        <f t="array" ref="S514">IF(OR(C514=[1]告訴人!$F$15:$F$372),"重疊","")</f>
        <v/>
      </c>
    </row>
    <row r="515" spans="1:26" ht="17.25" customHeight="1">
      <c r="A515" s="166">
        <v>512</v>
      </c>
      <c r="B515" s="166" t="s">
        <v>32</v>
      </c>
      <c r="C515" s="166" t="s">
        <v>265</v>
      </c>
      <c r="D515" s="167"/>
      <c r="E515" s="168" t="s">
        <v>251</v>
      </c>
      <c r="F515" s="169">
        <v>1000</v>
      </c>
      <c r="G515" s="168">
        <v>67</v>
      </c>
      <c r="H515" s="169">
        <v>67000</v>
      </c>
      <c r="I515" s="186"/>
      <c r="J515" s="186"/>
      <c r="K515" s="170" t="s">
        <v>2904</v>
      </c>
      <c r="L515" s="170"/>
      <c r="M515" s="175"/>
      <c r="N515" s="172">
        <v>67000</v>
      </c>
      <c r="O515" s="172"/>
      <c r="P515" s="173" t="s">
        <v>2461</v>
      </c>
      <c r="Q515" s="174" t="str">
        <f t="shared" si="8"/>
        <v>註3</v>
      </c>
      <c r="R515" s="203" t="e">
        <f>INDEX([1]告訴人!$D$15:$F$372,MATCH(C515,[1]告訴人!$F$15:$F$372,0),1)</f>
        <v>#N/A</v>
      </c>
      <c r="S515" s="203" t="str">
        <f t="array" ref="S515">IF(OR(C515=[1]告訴人!$F$15:$F$372),"重疊","")</f>
        <v/>
      </c>
    </row>
    <row r="516" spans="1:26" ht="124.25" customHeight="1">
      <c r="A516" s="166">
        <v>513</v>
      </c>
      <c r="B516" s="166" t="s">
        <v>32</v>
      </c>
      <c r="C516" s="166" t="s">
        <v>2985</v>
      </c>
      <c r="D516" s="167"/>
      <c r="E516" s="168" t="s">
        <v>251</v>
      </c>
      <c r="F516" s="169">
        <v>4000</v>
      </c>
      <c r="G516" s="168">
        <v>67</v>
      </c>
      <c r="H516" s="169">
        <v>268000</v>
      </c>
      <c r="I516" s="186" t="s">
        <v>2918</v>
      </c>
      <c r="J516" s="186" t="s">
        <v>2918</v>
      </c>
      <c r="K516" s="170" t="s">
        <v>3078</v>
      </c>
      <c r="L516" s="170" t="s">
        <v>3699</v>
      </c>
      <c r="M516" s="175" t="s">
        <v>2905</v>
      </c>
      <c r="N516" s="172">
        <v>268000</v>
      </c>
      <c r="O516" s="172"/>
      <c r="P516" s="173" t="s">
        <v>2461</v>
      </c>
      <c r="Q516" s="174" t="str">
        <f t="shared" si="8"/>
        <v>註3</v>
      </c>
      <c r="R516" s="203" t="e">
        <f>INDEX([1]告訴人!$D$15:$F$372,MATCH(C516,[1]告訴人!$F$15:$F$372,0),1)</f>
        <v>#N/A</v>
      </c>
      <c r="S516" s="203" t="str">
        <f t="array" ref="S516">IF(OR(C516=[1]告訴人!$F$15:$F$372),"重疊","")</f>
        <v/>
      </c>
      <c r="T516" s="203">
        <v>1</v>
      </c>
      <c r="V516" s="203">
        <v>1</v>
      </c>
    </row>
    <row r="517" spans="1:26" ht="17.25" customHeight="1">
      <c r="A517" s="166">
        <v>514</v>
      </c>
      <c r="B517" s="166" t="s">
        <v>32</v>
      </c>
      <c r="C517" s="166" t="s">
        <v>521</v>
      </c>
      <c r="D517" s="167"/>
      <c r="E517" s="168" t="s">
        <v>251</v>
      </c>
      <c r="F517" s="169">
        <v>5000</v>
      </c>
      <c r="G517" s="168">
        <v>67</v>
      </c>
      <c r="H517" s="169">
        <v>335000</v>
      </c>
      <c r="I517" s="186"/>
      <c r="J517" s="186"/>
      <c r="K517" s="170" t="s">
        <v>2904</v>
      </c>
      <c r="L517" s="170"/>
      <c r="M517" s="175"/>
      <c r="N517" s="172">
        <v>335000</v>
      </c>
      <c r="O517" s="172"/>
      <c r="P517" s="173" t="s">
        <v>2461</v>
      </c>
      <c r="Q517" s="174" t="str">
        <f t="shared" si="8"/>
        <v>註3</v>
      </c>
      <c r="R517" s="203" t="e">
        <f>INDEX([1]告訴人!$D$15:$F$372,MATCH(C517,[1]告訴人!$F$15:$F$372,0),1)</f>
        <v>#N/A</v>
      </c>
      <c r="S517" s="203" t="str">
        <f t="array" ref="S517">IF(OR(C517=[1]告訴人!$F$15:$F$372),"重疊","")</f>
        <v/>
      </c>
    </row>
    <row r="518" spans="1:26" ht="18.25" customHeight="1">
      <c r="A518" s="166">
        <v>515</v>
      </c>
      <c r="B518" s="166" t="s">
        <v>32</v>
      </c>
      <c r="C518" s="166" t="s">
        <v>207</v>
      </c>
      <c r="D518" s="167"/>
      <c r="E518" s="168" t="s">
        <v>411</v>
      </c>
      <c r="F518" s="169">
        <v>5000</v>
      </c>
      <c r="G518" s="168">
        <v>67</v>
      </c>
      <c r="H518" s="169">
        <v>335000</v>
      </c>
      <c r="I518" s="186"/>
      <c r="J518" s="186"/>
      <c r="K518" s="170" t="s">
        <v>2904</v>
      </c>
      <c r="L518" s="170"/>
      <c r="M518" s="175"/>
      <c r="N518" s="172">
        <v>335000</v>
      </c>
      <c r="O518" s="172"/>
      <c r="P518" s="173" t="s">
        <v>2461</v>
      </c>
      <c r="Q518" s="174" t="str">
        <f t="shared" si="8"/>
        <v>註3</v>
      </c>
      <c r="R518" s="203" t="e">
        <f>INDEX([1]告訴人!$D$15:$F$372,MATCH(C518,[1]告訴人!$F$15:$F$372,0),1)</f>
        <v>#N/A</v>
      </c>
      <c r="S518" s="203" t="str">
        <f t="array" ref="S518">IF(OR(C518=[1]告訴人!$F$15:$F$372),"重疊","")</f>
        <v/>
      </c>
    </row>
    <row r="519" spans="1:26" ht="16.25" customHeight="1">
      <c r="A519" s="166">
        <v>516</v>
      </c>
      <c r="B519" s="166" t="s">
        <v>32</v>
      </c>
      <c r="C519" s="166" t="s">
        <v>252</v>
      </c>
      <c r="D519" s="167"/>
      <c r="E519" s="168" t="s">
        <v>253</v>
      </c>
      <c r="F519" s="169">
        <v>3000</v>
      </c>
      <c r="G519" s="168">
        <v>25</v>
      </c>
      <c r="H519" s="169">
        <v>75000</v>
      </c>
      <c r="I519" s="186"/>
      <c r="J519" s="186"/>
      <c r="K519" s="170" t="s">
        <v>2904</v>
      </c>
      <c r="L519" s="170"/>
      <c r="M519" s="175"/>
      <c r="N519" s="172">
        <v>75000</v>
      </c>
      <c r="O519" s="172"/>
      <c r="P519" s="173" t="s">
        <v>2461</v>
      </c>
      <c r="Q519" s="174" t="str">
        <f t="shared" si="8"/>
        <v>註3</v>
      </c>
      <c r="R519" s="203" t="e">
        <f>INDEX([1]告訴人!$D$15:$F$372,MATCH(C519,[1]告訴人!$F$15:$F$372,0),1)</f>
        <v>#N/A</v>
      </c>
      <c r="S519" s="203" t="str">
        <f t="array" ref="S519">IF(OR(C519=[1]告訴人!$F$15:$F$372),"重疊","")</f>
        <v/>
      </c>
    </row>
    <row r="520" spans="1:26" ht="16.25" customHeight="1">
      <c r="A520" s="166">
        <v>517</v>
      </c>
      <c r="B520" s="166" t="s">
        <v>32</v>
      </c>
      <c r="C520" s="166" t="s">
        <v>252</v>
      </c>
      <c r="D520" s="167"/>
      <c r="E520" s="168" t="s">
        <v>253</v>
      </c>
      <c r="F520" s="169">
        <v>3000</v>
      </c>
      <c r="G520" s="168">
        <v>67</v>
      </c>
      <c r="H520" s="169">
        <v>201000</v>
      </c>
      <c r="I520" s="186"/>
      <c r="J520" s="186"/>
      <c r="K520" s="170" t="s">
        <v>2904</v>
      </c>
      <c r="L520" s="170"/>
      <c r="M520" s="175"/>
      <c r="N520" s="172">
        <v>201000</v>
      </c>
      <c r="O520" s="172"/>
      <c r="P520" s="173" t="s">
        <v>2461</v>
      </c>
      <c r="Q520" s="174" t="str">
        <f t="shared" si="8"/>
        <v>註3</v>
      </c>
      <c r="R520" s="203" t="e">
        <f>INDEX([1]告訴人!$D$15:$F$372,MATCH(C520,[1]告訴人!$F$15:$F$372,0),1)</f>
        <v>#N/A</v>
      </c>
      <c r="S520" s="203" t="str">
        <f t="array" ref="S520">IF(OR(C520=[1]告訴人!$F$15:$F$372),"重疊","")</f>
        <v/>
      </c>
    </row>
    <row r="521" spans="1:26" ht="16.25" customHeight="1">
      <c r="A521" s="166">
        <v>518</v>
      </c>
      <c r="B521" s="166" t="s">
        <v>32</v>
      </c>
      <c r="C521" s="166" t="s">
        <v>492</v>
      </c>
      <c r="D521" s="167"/>
      <c r="E521" s="168" t="s">
        <v>253</v>
      </c>
      <c r="F521" s="169">
        <v>2000</v>
      </c>
      <c r="G521" s="168">
        <v>67</v>
      </c>
      <c r="H521" s="169">
        <v>134000</v>
      </c>
      <c r="I521" s="186"/>
      <c r="J521" s="186"/>
      <c r="K521" s="170" t="s">
        <v>2904</v>
      </c>
      <c r="L521" s="170"/>
      <c r="M521" s="175"/>
      <c r="N521" s="172">
        <v>134000</v>
      </c>
      <c r="O521" s="172"/>
      <c r="P521" s="173" t="s">
        <v>2461</v>
      </c>
      <c r="Q521" s="174" t="str">
        <f t="shared" si="8"/>
        <v>註3</v>
      </c>
      <c r="R521" s="203" t="e">
        <f>INDEX([1]告訴人!$D$15:$F$372,MATCH(C521,[1]告訴人!$F$15:$F$372,0),1)</f>
        <v>#N/A</v>
      </c>
      <c r="S521" s="203" t="str">
        <f t="array" ref="S521">IF(OR(C521=[1]告訴人!$F$15:$F$372),"重疊","")</f>
        <v/>
      </c>
    </row>
    <row r="522" spans="1:26" ht="16.25" customHeight="1">
      <c r="A522" s="166">
        <v>519</v>
      </c>
      <c r="B522" s="166" t="s">
        <v>32</v>
      </c>
      <c r="C522" s="166" t="s">
        <v>527</v>
      </c>
      <c r="D522" s="167"/>
      <c r="E522" s="168" t="s">
        <v>253</v>
      </c>
      <c r="F522" s="169">
        <v>1000</v>
      </c>
      <c r="G522" s="168">
        <v>67</v>
      </c>
      <c r="H522" s="169">
        <v>67000</v>
      </c>
      <c r="I522" s="186"/>
      <c r="J522" s="186"/>
      <c r="K522" s="170" t="s">
        <v>2904</v>
      </c>
      <c r="L522" s="170"/>
      <c r="M522" s="175"/>
      <c r="N522" s="172">
        <v>67000</v>
      </c>
      <c r="O522" s="172"/>
      <c r="P522" s="173" t="s">
        <v>2461</v>
      </c>
      <c r="Q522" s="174" t="str">
        <f t="shared" si="8"/>
        <v>註3</v>
      </c>
      <c r="R522" s="203" t="e">
        <f>INDEX([1]告訴人!$D$15:$F$372,MATCH(C522,[1]告訴人!$F$15:$F$372,0),1)</f>
        <v>#N/A</v>
      </c>
      <c r="S522" s="203" t="str">
        <f t="array" ref="S522">IF(OR(C522=[1]告訴人!$F$15:$F$372),"重疊","")</f>
        <v/>
      </c>
    </row>
    <row r="523" spans="1:26" ht="15.65" customHeight="1">
      <c r="A523" s="166">
        <v>520</v>
      </c>
      <c r="B523" s="166" t="s">
        <v>32</v>
      </c>
      <c r="C523" s="166" t="s">
        <v>198</v>
      </c>
      <c r="D523" s="167"/>
      <c r="E523" s="168" t="s">
        <v>199</v>
      </c>
      <c r="F523" s="169">
        <v>1000</v>
      </c>
      <c r="G523" s="168">
        <v>25</v>
      </c>
      <c r="H523" s="169">
        <v>25000</v>
      </c>
      <c r="I523" s="186"/>
      <c r="J523" s="186"/>
      <c r="K523" s="170" t="s">
        <v>2904</v>
      </c>
      <c r="L523" s="170"/>
      <c r="M523" s="175"/>
      <c r="N523" s="172">
        <v>25000</v>
      </c>
      <c r="O523" s="172"/>
      <c r="P523" s="173" t="s">
        <v>2461</v>
      </c>
      <c r="Q523" s="174" t="str">
        <f t="shared" si="8"/>
        <v>註3</v>
      </c>
      <c r="R523" s="203" t="e">
        <f>INDEX([1]告訴人!$D$15:$F$372,MATCH(C523,[1]告訴人!$F$15:$F$372,0),1)</f>
        <v>#N/A</v>
      </c>
      <c r="S523" s="203" t="str">
        <f t="array" ref="S523">IF(OR(C523=[1]告訴人!$F$15:$F$372),"重疊","")</f>
        <v/>
      </c>
      <c r="Y523" s="345"/>
      <c r="Z523" s="345"/>
    </row>
    <row r="524" spans="1:26" ht="17.25" customHeight="1">
      <c r="A524" s="166">
        <v>521</v>
      </c>
      <c r="B524" s="166" t="s">
        <v>32</v>
      </c>
      <c r="C524" s="166" t="s">
        <v>232</v>
      </c>
      <c r="D524" s="167"/>
      <c r="E524" s="168" t="s">
        <v>199</v>
      </c>
      <c r="F524" s="169">
        <v>4000</v>
      </c>
      <c r="G524" s="168">
        <v>25</v>
      </c>
      <c r="H524" s="169">
        <v>100000</v>
      </c>
      <c r="I524" s="186"/>
      <c r="J524" s="186"/>
      <c r="K524" s="170" t="s">
        <v>2904</v>
      </c>
      <c r="L524" s="170"/>
      <c r="M524" s="175"/>
      <c r="N524" s="172">
        <v>100000</v>
      </c>
      <c r="O524" s="172"/>
      <c r="P524" s="173" t="s">
        <v>2461</v>
      </c>
      <c r="Q524" s="174" t="str">
        <f t="shared" si="8"/>
        <v>註3</v>
      </c>
      <c r="R524" s="203" t="e">
        <f>INDEX([1]告訴人!$D$15:$F$372,MATCH(C524,[1]告訴人!$F$15:$F$372,0),1)</f>
        <v>#N/A</v>
      </c>
      <c r="S524" s="203" t="str">
        <f t="array" ref="S524">IF(OR(C524=[1]告訴人!$F$15:$F$372),"重疊","")</f>
        <v/>
      </c>
    </row>
    <row r="525" spans="1:26" ht="17.25" customHeight="1">
      <c r="A525" s="166">
        <v>522</v>
      </c>
      <c r="B525" s="166" t="s">
        <v>32</v>
      </c>
      <c r="C525" s="166" t="s">
        <v>276</v>
      </c>
      <c r="D525" s="167"/>
      <c r="E525" s="168" t="s">
        <v>199</v>
      </c>
      <c r="F525" s="169">
        <v>1000</v>
      </c>
      <c r="G525" s="168">
        <v>25</v>
      </c>
      <c r="H525" s="169">
        <v>25000</v>
      </c>
      <c r="I525" s="186"/>
      <c r="J525" s="186"/>
      <c r="K525" s="170" t="s">
        <v>2904</v>
      </c>
      <c r="L525" s="170"/>
      <c r="M525" s="175"/>
      <c r="N525" s="172">
        <v>25000</v>
      </c>
      <c r="O525" s="172"/>
      <c r="P525" s="173" t="s">
        <v>2461</v>
      </c>
      <c r="Q525" s="174" t="str">
        <f t="shared" si="8"/>
        <v>註3</v>
      </c>
      <c r="R525" s="203" t="e">
        <f>INDEX([1]告訴人!$D$15:$F$372,MATCH(C525,[1]告訴人!$F$15:$F$372,0),1)</f>
        <v>#N/A</v>
      </c>
      <c r="S525" s="203" t="str">
        <f t="array" ref="S525">IF(OR(C525=[1]告訴人!$F$15:$F$372),"重疊","")</f>
        <v/>
      </c>
    </row>
    <row r="526" spans="1:26" ht="17.25" customHeight="1">
      <c r="A526" s="166">
        <v>523</v>
      </c>
      <c r="B526" s="166" t="s">
        <v>32</v>
      </c>
      <c r="C526" s="166" t="s">
        <v>198</v>
      </c>
      <c r="D526" s="167"/>
      <c r="E526" s="168" t="s">
        <v>199</v>
      </c>
      <c r="F526" s="169">
        <v>1000</v>
      </c>
      <c r="G526" s="168">
        <v>67</v>
      </c>
      <c r="H526" s="169">
        <v>67000</v>
      </c>
      <c r="I526" s="186"/>
      <c r="J526" s="186"/>
      <c r="K526" s="170" t="s">
        <v>2904</v>
      </c>
      <c r="L526" s="170"/>
      <c r="M526" s="175"/>
      <c r="N526" s="172">
        <v>67000</v>
      </c>
      <c r="O526" s="172"/>
      <c r="P526" s="173" t="s">
        <v>2461</v>
      </c>
      <c r="Q526" s="174" t="str">
        <f t="shared" si="8"/>
        <v>註3</v>
      </c>
      <c r="R526" s="203" t="e">
        <f>INDEX([1]告訴人!$D$15:$F$372,MATCH(C526,[1]告訴人!$F$15:$F$372,0),1)</f>
        <v>#N/A</v>
      </c>
      <c r="S526" s="203" t="str">
        <f t="array" ref="S526">IF(OR(C526=[1]告訴人!$F$15:$F$372),"重疊","")</f>
        <v/>
      </c>
    </row>
    <row r="527" spans="1:26" ht="17.25" customHeight="1">
      <c r="A527" s="166">
        <v>524</v>
      </c>
      <c r="B527" s="166" t="s">
        <v>32</v>
      </c>
      <c r="C527" s="166" t="s">
        <v>276</v>
      </c>
      <c r="D527" s="167"/>
      <c r="E527" s="168" t="s">
        <v>199</v>
      </c>
      <c r="F527" s="169">
        <v>1000</v>
      </c>
      <c r="G527" s="168">
        <v>67</v>
      </c>
      <c r="H527" s="169">
        <v>67000</v>
      </c>
      <c r="I527" s="186"/>
      <c r="J527" s="186"/>
      <c r="K527" s="170" t="s">
        <v>2904</v>
      </c>
      <c r="L527" s="170"/>
      <c r="M527" s="175"/>
      <c r="N527" s="172">
        <v>67000</v>
      </c>
      <c r="O527" s="172"/>
      <c r="P527" s="173" t="s">
        <v>2461</v>
      </c>
      <c r="Q527" s="174" t="str">
        <f t="shared" si="8"/>
        <v>註3</v>
      </c>
      <c r="R527" s="203" t="e">
        <f>INDEX([1]告訴人!$D$15:$F$372,MATCH(C527,[1]告訴人!$F$15:$F$372,0),1)</f>
        <v>#N/A</v>
      </c>
      <c r="S527" s="203" t="str">
        <f t="array" ref="S527">IF(OR(C527=[1]告訴人!$F$15:$F$372),"重疊","")</f>
        <v/>
      </c>
    </row>
    <row r="528" spans="1:26" ht="114.65" customHeight="1">
      <c r="A528" s="166">
        <v>525</v>
      </c>
      <c r="B528" s="166" t="s">
        <v>32</v>
      </c>
      <c r="C528" s="166" t="s">
        <v>312</v>
      </c>
      <c r="D528" s="167"/>
      <c r="E528" s="168" t="s">
        <v>79</v>
      </c>
      <c r="F528" s="169">
        <v>2000</v>
      </c>
      <c r="G528" s="168">
        <v>25</v>
      </c>
      <c r="H528" s="169">
        <v>50000</v>
      </c>
      <c r="I528" s="186" t="s">
        <v>2918</v>
      </c>
      <c r="J528" s="186" t="s">
        <v>2918</v>
      </c>
      <c r="K528" s="170" t="s">
        <v>3213</v>
      </c>
      <c r="L528" s="170" t="s">
        <v>3640</v>
      </c>
      <c r="M528" s="175" t="s">
        <v>2905</v>
      </c>
      <c r="N528" s="172">
        <v>50000</v>
      </c>
      <c r="O528" s="172"/>
      <c r="P528" s="173" t="s">
        <v>2461</v>
      </c>
      <c r="Q528" s="174" t="str">
        <f t="shared" si="8"/>
        <v>註3</v>
      </c>
      <c r="R528" s="203">
        <f>INDEX([1]告訴人!$D$15:$F$372,MATCH(C528,[1]告訴人!$F$15:$F$372,0),1)</f>
        <v>207</v>
      </c>
      <c r="S528" s="203" t="str">
        <f t="array" ref="S528">IF(OR(C528=[1]告訴人!$F$15:$F$372),"重疊","")</f>
        <v>重疊</v>
      </c>
      <c r="T528" s="203">
        <v>1</v>
      </c>
      <c r="V528" s="203">
        <v>1</v>
      </c>
    </row>
    <row r="529" spans="1:26" ht="17.5" customHeight="1">
      <c r="A529" s="166">
        <v>526</v>
      </c>
      <c r="B529" s="166" t="s">
        <v>32</v>
      </c>
      <c r="C529" s="166" t="s">
        <v>403</v>
      </c>
      <c r="D529" s="167"/>
      <c r="E529" s="168" t="s">
        <v>79</v>
      </c>
      <c r="F529" s="169">
        <v>5000</v>
      </c>
      <c r="G529" s="168">
        <v>67</v>
      </c>
      <c r="H529" s="169">
        <v>335000</v>
      </c>
      <c r="I529" s="186"/>
      <c r="J529" s="186"/>
      <c r="K529" s="170" t="s">
        <v>2904</v>
      </c>
      <c r="L529" s="170"/>
      <c r="M529" s="175"/>
      <c r="N529" s="172">
        <v>335000</v>
      </c>
      <c r="O529" s="172"/>
      <c r="P529" s="173" t="s">
        <v>2461</v>
      </c>
      <c r="Q529" s="174" t="str">
        <f t="shared" si="8"/>
        <v>註3</v>
      </c>
      <c r="R529" s="203" t="e">
        <f>INDEX([1]告訴人!$D$15:$F$372,MATCH(C529,[1]告訴人!$F$15:$F$372,0),1)</f>
        <v>#N/A</v>
      </c>
      <c r="S529" s="203" t="str">
        <f t="array" ref="S529">IF(OR(C529=[1]告訴人!$F$15:$F$372),"重疊","")</f>
        <v/>
      </c>
    </row>
    <row r="530" spans="1:26" ht="20.149999999999999" customHeight="1">
      <c r="A530" s="166">
        <v>527</v>
      </c>
      <c r="B530" s="166" t="s">
        <v>32</v>
      </c>
      <c r="C530" s="166" t="s">
        <v>451</v>
      </c>
      <c r="D530" s="167"/>
      <c r="E530" s="168" t="s">
        <v>79</v>
      </c>
      <c r="F530" s="169">
        <v>2000</v>
      </c>
      <c r="G530" s="168">
        <v>67</v>
      </c>
      <c r="H530" s="169">
        <v>134000</v>
      </c>
      <c r="I530" s="186"/>
      <c r="J530" s="186"/>
      <c r="K530" s="170" t="s">
        <v>2904</v>
      </c>
      <c r="L530" s="170"/>
      <c r="M530" s="175"/>
      <c r="N530" s="172">
        <v>134000</v>
      </c>
      <c r="O530" s="172"/>
      <c r="P530" s="173" t="s">
        <v>2461</v>
      </c>
      <c r="Q530" s="174" t="str">
        <f t="shared" si="8"/>
        <v>註3</v>
      </c>
      <c r="R530" s="203" t="e">
        <f>INDEX([1]告訴人!$D$15:$F$372,MATCH(C530,[1]告訴人!$F$15:$F$372,0),1)</f>
        <v>#N/A</v>
      </c>
      <c r="S530" s="203" t="str">
        <f t="array" ref="S530">IF(OR(C530=[1]告訴人!$F$15:$F$372),"重疊","")</f>
        <v/>
      </c>
    </row>
    <row r="531" spans="1:26">
      <c r="A531" s="166">
        <v>528</v>
      </c>
      <c r="B531" s="166" t="s">
        <v>32</v>
      </c>
      <c r="C531" s="166" t="s">
        <v>453</v>
      </c>
      <c r="D531" s="167"/>
      <c r="E531" s="168" t="s">
        <v>79</v>
      </c>
      <c r="F531" s="169">
        <v>2000</v>
      </c>
      <c r="G531" s="168">
        <v>67</v>
      </c>
      <c r="H531" s="169">
        <v>134000</v>
      </c>
      <c r="I531" s="186"/>
      <c r="J531" s="186"/>
      <c r="K531" s="170" t="s">
        <v>2904</v>
      </c>
      <c r="L531" s="170"/>
      <c r="M531" s="175"/>
      <c r="N531" s="172">
        <v>134000</v>
      </c>
      <c r="O531" s="172"/>
      <c r="P531" s="173" t="s">
        <v>2461</v>
      </c>
      <c r="Q531" s="174" t="str">
        <f t="shared" si="8"/>
        <v>註3</v>
      </c>
      <c r="R531" s="203" t="e">
        <f>INDEX([1]告訴人!$D$15:$F$372,MATCH(C531,[1]告訴人!$F$15:$F$372,0),1)</f>
        <v>#N/A</v>
      </c>
      <c r="S531" s="203" t="str">
        <f t="array" ref="S531">IF(OR(C531=[1]告訴人!$F$15:$F$372),"重疊","")</f>
        <v/>
      </c>
    </row>
    <row r="532" spans="1:26" ht="79" customHeight="1">
      <c r="A532" s="166">
        <v>529</v>
      </c>
      <c r="B532" s="166" t="s">
        <v>32</v>
      </c>
      <c r="C532" s="166" t="s">
        <v>484</v>
      </c>
      <c r="D532" s="167"/>
      <c r="E532" s="168" t="s">
        <v>79</v>
      </c>
      <c r="F532" s="169">
        <v>10000</v>
      </c>
      <c r="G532" s="168">
        <v>67</v>
      </c>
      <c r="H532" s="169">
        <v>670000</v>
      </c>
      <c r="I532" s="186" t="s">
        <v>2918</v>
      </c>
      <c r="J532" s="186" t="s">
        <v>2918</v>
      </c>
      <c r="K532" s="170" t="s">
        <v>3214</v>
      </c>
      <c r="L532" s="170" t="s">
        <v>3641</v>
      </c>
      <c r="M532" s="175" t="s">
        <v>2905</v>
      </c>
      <c r="N532" s="172">
        <v>670000</v>
      </c>
      <c r="O532" s="172"/>
      <c r="P532" s="173" t="s">
        <v>2461</v>
      </c>
      <c r="Q532" s="174" t="str">
        <f t="shared" si="8"/>
        <v>註3</v>
      </c>
      <c r="R532" s="203">
        <f>INDEX([1]告訴人!$D$15:$F$372,MATCH(C532,[1]告訴人!$F$15:$F$372,0),1)</f>
        <v>221</v>
      </c>
      <c r="S532" s="203" t="str">
        <f t="array" ref="S532">IF(OR(C532=[1]告訴人!$F$15:$F$372),"重疊","")</f>
        <v>重疊</v>
      </c>
      <c r="T532" s="203">
        <v>1</v>
      </c>
      <c r="V532" s="203">
        <v>1</v>
      </c>
    </row>
    <row r="533" spans="1:26" ht="119">
      <c r="A533" s="166">
        <v>530</v>
      </c>
      <c r="B533" s="166" t="s">
        <v>32</v>
      </c>
      <c r="C533" s="166" t="s">
        <v>312</v>
      </c>
      <c r="D533" s="167"/>
      <c r="E533" s="168" t="s">
        <v>79</v>
      </c>
      <c r="F533" s="169">
        <v>2000</v>
      </c>
      <c r="G533" s="168">
        <v>67</v>
      </c>
      <c r="H533" s="169">
        <v>134000</v>
      </c>
      <c r="I533" s="346" t="s">
        <v>2986</v>
      </c>
      <c r="J533" s="346" t="s">
        <v>2986</v>
      </c>
      <c r="K533" s="170" t="s">
        <v>3215</v>
      </c>
      <c r="L533" s="170" t="s">
        <v>3640</v>
      </c>
      <c r="M533" s="175" t="s">
        <v>2905</v>
      </c>
      <c r="N533" s="172">
        <v>134000</v>
      </c>
      <c r="O533" s="172"/>
      <c r="P533" s="173" t="s">
        <v>2461</v>
      </c>
      <c r="Q533" s="174" t="str">
        <f t="shared" si="8"/>
        <v>註3</v>
      </c>
      <c r="R533" s="203">
        <f>INDEX([1]告訴人!$D$15:$F$372,MATCH(C533,[1]告訴人!$F$15:$F$372,0),1)</f>
        <v>207</v>
      </c>
      <c r="S533" s="203" t="str">
        <f t="array" ref="S533">IF(OR(C533=[1]告訴人!$F$15:$F$372),"重疊","")</f>
        <v>重疊</v>
      </c>
      <c r="T533" s="203">
        <v>1</v>
      </c>
      <c r="V533" s="203">
        <v>1</v>
      </c>
    </row>
    <row r="534" spans="1:26" ht="94" customHeight="1">
      <c r="A534" s="166">
        <v>531</v>
      </c>
      <c r="B534" s="166" t="s">
        <v>32</v>
      </c>
      <c r="C534" s="166" t="s">
        <v>400</v>
      </c>
      <c r="D534" s="167"/>
      <c r="E534" s="168" t="s">
        <v>111</v>
      </c>
      <c r="F534" s="169">
        <v>2000</v>
      </c>
      <c r="G534" s="168">
        <v>67</v>
      </c>
      <c r="H534" s="169">
        <v>134000</v>
      </c>
      <c r="I534" s="186" t="s">
        <v>2918</v>
      </c>
      <c r="J534" s="186" t="s">
        <v>2918</v>
      </c>
      <c r="K534" s="170" t="s">
        <v>3077</v>
      </c>
      <c r="L534" s="170" t="s">
        <v>3700</v>
      </c>
      <c r="M534" s="175" t="s">
        <v>2905</v>
      </c>
      <c r="N534" s="172">
        <v>134000</v>
      </c>
      <c r="O534" s="172"/>
      <c r="P534" s="173" t="s">
        <v>2461</v>
      </c>
      <c r="Q534" s="174" t="str">
        <f t="shared" si="8"/>
        <v>註3</v>
      </c>
      <c r="R534" s="203">
        <f>INDEX([1]告訴人!$D$15:$F$372,MATCH(C534,[1]告訴人!$F$15:$F$372,0),1)</f>
        <v>13</v>
      </c>
      <c r="S534" s="203" t="str">
        <f t="array" ref="S534">IF(OR(C534=[1]告訴人!$F$15:$F$372),"重疊","")</f>
        <v>重疊</v>
      </c>
      <c r="T534" s="203">
        <v>1</v>
      </c>
      <c r="Y534" s="157"/>
      <c r="Z534" s="157"/>
    </row>
    <row r="535" spans="1:26" ht="17.25" customHeight="1">
      <c r="A535" s="166">
        <v>532</v>
      </c>
      <c r="B535" s="166" t="s">
        <v>32</v>
      </c>
      <c r="C535" s="166" t="s">
        <v>529</v>
      </c>
      <c r="D535" s="167"/>
      <c r="E535" s="168" t="s">
        <v>111</v>
      </c>
      <c r="F535" s="169">
        <v>1000</v>
      </c>
      <c r="G535" s="168">
        <v>67</v>
      </c>
      <c r="H535" s="169">
        <v>67000</v>
      </c>
      <c r="I535" s="186"/>
      <c r="J535" s="186"/>
      <c r="K535" s="170" t="s">
        <v>2904</v>
      </c>
      <c r="L535" s="170"/>
      <c r="M535" s="175"/>
      <c r="N535" s="172">
        <v>67000</v>
      </c>
      <c r="O535" s="172"/>
      <c r="P535" s="173" t="s">
        <v>2461</v>
      </c>
      <c r="Q535" s="174" t="str">
        <f t="shared" si="8"/>
        <v>註3</v>
      </c>
      <c r="R535" s="203" t="e">
        <f>INDEX([1]告訴人!$D$15:$F$372,MATCH(C535,[1]告訴人!$F$15:$F$372,0),1)</f>
        <v>#N/A</v>
      </c>
      <c r="S535" s="203" t="str">
        <f t="array" ref="S535">IF(OR(C535=[1]告訴人!$F$15:$F$372),"重疊","")</f>
        <v/>
      </c>
    </row>
    <row r="536" spans="1:26">
      <c r="A536" s="166">
        <v>533</v>
      </c>
      <c r="B536" s="166" t="s">
        <v>32</v>
      </c>
      <c r="C536" s="166" t="s">
        <v>376</v>
      </c>
      <c r="D536" s="167"/>
      <c r="E536" s="168" t="s">
        <v>378</v>
      </c>
      <c r="F536" s="169">
        <v>11000</v>
      </c>
      <c r="G536" s="168">
        <v>67</v>
      </c>
      <c r="H536" s="169">
        <v>737000</v>
      </c>
      <c r="I536" s="186"/>
      <c r="J536" s="186"/>
      <c r="K536" s="170" t="s">
        <v>2904</v>
      </c>
      <c r="L536" s="170"/>
      <c r="M536" s="175"/>
      <c r="N536" s="172">
        <v>737000</v>
      </c>
      <c r="O536" s="172"/>
      <c r="P536" s="173" t="s">
        <v>2461</v>
      </c>
      <c r="Q536" s="174" t="str">
        <f t="shared" si="8"/>
        <v>註3</v>
      </c>
      <c r="R536" s="203" t="e">
        <f>INDEX([1]告訴人!$D$15:$F$372,MATCH(C536,[1]告訴人!$F$15:$F$372,0),1)</f>
        <v>#N/A</v>
      </c>
      <c r="S536" s="203" t="str">
        <f t="array" ref="S536">IF(OR(C536=[1]告訴人!$F$15:$F$372),"重疊","")</f>
        <v/>
      </c>
    </row>
    <row r="537" spans="1:26">
      <c r="A537" s="166">
        <v>534</v>
      </c>
      <c r="B537" s="166" t="s">
        <v>32</v>
      </c>
      <c r="C537" s="166" t="s">
        <v>438</v>
      </c>
      <c r="D537" s="167"/>
      <c r="E537" s="168" t="s">
        <v>378</v>
      </c>
      <c r="F537" s="169">
        <v>4000</v>
      </c>
      <c r="G537" s="168">
        <v>67</v>
      </c>
      <c r="H537" s="169">
        <v>268000</v>
      </c>
      <c r="I537" s="186"/>
      <c r="J537" s="186"/>
      <c r="K537" s="170" t="s">
        <v>2904</v>
      </c>
      <c r="L537" s="170"/>
      <c r="M537" s="175"/>
      <c r="N537" s="172">
        <v>268000</v>
      </c>
      <c r="O537" s="172"/>
      <c r="P537" s="173" t="s">
        <v>2461</v>
      </c>
      <c r="Q537" s="174" t="str">
        <f t="shared" si="8"/>
        <v>註3</v>
      </c>
      <c r="R537" s="203" t="e">
        <f>INDEX([1]告訴人!$D$15:$F$372,MATCH(C537,[1]告訴人!$F$15:$F$372,0),1)</f>
        <v>#N/A</v>
      </c>
      <c r="S537" s="203" t="str">
        <f t="array" ref="S537">IF(OR(C537=[1]告訴人!$F$15:$F$372),"重疊","")</f>
        <v/>
      </c>
    </row>
    <row r="538" spans="1:26" ht="67.650000000000006" customHeight="1">
      <c r="A538" s="166">
        <v>535</v>
      </c>
      <c r="B538" s="166" t="s">
        <v>32</v>
      </c>
      <c r="C538" s="166" t="s">
        <v>273</v>
      </c>
      <c r="D538" s="167"/>
      <c r="E538" s="168" t="s">
        <v>274</v>
      </c>
      <c r="F538" s="169">
        <v>2000</v>
      </c>
      <c r="G538" s="168">
        <v>25</v>
      </c>
      <c r="H538" s="169">
        <v>50000</v>
      </c>
      <c r="I538" s="186" t="s">
        <v>2918</v>
      </c>
      <c r="J538" s="186" t="s">
        <v>2918</v>
      </c>
      <c r="K538" s="170" t="s">
        <v>3216</v>
      </c>
      <c r="L538" s="170" t="s">
        <v>3642</v>
      </c>
      <c r="M538" s="175" t="s">
        <v>2905</v>
      </c>
      <c r="N538" s="172"/>
      <c r="O538" s="172">
        <v>50000</v>
      </c>
      <c r="P538" s="173" t="s">
        <v>2463</v>
      </c>
      <c r="Q538" s="174" t="str">
        <f t="shared" si="8"/>
        <v>註4</v>
      </c>
      <c r="R538" s="203">
        <f>INDEX([1]告訴人!$D$15:$F$372,MATCH(C538,[1]告訴人!$F$15:$F$372,0),1)</f>
        <v>148</v>
      </c>
      <c r="S538" s="203" t="str">
        <f t="array" ref="S538">IF(OR(C538=[1]告訴人!$F$15:$F$372),"重疊","")</f>
        <v>重疊</v>
      </c>
      <c r="T538" s="203">
        <v>1</v>
      </c>
      <c r="U538" s="203">
        <v>1</v>
      </c>
    </row>
    <row r="539" spans="1:26">
      <c r="A539" s="166">
        <v>536</v>
      </c>
      <c r="B539" s="166" t="s">
        <v>32</v>
      </c>
      <c r="C539" s="166" t="s">
        <v>310</v>
      </c>
      <c r="D539" s="167"/>
      <c r="E539" s="168" t="s">
        <v>274</v>
      </c>
      <c r="F539" s="169">
        <v>1000</v>
      </c>
      <c r="G539" s="168">
        <v>67</v>
      </c>
      <c r="H539" s="169">
        <v>67000</v>
      </c>
      <c r="I539" s="186"/>
      <c r="J539" s="186"/>
      <c r="K539" s="170" t="s">
        <v>2904</v>
      </c>
      <c r="L539" s="170"/>
      <c r="M539" s="175"/>
      <c r="N539" s="172">
        <v>67000</v>
      </c>
      <c r="O539" s="172"/>
      <c r="P539" s="173" t="s">
        <v>2461</v>
      </c>
      <c r="Q539" s="174" t="str">
        <f t="shared" si="8"/>
        <v>註3</v>
      </c>
      <c r="R539" s="203" t="e">
        <f>INDEX([1]告訴人!$D$15:$F$372,MATCH(C539,[1]告訴人!$F$15:$F$372,0),1)</f>
        <v>#N/A</v>
      </c>
      <c r="S539" s="203" t="str">
        <f t="array" ref="S539">IF(OR(C539=[1]告訴人!$F$15:$F$372),"重疊","")</f>
        <v/>
      </c>
    </row>
    <row r="540" spans="1:26" ht="41.25" customHeight="1">
      <c r="A540" s="166">
        <v>537</v>
      </c>
      <c r="B540" s="166" t="s">
        <v>32</v>
      </c>
      <c r="C540" s="166" t="s">
        <v>128</v>
      </c>
      <c r="D540" s="167"/>
      <c r="E540" s="168" t="s">
        <v>129</v>
      </c>
      <c r="F540" s="169">
        <v>1000</v>
      </c>
      <c r="G540" s="168">
        <v>25</v>
      </c>
      <c r="H540" s="169">
        <v>25000</v>
      </c>
      <c r="I540" s="186" t="s">
        <v>2918</v>
      </c>
      <c r="J540" s="186" t="s">
        <v>2918</v>
      </c>
      <c r="K540" s="170" t="s">
        <v>3077</v>
      </c>
      <c r="L540" s="170" t="s">
        <v>3594</v>
      </c>
      <c r="M540" s="175" t="s">
        <v>2905</v>
      </c>
      <c r="N540" s="172">
        <v>25000</v>
      </c>
      <c r="O540" s="172"/>
      <c r="P540" s="173" t="s">
        <v>2461</v>
      </c>
      <c r="Q540" s="174" t="str">
        <f t="shared" si="8"/>
        <v>註3</v>
      </c>
      <c r="R540" s="203">
        <f>INDEX([1]告訴人!$D$15:$F$372,MATCH(C540,[1]告訴人!$F$15:$F$372,0),1)</f>
        <v>339</v>
      </c>
      <c r="S540" s="203" t="str">
        <f t="array" ref="S540">IF(OR(C540=[1]告訴人!$F$15:$F$372),"重疊","")</f>
        <v>重疊</v>
      </c>
      <c r="T540" s="203">
        <v>1</v>
      </c>
    </row>
    <row r="541" spans="1:26" ht="41.25" customHeight="1">
      <c r="A541" s="166">
        <v>538</v>
      </c>
      <c r="B541" s="166" t="s">
        <v>32</v>
      </c>
      <c r="C541" s="166" t="s">
        <v>128</v>
      </c>
      <c r="D541" s="167"/>
      <c r="E541" s="168" t="s">
        <v>129</v>
      </c>
      <c r="F541" s="169">
        <v>1000</v>
      </c>
      <c r="G541" s="168">
        <v>67</v>
      </c>
      <c r="H541" s="169">
        <v>67000</v>
      </c>
      <c r="I541" s="186" t="s">
        <v>2918</v>
      </c>
      <c r="J541" s="186" t="s">
        <v>2918</v>
      </c>
      <c r="K541" s="170" t="s">
        <v>3077</v>
      </c>
      <c r="L541" s="170" t="s">
        <v>3594</v>
      </c>
      <c r="M541" s="175" t="s">
        <v>2905</v>
      </c>
      <c r="N541" s="172">
        <v>67000</v>
      </c>
      <c r="O541" s="172"/>
      <c r="P541" s="173" t="s">
        <v>2461</v>
      </c>
      <c r="Q541" s="174" t="str">
        <f t="shared" si="8"/>
        <v>註3</v>
      </c>
      <c r="R541" s="203">
        <f>INDEX([1]告訴人!$D$15:$F$372,MATCH(C541,[1]告訴人!$F$15:$F$372,0),1)</f>
        <v>339</v>
      </c>
      <c r="S541" s="203" t="str">
        <f t="array" ref="S541">IF(OR(C541=[1]告訴人!$F$15:$F$372),"重疊","")</f>
        <v>重疊</v>
      </c>
      <c r="T541" s="203">
        <v>1</v>
      </c>
    </row>
    <row r="542" spans="1:26" ht="65.5" customHeight="1">
      <c r="A542" s="166">
        <v>539</v>
      </c>
      <c r="B542" s="166" t="s">
        <v>32</v>
      </c>
      <c r="C542" s="166" t="s">
        <v>222</v>
      </c>
      <c r="D542" s="167"/>
      <c r="E542" s="168" t="s">
        <v>223</v>
      </c>
      <c r="F542" s="169">
        <v>5000</v>
      </c>
      <c r="G542" s="168">
        <v>25</v>
      </c>
      <c r="H542" s="169">
        <v>125000</v>
      </c>
      <c r="I542" s="186" t="s">
        <v>2918</v>
      </c>
      <c r="J542" s="186" t="s">
        <v>2918</v>
      </c>
      <c r="K542" s="170" t="s">
        <v>3217</v>
      </c>
      <c r="L542" s="170" t="s">
        <v>3643</v>
      </c>
      <c r="M542" s="175" t="s">
        <v>2905</v>
      </c>
      <c r="N542" s="172">
        <v>125000</v>
      </c>
      <c r="O542" s="172"/>
      <c r="P542" s="173" t="s">
        <v>2461</v>
      </c>
      <c r="Q542" s="174" t="str">
        <f t="shared" si="8"/>
        <v>註3</v>
      </c>
      <c r="R542" s="203">
        <f>INDEX([1]告訴人!$D$15:$F$372,MATCH(C542,[1]告訴人!$F$15:$F$372,0),1)</f>
        <v>253</v>
      </c>
      <c r="S542" s="203" t="str">
        <f t="array" ref="S542">IF(OR(C542=[1]告訴人!$F$15:$F$372),"重疊","")</f>
        <v>重疊</v>
      </c>
      <c r="T542" s="203">
        <v>1</v>
      </c>
      <c r="V542" s="203">
        <v>1</v>
      </c>
    </row>
    <row r="543" spans="1:26" ht="78" customHeight="1">
      <c r="A543" s="166">
        <v>540</v>
      </c>
      <c r="B543" s="166" t="s">
        <v>32</v>
      </c>
      <c r="C543" s="166" t="s">
        <v>387</v>
      </c>
      <c r="D543" s="167"/>
      <c r="E543" s="168" t="s">
        <v>223</v>
      </c>
      <c r="F543" s="169">
        <v>2000</v>
      </c>
      <c r="G543" s="168">
        <v>67</v>
      </c>
      <c r="H543" s="169">
        <v>134000</v>
      </c>
      <c r="I543" s="186" t="s">
        <v>2918</v>
      </c>
      <c r="J543" s="186" t="s">
        <v>2918</v>
      </c>
      <c r="K543" s="170" t="s">
        <v>3218</v>
      </c>
      <c r="L543" s="170" t="s">
        <v>3644</v>
      </c>
      <c r="M543" s="175" t="s">
        <v>2907</v>
      </c>
      <c r="N543" s="172">
        <v>134000</v>
      </c>
      <c r="O543" s="172"/>
      <c r="P543" s="173" t="s">
        <v>2461</v>
      </c>
      <c r="Q543" s="174" t="str">
        <f t="shared" si="8"/>
        <v>註3</v>
      </c>
      <c r="R543" s="203">
        <f>INDEX([1]告訴人!$D$15:$F$372,MATCH(C543,[1]告訴人!$F$15:$F$372,0),1)</f>
        <v>52</v>
      </c>
      <c r="S543" s="203" t="str">
        <f t="array" ref="S543">IF(OR(C543=[1]告訴人!$F$15:$F$372),"重疊","")</f>
        <v>重疊</v>
      </c>
      <c r="T543" s="203">
        <v>1</v>
      </c>
    </row>
    <row r="544" spans="1:26" ht="80.5" customHeight="1">
      <c r="A544" s="166">
        <v>541</v>
      </c>
      <c r="B544" s="166" t="s">
        <v>32</v>
      </c>
      <c r="C544" s="166" t="s">
        <v>222</v>
      </c>
      <c r="D544" s="167"/>
      <c r="E544" s="168" t="s">
        <v>223</v>
      </c>
      <c r="F544" s="169">
        <v>5000</v>
      </c>
      <c r="G544" s="168">
        <v>67</v>
      </c>
      <c r="H544" s="169">
        <v>335000</v>
      </c>
      <c r="I544" s="186" t="s">
        <v>2921</v>
      </c>
      <c r="J544" s="186" t="s">
        <v>2921</v>
      </c>
      <c r="K544" s="170" t="s">
        <v>3212</v>
      </c>
      <c r="L544" s="170" t="s">
        <v>3643</v>
      </c>
      <c r="M544" s="175" t="s">
        <v>2907</v>
      </c>
      <c r="N544" s="172">
        <v>335000</v>
      </c>
      <c r="O544" s="172"/>
      <c r="P544" s="173" t="s">
        <v>2461</v>
      </c>
      <c r="Q544" s="174" t="str">
        <f t="shared" si="8"/>
        <v>註3</v>
      </c>
      <c r="R544" s="203">
        <f>INDEX([1]告訴人!$D$15:$F$372,MATCH(C544,[1]告訴人!$F$15:$F$372,0),1)</f>
        <v>253</v>
      </c>
      <c r="S544" s="203" t="str">
        <f t="array" ref="S544">IF(OR(C544=[1]告訴人!$F$15:$F$372),"重疊","")</f>
        <v>重疊</v>
      </c>
      <c r="T544" s="203">
        <v>1</v>
      </c>
      <c r="V544" s="203">
        <v>1</v>
      </c>
    </row>
    <row r="545" spans="1:21" ht="35" customHeight="1">
      <c r="A545" s="166">
        <v>542</v>
      </c>
      <c r="B545" s="166" t="s">
        <v>32</v>
      </c>
      <c r="C545" s="166" t="s">
        <v>577</v>
      </c>
      <c r="D545" s="167"/>
      <c r="E545" s="168" t="s">
        <v>223</v>
      </c>
      <c r="F545" s="169">
        <v>1000</v>
      </c>
      <c r="G545" s="168">
        <v>69</v>
      </c>
      <c r="H545" s="169">
        <v>69000</v>
      </c>
      <c r="I545" s="346" t="s">
        <v>2987</v>
      </c>
      <c r="J545" s="346" t="s">
        <v>2987</v>
      </c>
      <c r="K545" s="170" t="s">
        <v>3158</v>
      </c>
      <c r="L545" s="170" t="s">
        <v>3627</v>
      </c>
      <c r="M545" s="175" t="s">
        <v>2907</v>
      </c>
      <c r="N545" s="172"/>
      <c r="O545" s="172">
        <v>69000</v>
      </c>
      <c r="P545" s="173" t="s">
        <v>2463</v>
      </c>
      <c r="Q545" s="174" t="str">
        <f t="shared" si="8"/>
        <v>註4</v>
      </c>
      <c r="R545" s="203" t="e">
        <f>INDEX([1]告訴人!$D$15:$F$372,MATCH(C545,[1]告訴人!$F$15:$F$372,0),1)</f>
        <v>#N/A</v>
      </c>
      <c r="S545" s="203" t="str">
        <f t="array" ref="S545">IF(OR(C545=[1]告訴人!$F$15:$F$372),"重疊","")</f>
        <v/>
      </c>
      <c r="T545" s="203">
        <v>1</v>
      </c>
      <c r="U545" s="203">
        <v>1</v>
      </c>
    </row>
    <row r="546" spans="1:21">
      <c r="A546" s="166">
        <v>543</v>
      </c>
      <c r="B546" s="166" t="s">
        <v>32</v>
      </c>
      <c r="C546" s="166" t="s">
        <v>139</v>
      </c>
      <c r="D546" s="167"/>
      <c r="E546" s="168" t="s">
        <v>140</v>
      </c>
      <c r="F546" s="169">
        <v>1000</v>
      </c>
      <c r="G546" s="168">
        <v>25</v>
      </c>
      <c r="H546" s="169">
        <v>25000</v>
      </c>
      <c r="I546" s="186"/>
      <c r="J546" s="186"/>
      <c r="K546" s="170" t="s">
        <v>2908</v>
      </c>
      <c r="L546" s="170"/>
      <c r="M546" s="175"/>
      <c r="N546" s="172">
        <v>25000</v>
      </c>
      <c r="O546" s="172"/>
      <c r="P546" s="173" t="s">
        <v>2461</v>
      </c>
      <c r="Q546" s="174" t="str">
        <f t="shared" si="8"/>
        <v>註3</v>
      </c>
      <c r="R546" s="203" t="e">
        <f>INDEX([1]告訴人!$D$15:$F$372,MATCH(C546,[1]告訴人!$F$15:$F$372,0),1)</f>
        <v>#N/A</v>
      </c>
      <c r="S546" s="203" t="str">
        <f t="array" ref="S546">IF(OR(C546=[1]告訴人!$F$15:$F$372),"重疊","")</f>
        <v/>
      </c>
    </row>
    <row r="547" spans="1:21" ht="17" customHeight="1">
      <c r="A547" s="166">
        <v>544</v>
      </c>
      <c r="B547" s="166" t="s">
        <v>32</v>
      </c>
      <c r="C547" s="166" t="s">
        <v>265</v>
      </c>
      <c r="D547" s="167"/>
      <c r="E547" s="168" t="s">
        <v>140</v>
      </c>
      <c r="F547" s="169">
        <v>1000</v>
      </c>
      <c r="G547" s="168">
        <v>25</v>
      </c>
      <c r="H547" s="169">
        <v>25000</v>
      </c>
      <c r="I547" s="186"/>
      <c r="J547" s="186"/>
      <c r="K547" s="170" t="s">
        <v>2908</v>
      </c>
      <c r="L547" s="170"/>
      <c r="M547" s="175"/>
      <c r="N547" s="172">
        <v>25000</v>
      </c>
      <c r="O547" s="172"/>
      <c r="P547" s="173" t="s">
        <v>2461</v>
      </c>
      <c r="Q547" s="174" t="str">
        <f t="shared" si="8"/>
        <v>註3</v>
      </c>
      <c r="R547" s="203" t="e">
        <f>INDEX([1]告訴人!$D$15:$F$372,MATCH(C547,[1]告訴人!$F$15:$F$372,0),1)</f>
        <v>#N/A</v>
      </c>
      <c r="S547" s="203" t="str">
        <f t="array" ref="S547">IF(OR(C547=[1]告訴人!$F$15:$F$372),"重疊","")</f>
        <v/>
      </c>
    </row>
    <row r="548" spans="1:21" ht="17" customHeight="1">
      <c r="A548" s="166">
        <v>545</v>
      </c>
      <c r="B548" s="166" t="s">
        <v>32</v>
      </c>
      <c r="C548" s="166" t="s">
        <v>265</v>
      </c>
      <c r="D548" s="167"/>
      <c r="E548" s="168" t="s">
        <v>140</v>
      </c>
      <c r="F548" s="169">
        <v>2000</v>
      </c>
      <c r="G548" s="168">
        <v>25</v>
      </c>
      <c r="H548" s="169">
        <v>50000</v>
      </c>
      <c r="I548" s="186"/>
      <c r="J548" s="186"/>
      <c r="K548" s="170" t="s">
        <v>2908</v>
      </c>
      <c r="L548" s="170"/>
      <c r="M548" s="175"/>
      <c r="N548" s="172">
        <v>50000</v>
      </c>
      <c r="O548" s="172"/>
      <c r="P548" s="173" t="s">
        <v>2461</v>
      </c>
      <c r="Q548" s="174" t="str">
        <f t="shared" si="8"/>
        <v>註3</v>
      </c>
      <c r="R548" s="203" t="e">
        <f>INDEX([1]告訴人!$D$15:$F$372,MATCH(C548,[1]告訴人!$F$15:$F$372,0),1)</f>
        <v>#N/A</v>
      </c>
      <c r="S548" s="203" t="str">
        <f t="array" ref="S548">IF(OR(C548=[1]告訴人!$F$15:$F$372),"重疊","")</f>
        <v/>
      </c>
    </row>
    <row r="549" spans="1:21">
      <c r="A549" s="166">
        <v>546</v>
      </c>
      <c r="B549" s="166" t="s">
        <v>32</v>
      </c>
      <c r="C549" s="166" t="s">
        <v>286</v>
      </c>
      <c r="D549" s="167"/>
      <c r="E549" s="168" t="s">
        <v>140</v>
      </c>
      <c r="F549" s="169">
        <v>1000</v>
      </c>
      <c r="G549" s="168">
        <v>25</v>
      </c>
      <c r="H549" s="169">
        <v>25000</v>
      </c>
      <c r="I549" s="186"/>
      <c r="J549" s="186"/>
      <c r="K549" s="170" t="s">
        <v>2908</v>
      </c>
      <c r="L549" s="170"/>
      <c r="M549" s="175"/>
      <c r="N549" s="172">
        <v>25000</v>
      </c>
      <c r="O549" s="172"/>
      <c r="P549" s="173" t="s">
        <v>2461</v>
      </c>
      <c r="Q549" s="174" t="str">
        <f t="shared" si="8"/>
        <v>註3</v>
      </c>
      <c r="R549" s="203" t="e">
        <f>INDEX([1]告訴人!$D$15:$F$372,MATCH(C549,[1]告訴人!$F$15:$F$372,0),1)</f>
        <v>#N/A</v>
      </c>
      <c r="S549" s="203" t="str">
        <f t="array" ref="S549">IF(OR(C549=[1]告訴人!$F$15:$F$372),"重疊","")</f>
        <v/>
      </c>
    </row>
    <row r="550" spans="1:21" ht="18.649999999999999" customHeight="1">
      <c r="A550" s="166">
        <v>547</v>
      </c>
      <c r="B550" s="166" t="s">
        <v>32</v>
      </c>
      <c r="C550" s="166" t="s">
        <v>265</v>
      </c>
      <c r="D550" s="167"/>
      <c r="E550" s="168" t="s">
        <v>140</v>
      </c>
      <c r="F550" s="169">
        <v>4000</v>
      </c>
      <c r="G550" s="168">
        <v>67</v>
      </c>
      <c r="H550" s="169">
        <v>268000</v>
      </c>
      <c r="I550" s="186"/>
      <c r="J550" s="186"/>
      <c r="K550" s="170" t="s">
        <v>2908</v>
      </c>
      <c r="L550" s="170"/>
      <c r="M550" s="175"/>
      <c r="N550" s="172">
        <v>268000</v>
      </c>
      <c r="O550" s="172"/>
      <c r="P550" s="173" t="s">
        <v>2461</v>
      </c>
      <c r="Q550" s="174" t="str">
        <f t="shared" si="8"/>
        <v>註3</v>
      </c>
      <c r="R550" s="203" t="e">
        <f>INDEX([1]告訴人!$D$15:$F$372,MATCH(C550,[1]告訴人!$F$15:$F$372,0),1)</f>
        <v>#N/A</v>
      </c>
      <c r="S550" s="203" t="str">
        <f t="array" ref="S550">IF(OR(C550=[1]告訴人!$F$15:$F$372),"重疊","")</f>
        <v/>
      </c>
    </row>
    <row r="551" spans="1:21">
      <c r="A551" s="166">
        <v>548</v>
      </c>
      <c r="B551" s="166" t="s">
        <v>32</v>
      </c>
      <c r="C551" s="166" t="s">
        <v>286</v>
      </c>
      <c r="D551" s="167"/>
      <c r="E551" s="168" t="s">
        <v>140</v>
      </c>
      <c r="F551" s="169">
        <v>2000</v>
      </c>
      <c r="G551" s="168">
        <v>67</v>
      </c>
      <c r="H551" s="169">
        <v>134000</v>
      </c>
      <c r="I551" s="186"/>
      <c r="J551" s="186"/>
      <c r="K551" s="170" t="s">
        <v>2908</v>
      </c>
      <c r="L551" s="170"/>
      <c r="M551" s="175"/>
      <c r="N551" s="172">
        <v>134000</v>
      </c>
      <c r="O551" s="172"/>
      <c r="P551" s="173" t="s">
        <v>2461</v>
      </c>
      <c r="Q551" s="174" t="str">
        <f t="shared" si="8"/>
        <v>註3</v>
      </c>
      <c r="R551" s="203" t="e">
        <f>INDEX([1]告訴人!$D$15:$F$372,MATCH(C551,[1]告訴人!$F$15:$F$372,0),1)</f>
        <v>#N/A</v>
      </c>
      <c r="S551" s="203" t="str">
        <f t="array" ref="S551">IF(OR(C551=[1]告訴人!$F$15:$F$372),"重疊","")</f>
        <v/>
      </c>
    </row>
    <row r="552" spans="1:21">
      <c r="A552" s="166">
        <v>549</v>
      </c>
      <c r="B552" s="166" t="s">
        <v>32</v>
      </c>
      <c r="C552" s="166" t="s">
        <v>217</v>
      </c>
      <c r="D552" s="167"/>
      <c r="E552" s="168" t="s">
        <v>218</v>
      </c>
      <c r="F552" s="169">
        <v>4000</v>
      </c>
      <c r="G552" s="168">
        <v>25</v>
      </c>
      <c r="H552" s="169">
        <v>100000</v>
      </c>
      <c r="I552" s="186"/>
      <c r="J552" s="186"/>
      <c r="K552" s="170" t="s">
        <v>2908</v>
      </c>
      <c r="L552" s="170"/>
      <c r="M552" s="175"/>
      <c r="N552" s="172">
        <v>100000</v>
      </c>
      <c r="O552" s="172"/>
      <c r="P552" s="173" t="s">
        <v>2461</v>
      </c>
      <c r="Q552" s="174" t="str">
        <f t="shared" si="8"/>
        <v>註3</v>
      </c>
      <c r="R552" s="203" t="e">
        <f>INDEX([1]告訴人!$D$15:$F$372,MATCH(C552,[1]告訴人!$F$15:$F$372,0),1)</f>
        <v>#N/A</v>
      </c>
      <c r="S552" s="203" t="str">
        <f t="array" ref="S552">IF(OR(C552=[1]告訴人!$F$15:$F$372),"重疊","")</f>
        <v/>
      </c>
    </row>
    <row r="553" spans="1:21">
      <c r="A553" s="166">
        <v>550</v>
      </c>
      <c r="B553" s="166" t="s">
        <v>32</v>
      </c>
      <c r="C553" s="166" t="s">
        <v>217</v>
      </c>
      <c r="D553" s="167"/>
      <c r="E553" s="168" t="s">
        <v>218</v>
      </c>
      <c r="F553" s="169">
        <v>8000</v>
      </c>
      <c r="G553" s="168">
        <v>67</v>
      </c>
      <c r="H553" s="169">
        <v>536000</v>
      </c>
      <c r="I553" s="186"/>
      <c r="J553" s="186"/>
      <c r="K553" s="170" t="s">
        <v>2908</v>
      </c>
      <c r="L553" s="170"/>
      <c r="M553" s="175"/>
      <c r="N553" s="172">
        <v>536000</v>
      </c>
      <c r="O553" s="172"/>
      <c r="P553" s="173" t="s">
        <v>2461</v>
      </c>
      <c r="Q553" s="174" t="str">
        <f t="shared" si="8"/>
        <v>註3</v>
      </c>
      <c r="R553" s="203" t="e">
        <f>INDEX([1]告訴人!$D$15:$F$372,MATCH(C553,[1]告訴人!$F$15:$F$372,0),1)</f>
        <v>#N/A</v>
      </c>
      <c r="S553" s="203" t="str">
        <f t="array" ref="S553">IF(OR(C553=[1]告訴人!$F$15:$F$372),"重疊","")</f>
        <v/>
      </c>
    </row>
    <row r="554" spans="1:21" ht="17" customHeight="1">
      <c r="A554" s="166">
        <v>551</v>
      </c>
      <c r="B554" s="166" t="s">
        <v>32</v>
      </c>
      <c r="C554" s="166" t="s">
        <v>469</v>
      </c>
      <c r="D554" s="167"/>
      <c r="E554" s="168" t="s">
        <v>218</v>
      </c>
      <c r="F554" s="169">
        <v>1000</v>
      </c>
      <c r="G554" s="168">
        <v>67</v>
      </c>
      <c r="H554" s="169">
        <v>67000</v>
      </c>
      <c r="I554" s="186"/>
      <c r="J554" s="186"/>
      <c r="K554" s="170" t="s">
        <v>2908</v>
      </c>
      <c r="L554" s="170"/>
      <c r="M554" s="175"/>
      <c r="N554" s="172">
        <v>67000</v>
      </c>
      <c r="O554" s="172"/>
      <c r="P554" s="173" t="s">
        <v>2461</v>
      </c>
      <c r="Q554" s="174" t="str">
        <f t="shared" si="8"/>
        <v>註3</v>
      </c>
      <c r="R554" s="203" t="e">
        <f>INDEX([1]告訴人!$D$15:$F$372,MATCH(C554,[1]告訴人!$F$15:$F$372,0),1)</f>
        <v>#N/A</v>
      </c>
      <c r="S554" s="203" t="str">
        <f t="array" ref="S554">IF(OR(C554=[1]告訴人!$F$15:$F$372),"重疊","")</f>
        <v/>
      </c>
    </row>
    <row r="555" spans="1:21">
      <c r="A555" s="166">
        <v>552</v>
      </c>
      <c r="B555" s="166" t="s">
        <v>32</v>
      </c>
      <c r="C555" s="166" t="s">
        <v>124</v>
      </c>
      <c r="D555" s="167"/>
      <c r="E555" s="168" t="s">
        <v>125</v>
      </c>
      <c r="F555" s="169">
        <v>2000</v>
      </c>
      <c r="G555" s="168">
        <v>25</v>
      </c>
      <c r="H555" s="169">
        <v>50000</v>
      </c>
      <c r="I555" s="186"/>
      <c r="J555" s="186"/>
      <c r="K555" s="170" t="s">
        <v>2908</v>
      </c>
      <c r="L555" s="170"/>
      <c r="M555" s="175"/>
      <c r="N555" s="172">
        <v>50000</v>
      </c>
      <c r="O555" s="172"/>
      <c r="P555" s="173" t="s">
        <v>2461</v>
      </c>
      <c r="Q555" s="174" t="str">
        <f t="shared" si="8"/>
        <v>註3</v>
      </c>
      <c r="R555" s="203" t="e">
        <f>INDEX([1]告訴人!$D$15:$F$372,MATCH(C555,[1]告訴人!$F$15:$F$372,0),1)</f>
        <v>#N/A</v>
      </c>
      <c r="S555" s="203" t="str">
        <f t="array" ref="S555">IF(OR(C555=[1]告訴人!$F$15:$F$372),"重疊","")</f>
        <v/>
      </c>
    </row>
    <row r="556" spans="1:21">
      <c r="A556" s="166">
        <v>553</v>
      </c>
      <c r="B556" s="166" t="s">
        <v>32</v>
      </c>
      <c r="C556" s="166" t="s">
        <v>207</v>
      </c>
      <c r="D556" s="167"/>
      <c r="E556" s="168" t="s">
        <v>125</v>
      </c>
      <c r="F556" s="169">
        <v>2000</v>
      </c>
      <c r="G556" s="168">
        <v>25</v>
      </c>
      <c r="H556" s="169">
        <v>50000</v>
      </c>
      <c r="I556" s="186"/>
      <c r="J556" s="186"/>
      <c r="K556" s="170" t="s">
        <v>2908</v>
      </c>
      <c r="L556" s="170"/>
      <c r="M556" s="175"/>
      <c r="N556" s="172">
        <v>50000</v>
      </c>
      <c r="O556" s="172"/>
      <c r="P556" s="173" t="s">
        <v>2461</v>
      </c>
      <c r="Q556" s="174" t="str">
        <f t="shared" si="8"/>
        <v>註3</v>
      </c>
      <c r="R556" s="203" t="e">
        <f>INDEX([1]告訴人!$D$15:$F$372,MATCH(C556,[1]告訴人!$F$15:$F$372,0),1)</f>
        <v>#N/A</v>
      </c>
      <c r="S556" s="203" t="str">
        <f t="array" ref="S556">IF(OR(C556=[1]告訴人!$F$15:$F$372),"重疊","")</f>
        <v/>
      </c>
    </row>
    <row r="557" spans="1:21">
      <c r="A557" s="166">
        <v>554</v>
      </c>
      <c r="B557" s="166" t="s">
        <v>32</v>
      </c>
      <c r="C557" s="166" t="s">
        <v>262</v>
      </c>
      <c r="D557" s="167"/>
      <c r="E557" s="168" t="s">
        <v>125</v>
      </c>
      <c r="F557" s="169">
        <v>1000</v>
      </c>
      <c r="G557" s="168">
        <v>25</v>
      </c>
      <c r="H557" s="169">
        <v>25000</v>
      </c>
      <c r="I557" s="186"/>
      <c r="J557" s="186"/>
      <c r="K557" s="170" t="s">
        <v>2908</v>
      </c>
      <c r="L557" s="170"/>
      <c r="M557" s="175"/>
      <c r="N557" s="172">
        <v>25000</v>
      </c>
      <c r="O557" s="172"/>
      <c r="P557" s="173" t="s">
        <v>2461</v>
      </c>
      <c r="Q557" s="174" t="str">
        <f t="shared" si="8"/>
        <v>註3</v>
      </c>
      <c r="R557" s="203" t="e">
        <f>INDEX([1]告訴人!$D$15:$F$372,MATCH(C557,[1]告訴人!$F$15:$F$372,0),1)</f>
        <v>#N/A</v>
      </c>
      <c r="S557" s="203" t="str">
        <f t="array" ref="S557">IF(OR(C557=[1]告訴人!$F$15:$F$372),"重疊","")</f>
        <v/>
      </c>
    </row>
    <row r="558" spans="1:21">
      <c r="A558" s="166">
        <v>555</v>
      </c>
      <c r="B558" s="166" t="s">
        <v>32</v>
      </c>
      <c r="C558" s="166" t="s">
        <v>124</v>
      </c>
      <c r="D558" s="167"/>
      <c r="E558" s="168" t="s">
        <v>125</v>
      </c>
      <c r="F558" s="169">
        <v>2000</v>
      </c>
      <c r="G558" s="168">
        <v>67</v>
      </c>
      <c r="H558" s="169">
        <v>134000</v>
      </c>
      <c r="I558" s="186"/>
      <c r="J558" s="186"/>
      <c r="K558" s="170" t="s">
        <v>2908</v>
      </c>
      <c r="L558" s="170"/>
      <c r="M558" s="175"/>
      <c r="N558" s="172">
        <v>134000</v>
      </c>
      <c r="O558" s="172"/>
      <c r="P558" s="173" t="s">
        <v>2461</v>
      </c>
      <c r="Q558" s="174" t="str">
        <f t="shared" si="8"/>
        <v>註3</v>
      </c>
      <c r="R558" s="203" t="e">
        <f>INDEX([1]告訴人!$D$15:$F$372,MATCH(C558,[1]告訴人!$F$15:$F$372,0),1)</f>
        <v>#N/A</v>
      </c>
      <c r="S558" s="203" t="str">
        <f t="array" ref="S558">IF(OR(C558=[1]告訴人!$F$15:$F$372),"重疊","")</f>
        <v/>
      </c>
    </row>
    <row r="559" spans="1:21">
      <c r="A559" s="166">
        <v>556</v>
      </c>
      <c r="B559" s="166" t="s">
        <v>32</v>
      </c>
      <c r="C559" s="166" t="s">
        <v>361</v>
      </c>
      <c r="D559" s="167"/>
      <c r="E559" s="168" t="s">
        <v>125</v>
      </c>
      <c r="F559" s="169">
        <v>1000</v>
      </c>
      <c r="G559" s="168">
        <v>67</v>
      </c>
      <c r="H559" s="169">
        <v>67000</v>
      </c>
      <c r="I559" s="186"/>
      <c r="J559" s="186"/>
      <c r="K559" s="170" t="s">
        <v>2908</v>
      </c>
      <c r="L559" s="170"/>
      <c r="M559" s="175"/>
      <c r="N559" s="172">
        <v>67000</v>
      </c>
      <c r="O559" s="172"/>
      <c r="P559" s="173" t="s">
        <v>2461</v>
      </c>
      <c r="Q559" s="174" t="str">
        <f t="shared" si="8"/>
        <v>註3</v>
      </c>
      <c r="R559" s="203" t="e">
        <f>INDEX([1]告訴人!$D$15:$F$372,MATCH(C559,[1]告訴人!$F$15:$F$372,0),1)</f>
        <v>#N/A</v>
      </c>
      <c r="S559" s="203" t="str">
        <f t="array" ref="S559">IF(OR(C559=[1]告訴人!$F$15:$F$372),"重疊","")</f>
        <v/>
      </c>
    </row>
    <row r="560" spans="1:21">
      <c r="A560" s="166">
        <v>557</v>
      </c>
      <c r="B560" s="166" t="s">
        <v>32</v>
      </c>
      <c r="C560" s="166" t="s">
        <v>207</v>
      </c>
      <c r="D560" s="167"/>
      <c r="E560" s="168" t="s">
        <v>125</v>
      </c>
      <c r="F560" s="169">
        <v>1000</v>
      </c>
      <c r="G560" s="168">
        <v>67</v>
      </c>
      <c r="H560" s="169">
        <v>67000</v>
      </c>
      <c r="I560" s="186"/>
      <c r="J560" s="186"/>
      <c r="K560" s="170" t="s">
        <v>2908</v>
      </c>
      <c r="L560" s="170"/>
      <c r="M560" s="175"/>
      <c r="N560" s="172">
        <v>67000</v>
      </c>
      <c r="O560" s="172"/>
      <c r="P560" s="173" t="s">
        <v>2461</v>
      </c>
      <c r="Q560" s="174" t="str">
        <f t="shared" si="8"/>
        <v>註3</v>
      </c>
      <c r="R560" s="203" t="e">
        <f>INDEX([1]告訴人!$D$15:$F$372,MATCH(C560,[1]告訴人!$F$15:$F$372,0),1)</f>
        <v>#N/A</v>
      </c>
      <c r="S560" s="203" t="str">
        <f t="array" ref="S560">IF(OR(C560=[1]告訴人!$F$15:$F$372),"重疊","")</f>
        <v/>
      </c>
    </row>
    <row r="561" spans="1:23">
      <c r="A561" s="166">
        <v>558</v>
      </c>
      <c r="B561" s="166" t="s">
        <v>32</v>
      </c>
      <c r="C561" s="166" t="s">
        <v>262</v>
      </c>
      <c r="D561" s="167"/>
      <c r="E561" s="168" t="s">
        <v>125</v>
      </c>
      <c r="F561" s="169">
        <v>1000</v>
      </c>
      <c r="G561" s="168">
        <v>67</v>
      </c>
      <c r="H561" s="169">
        <v>67000</v>
      </c>
      <c r="I561" s="186"/>
      <c r="J561" s="186"/>
      <c r="K561" s="170" t="s">
        <v>2908</v>
      </c>
      <c r="L561" s="170"/>
      <c r="M561" s="175"/>
      <c r="N561" s="172">
        <v>67000</v>
      </c>
      <c r="O561" s="172"/>
      <c r="P561" s="173" t="s">
        <v>2461</v>
      </c>
      <c r="Q561" s="174" t="str">
        <f t="shared" si="8"/>
        <v>註3</v>
      </c>
      <c r="R561" s="203" t="e">
        <f>INDEX([1]告訴人!$D$15:$F$372,MATCH(C561,[1]告訴人!$F$15:$F$372,0),1)</f>
        <v>#N/A</v>
      </c>
      <c r="S561" s="203" t="str">
        <f t="array" ref="S561">IF(OR(C561=[1]告訴人!$F$15:$F$372),"重疊","")</f>
        <v/>
      </c>
    </row>
    <row r="562" spans="1:23" ht="46.5" customHeight="1">
      <c r="A562" s="166">
        <v>559</v>
      </c>
      <c r="B562" s="166" t="s">
        <v>32</v>
      </c>
      <c r="C562" s="166" t="s">
        <v>144</v>
      </c>
      <c r="D562" s="167" t="s">
        <v>2988</v>
      </c>
      <c r="E562" s="168" t="s">
        <v>145</v>
      </c>
      <c r="F562" s="169">
        <v>1000</v>
      </c>
      <c r="G562" s="168">
        <v>25</v>
      </c>
      <c r="H562" s="169">
        <v>25000</v>
      </c>
      <c r="I562" s="186" t="s">
        <v>2922</v>
      </c>
      <c r="J562" s="186" t="s">
        <v>2922</v>
      </c>
      <c r="K562" s="170" t="s">
        <v>3158</v>
      </c>
      <c r="L562" s="170" t="s">
        <v>3645</v>
      </c>
      <c r="M562" s="175" t="s">
        <v>2905</v>
      </c>
      <c r="N562" s="172"/>
      <c r="O562" s="172">
        <v>25000</v>
      </c>
      <c r="P562" s="173" t="s">
        <v>2465</v>
      </c>
      <c r="Q562" s="174" t="str">
        <f t="shared" si="8"/>
        <v>註4</v>
      </c>
      <c r="R562" s="203">
        <f>INDEX([1]告訴人!$D$15:$F$372,MATCH(C562,[1]告訴人!$F$15:$F$372,0),1)</f>
        <v>71</v>
      </c>
      <c r="S562" s="203" t="str">
        <f t="array" ref="S562">IF(OR(C562=[1]告訴人!$F$15:$F$372),"重疊","")</f>
        <v>重疊</v>
      </c>
      <c r="T562" s="203">
        <v>1</v>
      </c>
      <c r="U562" s="203">
        <v>1</v>
      </c>
      <c r="W562" s="203" t="s">
        <v>2959</v>
      </c>
    </row>
    <row r="563" spans="1:23" ht="46.5" customHeight="1">
      <c r="A563" s="166">
        <v>560</v>
      </c>
      <c r="B563" s="166" t="s">
        <v>32</v>
      </c>
      <c r="C563" s="166" t="s">
        <v>144</v>
      </c>
      <c r="D563" s="167" t="s">
        <v>2989</v>
      </c>
      <c r="E563" s="168" t="s">
        <v>145</v>
      </c>
      <c r="F563" s="169">
        <v>2000</v>
      </c>
      <c r="G563" s="168">
        <v>69</v>
      </c>
      <c r="H563" s="169">
        <v>138000</v>
      </c>
      <c r="I563" s="186" t="s">
        <v>2912</v>
      </c>
      <c r="J563" s="186" t="s">
        <v>2912</v>
      </c>
      <c r="K563" s="170" t="s">
        <v>3158</v>
      </c>
      <c r="L563" s="170" t="s">
        <v>3627</v>
      </c>
      <c r="M563" s="175" t="s">
        <v>2905</v>
      </c>
      <c r="N563" s="172"/>
      <c r="O563" s="172">
        <v>138000</v>
      </c>
      <c r="P563" s="173" t="s">
        <v>2465</v>
      </c>
      <c r="Q563" s="174" t="str">
        <f t="shared" si="8"/>
        <v>註4</v>
      </c>
      <c r="R563" s="203">
        <f>INDEX([1]告訴人!$D$15:$F$372,MATCH(C563,[1]告訴人!$F$15:$F$372,0),1)</f>
        <v>71</v>
      </c>
      <c r="S563" s="203" t="str">
        <f t="array" ref="S563">IF(OR(C563=[1]告訴人!$F$15:$F$372),"重疊","")</f>
        <v>重疊</v>
      </c>
      <c r="T563" s="203">
        <v>1</v>
      </c>
      <c r="U563" s="203">
        <v>1</v>
      </c>
      <c r="W563" s="203" t="s">
        <v>2905</v>
      </c>
    </row>
    <row r="564" spans="1:23">
      <c r="A564" s="166">
        <v>561</v>
      </c>
      <c r="B564" s="166" t="s">
        <v>32</v>
      </c>
      <c r="C564" s="166" t="s">
        <v>194</v>
      </c>
      <c r="D564" s="167"/>
      <c r="E564" s="168" t="s">
        <v>195</v>
      </c>
      <c r="F564" s="169">
        <v>5000</v>
      </c>
      <c r="G564" s="168">
        <v>25</v>
      </c>
      <c r="H564" s="169">
        <v>125000</v>
      </c>
      <c r="I564" s="186"/>
      <c r="J564" s="186"/>
      <c r="K564" s="170" t="s">
        <v>2904</v>
      </c>
      <c r="L564" s="170"/>
      <c r="M564" s="175"/>
      <c r="N564" s="172">
        <v>125000</v>
      </c>
      <c r="O564" s="172"/>
      <c r="P564" s="173" t="s">
        <v>2461</v>
      </c>
      <c r="Q564" s="174" t="str">
        <f t="shared" si="8"/>
        <v>註3</v>
      </c>
      <c r="R564" s="203" t="e">
        <f>INDEX([1]告訴人!$D$15:$F$372,MATCH(C564,[1]告訴人!$F$15:$F$372,0),1)</f>
        <v>#N/A</v>
      </c>
      <c r="S564" s="203" t="str">
        <f t="array" ref="S564">IF(OR(C564=[1]告訴人!$F$15:$F$372),"重疊","")</f>
        <v/>
      </c>
    </row>
    <row r="565" spans="1:23">
      <c r="A565" s="166">
        <v>562</v>
      </c>
      <c r="B565" s="166" t="s">
        <v>32</v>
      </c>
      <c r="C565" s="166" t="s">
        <v>404</v>
      </c>
      <c r="D565" s="167"/>
      <c r="E565" s="168" t="s">
        <v>195</v>
      </c>
      <c r="F565" s="169">
        <v>1000</v>
      </c>
      <c r="G565" s="168">
        <v>67</v>
      </c>
      <c r="H565" s="169">
        <v>67000</v>
      </c>
      <c r="I565" s="186"/>
      <c r="J565" s="186"/>
      <c r="K565" s="170" t="s">
        <v>2904</v>
      </c>
      <c r="L565" s="170"/>
      <c r="M565" s="175"/>
      <c r="N565" s="172">
        <v>67000</v>
      </c>
      <c r="O565" s="172"/>
      <c r="P565" s="173" t="s">
        <v>2461</v>
      </c>
      <c r="Q565" s="174" t="str">
        <f t="shared" si="8"/>
        <v>註3</v>
      </c>
      <c r="R565" s="203" t="e">
        <f>INDEX([1]告訴人!$D$15:$F$372,MATCH(C565,[1]告訴人!$F$15:$F$372,0),1)</f>
        <v>#N/A</v>
      </c>
      <c r="S565" s="203" t="str">
        <f t="array" ref="S565">IF(OR(C565=[1]告訴人!$F$15:$F$372),"重疊","")</f>
        <v/>
      </c>
    </row>
    <row r="566" spans="1:23" ht="18" customHeight="1">
      <c r="A566" s="166">
        <v>563</v>
      </c>
      <c r="B566" s="166" t="s">
        <v>32</v>
      </c>
      <c r="C566" s="166" t="s">
        <v>194</v>
      </c>
      <c r="D566" s="167"/>
      <c r="E566" s="168" t="s">
        <v>195</v>
      </c>
      <c r="F566" s="169">
        <v>5000</v>
      </c>
      <c r="G566" s="168">
        <v>67</v>
      </c>
      <c r="H566" s="169">
        <v>335000</v>
      </c>
      <c r="I566" s="186"/>
      <c r="J566" s="186"/>
      <c r="K566" s="170" t="s">
        <v>2904</v>
      </c>
      <c r="L566" s="170"/>
      <c r="M566" s="175"/>
      <c r="N566" s="172">
        <v>335000</v>
      </c>
      <c r="O566" s="172"/>
      <c r="P566" s="173" t="s">
        <v>2461</v>
      </c>
      <c r="Q566" s="174" t="str">
        <f t="shared" si="8"/>
        <v>註3</v>
      </c>
      <c r="R566" s="203" t="e">
        <f>INDEX([1]告訴人!$D$15:$F$372,MATCH(C566,[1]告訴人!$F$15:$F$372,0),1)</f>
        <v>#N/A</v>
      </c>
      <c r="S566" s="203" t="str">
        <f t="array" ref="S566">IF(OR(C566=[1]告訴人!$F$15:$F$372),"重疊","")</f>
        <v/>
      </c>
    </row>
    <row r="567" spans="1:23" ht="117.75" customHeight="1">
      <c r="A567" s="166">
        <v>564</v>
      </c>
      <c r="B567" s="166" t="s">
        <v>32</v>
      </c>
      <c r="C567" s="166" t="s">
        <v>415</v>
      </c>
      <c r="D567" s="167"/>
      <c r="E567" s="168" t="s">
        <v>195</v>
      </c>
      <c r="F567" s="169">
        <v>3000</v>
      </c>
      <c r="G567" s="168">
        <v>67</v>
      </c>
      <c r="H567" s="169">
        <v>201000</v>
      </c>
      <c r="I567" s="186" t="s">
        <v>2918</v>
      </c>
      <c r="J567" s="186" t="s">
        <v>2918</v>
      </c>
      <c r="K567" s="170" t="s">
        <v>3219</v>
      </c>
      <c r="L567" s="170" t="s">
        <v>3646</v>
      </c>
      <c r="M567" s="175" t="s">
        <v>2905</v>
      </c>
      <c r="N567" s="172">
        <v>201000</v>
      </c>
      <c r="O567" s="172"/>
      <c r="P567" s="173" t="s">
        <v>2461</v>
      </c>
      <c r="Q567" s="174" t="str">
        <f t="shared" si="8"/>
        <v>註3</v>
      </c>
      <c r="R567" s="203">
        <f>INDEX([1]告訴人!$D$15:$F$372,MATCH(C567,[1]告訴人!$F$15:$F$372,0),1)</f>
        <v>65</v>
      </c>
      <c r="S567" s="203" t="str">
        <f t="array" ref="S567">IF(OR(C567=[1]告訴人!$F$15:$F$372),"重疊","")</f>
        <v>重疊</v>
      </c>
      <c r="T567" s="203">
        <v>1</v>
      </c>
      <c r="V567" s="203">
        <v>1</v>
      </c>
    </row>
    <row r="568" spans="1:23">
      <c r="A568" s="166">
        <v>565</v>
      </c>
      <c r="B568" s="166" t="s">
        <v>32</v>
      </c>
      <c r="C568" s="166" t="s">
        <v>257</v>
      </c>
      <c r="D568" s="167"/>
      <c r="E568" s="168" t="s">
        <v>195</v>
      </c>
      <c r="F568" s="169">
        <v>10000</v>
      </c>
      <c r="G568" s="168">
        <v>67</v>
      </c>
      <c r="H568" s="169">
        <v>670000</v>
      </c>
      <c r="I568" s="186"/>
      <c r="J568" s="186"/>
      <c r="K568" s="170" t="s">
        <v>2904</v>
      </c>
      <c r="L568" s="170"/>
      <c r="M568" s="175"/>
      <c r="N568" s="172">
        <v>670000</v>
      </c>
      <c r="O568" s="172"/>
      <c r="P568" s="173" t="s">
        <v>2461</v>
      </c>
      <c r="Q568" s="174" t="str">
        <f t="shared" si="8"/>
        <v>註3</v>
      </c>
      <c r="R568" s="203" t="e">
        <f>INDEX([1]告訴人!$D$15:$F$372,MATCH(C568,[1]告訴人!$F$15:$F$372,0),1)</f>
        <v>#N/A</v>
      </c>
      <c r="S568" s="203" t="str">
        <f t="array" ref="S568">IF(OR(C568=[1]告訴人!$F$15:$F$372),"重疊","")</f>
        <v/>
      </c>
    </row>
    <row r="569" spans="1:23">
      <c r="A569" s="166">
        <v>566</v>
      </c>
      <c r="B569" s="166" t="s">
        <v>32</v>
      </c>
      <c r="C569" s="166" t="s">
        <v>162</v>
      </c>
      <c r="D569" s="167"/>
      <c r="E569" s="168" t="s">
        <v>163</v>
      </c>
      <c r="F569" s="169">
        <v>1000</v>
      </c>
      <c r="G569" s="168">
        <v>25</v>
      </c>
      <c r="H569" s="169">
        <v>25000</v>
      </c>
      <c r="I569" s="186"/>
      <c r="J569" s="186"/>
      <c r="K569" s="170" t="s">
        <v>2904</v>
      </c>
      <c r="L569" s="170"/>
      <c r="M569" s="175"/>
      <c r="N569" s="172">
        <v>25000</v>
      </c>
      <c r="O569" s="172"/>
      <c r="P569" s="173" t="s">
        <v>2461</v>
      </c>
      <c r="Q569" s="174" t="str">
        <f t="shared" si="8"/>
        <v>註3</v>
      </c>
      <c r="R569" s="203" t="e">
        <f>INDEX([1]告訴人!$D$15:$F$372,MATCH(C569,[1]告訴人!$F$15:$F$372,0),1)</f>
        <v>#N/A</v>
      </c>
      <c r="S569" s="203" t="str">
        <f t="array" ref="S569">IF(OR(C569=[1]告訴人!$F$15:$F$372),"重疊","")</f>
        <v/>
      </c>
    </row>
    <row r="570" spans="1:23" ht="18" customHeight="1">
      <c r="A570" s="166">
        <v>567</v>
      </c>
      <c r="B570" s="166" t="s">
        <v>32</v>
      </c>
      <c r="C570" s="166" t="s">
        <v>162</v>
      </c>
      <c r="D570" s="167"/>
      <c r="E570" s="168" t="s">
        <v>163</v>
      </c>
      <c r="F570" s="169">
        <v>2000</v>
      </c>
      <c r="G570" s="168">
        <v>67</v>
      </c>
      <c r="H570" s="169">
        <v>134000</v>
      </c>
      <c r="I570" s="186"/>
      <c r="J570" s="186"/>
      <c r="K570" s="170" t="s">
        <v>2904</v>
      </c>
      <c r="L570" s="170"/>
      <c r="M570" s="175"/>
      <c r="N570" s="172">
        <v>134000</v>
      </c>
      <c r="O570" s="172"/>
      <c r="P570" s="173" t="s">
        <v>2461</v>
      </c>
      <c r="Q570" s="174" t="str">
        <f t="shared" si="8"/>
        <v>註3</v>
      </c>
      <c r="R570" s="203" t="e">
        <f>INDEX([1]告訴人!$D$15:$F$372,MATCH(C570,[1]告訴人!$F$15:$F$372,0),1)</f>
        <v>#N/A</v>
      </c>
      <c r="S570" s="203" t="str">
        <f t="array" ref="S570">IF(OR(C570=[1]告訴人!$F$15:$F$372),"重疊","")</f>
        <v/>
      </c>
    </row>
    <row r="571" spans="1:23" ht="82.25" customHeight="1">
      <c r="A571" s="166">
        <v>568</v>
      </c>
      <c r="B571" s="166" t="s">
        <v>32</v>
      </c>
      <c r="C571" s="166" t="s">
        <v>443</v>
      </c>
      <c r="D571" s="167"/>
      <c r="E571" s="168" t="s">
        <v>163</v>
      </c>
      <c r="F571" s="169">
        <v>2000</v>
      </c>
      <c r="G571" s="168">
        <v>67</v>
      </c>
      <c r="H571" s="169">
        <v>134000</v>
      </c>
      <c r="I571" s="186" t="s">
        <v>2918</v>
      </c>
      <c r="J571" s="186" t="s">
        <v>2918</v>
      </c>
      <c r="K571" s="170" t="s">
        <v>3154</v>
      </c>
      <c r="L571" s="170" t="s">
        <v>3647</v>
      </c>
      <c r="M571" s="175" t="s">
        <v>2905</v>
      </c>
      <c r="N571" s="172">
        <v>134000</v>
      </c>
      <c r="O571" s="172"/>
      <c r="P571" s="173" t="s">
        <v>2461</v>
      </c>
      <c r="Q571" s="174" t="str">
        <f t="shared" si="8"/>
        <v>註3</v>
      </c>
      <c r="R571" s="203">
        <f>INDEX([1]告訴人!$D$15:$F$372,MATCH(C571,[1]告訴人!$F$15:$F$372,0),1)</f>
        <v>201</v>
      </c>
      <c r="S571" s="203" t="str">
        <f t="array" ref="S571">IF(OR(C571=[1]告訴人!$F$15:$F$372),"重疊","")</f>
        <v>重疊</v>
      </c>
      <c r="T571" s="203">
        <v>1</v>
      </c>
      <c r="V571" s="203">
        <v>1</v>
      </c>
    </row>
    <row r="572" spans="1:23" ht="18.649999999999999" customHeight="1">
      <c r="A572" s="166">
        <v>569</v>
      </c>
      <c r="B572" s="166" t="s">
        <v>32</v>
      </c>
      <c r="C572" s="166" t="s">
        <v>534</v>
      </c>
      <c r="D572" s="167"/>
      <c r="E572" s="168" t="s">
        <v>163</v>
      </c>
      <c r="F572" s="169">
        <v>1000</v>
      </c>
      <c r="G572" s="168">
        <v>67</v>
      </c>
      <c r="H572" s="169">
        <v>67000</v>
      </c>
      <c r="I572" s="186"/>
      <c r="J572" s="186"/>
      <c r="K572" s="170" t="s">
        <v>2904</v>
      </c>
      <c r="L572" s="170"/>
      <c r="M572" s="175"/>
      <c r="N572" s="172">
        <v>67000</v>
      </c>
      <c r="O572" s="172"/>
      <c r="P572" s="173" t="s">
        <v>2461</v>
      </c>
      <c r="Q572" s="174" t="str">
        <f t="shared" si="8"/>
        <v>註3</v>
      </c>
      <c r="R572" s="203" t="e">
        <f>INDEX([1]告訴人!$D$15:$F$372,MATCH(C572,[1]告訴人!$F$15:$F$372,0),1)</f>
        <v>#N/A</v>
      </c>
      <c r="S572" s="203" t="str">
        <f t="array" ref="S572">IF(OR(C572=[1]告訴人!$F$15:$F$372),"重疊","")</f>
        <v/>
      </c>
    </row>
    <row r="573" spans="1:23" ht="18.649999999999999" customHeight="1">
      <c r="A573" s="166">
        <v>570</v>
      </c>
      <c r="B573" s="166" t="s">
        <v>32</v>
      </c>
      <c r="C573" s="166" t="s">
        <v>149</v>
      </c>
      <c r="D573" s="167"/>
      <c r="E573" s="168" t="s">
        <v>80</v>
      </c>
      <c r="F573" s="169">
        <v>1000</v>
      </c>
      <c r="G573" s="168">
        <v>25</v>
      </c>
      <c r="H573" s="169">
        <v>25000</v>
      </c>
      <c r="I573" s="186"/>
      <c r="J573" s="186"/>
      <c r="K573" s="170" t="s">
        <v>2904</v>
      </c>
      <c r="L573" s="170"/>
      <c r="M573" s="175"/>
      <c r="N573" s="172">
        <v>25000</v>
      </c>
      <c r="O573" s="172"/>
      <c r="P573" s="173" t="s">
        <v>2461</v>
      </c>
      <c r="Q573" s="174" t="str">
        <f t="shared" si="8"/>
        <v>註3</v>
      </c>
      <c r="R573" s="203" t="e">
        <f>INDEX([1]告訴人!$D$15:$F$372,MATCH(C573,[1]告訴人!$F$15:$F$372,0),1)</f>
        <v>#N/A</v>
      </c>
      <c r="S573" s="203" t="str">
        <f t="array" ref="S573">IF(OR(C573=[1]告訴人!$F$15:$F$372),"重疊","")</f>
        <v/>
      </c>
    </row>
    <row r="574" spans="1:23" ht="19.25" customHeight="1">
      <c r="A574" s="166">
        <v>571</v>
      </c>
      <c r="B574" s="166" t="s">
        <v>32</v>
      </c>
      <c r="C574" s="166" t="s">
        <v>153</v>
      </c>
      <c r="D574" s="167"/>
      <c r="E574" s="168" t="s">
        <v>80</v>
      </c>
      <c r="F574" s="169">
        <v>1000</v>
      </c>
      <c r="G574" s="168">
        <v>25</v>
      </c>
      <c r="H574" s="169">
        <v>25000</v>
      </c>
      <c r="I574" s="186"/>
      <c r="J574" s="186"/>
      <c r="K574" s="170" t="s">
        <v>2904</v>
      </c>
      <c r="L574" s="170"/>
      <c r="M574" s="175"/>
      <c r="N574" s="172">
        <v>25000</v>
      </c>
      <c r="O574" s="172"/>
      <c r="P574" s="173" t="s">
        <v>2461</v>
      </c>
      <c r="Q574" s="174" t="str">
        <f t="shared" si="8"/>
        <v>註3</v>
      </c>
      <c r="R574" s="203" t="e">
        <f>INDEX([1]告訴人!$D$15:$F$372,MATCH(C574,[1]告訴人!$F$15:$F$372,0),1)</f>
        <v>#N/A</v>
      </c>
      <c r="S574" s="203" t="str">
        <f t="array" ref="S574">IF(OR(C574=[1]告訴人!$F$15:$F$372),"重疊","")</f>
        <v/>
      </c>
    </row>
    <row r="575" spans="1:23" ht="108.75" customHeight="1">
      <c r="A575" s="166">
        <v>572</v>
      </c>
      <c r="B575" s="166" t="s">
        <v>32</v>
      </c>
      <c r="C575" s="166" t="s">
        <v>212</v>
      </c>
      <c r="D575" s="167"/>
      <c r="E575" s="168" t="s">
        <v>80</v>
      </c>
      <c r="F575" s="169">
        <v>6000</v>
      </c>
      <c r="G575" s="168">
        <v>25</v>
      </c>
      <c r="H575" s="169">
        <v>150000</v>
      </c>
      <c r="I575" s="186" t="s">
        <v>2918</v>
      </c>
      <c r="J575" s="186" t="s">
        <v>2918</v>
      </c>
      <c r="K575" s="170" t="s">
        <v>3217</v>
      </c>
      <c r="L575" s="170" t="s">
        <v>3648</v>
      </c>
      <c r="M575" s="175" t="s">
        <v>2905</v>
      </c>
      <c r="N575" s="172">
        <v>150000</v>
      </c>
      <c r="O575" s="172"/>
      <c r="P575" s="173" t="s">
        <v>2461</v>
      </c>
      <c r="Q575" s="174" t="str">
        <f t="shared" si="8"/>
        <v>註3</v>
      </c>
      <c r="R575" s="203">
        <f>INDEX([1]告訴人!$D$15:$F$372,MATCH(C575,[1]告訴人!$F$15:$F$372,0),1)</f>
        <v>320</v>
      </c>
      <c r="S575" s="203" t="str">
        <f t="array" ref="S575">IF(OR(C575=[1]告訴人!$F$15:$F$372),"重疊","")</f>
        <v>重疊</v>
      </c>
      <c r="T575" s="203">
        <v>1</v>
      </c>
      <c r="V575" s="203">
        <v>1</v>
      </c>
    </row>
    <row r="576" spans="1:23" ht="104.25" customHeight="1">
      <c r="A576" s="166">
        <v>573</v>
      </c>
      <c r="B576" s="166" t="s">
        <v>32</v>
      </c>
      <c r="C576" s="166" t="s">
        <v>224</v>
      </c>
      <c r="D576" s="167"/>
      <c r="E576" s="168" t="s">
        <v>80</v>
      </c>
      <c r="F576" s="169">
        <v>6000</v>
      </c>
      <c r="G576" s="168">
        <v>25</v>
      </c>
      <c r="H576" s="169">
        <v>150000</v>
      </c>
      <c r="I576" s="186" t="s">
        <v>2918</v>
      </c>
      <c r="J576" s="186" t="s">
        <v>2918</v>
      </c>
      <c r="K576" s="170" t="s">
        <v>3217</v>
      </c>
      <c r="L576" s="170" t="s">
        <v>3649</v>
      </c>
      <c r="M576" s="175" t="s">
        <v>2905</v>
      </c>
      <c r="N576" s="172">
        <v>150000</v>
      </c>
      <c r="O576" s="172"/>
      <c r="P576" s="173" t="s">
        <v>2461</v>
      </c>
      <c r="Q576" s="174" t="str">
        <f t="shared" si="8"/>
        <v>註3</v>
      </c>
      <c r="R576" s="203">
        <f>INDEX([1]告訴人!$D$15:$F$372,MATCH(C576,[1]告訴人!$F$15:$F$372,0),1)</f>
        <v>252</v>
      </c>
      <c r="S576" s="203" t="str">
        <f t="array" ref="S576">IF(OR(C576=[1]告訴人!$F$15:$F$372),"重疊","")</f>
        <v>重疊</v>
      </c>
      <c r="T576" s="203">
        <v>1</v>
      </c>
      <c r="V576" s="203">
        <v>1</v>
      </c>
    </row>
    <row r="577" spans="1:22" ht="104" customHeight="1">
      <c r="A577" s="166">
        <v>574</v>
      </c>
      <c r="B577" s="166" t="s">
        <v>32</v>
      </c>
      <c r="C577" s="166" t="s">
        <v>308</v>
      </c>
      <c r="D577" s="255" t="s">
        <v>3254</v>
      </c>
      <c r="E577" s="168" t="s">
        <v>80</v>
      </c>
      <c r="F577" s="169">
        <v>1000</v>
      </c>
      <c r="G577" s="168">
        <v>25</v>
      </c>
      <c r="H577" s="169">
        <v>25000</v>
      </c>
      <c r="I577" s="186" t="s">
        <v>2918</v>
      </c>
      <c r="J577" s="186" t="s">
        <v>2918</v>
      </c>
      <c r="K577" s="170" t="s">
        <v>3158</v>
      </c>
      <c r="L577" s="170" t="s">
        <v>3645</v>
      </c>
      <c r="M577" s="175" t="s">
        <v>2905</v>
      </c>
      <c r="N577" s="172"/>
      <c r="O577" s="172">
        <v>25000</v>
      </c>
      <c r="P577" s="173" t="s">
        <v>2463</v>
      </c>
      <c r="Q577" s="174" t="str">
        <f t="shared" si="8"/>
        <v>註4</v>
      </c>
      <c r="R577" s="203" t="e">
        <f>INDEX([1]告訴人!$D$15:$F$372,MATCH(C577,[1]告訴人!$F$15:$F$372,0),1)</f>
        <v>#N/A</v>
      </c>
      <c r="S577" s="203" t="str">
        <f t="array" ref="S577">IF(OR(C577=[1]告訴人!$F$15:$F$372),"重疊","")</f>
        <v/>
      </c>
      <c r="T577" s="203">
        <v>1</v>
      </c>
      <c r="U577" s="203">
        <v>1</v>
      </c>
    </row>
    <row r="578" spans="1:22" ht="20.149999999999999" customHeight="1">
      <c r="A578" s="166">
        <v>575</v>
      </c>
      <c r="B578" s="166" t="s">
        <v>32</v>
      </c>
      <c r="C578" s="166" t="s">
        <v>149</v>
      </c>
      <c r="D578" s="167"/>
      <c r="E578" s="168" t="s">
        <v>80</v>
      </c>
      <c r="F578" s="169">
        <v>1000</v>
      </c>
      <c r="G578" s="168">
        <v>67</v>
      </c>
      <c r="H578" s="169">
        <v>67000</v>
      </c>
      <c r="I578" s="186"/>
      <c r="J578" s="186"/>
      <c r="K578" s="170" t="s">
        <v>2904</v>
      </c>
      <c r="L578" s="170"/>
      <c r="M578" s="175"/>
      <c r="N578" s="172">
        <v>67000</v>
      </c>
      <c r="O578" s="172"/>
      <c r="P578" s="173" t="s">
        <v>2461</v>
      </c>
      <c r="Q578" s="174" t="str">
        <f t="shared" ref="Q578:Q642" si="9">IF(N578&lt;&gt;0,"註3",IF(O578&lt;&gt;0,"註4",""))</f>
        <v>註3</v>
      </c>
      <c r="R578" s="203" t="e">
        <f>INDEX([1]告訴人!$D$15:$F$372,MATCH(C578,[1]告訴人!$F$15:$F$372,0),1)</f>
        <v>#N/A</v>
      </c>
      <c r="S578" s="203" t="str">
        <f t="array" ref="S578">IF(OR(C578=[1]告訴人!$F$15:$F$372),"重疊","")</f>
        <v/>
      </c>
    </row>
    <row r="579" spans="1:22" ht="78" customHeight="1">
      <c r="A579" s="166">
        <v>576</v>
      </c>
      <c r="B579" s="166" t="s">
        <v>32</v>
      </c>
      <c r="C579" s="166" t="s">
        <v>212</v>
      </c>
      <c r="D579" s="167"/>
      <c r="E579" s="168" t="s">
        <v>80</v>
      </c>
      <c r="F579" s="169">
        <v>6000</v>
      </c>
      <c r="G579" s="168">
        <v>67</v>
      </c>
      <c r="H579" s="169">
        <v>402000</v>
      </c>
      <c r="I579" s="186" t="s">
        <v>2918</v>
      </c>
      <c r="J579" s="186" t="s">
        <v>2918</v>
      </c>
      <c r="K579" s="170" t="s">
        <v>3220</v>
      </c>
      <c r="L579" s="170" t="s">
        <v>3648</v>
      </c>
      <c r="M579" s="157" t="s">
        <v>2905</v>
      </c>
      <c r="N579" s="172">
        <v>402000</v>
      </c>
      <c r="O579" s="172"/>
      <c r="P579" s="173" t="s">
        <v>2461</v>
      </c>
      <c r="Q579" s="174" t="str">
        <f t="shared" si="9"/>
        <v>註3</v>
      </c>
      <c r="R579" s="203">
        <f>INDEX([1]告訴人!$D$15:$F$372,MATCH(C579,[1]告訴人!$F$15:$F$372,0),1)</f>
        <v>320</v>
      </c>
      <c r="S579" s="203" t="str">
        <f t="array" ref="S579">IF(OR(C579=[1]告訴人!$F$15:$F$372),"重疊","")</f>
        <v>重疊</v>
      </c>
      <c r="T579" s="203">
        <v>1</v>
      </c>
      <c r="V579" s="203">
        <v>1</v>
      </c>
    </row>
    <row r="580" spans="1:22" ht="85">
      <c r="A580" s="166">
        <v>577</v>
      </c>
      <c r="B580" s="166" t="s">
        <v>32</v>
      </c>
      <c r="C580" s="166" t="s">
        <v>224</v>
      </c>
      <c r="D580" s="167"/>
      <c r="E580" s="168" t="s">
        <v>80</v>
      </c>
      <c r="F580" s="169">
        <v>6000</v>
      </c>
      <c r="G580" s="168">
        <v>67</v>
      </c>
      <c r="H580" s="169">
        <v>402000</v>
      </c>
      <c r="I580" s="186" t="s">
        <v>2918</v>
      </c>
      <c r="J580" s="186" t="s">
        <v>2918</v>
      </c>
      <c r="K580" s="170" t="s">
        <v>3220</v>
      </c>
      <c r="L580" s="170" t="s">
        <v>3650</v>
      </c>
      <c r="M580" s="175" t="s">
        <v>2905</v>
      </c>
      <c r="N580" s="172">
        <v>402000</v>
      </c>
      <c r="O580" s="172"/>
      <c r="P580" s="173" t="s">
        <v>2461</v>
      </c>
      <c r="Q580" s="174" t="str">
        <f t="shared" si="9"/>
        <v>註3</v>
      </c>
      <c r="R580" s="203">
        <f>INDEX([1]告訴人!$D$15:$F$372,MATCH(C580,[1]告訴人!$F$15:$F$372,0),1)</f>
        <v>252</v>
      </c>
      <c r="S580" s="203" t="str">
        <f t="array" ref="S580">IF(OR(C580=[1]告訴人!$F$15:$F$372),"重疊","")</f>
        <v>重疊</v>
      </c>
      <c r="T580" s="203">
        <v>1</v>
      </c>
      <c r="V580" s="203">
        <v>1</v>
      </c>
    </row>
    <row r="581" spans="1:22" ht="107.5" customHeight="1">
      <c r="A581" s="166">
        <v>578</v>
      </c>
      <c r="B581" s="166" t="s">
        <v>32</v>
      </c>
      <c r="C581" s="166" t="s">
        <v>308</v>
      </c>
      <c r="D581" s="255" t="s">
        <v>3254</v>
      </c>
      <c r="E581" s="168" t="s">
        <v>80</v>
      </c>
      <c r="F581" s="169">
        <v>5000</v>
      </c>
      <c r="G581" s="168">
        <v>67</v>
      </c>
      <c r="H581" s="169">
        <v>335000</v>
      </c>
      <c r="I581" s="186" t="s">
        <v>2918</v>
      </c>
      <c r="J581" s="186" t="s">
        <v>2918</v>
      </c>
      <c r="K581" s="170" t="s">
        <v>3158</v>
      </c>
      <c r="L581" s="170" t="s">
        <v>3582</v>
      </c>
      <c r="M581" s="175" t="s">
        <v>2905</v>
      </c>
      <c r="N581" s="172"/>
      <c r="O581" s="172">
        <v>335000</v>
      </c>
      <c r="P581" s="173" t="s">
        <v>2463</v>
      </c>
      <c r="Q581" s="174" t="str">
        <f t="shared" si="9"/>
        <v>註4</v>
      </c>
      <c r="R581" s="203" t="e">
        <f>INDEX([1]告訴人!$D$15:$F$372,MATCH(C581,[1]告訴人!$F$15:$F$372,0),1)</f>
        <v>#N/A</v>
      </c>
      <c r="S581" s="203" t="str">
        <f t="array" ref="S581">IF(OR(C581=[1]告訴人!$F$15:$F$372),"重疊","")</f>
        <v/>
      </c>
      <c r="T581" s="203">
        <v>1</v>
      </c>
      <c r="U581" s="203">
        <v>1</v>
      </c>
    </row>
    <row r="582" spans="1:22" ht="117" customHeight="1">
      <c r="A582" s="166">
        <v>579</v>
      </c>
      <c r="B582" s="166" t="s">
        <v>32</v>
      </c>
      <c r="C582" s="166" t="s">
        <v>387</v>
      </c>
      <c r="D582" s="167"/>
      <c r="E582" s="168" t="s">
        <v>388</v>
      </c>
      <c r="F582" s="169">
        <v>2000</v>
      </c>
      <c r="G582" s="168">
        <v>67</v>
      </c>
      <c r="H582" s="169">
        <v>134000</v>
      </c>
      <c r="I582" s="186" t="s">
        <v>2918</v>
      </c>
      <c r="J582" s="186" t="s">
        <v>2918</v>
      </c>
      <c r="K582" s="170" t="s">
        <v>3218</v>
      </c>
      <c r="L582" s="170" t="s">
        <v>3651</v>
      </c>
      <c r="M582" s="175" t="s">
        <v>2905</v>
      </c>
      <c r="N582" s="172">
        <v>134000</v>
      </c>
      <c r="O582" s="172"/>
      <c r="P582" s="173" t="s">
        <v>2461</v>
      </c>
      <c r="Q582" s="174" t="str">
        <f t="shared" si="9"/>
        <v>註3</v>
      </c>
      <c r="R582" s="203">
        <f>INDEX([1]告訴人!$D$15:$F$372,MATCH(C582,[1]告訴人!$F$15:$F$372,0),1)</f>
        <v>52</v>
      </c>
      <c r="S582" s="203" t="str">
        <f t="array" ref="S582">IF(OR(C582=[1]告訴人!$F$15:$F$372),"重疊","")</f>
        <v>重疊</v>
      </c>
      <c r="T582" s="203">
        <v>1</v>
      </c>
    </row>
    <row r="583" spans="1:22">
      <c r="A583" s="166">
        <v>580</v>
      </c>
      <c r="B583" s="166" t="s">
        <v>32</v>
      </c>
      <c r="C583" s="166" t="s">
        <v>153</v>
      </c>
      <c r="D583" s="167"/>
      <c r="E583" s="168" t="s">
        <v>154</v>
      </c>
      <c r="F583" s="169">
        <v>1000</v>
      </c>
      <c r="G583" s="168">
        <v>25</v>
      </c>
      <c r="H583" s="169">
        <v>25000</v>
      </c>
      <c r="I583" s="186"/>
      <c r="J583" s="186"/>
      <c r="K583" s="170" t="s">
        <v>2904</v>
      </c>
      <c r="L583" s="170"/>
      <c r="M583" s="175"/>
      <c r="N583" s="172">
        <v>25000</v>
      </c>
      <c r="O583" s="172"/>
      <c r="P583" s="173" t="s">
        <v>2461</v>
      </c>
      <c r="Q583" s="174" t="str">
        <f t="shared" si="9"/>
        <v>註3</v>
      </c>
      <c r="R583" s="203" t="e">
        <f>INDEX([1]告訴人!$D$15:$F$372,MATCH(C583,[1]告訴人!$F$15:$F$372,0),1)</f>
        <v>#N/A</v>
      </c>
      <c r="S583" s="203" t="str">
        <f t="array" ref="S583">IF(OR(C583=[1]告訴人!$F$15:$F$372),"重疊","")</f>
        <v/>
      </c>
    </row>
    <row r="584" spans="1:22" ht="17.5" customHeight="1">
      <c r="A584" s="166">
        <v>581</v>
      </c>
      <c r="B584" s="166" t="s">
        <v>32</v>
      </c>
      <c r="C584" s="166" t="s">
        <v>165</v>
      </c>
      <c r="D584" s="167"/>
      <c r="E584" s="168" t="s">
        <v>154</v>
      </c>
      <c r="F584" s="169">
        <v>1000</v>
      </c>
      <c r="G584" s="168">
        <v>25</v>
      </c>
      <c r="H584" s="169">
        <v>25000</v>
      </c>
      <c r="I584" s="186"/>
      <c r="J584" s="186"/>
      <c r="K584" s="170" t="s">
        <v>2904</v>
      </c>
      <c r="L584" s="170"/>
      <c r="M584" s="175"/>
      <c r="N584" s="172">
        <v>25000</v>
      </c>
      <c r="O584" s="172"/>
      <c r="P584" s="173" t="s">
        <v>2461</v>
      </c>
      <c r="Q584" s="174" t="str">
        <f t="shared" si="9"/>
        <v>註3</v>
      </c>
      <c r="R584" s="203" t="e">
        <f>INDEX([1]告訴人!$D$15:$F$372,MATCH(C584,[1]告訴人!$F$15:$F$372,0),1)</f>
        <v>#N/A</v>
      </c>
      <c r="S584" s="203" t="str">
        <f t="array" ref="S584">IF(OR(C584=[1]告訴人!$F$15:$F$372),"重疊","")</f>
        <v/>
      </c>
    </row>
    <row r="585" spans="1:22">
      <c r="A585" s="166">
        <v>582</v>
      </c>
      <c r="B585" s="166" t="s">
        <v>32</v>
      </c>
      <c r="C585" s="166" t="s">
        <v>317</v>
      </c>
      <c r="D585" s="167"/>
      <c r="E585" s="168" t="s">
        <v>154</v>
      </c>
      <c r="F585" s="169">
        <v>1000</v>
      </c>
      <c r="G585" s="168">
        <v>25</v>
      </c>
      <c r="H585" s="169">
        <v>25000</v>
      </c>
      <c r="I585" s="186"/>
      <c r="J585" s="186"/>
      <c r="K585" s="170" t="s">
        <v>2904</v>
      </c>
      <c r="L585" s="170"/>
      <c r="M585" s="175"/>
      <c r="N585" s="172">
        <v>25000</v>
      </c>
      <c r="O585" s="172"/>
      <c r="P585" s="173" t="s">
        <v>2461</v>
      </c>
      <c r="Q585" s="174" t="str">
        <f t="shared" si="9"/>
        <v>註3</v>
      </c>
      <c r="R585" s="203" t="e">
        <f>INDEX([1]告訴人!$D$15:$F$372,MATCH(C585,[1]告訴人!$F$15:$F$372,0),1)</f>
        <v>#N/A</v>
      </c>
      <c r="S585" s="203" t="str">
        <f t="array" ref="S585">IF(OR(C585=[1]告訴人!$F$15:$F$372),"重疊","")</f>
        <v/>
      </c>
    </row>
    <row r="586" spans="1:22" ht="18" customHeight="1">
      <c r="A586" s="166">
        <v>583</v>
      </c>
      <c r="B586" s="166" t="s">
        <v>32</v>
      </c>
      <c r="C586" s="166" t="s">
        <v>328</v>
      </c>
      <c r="D586" s="167"/>
      <c r="E586" s="168" t="s">
        <v>154</v>
      </c>
      <c r="F586" s="169">
        <v>2000</v>
      </c>
      <c r="G586" s="168">
        <v>25</v>
      </c>
      <c r="H586" s="169">
        <v>50000</v>
      </c>
      <c r="I586" s="186"/>
      <c r="J586" s="186"/>
      <c r="K586" s="170" t="s">
        <v>2904</v>
      </c>
      <c r="L586" s="170"/>
      <c r="M586" s="175"/>
      <c r="N586" s="172">
        <v>50000</v>
      </c>
      <c r="O586" s="172"/>
      <c r="P586" s="173" t="s">
        <v>2461</v>
      </c>
      <c r="Q586" s="174" t="str">
        <f t="shared" si="9"/>
        <v>註3</v>
      </c>
      <c r="R586" s="203" t="e">
        <f>INDEX([1]告訴人!$D$15:$F$372,MATCH(C586,[1]告訴人!$F$15:$F$372,0),1)</f>
        <v>#N/A</v>
      </c>
      <c r="S586" s="203" t="str">
        <f t="array" ref="S586">IF(OR(C586=[1]告訴人!$F$15:$F$372),"重疊","")</f>
        <v/>
      </c>
    </row>
    <row r="587" spans="1:22">
      <c r="A587" s="166">
        <v>584</v>
      </c>
      <c r="B587" s="166" t="s">
        <v>32</v>
      </c>
      <c r="C587" s="166" t="s">
        <v>153</v>
      </c>
      <c r="D587" s="167"/>
      <c r="E587" s="168" t="s">
        <v>154</v>
      </c>
      <c r="F587" s="169">
        <v>1000</v>
      </c>
      <c r="G587" s="168">
        <v>67</v>
      </c>
      <c r="H587" s="169">
        <v>67000</v>
      </c>
      <c r="I587" s="186"/>
      <c r="J587" s="186"/>
      <c r="K587" s="170" t="s">
        <v>2904</v>
      </c>
      <c r="L587" s="170"/>
      <c r="M587" s="175"/>
      <c r="N587" s="172">
        <v>67000</v>
      </c>
      <c r="O587" s="172"/>
      <c r="P587" s="173" t="s">
        <v>2461</v>
      </c>
      <c r="Q587" s="174" t="str">
        <f t="shared" si="9"/>
        <v>註3</v>
      </c>
      <c r="R587" s="203" t="e">
        <f>INDEX([1]告訴人!$D$15:$F$372,MATCH(C587,[1]告訴人!$F$15:$F$372,0),1)</f>
        <v>#N/A</v>
      </c>
      <c r="S587" s="203" t="str">
        <f t="array" ref="S587">IF(OR(C587=[1]告訴人!$F$15:$F$372),"重疊","")</f>
        <v/>
      </c>
    </row>
    <row r="588" spans="1:22" ht="17.5" customHeight="1">
      <c r="A588" s="166">
        <v>585</v>
      </c>
      <c r="B588" s="166" t="s">
        <v>32</v>
      </c>
      <c r="C588" s="166" t="s">
        <v>317</v>
      </c>
      <c r="D588" s="167"/>
      <c r="E588" s="168" t="s">
        <v>154</v>
      </c>
      <c r="F588" s="169">
        <v>1000</v>
      </c>
      <c r="G588" s="168">
        <v>67</v>
      </c>
      <c r="H588" s="169">
        <v>67000</v>
      </c>
      <c r="I588" s="186"/>
      <c r="J588" s="186"/>
      <c r="K588" s="170" t="s">
        <v>2904</v>
      </c>
      <c r="L588" s="170"/>
      <c r="M588" s="175"/>
      <c r="N588" s="172">
        <v>67000</v>
      </c>
      <c r="O588" s="172"/>
      <c r="P588" s="173" t="s">
        <v>2461</v>
      </c>
      <c r="Q588" s="174" t="str">
        <f t="shared" si="9"/>
        <v>註3</v>
      </c>
      <c r="R588" s="203" t="e">
        <f>INDEX([1]告訴人!$D$15:$F$372,MATCH(C588,[1]告訴人!$F$15:$F$372,0),1)</f>
        <v>#N/A</v>
      </c>
      <c r="S588" s="203" t="str">
        <f t="array" ref="S588">IF(OR(C588=[1]告訴人!$F$15:$F$372),"重疊","")</f>
        <v/>
      </c>
    </row>
    <row r="589" spans="1:22" ht="16.25" customHeight="1">
      <c r="A589" s="166">
        <v>586</v>
      </c>
      <c r="B589" s="166" t="s">
        <v>32</v>
      </c>
      <c r="C589" s="166" t="s">
        <v>317</v>
      </c>
      <c r="D589" s="167"/>
      <c r="E589" s="168" t="s">
        <v>154</v>
      </c>
      <c r="F589" s="169">
        <v>1000</v>
      </c>
      <c r="G589" s="168">
        <v>67</v>
      </c>
      <c r="H589" s="169">
        <v>67000</v>
      </c>
      <c r="I589" s="186"/>
      <c r="J589" s="186"/>
      <c r="K589" s="170" t="s">
        <v>2904</v>
      </c>
      <c r="L589" s="170"/>
      <c r="M589" s="175"/>
      <c r="N589" s="172">
        <v>67000</v>
      </c>
      <c r="O589" s="172"/>
      <c r="P589" s="173" t="s">
        <v>2461</v>
      </c>
      <c r="Q589" s="174" t="str">
        <f t="shared" si="9"/>
        <v>註3</v>
      </c>
      <c r="R589" s="203" t="e">
        <f>INDEX([1]告訴人!$D$15:$F$372,MATCH(C589,[1]告訴人!$F$15:$F$372,0),1)</f>
        <v>#N/A</v>
      </c>
      <c r="S589" s="203" t="str">
        <f t="array" ref="S589">IF(OR(C589=[1]告訴人!$F$15:$F$372),"重疊","")</f>
        <v/>
      </c>
    </row>
    <row r="590" spans="1:22">
      <c r="A590" s="166">
        <v>587</v>
      </c>
      <c r="B590" s="166" t="s">
        <v>32</v>
      </c>
      <c r="C590" s="166" t="s">
        <v>184</v>
      </c>
      <c r="D590" s="167"/>
      <c r="E590" s="168" t="s">
        <v>185</v>
      </c>
      <c r="F590" s="169">
        <v>1000</v>
      </c>
      <c r="G590" s="168">
        <v>25</v>
      </c>
      <c r="H590" s="169">
        <v>25000</v>
      </c>
      <c r="I590" s="186" t="s">
        <v>1083</v>
      </c>
      <c r="J590" s="186" t="s">
        <v>1083</v>
      </c>
      <c r="K590" s="170" t="s">
        <v>2462</v>
      </c>
      <c r="L590" s="170"/>
      <c r="M590" s="175" t="s">
        <v>2905</v>
      </c>
      <c r="N590" s="172"/>
      <c r="O590" s="172"/>
      <c r="P590" s="173" t="s">
        <v>1832</v>
      </c>
      <c r="Q590" s="174" t="str">
        <f t="shared" si="9"/>
        <v/>
      </c>
      <c r="R590" s="203">
        <f>INDEX([1]告訴人!$D$15:$F$372,MATCH(C590,[1]告訴人!$F$15:$F$372,0),1)</f>
        <v>129</v>
      </c>
      <c r="S590" s="203" t="str">
        <f t="array" ref="S590">IF(OR(C590=[1]告訴人!$F$15:$F$372),"重疊","")</f>
        <v>重疊</v>
      </c>
      <c r="T590" s="203">
        <v>1</v>
      </c>
    </row>
    <row r="591" spans="1:22" ht="18.649999999999999" customHeight="1">
      <c r="A591" s="166">
        <v>588</v>
      </c>
      <c r="B591" s="166" t="s">
        <v>32</v>
      </c>
      <c r="C591" s="166" t="s">
        <v>206</v>
      </c>
      <c r="D591" s="167"/>
      <c r="E591" s="168" t="s">
        <v>185</v>
      </c>
      <c r="F591" s="169">
        <v>1000</v>
      </c>
      <c r="G591" s="168">
        <v>25</v>
      </c>
      <c r="H591" s="169">
        <v>25000</v>
      </c>
      <c r="I591" s="186"/>
      <c r="J591" s="186"/>
      <c r="K591" s="170" t="s">
        <v>2904</v>
      </c>
      <c r="L591" s="170"/>
      <c r="M591" s="175"/>
      <c r="N591" s="172">
        <v>25000</v>
      </c>
      <c r="O591" s="172"/>
      <c r="P591" s="173" t="s">
        <v>2461</v>
      </c>
      <c r="Q591" s="174" t="str">
        <f t="shared" si="9"/>
        <v>註3</v>
      </c>
      <c r="R591" s="203" t="e">
        <f>INDEX([1]告訴人!$D$15:$F$372,MATCH(C591,[1]告訴人!$F$15:$F$372,0),1)</f>
        <v>#N/A</v>
      </c>
      <c r="S591" s="203" t="str">
        <f t="array" ref="S591">IF(OR(C591=[1]告訴人!$F$15:$F$372),"重疊","")</f>
        <v/>
      </c>
    </row>
    <row r="592" spans="1:22" ht="17.899999999999999" customHeight="1">
      <c r="A592" s="166">
        <v>589</v>
      </c>
      <c r="B592" s="166" t="s">
        <v>32</v>
      </c>
      <c r="C592" s="166" t="s">
        <v>310</v>
      </c>
      <c r="D592" s="167"/>
      <c r="E592" s="168" t="s">
        <v>185</v>
      </c>
      <c r="F592" s="169">
        <v>1000</v>
      </c>
      <c r="G592" s="168">
        <v>25</v>
      </c>
      <c r="H592" s="169">
        <v>25000</v>
      </c>
      <c r="I592" s="186"/>
      <c r="J592" s="186"/>
      <c r="K592" s="170" t="s">
        <v>2904</v>
      </c>
      <c r="L592" s="170"/>
      <c r="M592" s="175"/>
      <c r="N592" s="172">
        <v>25000</v>
      </c>
      <c r="O592" s="172"/>
      <c r="P592" s="173" t="s">
        <v>2461</v>
      </c>
      <c r="Q592" s="174" t="str">
        <f t="shared" si="9"/>
        <v>註3</v>
      </c>
      <c r="R592" s="203" t="e">
        <f>INDEX([1]告訴人!$D$15:$F$372,MATCH(C592,[1]告訴人!$F$15:$F$372,0),1)</f>
        <v>#N/A</v>
      </c>
      <c r="S592" s="203" t="str">
        <f t="array" ref="S592">IF(OR(C592=[1]告訴人!$F$15:$F$372),"重疊","")</f>
        <v/>
      </c>
    </row>
    <row r="593" spans="1:20" ht="111" customHeight="1">
      <c r="A593" s="166">
        <v>590</v>
      </c>
      <c r="B593" s="166" t="s">
        <v>32</v>
      </c>
      <c r="C593" s="166" t="s">
        <v>184</v>
      </c>
      <c r="D593" s="167"/>
      <c r="E593" s="168" t="s">
        <v>185</v>
      </c>
      <c r="F593" s="169">
        <v>4000</v>
      </c>
      <c r="G593" s="168">
        <v>67</v>
      </c>
      <c r="H593" s="169">
        <v>268000</v>
      </c>
      <c r="I593" s="186" t="s">
        <v>2918</v>
      </c>
      <c r="J593" s="186" t="s">
        <v>2918</v>
      </c>
      <c r="K593" s="170" t="s">
        <v>3991</v>
      </c>
      <c r="L593" s="170" t="s">
        <v>2990</v>
      </c>
      <c r="M593" s="157" t="s">
        <v>2905</v>
      </c>
      <c r="N593" s="172"/>
      <c r="O593" s="172">
        <v>268000</v>
      </c>
      <c r="P593" s="173" t="s">
        <v>2463</v>
      </c>
      <c r="Q593" s="174" t="str">
        <f t="shared" si="9"/>
        <v>註4</v>
      </c>
      <c r="R593" s="203">
        <f>INDEX([1]告訴人!$D$15:$F$372,MATCH(C593,[1]告訴人!$F$15:$F$372,0),1)</f>
        <v>129</v>
      </c>
      <c r="S593" s="203" t="str">
        <f t="array" ref="S593">IF(OR(C593=[1]告訴人!$F$15:$F$372),"重疊","")</f>
        <v>重疊</v>
      </c>
      <c r="T593" s="203">
        <v>1</v>
      </c>
    </row>
    <row r="594" spans="1:20" ht="18" customHeight="1">
      <c r="A594" s="166">
        <v>591</v>
      </c>
      <c r="B594" s="166" t="s">
        <v>32</v>
      </c>
      <c r="C594" s="166" t="s">
        <v>206</v>
      </c>
      <c r="D594" s="167"/>
      <c r="E594" s="168" t="s">
        <v>185</v>
      </c>
      <c r="F594" s="169">
        <v>1000</v>
      </c>
      <c r="G594" s="168">
        <v>67</v>
      </c>
      <c r="H594" s="169">
        <v>67000</v>
      </c>
      <c r="I594" s="186"/>
      <c r="J594" s="186"/>
      <c r="K594" s="170" t="s">
        <v>2904</v>
      </c>
      <c r="L594" s="170"/>
      <c r="M594" s="157"/>
      <c r="N594" s="172">
        <v>67000</v>
      </c>
      <c r="O594" s="172"/>
      <c r="P594" s="173" t="s">
        <v>2461</v>
      </c>
      <c r="Q594" s="174" t="str">
        <f t="shared" si="9"/>
        <v>註3</v>
      </c>
      <c r="R594" s="203" t="e">
        <f>INDEX([1]告訴人!$D$15:$F$372,MATCH(C594,[1]告訴人!$F$15:$F$372,0),1)</f>
        <v>#N/A</v>
      </c>
      <c r="S594" s="203" t="str">
        <f t="array" ref="S594">IF(OR(C594=[1]告訴人!$F$15:$F$372),"重疊","")</f>
        <v/>
      </c>
    </row>
    <row r="595" spans="1:20" ht="17" customHeight="1">
      <c r="A595" s="166">
        <v>592</v>
      </c>
      <c r="B595" s="166" t="s">
        <v>32</v>
      </c>
      <c r="C595" s="166" t="s">
        <v>428</v>
      </c>
      <c r="D595" s="167"/>
      <c r="E595" s="168" t="s">
        <v>185</v>
      </c>
      <c r="F595" s="169">
        <v>5000</v>
      </c>
      <c r="G595" s="168">
        <v>67</v>
      </c>
      <c r="H595" s="169">
        <v>335000</v>
      </c>
      <c r="I595" s="186"/>
      <c r="J595" s="186"/>
      <c r="K595" s="170" t="s">
        <v>2904</v>
      </c>
      <c r="L595" s="170"/>
      <c r="M595" s="157"/>
      <c r="N595" s="172">
        <v>335000</v>
      </c>
      <c r="O595" s="172"/>
      <c r="P595" s="173" t="s">
        <v>2461</v>
      </c>
      <c r="Q595" s="174" t="str">
        <f t="shared" si="9"/>
        <v>註3</v>
      </c>
      <c r="R595" s="203" t="e">
        <f>INDEX([1]告訴人!$D$15:$F$372,MATCH(C595,[1]告訴人!$F$15:$F$372,0),1)</f>
        <v>#N/A</v>
      </c>
      <c r="S595" s="203" t="str">
        <f t="array" ref="S595">IF(OR(C595=[1]告訴人!$F$15:$F$372),"重疊","")</f>
        <v/>
      </c>
    </row>
    <row r="596" spans="1:20" ht="15.65" customHeight="1">
      <c r="A596" s="166">
        <v>593</v>
      </c>
      <c r="B596" s="166" t="s">
        <v>32</v>
      </c>
      <c r="C596" s="166" t="s">
        <v>310</v>
      </c>
      <c r="D596" s="167"/>
      <c r="E596" s="168" t="s">
        <v>185</v>
      </c>
      <c r="F596" s="169">
        <v>2000</v>
      </c>
      <c r="G596" s="168">
        <v>67</v>
      </c>
      <c r="H596" s="169">
        <v>134000</v>
      </c>
      <c r="I596" s="186"/>
      <c r="J596" s="186"/>
      <c r="K596" s="170" t="s">
        <v>2904</v>
      </c>
      <c r="L596" s="170"/>
      <c r="M596" s="157"/>
      <c r="N596" s="172">
        <v>134000</v>
      </c>
      <c r="O596" s="172"/>
      <c r="P596" s="173" t="s">
        <v>2461</v>
      </c>
      <c r="Q596" s="174" t="str">
        <f t="shared" si="9"/>
        <v>註3</v>
      </c>
      <c r="R596" s="203" t="e">
        <f>INDEX([1]告訴人!$D$15:$F$372,MATCH(C596,[1]告訴人!$F$15:$F$372,0),1)</f>
        <v>#N/A</v>
      </c>
      <c r="S596" s="203" t="str">
        <f t="array" ref="S596">IF(OR(C596=[1]告訴人!$F$15:$F$372),"重疊","")</f>
        <v/>
      </c>
    </row>
    <row r="597" spans="1:20" ht="15.65" customHeight="1">
      <c r="A597" s="166">
        <v>594</v>
      </c>
      <c r="B597" s="166" t="s">
        <v>32</v>
      </c>
      <c r="C597" s="166" t="s">
        <v>3978</v>
      </c>
      <c r="D597" s="167"/>
      <c r="E597" s="168" t="s">
        <v>220</v>
      </c>
      <c r="F597" s="169">
        <v>1000</v>
      </c>
      <c r="G597" s="168">
        <v>25</v>
      </c>
      <c r="H597" s="169">
        <v>25000</v>
      </c>
      <c r="I597" s="186"/>
      <c r="J597" s="186"/>
      <c r="K597" s="170" t="s">
        <v>2904</v>
      </c>
      <c r="L597" s="170"/>
      <c r="M597" s="171"/>
      <c r="N597" s="172">
        <v>25000</v>
      </c>
      <c r="O597" s="172"/>
      <c r="P597" s="173" t="s">
        <v>2461</v>
      </c>
      <c r="Q597" s="174" t="str">
        <f t="shared" si="9"/>
        <v>註3</v>
      </c>
      <c r="R597" s="203" t="e">
        <f>INDEX([1]告訴人!$D$15:$F$372,MATCH(C597,[1]告訴人!$F$15:$F$372,0),1)</f>
        <v>#N/A</v>
      </c>
      <c r="S597" s="203" t="str">
        <f t="array" ref="S597">IF(OR(C597=[1]告訴人!$F$15:$F$372),"重疊","")</f>
        <v/>
      </c>
    </row>
    <row r="598" spans="1:20" ht="17.25" customHeight="1">
      <c r="A598" s="166">
        <v>595</v>
      </c>
      <c r="B598" s="166" t="s">
        <v>32</v>
      </c>
      <c r="C598" s="166" t="s">
        <v>235</v>
      </c>
      <c r="D598" s="167"/>
      <c r="E598" s="168" t="s">
        <v>220</v>
      </c>
      <c r="F598" s="169">
        <v>1000</v>
      </c>
      <c r="G598" s="168">
        <v>25</v>
      </c>
      <c r="H598" s="169">
        <v>25000</v>
      </c>
      <c r="I598" s="186"/>
      <c r="J598" s="186"/>
      <c r="K598" s="170" t="s">
        <v>2904</v>
      </c>
      <c r="L598" s="170"/>
      <c r="M598" s="175"/>
      <c r="N598" s="172">
        <v>25000</v>
      </c>
      <c r="O598" s="172"/>
      <c r="P598" s="173" t="s">
        <v>2461</v>
      </c>
      <c r="Q598" s="174" t="str">
        <f t="shared" si="9"/>
        <v>註3</v>
      </c>
      <c r="R598" s="203" t="e">
        <f>INDEX([1]告訴人!$D$15:$F$372,MATCH(C598,[1]告訴人!$F$15:$F$372,0),1)</f>
        <v>#N/A</v>
      </c>
      <c r="S598" s="203" t="str">
        <f t="array" ref="S598">IF(OR(C598=[1]告訴人!$F$15:$F$372),"重疊","")</f>
        <v/>
      </c>
    </row>
    <row r="599" spans="1:20" ht="17.25" customHeight="1">
      <c r="A599" s="166">
        <v>596</v>
      </c>
      <c r="B599" s="166" t="s">
        <v>32</v>
      </c>
      <c r="C599" s="166" t="s">
        <v>257</v>
      </c>
      <c r="D599" s="167"/>
      <c r="E599" s="168" t="s">
        <v>220</v>
      </c>
      <c r="F599" s="169">
        <v>2000</v>
      </c>
      <c r="G599" s="168">
        <v>25</v>
      </c>
      <c r="H599" s="169">
        <v>50000</v>
      </c>
      <c r="I599" s="186"/>
      <c r="J599" s="186"/>
      <c r="K599" s="170" t="s">
        <v>2904</v>
      </c>
      <c r="L599" s="170"/>
      <c r="M599" s="175"/>
      <c r="N599" s="172">
        <v>50000</v>
      </c>
      <c r="O599" s="172"/>
      <c r="P599" s="173" t="s">
        <v>2461</v>
      </c>
      <c r="Q599" s="174" t="str">
        <f t="shared" si="9"/>
        <v>註3</v>
      </c>
      <c r="R599" s="203" t="e">
        <f>INDEX([1]告訴人!$D$15:$F$372,MATCH(C599,[1]告訴人!$F$15:$F$372,0),1)</f>
        <v>#N/A</v>
      </c>
      <c r="S599" s="203" t="str">
        <f t="array" ref="S599">IF(OR(C599=[1]告訴人!$F$15:$F$372),"重疊","")</f>
        <v/>
      </c>
    </row>
    <row r="600" spans="1:20" ht="15" customHeight="1">
      <c r="A600" s="166">
        <v>597</v>
      </c>
      <c r="B600" s="166" t="s">
        <v>32</v>
      </c>
      <c r="C600" s="166" t="s">
        <v>293</v>
      </c>
      <c r="D600" s="167"/>
      <c r="E600" s="168" t="s">
        <v>220</v>
      </c>
      <c r="F600" s="169">
        <v>1000</v>
      </c>
      <c r="G600" s="168">
        <v>25</v>
      </c>
      <c r="H600" s="169">
        <v>25000</v>
      </c>
      <c r="I600" s="186"/>
      <c r="J600" s="186"/>
      <c r="K600" s="170" t="s">
        <v>2904</v>
      </c>
      <c r="L600" s="170"/>
      <c r="M600" s="175"/>
      <c r="N600" s="172">
        <v>25000</v>
      </c>
      <c r="O600" s="172"/>
      <c r="P600" s="173" t="s">
        <v>2461</v>
      </c>
      <c r="Q600" s="174" t="str">
        <f t="shared" si="9"/>
        <v>註3</v>
      </c>
      <c r="R600" s="203" t="e">
        <f>INDEX([1]告訴人!$D$15:$F$372,MATCH(C600,[1]告訴人!$F$15:$F$372,0),1)</f>
        <v>#N/A</v>
      </c>
      <c r="S600" s="203" t="str">
        <f t="array" ref="S600">IF(OR(C600=[1]告訴人!$F$15:$F$372),"重疊","")</f>
        <v/>
      </c>
    </row>
    <row r="601" spans="1:20" ht="16.649999999999999" customHeight="1">
      <c r="A601" s="166">
        <v>598</v>
      </c>
      <c r="B601" s="166" t="s">
        <v>32</v>
      </c>
      <c r="C601" s="166" t="s">
        <v>3978</v>
      </c>
      <c r="D601" s="167"/>
      <c r="E601" s="168" t="s">
        <v>220</v>
      </c>
      <c r="F601" s="169">
        <v>1000</v>
      </c>
      <c r="G601" s="168">
        <v>67</v>
      </c>
      <c r="H601" s="169">
        <v>67000</v>
      </c>
      <c r="I601" s="186"/>
      <c r="J601" s="186"/>
      <c r="K601" s="170" t="s">
        <v>2904</v>
      </c>
      <c r="L601" s="170"/>
      <c r="M601" s="171"/>
      <c r="N601" s="172">
        <v>67000</v>
      </c>
      <c r="O601" s="172"/>
      <c r="P601" s="173" t="s">
        <v>2461</v>
      </c>
      <c r="Q601" s="174" t="str">
        <f t="shared" si="9"/>
        <v>註3</v>
      </c>
      <c r="R601" s="203" t="e">
        <f>INDEX([1]告訴人!$D$15:$F$372,MATCH(C601,[1]告訴人!$F$15:$F$372,0),1)</f>
        <v>#N/A</v>
      </c>
      <c r="S601" s="203" t="str">
        <f t="array" ref="S601">IF(OR(C601=[1]告訴人!$F$15:$F$372),"重疊","")</f>
        <v/>
      </c>
    </row>
    <row r="602" spans="1:20">
      <c r="A602" s="166">
        <v>599</v>
      </c>
      <c r="B602" s="166" t="s">
        <v>32</v>
      </c>
      <c r="C602" s="166" t="s">
        <v>235</v>
      </c>
      <c r="D602" s="167"/>
      <c r="E602" s="168" t="s">
        <v>220</v>
      </c>
      <c r="F602" s="169">
        <v>5000</v>
      </c>
      <c r="G602" s="168">
        <v>67</v>
      </c>
      <c r="H602" s="169">
        <v>335000</v>
      </c>
      <c r="I602" s="186"/>
      <c r="J602" s="186"/>
      <c r="K602" s="170" t="s">
        <v>2904</v>
      </c>
      <c r="L602" s="170"/>
      <c r="M602" s="175"/>
      <c r="N602" s="172">
        <v>335000</v>
      </c>
      <c r="O602" s="172"/>
      <c r="P602" s="173" t="s">
        <v>2461</v>
      </c>
      <c r="Q602" s="174" t="str">
        <f t="shared" si="9"/>
        <v>註3</v>
      </c>
      <c r="R602" s="203" t="e">
        <f>INDEX([1]告訴人!$D$15:$F$372,MATCH(C602,[1]告訴人!$F$15:$F$372,0),1)</f>
        <v>#N/A</v>
      </c>
      <c r="S602" s="203" t="str">
        <f t="array" ref="S602">IF(OR(C602=[1]告訴人!$F$15:$F$372),"重疊","")</f>
        <v/>
      </c>
    </row>
    <row r="603" spans="1:20" ht="17.25" customHeight="1">
      <c r="A603" s="166">
        <v>600</v>
      </c>
      <c r="B603" s="166" t="s">
        <v>32</v>
      </c>
      <c r="C603" s="166" t="s">
        <v>257</v>
      </c>
      <c r="D603" s="167"/>
      <c r="E603" s="168" t="s">
        <v>220</v>
      </c>
      <c r="F603" s="169">
        <v>10000</v>
      </c>
      <c r="G603" s="168">
        <v>67</v>
      </c>
      <c r="H603" s="169">
        <v>670000</v>
      </c>
      <c r="I603" s="186"/>
      <c r="J603" s="186"/>
      <c r="K603" s="170" t="s">
        <v>2904</v>
      </c>
      <c r="L603" s="170"/>
      <c r="M603" s="175"/>
      <c r="N603" s="172">
        <v>670000</v>
      </c>
      <c r="O603" s="172"/>
      <c r="P603" s="173" t="s">
        <v>2461</v>
      </c>
      <c r="Q603" s="174" t="str">
        <f t="shared" si="9"/>
        <v>註3</v>
      </c>
      <c r="R603" s="203" t="e">
        <f>INDEX([1]告訴人!$D$15:$F$372,MATCH(C603,[1]告訴人!$F$15:$F$372,0),1)</f>
        <v>#N/A</v>
      </c>
      <c r="S603" s="203" t="str">
        <f t="array" ref="S603">IF(OR(C603=[1]告訴人!$F$15:$F$372),"重疊","")</f>
        <v/>
      </c>
    </row>
    <row r="604" spans="1:20" ht="17.25" customHeight="1">
      <c r="A604" s="166">
        <v>601</v>
      </c>
      <c r="B604" s="166" t="s">
        <v>32</v>
      </c>
      <c r="C604" s="166" t="s">
        <v>293</v>
      </c>
      <c r="D604" s="167"/>
      <c r="E604" s="168" t="s">
        <v>220</v>
      </c>
      <c r="F604" s="169">
        <v>1000</v>
      </c>
      <c r="G604" s="168">
        <v>67</v>
      </c>
      <c r="H604" s="169">
        <v>67000</v>
      </c>
      <c r="I604" s="186"/>
      <c r="J604" s="186"/>
      <c r="K604" s="170" t="s">
        <v>2904</v>
      </c>
      <c r="L604" s="170"/>
      <c r="M604" s="175"/>
      <c r="N604" s="172">
        <v>67000</v>
      </c>
      <c r="O604" s="172"/>
      <c r="P604" s="173" t="s">
        <v>2461</v>
      </c>
      <c r="Q604" s="174" t="str">
        <f t="shared" si="9"/>
        <v>註3</v>
      </c>
      <c r="R604" s="203" t="e">
        <f>INDEX([1]告訴人!$D$15:$F$372,MATCH(C604,[1]告訴人!$F$15:$F$372,0),1)</f>
        <v>#N/A</v>
      </c>
      <c r="S604" s="203" t="str">
        <f t="array" ref="S604">IF(OR(C604=[1]告訴人!$F$15:$F$372),"重疊","")</f>
        <v/>
      </c>
    </row>
    <row r="605" spans="1:20" ht="17.25" customHeight="1">
      <c r="A605" s="166">
        <v>602</v>
      </c>
      <c r="B605" s="166" t="s">
        <v>32</v>
      </c>
      <c r="C605" s="166" t="s">
        <v>513</v>
      </c>
      <c r="D605" s="167"/>
      <c r="E605" s="168" t="s">
        <v>220</v>
      </c>
      <c r="F605" s="169">
        <v>1000</v>
      </c>
      <c r="G605" s="168">
        <v>67</v>
      </c>
      <c r="H605" s="169">
        <v>67000</v>
      </c>
      <c r="I605" s="186"/>
      <c r="J605" s="186"/>
      <c r="K605" s="170" t="s">
        <v>2904</v>
      </c>
      <c r="L605" s="170"/>
      <c r="M605" s="175"/>
      <c r="N605" s="172">
        <v>67000</v>
      </c>
      <c r="O605" s="172"/>
      <c r="P605" s="173" t="s">
        <v>2461</v>
      </c>
      <c r="Q605" s="174" t="str">
        <f t="shared" si="9"/>
        <v>註3</v>
      </c>
      <c r="R605" s="203" t="e">
        <f>INDEX([1]告訴人!$D$15:$F$372,MATCH(C605,[1]告訴人!$F$15:$F$372,0),1)</f>
        <v>#N/A</v>
      </c>
      <c r="S605" s="203" t="str">
        <f t="array" ref="S605">IF(OR(C605=[1]告訴人!$F$15:$F$372),"重疊","")</f>
        <v/>
      </c>
    </row>
    <row r="606" spans="1:20" ht="17.25" customHeight="1">
      <c r="A606" s="166">
        <v>603</v>
      </c>
      <c r="B606" s="166" t="s">
        <v>32</v>
      </c>
      <c r="C606" s="166" t="s">
        <v>363</v>
      </c>
      <c r="D606" s="167"/>
      <c r="E606" s="168" t="s">
        <v>364</v>
      </c>
      <c r="F606" s="169">
        <v>1000</v>
      </c>
      <c r="G606" s="168">
        <v>67</v>
      </c>
      <c r="H606" s="169">
        <v>67000</v>
      </c>
      <c r="I606" s="186"/>
      <c r="J606" s="186"/>
      <c r="K606" s="170" t="s">
        <v>2904</v>
      </c>
      <c r="L606" s="170"/>
      <c r="M606" s="175"/>
      <c r="N606" s="172">
        <v>67000</v>
      </c>
      <c r="O606" s="172"/>
      <c r="P606" s="173" t="s">
        <v>2461</v>
      </c>
      <c r="Q606" s="174" t="str">
        <f t="shared" si="9"/>
        <v>註3</v>
      </c>
      <c r="R606" s="203" t="e">
        <f>INDEX([1]告訴人!$D$15:$F$372,MATCH(C606,[1]告訴人!$F$15:$F$372,0),1)</f>
        <v>#N/A</v>
      </c>
      <c r="S606" s="203" t="str">
        <f t="array" ref="S606">IF(OR(C606=[1]告訴人!$F$15:$F$372),"重疊","")</f>
        <v/>
      </c>
    </row>
    <row r="607" spans="1:20" ht="15.65" customHeight="1">
      <c r="A607" s="166">
        <v>604</v>
      </c>
      <c r="B607" s="166" t="s">
        <v>32</v>
      </c>
      <c r="C607" s="166" t="s">
        <v>382</v>
      </c>
      <c r="D607" s="167"/>
      <c r="E607" s="168" t="s">
        <v>364</v>
      </c>
      <c r="F607" s="169">
        <v>1000</v>
      </c>
      <c r="G607" s="168">
        <v>67</v>
      </c>
      <c r="H607" s="169">
        <v>67000</v>
      </c>
      <c r="I607" s="186"/>
      <c r="J607" s="186"/>
      <c r="K607" s="170" t="s">
        <v>2904</v>
      </c>
      <c r="L607" s="170"/>
      <c r="M607" s="175"/>
      <c r="N607" s="172">
        <v>67000</v>
      </c>
      <c r="O607" s="172"/>
      <c r="P607" s="173" t="s">
        <v>2461</v>
      </c>
      <c r="Q607" s="174" t="str">
        <f t="shared" si="9"/>
        <v>註3</v>
      </c>
      <c r="R607" s="203" t="e">
        <f>INDEX([1]告訴人!$D$15:$F$372,MATCH(C607,[1]告訴人!$F$15:$F$372,0),1)</f>
        <v>#N/A</v>
      </c>
      <c r="S607" s="203" t="str">
        <f t="array" ref="S607">IF(OR(C607=[1]告訴人!$F$15:$F$372),"重疊","")</f>
        <v/>
      </c>
    </row>
    <row r="608" spans="1:20" ht="15.65" customHeight="1">
      <c r="A608" s="166">
        <v>605</v>
      </c>
      <c r="B608" s="166" t="s">
        <v>32</v>
      </c>
      <c r="C608" s="166" t="s">
        <v>394</v>
      </c>
      <c r="D608" s="167"/>
      <c r="E608" s="168" t="s">
        <v>364</v>
      </c>
      <c r="F608" s="169">
        <v>5000</v>
      </c>
      <c r="G608" s="168">
        <v>67</v>
      </c>
      <c r="H608" s="169">
        <v>335000</v>
      </c>
      <c r="I608" s="186"/>
      <c r="J608" s="186"/>
      <c r="K608" s="170" t="s">
        <v>2904</v>
      </c>
      <c r="L608" s="170"/>
      <c r="M608" s="175"/>
      <c r="N608" s="172">
        <v>335000</v>
      </c>
      <c r="O608" s="172"/>
      <c r="P608" s="173" t="s">
        <v>2461</v>
      </c>
      <c r="Q608" s="174" t="str">
        <f t="shared" si="9"/>
        <v>註3</v>
      </c>
      <c r="R608" s="203" t="e">
        <f>INDEX([1]告訴人!$D$15:$F$372,MATCH(C608,[1]告訴人!$F$15:$F$372,0),1)</f>
        <v>#N/A</v>
      </c>
      <c r="S608" s="203" t="str">
        <f t="array" ref="S608">IF(OR(C608=[1]告訴人!$F$15:$F$372),"重疊","")</f>
        <v/>
      </c>
    </row>
    <row r="609" spans="1:22" ht="76.400000000000006" customHeight="1">
      <c r="A609" s="166">
        <v>606</v>
      </c>
      <c r="B609" s="166" t="s">
        <v>32</v>
      </c>
      <c r="C609" s="166" t="s">
        <v>409</v>
      </c>
      <c r="D609" s="167"/>
      <c r="E609" s="168" t="s">
        <v>364</v>
      </c>
      <c r="F609" s="169">
        <v>2000</v>
      </c>
      <c r="G609" s="168">
        <v>67</v>
      </c>
      <c r="H609" s="169">
        <v>134000</v>
      </c>
      <c r="I609" s="186" t="s">
        <v>2918</v>
      </c>
      <c r="J609" s="186" t="s">
        <v>2918</v>
      </c>
      <c r="K609" s="170" t="s">
        <v>3221</v>
      </c>
      <c r="L609" s="170" t="s">
        <v>3652</v>
      </c>
      <c r="M609" s="175" t="s">
        <v>2905</v>
      </c>
      <c r="N609" s="172">
        <v>134000</v>
      </c>
      <c r="O609" s="172"/>
      <c r="P609" s="173" t="s">
        <v>2461</v>
      </c>
      <c r="Q609" s="174" t="str">
        <f t="shared" si="9"/>
        <v>註3</v>
      </c>
      <c r="R609" s="203">
        <f>INDEX([1]告訴人!$D$15:$F$372,MATCH(C609,[1]告訴人!$F$15:$F$372,0),1)</f>
        <v>226</v>
      </c>
      <c r="S609" s="203" t="str">
        <f t="array" ref="S609">IF(OR(C609=[1]告訴人!$F$15:$F$372),"重疊","")</f>
        <v>重疊</v>
      </c>
      <c r="T609" s="203">
        <v>1</v>
      </c>
      <c r="V609" s="203">
        <v>1</v>
      </c>
    </row>
    <row r="610" spans="1:22" ht="17.25" customHeight="1">
      <c r="A610" s="166">
        <v>607</v>
      </c>
      <c r="B610" s="166" t="s">
        <v>32</v>
      </c>
      <c r="C610" s="166" t="s">
        <v>510</v>
      </c>
      <c r="D610" s="167"/>
      <c r="E610" s="168" t="s">
        <v>364</v>
      </c>
      <c r="F610" s="169">
        <v>1000</v>
      </c>
      <c r="G610" s="168">
        <v>67</v>
      </c>
      <c r="H610" s="169">
        <v>67000</v>
      </c>
      <c r="I610" s="186"/>
      <c r="J610" s="186"/>
      <c r="K610" s="170" t="s">
        <v>2904</v>
      </c>
      <c r="L610" s="170"/>
      <c r="M610" s="175"/>
      <c r="N610" s="172">
        <v>67000</v>
      </c>
      <c r="O610" s="172"/>
      <c r="P610" s="173" t="s">
        <v>2461</v>
      </c>
      <c r="Q610" s="174" t="str">
        <f t="shared" si="9"/>
        <v>註3</v>
      </c>
      <c r="R610" s="203" t="e">
        <f>INDEX([1]告訴人!$D$15:$F$372,MATCH(C610,[1]告訴人!$F$15:$F$372,0),1)</f>
        <v>#N/A</v>
      </c>
      <c r="S610" s="203" t="str">
        <f t="array" ref="S610">IF(OR(C610=[1]告訴人!$F$15:$F$372),"重疊","")</f>
        <v/>
      </c>
    </row>
    <row r="611" spans="1:22" ht="139.65" customHeight="1">
      <c r="A611" s="166">
        <v>608</v>
      </c>
      <c r="B611" s="166" t="s">
        <v>32</v>
      </c>
      <c r="C611" s="166" t="s">
        <v>189</v>
      </c>
      <c r="D611" s="167"/>
      <c r="E611" s="168" t="s">
        <v>190</v>
      </c>
      <c r="F611" s="169">
        <v>2000</v>
      </c>
      <c r="G611" s="168">
        <v>25</v>
      </c>
      <c r="H611" s="169">
        <v>50000</v>
      </c>
      <c r="I611" s="186" t="s">
        <v>1083</v>
      </c>
      <c r="J611" s="186" t="s">
        <v>1083</v>
      </c>
      <c r="K611" s="170" t="s">
        <v>3222</v>
      </c>
      <c r="L611" s="170" t="s">
        <v>3653</v>
      </c>
      <c r="M611" s="175" t="s">
        <v>2905</v>
      </c>
      <c r="N611" s="172">
        <v>50000</v>
      </c>
      <c r="O611" s="172"/>
      <c r="P611" s="173" t="s">
        <v>2461</v>
      </c>
      <c r="Q611" s="174" t="str">
        <f t="shared" si="9"/>
        <v>註3</v>
      </c>
      <c r="R611" s="203">
        <f>INDEX([1]告訴人!$D$15:$F$372,MATCH(C611,[1]告訴人!$F$15:$F$372,0),1)</f>
        <v>155</v>
      </c>
      <c r="S611" s="203" t="str">
        <f t="array" ref="S611">IF(OR(C611=[1]告訴人!$F$15:$F$372),"重疊","")</f>
        <v>重疊</v>
      </c>
      <c r="T611" s="203">
        <v>1</v>
      </c>
      <c r="V611" s="203">
        <v>1</v>
      </c>
    </row>
    <row r="612" spans="1:22" ht="128.25" customHeight="1">
      <c r="A612" s="166">
        <v>609</v>
      </c>
      <c r="B612" s="166" t="s">
        <v>32</v>
      </c>
      <c r="C612" s="166" t="s">
        <v>239</v>
      </c>
      <c r="D612" s="167"/>
      <c r="E612" s="168" t="s">
        <v>190</v>
      </c>
      <c r="F612" s="169">
        <v>2000</v>
      </c>
      <c r="G612" s="168">
        <v>25</v>
      </c>
      <c r="H612" s="169">
        <v>50000</v>
      </c>
      <c r="I612" s="186" t="s">
        <v>1083</v>
      </c>
      <c r="J612" s="186" t="s">
        <v>1083</v>
      </c>
      <c r="K612" s="170" t="s">
        <v>3222</v>
      </c>
      <c r="L612" s="170" t="s">
        <v>3654</v>
      </c>
      <c r="M612" s="175" t="s">
        <v>2905</v>
      </c>
      <c r="N612" s="172">
        <v>50000</v>
      </c>
      <c r="O612" s="172"/>
      <c r="P612" s="173" t="s">
        <v>2461</v>
      </c>
      <c r="Q612" s="174" t="str">
        <f t="shared" si="9"/>
        <v>註3</v>
      </c>
      <c r="R612" s="203">
        <f>INDEX([1]告訴人!$D$15:$F$372,MATCH(C612,[1]告訴人!$F$15:$F$372,0),1)</f>
        <v>153</v>
      </c>
      <c r="S612" s="203" t="str">
        <f t="array" ref="S612">IF(OR(C612=[1]告訴人!$F$15:$F$372),"重疊","")</f>
        <v>重疊</v>
      </c>
      <c r="T612" s="203">
        <v>1</v>
      </c>
      <c r="V612" s="203">
        <v>1</v>
      </c>
    </row>
    <row r="613" spans="1:22" ht="133.5" customHeight="1">
      <c r="A613" s="166">
        <v>610</v>
      </c>
      <c r="B613" s="166" t="s">
        <v>32</v>
      </c>
      <c r="C613" s="166" t="s">
        <v>240</v>
      </c>
      <c r="D613" s="167"/>
      <c r="E613" s="168" t="s">
        <v>190</v>
      </c>
      <c r="F613" s="169">
        <v>2000</v>
      </c>
      <c r="G613" s="168">
        <v>25</v>
      </c>
      <c r="H613" s="169">
        <v>50000</v>
      </c>
      <c r="I613" s="186" t="s">
        <v>1083</v>
      </c>
      <c r="J613" s="186" t="s">
        <v>1083</v>
      </c>
      <c r="K613" s="170" t="s">
        <v>3222</v>
      </c>
      <c r="L613" s="170" t="s">
        <v>3655</v>
      </c>
      <c r="M613" s="175" t="s">
        <v>2905</v>
      </c>
      <c r="N613" s="172">
        <v>50000</v>
      </c>
      <c r="O613" s="172"/>
      <c r="P613" s="173" t="s">
        <v>2461</v>
      </c>
      <c r="Q613" s="174" t="str">
        <f t="shared" si="9"/>
        <v>註3</v>
      </c>
      <c r="R613" s="203">
        <f>INDEX([1]告訴人!$D$15:$F$372,MATCH(C613,[1]告訴人!$F$15:$F$372,0),1)</f>
        <v>154</v>
      </c>
      <c r="S613" s="203" t="str">
        <f t="array" ref="S613">IF(OR(C613=[1]告訴人!$F$15:$F$372),"重疊","")</f>
        <v>重疊</v>
      </c>
      <c r="T613" s="203">
        <v>1</v>
      </c>
      <c r="V613" s="203">
        <v>1</v>
      </c>
    </row>
    <row r="614" spans="1:22" ht="34.25" customHeight="1">
      <c r="A614" s="166">
        <v>611</v>
      </c>
      <c r="B614" s="166" t="s">
        <v>32</v>
      </c>
      <c r="C614" s="166" t="s">
        <v>263</v>
      </c>
      <c r="D614" s="167"/>
      <c r="E614" s="168" t="s">
        <v>190</v>
      </c>
      <c r="F614" s="169">
        <v>1000</v>
      </c>
      <c r="G614" s="168">
        <v>25</v>
      </c>
      <c r="H614" s="169">
        <v>25000</v>
      </c>
      <c r="I614" s="186" t="s">
        <v>1083</v>
      </c>
      <c r="J614" s="186" t="s">
        <v>1083</v>
      </c>
      <c r="K614" s="170" t="s">
        <v>3158</v>
      </c>
      <c r="L614" s="170" t="s">
        <v>3645</v>
      </c>
      <c r="M614" s="175" t="s">
        <v>2905</v>
      </c>
      <c r="N614" s="172"/>
      <c r="O614" s="172">
        <v>25000</v>
      </c>
      <c r="P614" s="173" t="s">
        <v>2463</v>
      </c>
      <c r="Q614" s="174" t="str">
        <f t="shared" si="9"/>
        <v>註4</v>
      </c>
      <c r="R614" s="203">
        <f>INDEX([1]告訴人!$D$15:$F$372,MATCH(C614,[1]告訴人!$F$15:$F$372,0),1)</f>
        <v>106</v>
      </c>
      <c r="S614" s="203" t="str">
        <f t="array" ref="S614">IF(OR(C614=[1]告訴人!$F$15:$F$372),"重疊","")</f>
        <v>重疊</v>
      </c>
      <c r="T614" s="203">
        <v>1</v>
      </c>
      <c r="U614" s="203">
        <v>1</v>
      </c>
    </row>
    <row r="615" spans="1:22" ht="18" customHeight="1">
      <c r="A615" s="166">
        <v>612</v>
      </c>
      <c r="B615" s="166" t="s">
        <v>32</v>
      </c>
      <c r="C615" s="166" t="s">
        <v>269</v>
      </c>
      <c r="D615" s="167"/>
      <c r="E615" s="168" t="s">
        <v>190</v>
      </c>
      <c r="F615" s="169">
        <v>2000</v>
      </c>
      <c r="G615" s="168">
        <v>25</v>
      </c>
      <c r="H615" s="169">
        <v>50000</v>
      </c>
      <c r="I615" s="186"/>
      <c r="J615" s="186"/>
      <c r="K615" s="170" t="s">
        <v>2904</v>
      </c>
      <c r="L615" s="170"/>
      <c r="M615" s="175"/>
      <c r="N615" s="172">
        <v>50000</v>
      </c>
      <c r="O615" s="172"/>
      <c r="P615" s="173" t="s">
        <v>2461</v>
      </c>
      <c r="Q615" s="174" t="str">
        <f t="shared" si="9"/>
        <v>註3</v>
      </c>
      <c r="R615" s="203" t="e">
        <f>INDEX([1]告訴人!$D$15:$F$372,MATCH(C615,[1]告訴人!$F$15:$F$372,0),1)</f>
        <v>#N/A</v>
      </c>
      <c r="S615" s="203" t="str">
        <f t="array" ref="S615">IF(OR(C615=[1]告訴人!$F$15:$F$372),"重疊","")</f>
        <v/>
      </c>
    </row>
    <row r="616" spans="1:22" ht="66.650000000000006" customHeight="1">
      <c r="A616" s="166">
        <v>613</v>
      </c>
      <c r="B616" s="166" t="s">
        <v>32</v>
      </c>
      <c r="C616" s="166" t="s">
        <v>345</v>
      </c>
      <c r="D616" s="167"/>
      <c r="E616" s="168" t="s">
        <v>190</v>
      </c>
      <c r="F616" s="169">
        <v>15000</v>
      </c>
      <c r="G616" s="168">
        <v>67</v>
      </c>
      <c r="H616" s="169">
        <v>1005000</v>
      </c>
      <c r="I616" s="346" t="s">
        <v>2991</v>
      </c>
      <c r="J616" s="346" t="s">
        <v>2992</v>
      </c>
      <c r="K616" s="170" t="s">
        <v>3078</v>
      </c>
      <c r="L616" s="170" t="s">
        <v>3701</v>
      </c>
      <c r="M616" s="175" t="s">
        <v>2905</v>
      </c>
      <c r="N616" s="172">
        <v>1005000</v>
      </c>
      <c r="O616" s="172"/>
      <c r="P616" s="173" t="s">
        <v>2461</v>
      </c>
      <c r="Q616" s="174" t="str">
        <f t="shared" si="9"/>
        <v>註3</v>
      </c>
      <c r="R616" s="203" t="e">
        <f>INDEX([1]告訴人!$D$15:$F$372,MATCH(C616,[1]告訴人!$F$15:$F$372,0),1)</f>
        <v>#N/A</v>
      </c>
      <c r="S616" s="203" t="str">
        <f t="array" ref="S616">IF(OR(C616=[1]告訴人!$F$15:$F$372),"重疊","")</f>
        <v/>
      </c>
      <c r="T616" s="203">
        <v>1</v>
      </c>
      <c r="V616" s="203">
        <v>1</v>
      </c>
    </row>
    <row r="617" spans="1:22" ht="17" customHeight="1">
      <c r="A617" s="166">
        <v>614</v>
      </c>
      <c r="B617" s="166" t="s">
        <v>32</v>
      </c>
      <c r="C617" s="166" t="s">
        <v>362</v>
      </c>
      <c r="D617" s="167"/>
      <c r="E617" s="168" t="s">
        <v>190</v>
      </c>
      <c r="F617" s="169">
        <v>3000</v>
      </c>
      <c r="G617" s="168">
        <v>67</v>
      </c>
      <c r="H617" s="169">
        <v>201000</v>
      </c>
      <c r="I617" s="186"/>
      <c r="J617" s="186"/>
      <c r="K617" s="170" t="s">
        <v>2904</v>
      </c>
      <c r="L617" s="170"/>
      <c r="M617" s="175"/>
      <c r="N617" s="172">
        <v>201000</v>
      </c>
      <c r="O617" s="172"/>
      <c r="P617" s="173" t="s">
        <v>2461</v>
      </c>
      <c r="Q617" s="174" t="str">
        <f t="shared" si="9"/>
        <v>註3</v>
      </c>
      <c r="R617" s="203" t="e">
        <f>INDEX([1]告訴人!$D$15:$F$372,MATCH(C617,[1]告訴人!$F$15:$F$372,0),1)</f>
        <v>#N/A</v>
      </c>
      <c r="S617" s="203" t="str">
        <f t="array" ref="S617">IF(OR(C617=[1]告訴人!$F$15:$F$372),"重疊","")</f>
        <v/>
      </c>
    </row>
    <row r="618" spans="1:22" ht="142.5" customHeight="1">
      <c r="A618" s="166">
        <v>615</v>
      </c>
      <c r="B618" s="166" t="s">
        <v>32</v>
      </c>
      <c r="C618" s="166" t="s">
        <v>189</v>
      </c>
      <c r="D618" s="167"/>
      <c r="E618" s="168" t="s">
        <v>190</v>
      </c>
      <c r="F618" s="169">
        <v>4000</v>
      </c>
      <c r="G618" s="168">
        <v>67</v>
      </c>
      <c r="H618" s="169">
        <v>268000</v>
      </c>
      <c r="I618" s="186" t="s">
        <v>2918</v>
      </c>
      <c r="J618" s="186" t="s">
        <v>2918</v>
      </c>
      <c r="K618" s="170" t="s">
        <v>3223</v>
      </c>
      <c r="L618" s="170" t="s">
        <v>3653</v>
      </c>
      <c r="M618" s="175" t="s">
        <v>2905</v>
      </c>
      <c r="N618" s="172">
        <v>268000</v>
      </c>
      <c r="O618" s="172"/>
      <c r="P618" s="173" t="s">
        <v>2461</v>
      </c>
      <c r="Q618" s="174" t="str">
        <f t="shared" si="9"/>
        <v>註3</v>
      </c>
      <c r="R618" s="203">
        <f>INDEX([1]告訴人!$D$15:$F$372,MATCH(C618,[1]告訴人!$F$15:$F$372,0),1)</f>
        <v>155</v>
      </c>
      <c r="S618" s="203" t="str">
        <f t="array" ref="S618">IF(OR(C618=[1]告訴人!$F$15:$F$372),"重疊","")</f>
        <v>重疊</v>
      </c>
      <c r="T618" s="203">
        <v>1</v>
      </c>
      <c r="V618" s="203">
        <v>1</v>
      </c>
    </row>
    <row r="619" spans="1:22" ht="114.75" customHeight="1">
      <c r="A619" s="166">
        <v>616</v>
      </c>
      <c r="B619" s="166" t="s">
        <v>32</v>
      </c>
      <c r="C619" s="166" t="s">
        <v>429</v>
      </c>
      <c r="D619" s="167"/>
      <c r="E619" s="168" t="s">
        <v>190</v>
      </c>
      <c r="F619" s="169">
        <v>1000</v>
      </c>
      <c r="G619" s="168">
        <v>67</v>
      </c>
      <c r="H619" s="169">
        <v>67000</v>
      </c>
      <c r="I619" s="186" t="s">
        <v>2918</v>
      </c>
      <c r="J619" s="186" t="s">
        <v>2918</v>
      </c>
      <c r="K619" s="170" t="s">
        <v>3224</v>
      </c>
      <c r="L619" s="170" t="s">
        <v>3656</v>
      </c>
      <c r="M619" s="175" t="s">
        <v>2905</v>
      </c>
      <c r="N619" s="172">
        <v>67000</v>
      </c>
      <c r="O619" s="172"/>
      <c r="P619" s="173" t="s">
        <v>2461</v>
      </c>
      <c r="Q619" s="174" t="str">
        <f t="shared" si="9"/>
        <v>註3</v>
      </c>
      <c r="R619" s="203">
        <f>INDEX([1]告訴人!$D$15:$F$372,MATCH(C619,[1]告訴人!$F$15:$F$372,0),1)</f>
        <v>340</v>
      </c>
      <c r="S619" s="203" t="str">
        <f t="array" ref="S619">IF(OR(C619=[1]告訴人!$F$15:$F$372),"重疊","")</f>
        <v>重疊</v>
      </c>
      <c r="T619" s="203">
        <v>1</v>
      </c>
      <c r="V619" s="203">
        <v>1</v>
      </c>
    </row>
    <row r="620" spans="1:22" ht="114" customHeight="1">
      <c r="A620" s="166">
        <v>617</v>
      </c>
      <c r="B620" s="166" t="s">
        <v>32</v>
      </c>
      <c r="C620" s="166" t="s">
        <v>239</v>
      </c>
      <c r="D620" s="167"/>
      <c r="E620" s="168" t="s">
        <v>190</v>
      </c>
      <c r="F620" s="169">
        <v>4000</v>
      </c>
      <c r="G620" s="168">
        <v>67</v>
      </c>
      <c r="H620" s="169">
        <v>268000</v>
      </c>
      <c r="I620" s="186" t="s">
        <v>2918</v>
      </c>
      <c r="J620" s="186" t="s">
        <v>2918</v>
      </c>
      <c r="K620" s="170" t="s">
        <v>3223</v>
      </c>
      <c r="L620" s="170" t="s">
        <v>3657</v>
      </c>
      <c r="M620" s="175" t="s">
        <v>2905</v>
      </c>
      <c r="N620" s="172">
        <v>268000</v>
      </c>
      <c r="O620" s="172"/>
      <c r="P620" s="173" t="s">
        <v>2461</v>
      </c>
      <c r="Q620" s="174" t="str">
        <f t="shared" si="9"/>
        <v>註3</v>
      </c>
      <c r="R620" s="203">
        <f>INDEX([1]告訴人!$D$15:$F$372,MATCH(C620,[1]告訴人!$F$15:$F$372,0),1)</f>
        <v>153</v>
      </c>
      <c r="S620" s="203" t="str">
        <f t="array" ref="S620">IF(OR(C620=[1]告訴人!$F$15:$F$372),"重疊","")</f>
        <v>重疊</v>
      </c>
      <c r="T620" s="203">
        <v>1</v>
      </c>
      <c r="V620" s="203">
        <v>1</v>
      </c>
    </row>
    <row r="621" spans="1:22" ht="113.4" customHeight="1">
      <c r="A621" s="166">
        <v>618</v>
      </c>
      <c r="B621" s="166" t="s">
        <v>32</v>
      </c>
      <c r="C621" s="166" t="s">
        <v>240</v>
      </c>
      <c r="D621" s="167"/>
      <c r="E621" s="168" t="s">
        <v>190</v>
      </c>
      <c r="F621" s="169">
        <v>4000</v>
      </c>
      <c r="G621" s="168">
        <v>67</v>
      </c>
      <c r="H621" s="169">
        <v>268000</v>
      </c>
      <c r="I621" s="186" t="s">
        <v>2918</v>
      </c>
      <c r="J621" s="186" t="s">
        <v>2918</v>
      </c>
      <c r="K621" s="170" t="s">
        <v>3223</v>
      </c>
      <c r="L621" s="170" t="s">
        <v>3658</v>
      </c>
      <c r="M621" s="175" t="s">
        <v>2905</v>
      </c>
      <c r="N621" s="172">
        <v>268000</v>
      </c>
      <c r="O621" s="172"/>
      <c r="P621" s="173" t="s">
        <v>2461</v>
      </c>
      <c r="Q621" s="174" t="str">
        <f t="shared" si="9"/>
        <v>註3</v>
      </c>
      <c r="R621" s="203">
        <f>INDEX([1]告訴人!$D$15:$F$372,MATCH(C621,[1]告訴人!$F$15:$F$372,0),1)</f>
        <v>154</v>
      </c>
      <c r="S621" s="203" t="str">
        <f t="array" ref="S621">IF(OR(C621=[1]告訴人!$F$15:$F$372),"重疊","")</f>
        <v>重疊</v>
      </c>
      <c r="T621" s="203">
        <v>1</v>
      </c>
      <c r="V621" s="203">
        <v>1</v>
      </c>
    </row>
    <row r="622" spans="1:22" ht="33.65" customHeight="1">
      <c r="A622" s="166">
        <v>619</v>
      </c>
      <c r="B622" s="166" t="s">
        <v>32</v>
      </c>
      <c r="C622" s="166" t="s">
        <v>263</v>
      </c>
      <c r="D622" s="167"/>
      <c r="E622" s="168" t="s">
        <v>190</v>
      </c>
      <c r="F622" s="169">
        <v>5000</v>
      </c>
      <c r="G622" s="168">
        <v>67</v>
      </c>
      <c r="H622" s="169">
        <v>335000</v>
      </c>
      <c r="I622" s="186" t="s">
        <v>2918</v>
      </c>
      <c r="J622" s="186" t="s">
        <v>2918</v>
      </c>
      <c r="K622" s="170" t="s">
        <v>3158</v>
      </c>
      <c r="L622" s="170" t="s">
        <v>3582</v>
      </c>
      <c r="M622" s="175" t="s">
        <v>2905</v>
      </c>
      <c r="N622" s="172"/>
      <c r="O622" s="172">
        <v>335000</v>
      </c>
      <c r="P622" s="173" t="s">
        <v>2463</v>
      </c>
      <c r="Q622" s="174" t="str">
        <f t="shared" si="9"/>
        <v>註4</v>
      </c>
      <c r="R622" s="203">
        <f>INDEX([1]告訴人!$D$15:$F$372,MATCH(C622,[1]告訴人!$F$15:$F$372,0),1)</f>
        <v>106</v>
      </c>
      <c r="S622" s="203" t="str">
        <f t="array" ref="S622">IF(OR(C622=[1]告訴人!$F$15:$F$372),"重疊","")</f>
        <v>重疊</v>
      </c>
      <c r="T622" s="203">
        <v>1</v>
      </c>
      <c r="U622" s="203">
        <v>1</v>
      </c>
    </row>
    <row r="623" spans="1:22" ht="18.649999999999999" customHeight="1">
      <c r="A623" s="166">
        <v>620</v>
      </c>
      <c r="B623" s="166" t="s">
        <v>32</v>
      </c>
      <c r="C623" s="166" t="s">
        <v>269</v>
      </c>
      <c r="D623" s="167"/>
      <c r="E623" s="168" t="s">
        <v>190</v>
      </c>
      <c r="F623" s="169">
        <v>2000</v>
      </c>
      <c r="G623" s="168">
        <v>67</v>
      </c>
      <c r="H623" s="169">
        <v>134000</v>
      </c>
      <c r="I623" s="186"/>
      <c r="J623" s="186"/>
      <c r="K623" s="170" t="s">
        <v>2904</v>
      </c>
      <c r="L623" s="170"/>
      <c r="M623" s="175"/>
      <c r="N623" s="172">
        <v>134000</v>
      </c>
      <c r="O623" s="172"/>
      <c r="P623" s="173" t="s">
        <v>2461</v>
      </c>
      <c r="Q623" s="174" t="str">
        <f t="shared" si="9"/>
        <v>註3</v>
      </c>
      <c r="R623" s="203" t="e">
        <f>INDEX([1]告訴人!$D$15:$F$372,MATCH(C623,[1]告訴人!$F$15:$F$372,0),1)</f>
        <v>#N/A</v>
      </c>
      <c r="S623" s="203" t="str">
        <f t="array" ref="S623">IF(OR(C623=[1]告訴人!$F$15:$F$372),"重疊","")</f>
        <v/>
      </c>
    </row>
    <row r="624" spans="1:22" ht="18" customHeight="1">
      <c r="A624" s="166">
        <v>621</v>
      </c>
      <c r="B624" s="166" t="s">
        <v>32</v>
      </c>
      <c r="C624" s="166" t="s">
        <v>141</v>
      </c>
      <c r="D624" s="167"/>
      <c r="E624" s="168" t="s">
        <v>142</v>
      </c>
      <c r="F624" s="169">
        <v>1000</v>
      </c>
      <c r="G624" s="168">
        <v>25</v>
      </c>
      <c r="H624" s="169">
        <v>25000</v>
      </c>
      <c r="I624" s="186" t="s">
        <v>1083</v>
      </c>
      <c r="J624" s="186" t="s">
        <v>1083</v>
      </c>
      <c r="K624" s="170" t="s">
        <v>2462</v>
      </c>
      <c r="L624" s="170"/>
      <c r="M624" s="175" t="s">
        <v>2905</v>
      </c>
      <c r="N624" s="172"/>
      <c r="O624" s="172"/>
      <c r="P624" s="173" t="s">
        <v>1832</v>
      </c>
      <c r="Q624" s="174" t="str">
        <f t="shared" si="9"/>
        <v/>
      </c>
      <c r="R624" s="203">
        <f>INDEX([1]告訴人!$D$15:$F$372,MATCH(C624,[1]告訴人!$F$15:$F$372,0),1)</f>
        <v>156</v>
      </c>
      <c r="S624" s="203" t="str">
        <f t="array" ref="S624">IF(OR(C624=[1]告訴人!$F$15:$F$372),"重疊","")</f>
        <v>重疊</v>
      </c>
      <c r="T624" s="203">
        <v>1</v>
      </c>
    </row>
    <row r="625" spans="1:22" ht="99.65" customHeight="1">
      <c r="A625" s="166">
        <v>622</v>
      </c>
      <c r="B625" s="166" t="s">
        <v>32</v>
      </c>
      <c r="C625" s="166" t="s">
        <v>168</v>
      </c>
      <c r="D625" s="167"/>
      <c r="E625" s="168" t="s">
        <v>142</v>
      </c>
      <c r="F625" s="169">
        <v>1000</v>
      </c>
      <c r="G625" s="168">
        <v>25</v>
      </c>
      <c r="H625" s="169">
        <v>25000</v>
      </c>
      <c r="I625" s="186" t="s">
        <v>1083</v>
      </c>
      <c r="J625" s="186" t="s">
        <v>1083</v>
      </c>
      <c r="K625" s="170" t="s">
        <v>3992</v>
      </c>
      <c r="L625" s="170" t="s">
        <v>2990</v>
      </c>
      <c r="M625" s="175" t="s">
        <v>2905</v>
      </c>
      <c r="N625" s="172"/>
      <c r="O625" s="172">
        <v>25000</v>
      </c>
      <c r="P625" s="173" t="s">
        <v>2463</v>
      </c>
      <c r="Q625" s="174" t="str">
        <f t="shared" si="9"/>
        <v>註4</v>
      </c>
      <c r="R625" s="203">
        <f>INDEX([1]告訴人!$D$15:$F$372,MATCH(C625,[1]告訴人!$F$15:$F$372,0),1)</f>
        <v>294</v>
      </c>
      <c r="S625" s="203" t="str">
        <f t="array" ref="S625">IF(OR(C625=[1]告訴人!$F$15:$F$372),"重疊","")</f>
        <v>重疊</v>
      </c>
      <c r="T625" s="203">
        <v>1</v>
      </c>
    </row>
    <row r="626" spans="1:22" ht="93.5" customHeight="1">
      <c r="A626" s="166">
        <v>623</v>
      </c>
      <c r="B626" s="166" t="s">
        <v>32</v>
      </c>
      <c r="C626" s="166" t="s">
        <v>200</v>
      </c>
      <c r="D626" s="167"/>
      <c r="E626" s="168" t="s">
        <v>142</v>
      </c>
      <c r="F626" s="169">
        <v>1000</v>
      </c>
      <c r="G626" s="168">
        <v>25</v>
      </c>
      <c r="H626" s="169">
        <v>25000</v>
      </c>
      <c r="I626" s="186" t="s">
        <v>1083</v>
      </c>
      <c r="J626" s="186" t="s">
        <v>1083</v>
      </c>
      <c r="K626" s="170" t="s">
        <v>3225</v>
      </c>
      <c r="L626" s="170" t="s">
        <v>3702</v>
      </c>
      <c r="M626" s="175" t="s">
        <v>2905</v>
      </c>
      <c r="N626" s="172">
        <v>25000</v>
      </c>
      <c r="O626" s="172"/>
      <c r="P626" s="173" t="s">
        <v>2461</v>
      </c>
      <c r="Q626" s="174" t="str">
        <f t="shared" si="9"/>
        <v>註3</v>
      </c>
      <c r="R626" s="203">
        <f>INDEX([1]告訴人!$D$15:$F$372,MATCH(C626,[1]告訴人!$F$15:$F$372,0),1)</f>
        <v>212</v>
      </c>
      <c r="S626" s="203" t="str">
        <f t="array" ref="S626">IF(OR(C626=[1]告訴人!$F$15:$F$372),"重疊","")</f>
        <v>重疊</v>
      </c>
      <c r="T626" s="203">
        <v>1</v>
      </c>
      <c r="V626" s="203">
        <v>1</v>
      </c>
    </row>
    <row r="627" spans="1:22" ht="89.75" customHeight="1">
      <c r="A627" s="166">
        <v>624</v>
      </c>
      <c r="B627" s="166" t="s">
        <v>32</v>
      </c>
      <c r="C627" s="166" t="s">
        <v>343</v>
      </c>
      <c r="D627" s="167"/>
      <c r="E627" s="168" t="s">
        <v>142</v>
      </c>
      <c r="F627" s="169">
        <v>2000</v>
      </c>
      <c r="G627" s="168">
        <v>67</v>
      </c>
      <c r="H627" s="169">
        <v>134000</v>
      </c>
      <c r="I627" s="186" t="s">
        <v>2918</v>
      </c>
      <c r="J627" s="186" t="s">
        <v>2918</v>
      </c>
      <c r="K627" s="170" t="s">
        <v>3226</v>
      </c>
      <c r="L627" s="170" t="s">
        <v>2993</v>
      </c>
      <c r="M627" s="175" t="s">
        <v>2905</v>
      </c>
      <c r="N627" s="172"/>
      <c r="O627" s="172"/>
      <c r="P627" s="173" t="s">
        <v>1832</v>
      </c>
      <c r="Q627" s="174" t="str">
        <f t="shared" si="9"/>
        <v/>
      </c>
      <c r="R627" s="203">
        <f>INDEX([1]告訴人!$D$15:$F$372,MATCH(C627,[1]告訴人!$F$15:$F$372,0),1)</f>
        <v>66</v>
      </c>
      <c r="S627" s="203" t="str">
        <f t="array" ref="S627">IF(OR(C627=[1]告訴人!$F$15:$F$372),"重疊","")</f>
        <v>重疊</v>
      </c>
      <c r="T627" s="203">
        <v>1</v>
      </c>
    </row>
    <row r="628" spans="1:22" ht="17.75" customHeight="1">
      <c r="A628" s="166">
        <v>625</v>
      </c>
      <c r="B628" s="166" t="s">
        <v>32</v>
      </c>
      <c r="C628" s="166" t="s">
        <v>141</v>
      </c>
      <c r="D628" s="167"/>
      <c r="E628" s="168" t="s">
        <v>142</v>
      </c>
      <c r="F628" s="169">
        <v>2000</v>
      </c>
      <c r="G628" s="168">
        <v>67</v>
      </c>
      <c r="H628" s="169">
        <v>134000</v>
      </c>
      <c r="I628" s="186" t="s">
        <v>2918</v>
      </c>
      <c r="J628" s="186" t="s">
        <v>2918</v>
      </c>
      <c r="K628" s="170" t="s">
        <v>2462</v>
      </c>
      <c r="L628" s="170"/>
      <c r="M628" s="175" t="s">
        <v>2905</v>
      </c>
      <c r="N628" s="172"/>
      <c r="O628" s="172"/>
      <c r="P628" s="173" t="s">
        <v>1832</v>
      </c>
      <c r="Q628" s="174" t="str">
        <f t="shared" si="9"/>
        <v/>
      </c>
      <c r="R628" s="203">
        <f>INDEX([1]告訴人!$D$15:$F$372,MATCH(C628,[1]告訴人!$F$15:$F$372,0),1)</f>
        <v>156</v>
      </c>
      <c r="S628" s="203" t="str">
        <f t="array" ref="S628">IF(OR(C628=[1]告訴人!$F$15:$F$372),"重疊","")</f>
        <v>重疊</v>
      </c>
      <c r="T628" s="203">
        <v>1</v>
      </c>
    </row>
    <row r="629" spans="1:22" ht="98" customHeight="1">
      <c r="A629" s="166">
        <v>626</v>
      </c>
      <c r="B629" s="166" t="s">
        <v>32</v>
      </c>
      <c r="C629" s="166" t="s">
        <v>168</v>
      </c>
      <c r="D629" s="167"/>
      <c r="E629" s="168" t="s">
        <v>142</v>
      </c>
      <c r="F629" s="169">
        <v>2000</v>
      </c>
      <c r="G629" s="168">
        <v>67</v>
      </c>
      <c r="H629" s="169">
        <v>134000</v>
      </c>
      <c r="I629" s="186" t="s">
        <v>2918</v>
      </c>
      <c r="J629" s="186" t="s">
        <v>2918</v>
      </c>
      <c r="K629" s="170" t="s">
        <v>3992</v>
      </c>
      <c r="L629" s="170" t="s">
        <v>2990</v>
      </c>
      <c r="M629" s="175" t="s">
        <v>2905</v>
      </c>
      <c r="N629" s="172"/>
      <c r="O629" s="172">
        <v>134000</v>
      </c>
      <c r="P629" s="173" t="s">
        <v>2463</v>
      </c>
      <c r="Q629" s="174" t="str">
        <f t="shared" si="9"/>
        <v>註4</v>
      </c>
      <c r="R629" s="203">
        <f>INDEX([1]告訴人!$D$15:$F$372,MATCH(C629,[1]告訴人!$F$15:$F$372,0),1)</f>
        <v>294</v>
      </c>
      <c r="S629" s="203" t="str">
        <f t="array" ref="S629">IF(OR(C629=[1]告訴人!$F$15:$F$372),"重疊","")</f>
        <v>重疊</v>
      </c>
      <c r="T629" s="203">
        <v>1</v>
      </c>
    </row>
    <row r="630" spans="1:22" ht="95.15" customHeight="1">
      <c r="A630" s="166">
        <v>627</v>
      </c>
      <c r="B630" s="166" t="s">
        <v>32</v>
      </c>
      <c r="C630" s="166" t="s">
        <v>200</v>
      </c>
      <c r="D630" s="167"/>
      <c r="E630" s="168" t="s">
        <v>142</v>
      </c>
      <c r="F630" s="169">
        <v>1000</v>
      </c>
      <c r="G630" s="168">
        <v>67</v>
      </c>
      <c r="H630" s="169">
        <v>67000</v>
      </c>
      <c r="I630" s="186" t="s">
        <v>2918</v>
      </c>
      <c r="J630" s="186" t="s">
        <v>2918</v>
      </c>
      <c r="K630" s="170" t="s">
        <v>3225</v>
      </c>
      <c r="L630" s="170" t="s">
        <v>3703</v>
      </c>
      <c r="M630" s="175" t="s">
        <v>2905</v>
      </c>
      <c r="N630" s="172">
        <v>67000</v>
      </c>
      <c r="O630" s="172"/>
      <c r="P630" s="173" t="s">
        <v>2461</v>
      </c>
      <c r="Q630" s="174" t="str">
        <f t="shared" si="9"/>
        <v>註3</v>
      </c>
      <c r="R630" s="203">
        <f>INDEX([1]告訴人!$D$15:$F$372,MATCH(C630,[1]告訴人!$F$15:$F$372,0),1)</f>
        <v>212</v>
      </c>
      <c r="S630" s="203" t="str">
        <f t="array" ref="S630">IF(OR(C630=[1]告訴人!$F$15:$F$372),"重疊","")</f>
        <v>重疊</v>
      </c>
      <c r="T630" s="203">
        <v>1</v>
      </c>
      <c r="V630" s="203">
        <v>1</v>
      </c>
    </row>
    <row r="631" spans="1:22" ht="18.25" customHeight="1">
      <c r="A631" s="166">
        <v>628</v>
      </c>
      <c r="B631" s="166" t="s">
        <v>32</v>
      </c>
      <c r="C631" s="166" t="s">
        <v>271</v>
      </c>
      <c r="D631" s="167"/>
      <c r="E631" s="168" t="s">
        <v>82</v>
      </c>
      <c r="F631" s="169">
        <v>3000</v>
      </c>
      <c r="G631" s="168">
        <v>25</v>
      </c>
      <c r="H631" s="169">
        <v>75000</v>
      </c>
      <c r="I631" s="186"/>
      <c r="J631" s="186"/>
      <c r="K631" s="170" t="s">
        <v>2904</v>
      </c>
      <c r="L631" s="170"/>
      <c r="M631" s="175"/>
      <c r="N631" s="172">
        <v>75000</v>
      </c>
      <c r="O631" s="172"/>
      <c r="P631" s="173" t="s">
        <v>2461</v>
      </c>
      <c r="Q631" s="174" t="str">
        <f t="shared" si="9"/>
        <v>註3</v>
      </c>
      <c r="R631" s="203" t="e">
        <f>INDEX([1]告訴人!$D$15:$F$372,MATCH(C631,[1]告訴人!$F$15:$F$372,0),1)</f>
        <v>#N/A</v>
      </c>
      <c r="S631" s="203" t="str">
        <f t="array" ref="S631">IF(OR(C631=[1]告訴人!$F$15:$F$372),"重疊","")</f>
        <v/>
      </c>
    </row>
    <row r="632" spans="1:22" ht="18.25" customHeight="1">
      <c r="A632" s="166">
        <v>629</v>
      </c>
      <c r="B632" s="166" t="s">
        <v>32</v>
      </c>
      <c r="C632" s="166" t="s">
        <v>322</v>
      </c>
      <c r="D632" s="167"/>
      <c r="E632" s="168" t="s">
        <v>82</v>
      </c>
      <c r="F632" s="169">
        <v>2000</v>
      </c>
      <c r="G632" s="168">
        <v>25</v>
      </c>
      <c r="H632" s="169">
        <v>50000</v>
      </c>
      <c r="I632" s="186"/>
      <c r="J632" s="186"/>
      <c r="K632" s="170" t="s">
        <v>2904</v>
      </c>
      <c r="L632" s="170"/>
      <c r="M632" s="175"/>
      <c r="N632" s="172">
        <v>50000</v>
      </c>
      <c r="O632" s="172"/>
      <c r="P632" s="173" t="s">
        <v>2461</v>
      </c>
      <c r="Q632" s="174" t="str">
        <f t="shared" si="9"/>
        <v>註3</v>
      </c>
      <c r="R632" s="203" t="e">
        <f>INDEX([1]告訴人!$D$15:$F$372,MATCH(C632,[1]告訴人!$F$15:$F$372,0),1)</f>
        <v>#N/A</v>
      </c>
      <c r="S632" s="203" t="str">
        <f t="array" ref="S632">IF(OR(C632=[1]告訴人!$F$15:$F$372),"重疊","")</f>
        <v/>
      </c>
    </row>
    <row r="633" spans="1:22" ht="18.25" customHeight="1">
      <c r="A633" s="166">
        <v>630</v>
      </c>
      <c r="B633" s="166" t="s">
        <v>32</v>
      </c>
      <c r="C633" s="166" t="s">
        <v>338</v>
      </c>
      <c r="D633" s="167"/>
      <c r="E633" s="168" t="s">
        <v>82</v>
      </c>
      <c r="F633" s="169">
        <v>6000</v>
      </c>
      <c r="G633" s="168">
        <v>60</v>
      </c>
      <c r="H633" s="169">
        <v>360000</v>
      </c>
      <c r="I633" s="186"/>
      <c r="J633" s="186"/>
      <c r="K633" s="170" t="s">
        <v>2904</v>
      </c>
      <c r="L633" s="170"/>
      <c r="M633" s="175"/>
      <c r="N633" s="172">
        <v>360000</v>
      </c>
      <c r="O633" s="172"/>
      <c r="P633" s="173" t="s">
        <v>2461</v>
      </c>
      <c r="Q633" s="174" t="str">
        <f t="shared" si="9"/>
        <v>註3</v>
      </c>
      <c r="R633" s="203" t="e">
        <f>INDEX([1]告訴人!$D$15:$F$372,MATCH(C633,[1]告訴人!$F$15:$F$372,0),1)</f>
        <v>#N/A</v>
      </c>
      <c r="S633" s="203" t="str">
        <f t="array" ref="S633">IF(OR(C633=[1]告訴人!$F$15:$F$372),"重疊","")</f>
        <v/>
      </c>
    </row>
    <row r="634" spans="1:22" ht="18.25" customHeight="1">
      <c r="A634" s="166">
        <v>631</v>
      </c>
      <c r="B634" s="166" t="s">
        <v>32</v>
      </c>
      <c r="C634" s="166" t="s">
        <v>384</v>
      </c>
      <c r="D634" s="167"/>
      <c r="E634" s="168" t="s">
        <v>82</v>
      </c>
      <c r="F634" s="169">
        <v>10000</v>
      </c>
      <c r="G634" s="168">
        <v>67</v>
      </c>
      <c r="H634" s="169">
        <v>670000</v>
      </c>
      <c r="I634" s="186"/>
      <c r="J634" s="186"/>
      <c r="K634" s="170" t="s">
        <v>2904</v>
      </c>
      <c r="L634" s="170"/>
      <c r="M634" s="175"/>
      <c r="N634" s="172">
        <v>670000</v>
      </c>
      <c r="O634" s="172"/>
      <c r="P634" s="173" t="s">
        <v>2461</v>
      </c>
      <c r="Q634" s="174" t="str">
        <f t="shared" si="9"/>
        <v>註3</v>
      </c>
      <c r="R634" s="203" t="e">
        <f>INDEX([1]告訴人!$D$15:$F$372,MATCH(C634,[1]告訴人!$F$15:$F$372,0),1)</f>
        <v>#N/A</v>
      </c>
      <c r="S634" s="203" t="str">
        <f t="array" ref="S634">IF(OR(C634=[1]告訴人!$F$15:$F$372),"重疊","")</f>
        <v/>
      </c>
    </row>
    <row r="635" spans="1:22" ht="18.25" customHeight="1">
      <c r="A635" s="166">
        <v>632</v>
      </c>
      <c r="B635" s="166" t="s">
        <v>32</v>
      </c>
      <c r="C635" s="166" t="s">
        <v>271</v>
      </c>
      <c r="D635" s="167"/>
      <c r="E635" s="168" t="s">
        <v>82</v>
      </c>
      <c r="F635" s="169">
        <v>3000</v>
      </c>
      <c r="G635" s="168">
        <v>67</v>
      </c>
      <c r="H635" s="169">
        <v>201000</v>
      </c>
      <c r="I635" s="186"/>
      <c r="J635" s="186"/>
      <c r="K635" s="170" t="s">
        <v>2904</v>
      </c>
      <c r="L635" s="170"/>
      <c r="M635" s="175"/>
      <c r="N635" s="172">
        <v>201000</v>
      </c>
      <c r="O635" s="172"/>
      <c r="P635" s="173" t="s">
        <v>2461</v>
      </c>
      <c r="Q635" s="174" t="str">
        <f t="shared" si="9"/>
        <v>註3</v>
      </c>
      <c r="R635" s="203" t="e">
        <f>INDEX([1]告訴人!$D$15:$F$372,MATCH(C635,[1]告訴人!$F$15:$F$372,0),1)</f>
        <v>#N/A</v>
      </c>
      <c r="S635" s="203" t="str">
        <f t="array" ref="S635">IF(OR(C635=[1]告訴人!$F$15:$F$372),"重疊","")</f>
        <v/>
      </c>
    </row>
    <row r="636" spans="1:22" ht="44.15" customHeight="1">
      <c r="A636" s="166">
        <v>633</v>
      </c>
      <c r="B636" s="166" t="s">
        <v>32</v>
      </c>
      <c r="C636" s="166" t="s">
        <v>3029</v>
      </c>
      <c r="D636" s="167"/>
      <c r="E636" s="168" t="s">
        <v>3571</v>
      </c>
      <c r="F636" s="169">
        <v>4000</v>
      </c>
      <c r="G636" s="168">
        <v>67</v>
      </c>
      <c r="H636" s="169">
        <v>268000</v>
      </c>
      <c r="I636" s="186"/>
      <c r="J636" s="186"/>
      <c r="K636" s="170" t="s">
        <v>2903</v>
      </c>
      <c r="L636" s="170"/>
      <c r="M636" s="171"/>
      <c r="N636" s="172">
        <v>268000</v>
      </c>
      <c r="O636" s="172"/>
      <c r="P636" s="173" t="s">
        <v>2461</v>
      </c>
      <c r="Q636" s="174" t="str">
        <f>IF(N636&lt;&gt;0,"註3",IF(O636&lt;&gt;0,"註4",""))</f>
        <v>註3</v>
      </c>
      <c r="R636" s="203" t="e">
        <f>INDEX([1]告訴人!$D$15:$F$372,MATCH(C636,[1]告訴人!$F$15:$F$372,0),1)</f>
        <v>#N/A</v>
      </c>
      <c r="S636" s="203" t="str">
        <f t="array" ref="S636">IF(OR(C636=[1]告訴人!$F$15:$F$372),"重疊","")</f>
        <v/>
      </c>
    </row>
    <row r="637" spans="1:22" ht="17" customHeight="1">
      <c r="A637" s="166">
        <v>634</v>
      </c>
      <c r="B637" s="166" t="s">
        <v>32</v>
      </c>
      <c r="C637" s="166" t="s">
        <v>126</v>
      </c>
      <c r="D637" s="167"/>
      <c r="E637" s="168" t="s">
        <v>13</v>
      </c>
      <c r="F637" s="169">
        <v>2000</v>
      </c>
      <c r="G637" s="168">
        <v>25</v>
      </c>
      <c r="H637" s="169">
        <v>50000</v>
      </c>
      <c r="I637" s="186"/>
      <c r="J637" s="186"/>
      <c r="K637" s="170" t="s">
        <v>2904</v>
      </c>
      <c r="L637" s="170"/>
      <c r="M637" s="175"/>
      <c r="N637" s="172">
        <v>50000</v>
      </c>
      <c r="O637" s="172"/>
      <c r="P637" s="173" t="s">
        <v>2461</v>
      </c>
      <c r="Q637" s="174" t="str">
        <f t="shared" si="9"/>
        <v>註3</v>
      </c>
      <c r="R637" s="203" t="e">
        <f>INDEX([1]告訴人!$D$15:$F$372,MATCH(C637,[1]告訴人!$F$15:$F$372,0),1)</f>
        <v>#N/A</v>
      </c>
      <c r="S637" s="203" t="str">
        <f t="array" ref="S637">IF(OR(C637=[1]告訴人!$F$15:$F$372),"重疊","")</f>
        <v/>
      </c>
    </row>
    <row r="638" spans="1:22" ht="19.25" customHeight="1">
      <c r="A638" s="166">
        <v>635</v>
      </c>
      <c r="B638" s="166" t="s">
        <v>32</v>
      </c>
      <c r="C638" s="166" t="s">
        <v>238</v>
      </c>
      <c r="D638" s="167"/>
      <c r="E638" s="168" t="s">
        <v>13</v>
      </c>
      <c r="F638" s="169">
        <v>1000</v>
      </c>
      <c r="G638" s="168">
        <v>25</v>
      </c>
      <c r="H638" s="169">
        <v>25000</v>
      </c>
      <c r="I638" s="186"/>
      <c r="J638" s="186"/>
      <c r="K638" s="170" t="s">
        <v>2904</v>
      </c>
      <c r="L638" s="170"/>
      <c r="M638" s="175"/>
      <c r="N638" s="172">
        <v>25000</v>
      </c>
      <c r="O638" s="172"/>
      <c r="P638" s="173" t="s">
        <v>2461</v>
      </c>
      <c r="Q638" s="174" t="str">
        <f t="shared" si="9"/>
        <v>註3</v>
      </c>
      <c r="R638" s="203" t="e">
        <f>INDEX([1]告訴人!$D$15:$F$372,MATCH(C638,[1]告訴人!$F$15:$F$372,0),1)</f>
        <v>#N/A</v>
      </c>
      <c r="S638" s="203" t="str">
        <f t="array" ref="S638">IF(OR(C638=[1]告訴人!$F$15:$F$372),"重疊","")</f>
        <v/>
      </c>
    </row>
    <row r="639" spans="1:22" ht="18.649999999999999" customHeight="1">
      <c r="A639" s="166">
        <v>636</v>
      </c>
      <c r="B639" s="166" t="s">
        <v>32</v>
      </c>
      <c r="C639" s="166" t="s">
        <v>126</v>
      </c>
      <c r="D639" s="167"/>
      <c r="E639" s="168" t="s">
        <v>13</v>
      </c>
      <c r="F639" s="169">
        <v>3000</v>
      </c>
      <c r="G639" s="168">
        <v>67</v>
      </c>
      <c r="H639" s="169">
        <v>201000</v>
      </c>
      <c r="I639" s="186"/>
      <c r="J639" s="186"/>
      <c r="K639" s="170" t="s">
        <v>2904</v>
      </c>
      <c r="L639" s="170"/>
      <c r="M639" s="175"/>
      <c r="N639" s="172">
        <v>201000</v>
      </c>
      <c r="O639" s="172"/>
      <c r="P639" s="173" t="s">
        <v>2461</v>
      </c>
      <c r="Q639" s="174" t="str">
        <f t="shared" si="9"/>
        <v>註3</v>
      </c>
      <c r="R639" s="203" t="e">
        <f>INDEX([1]告訴人!$D$15:$F$372,MATCH(C639,[1]告訴人!$F$15:$F$372,0),1)</f>
        <v>#N/A</v>
      </c>
      <c r="S639" s="203" t="str">
        <f t="array" ref="S639">IF(OR(C639=[1]告訴人!$F$15:$F$372),"重疊","")</f>
        <v/>
      </c>
    </row>
    <row r="640" spans="1:22" ht="18.75" customHeight="1">
      <c r="A640" s="166">
        <v>637</v>
      </c>
      <c r="B640" s="166" t="s">
        <v>32</v>
      </c>
      <c r="C640" s="166" t="s">
        <v>238</v>
      </c>
      <c r="D640" s="167"/>
      <c r="E640" s="168" t="s">
        <v>13</v>
      </c>
      <c r="F640" s="169">
        <v>1000</v>
      </c>
      <c r="G640" s="168">
        <v>67</v>
      </c>
      <c r="H640" s="169">
        <v>67000</v>
      </c>
      <c r="I640" s="186"/>
      <c r="J640" s="186"/>
      <c r="K640" s="170" t="s">
        <v>2904</v>
      </c>
      <c r="L640" s="170"/>
      <c r="M640" s="175"/>
      <c r="N640" s="172">
        <v>67000</v>
      </c>
      <c r="O640" s="172"/>
      <c r="P640" s="173" t="s">
        <v>2461</v>
      </c>
      <c r="Q640" s="174" t="str">
        <f t="shared" si="9"/>
        <v>註3</v>
      </c>
      <c r="R640" s="203" t="e">
        <f>INDEX([1]告訴人!$D$15:$F$372,MATCH(C640,[1]告訴人!$F$15:$F$372,0),1)</f>
        <v>#N/A</v>
      </c>
      <c r="S640" s="203" t="str">
        <f t="array" ref="S640">IF(OR(C640=[1]告訴人!$F$15:$F$372),"重疊","")</f>
        <v/>
      </c>
    </row>
    <row r="641" spans="1:22" ht="112.4" customHeight="1">
      <c r="A641" s="166">
        <v>638</v>
      </c>
      <c r="B641" s="166" t="s">
        <v>32</v>
      </c>
      <c r="C641" s="166" t="s">
        <v>157</v>
      </c>
      <c r="D641" s="167"/>
      <c r="E641" s="168" t="s">
        <v>83</v>
      </c>
      <c r="F641" s="169">
        <v>2000</v>
      </c>
      <c r="G641" s="168">
        <v>25</v>
      </c>
      <c r="H641" s="169">
        <v>50000</v>
      </c>
      <c r="I641" s="186" t="s">
        <v>2918</v>
      </c>
      <c r="J641" s="186" t="s">
        <v>2918</v>
      </c>
      <c r="K641" s="170" t="s">
        <v>3227</v>
      </c>
      <c r="L641" s="170" t="s">
        <v>3704</v>
      </c>
      <c r="M641" s="175" t="s">
        <v>2907</v>
      </c>
      <c r="N641" s="172">
        <v>50000</v>
      </c>
      <c r="O641" s="172"/>
      <c r="P641" s="173" t="s">
        <v>2461</v>
      </c>
      <c r="Q641" s="174" t="str">
        <f t="shared" si="9"/>
        <v>註3</v>
      </c>
      <c r="R641" s="203">
        <f>INDEX([1]告訴人!$D$15:$F$372,MATCH(C641,[1]告訴人!$F$15:$F$372,0),1)</f>
        <v>336</v>
      </c>
      <c r="S641" s="203" t="str">
        <f t="array" ref="S641">IF(OR(C641=[1]告訴人!$F$15:$F$372),"重疊","")</f>
        <v>重疊</v>
      </c>
      <c r="T641" s="203">
        <v>1</v>
      </c>
      <c r="V641" s="203">
        <v>1</v>
      </c>
    </row>
    <row r="642" spans="1:22" ht="18" customHeight="1">
      <c r="A642" s="166">
        <v>639</v>
      </c>
      <c r="B642" s="166" t="s">
        <v>32</v>
      </c>
      <c r="C642" s="166" t="s">
        <v>178</v>
      </c>
      <c r="D642" s="167"/>
      <c r="E642" s="168" t="s">
        <v>83</v>
      </c>
      <c r="F642" s="169">
        <v>5000</v>
      </c>
      <c r="G642" s="168">
        <v>25</v>
      </c>
      <c r="H642" s="169">
        <v>125000</v>
      </c>
      <c r="I642" s="186"/>
      <c r="J642" s="186"/>
      <c r="K642" s="170" t="s">
        <v>2908</v>
      </c>
      <c r="L642" s="170"/>
      <c r="M642" s="175"/>
      <c r="N642" s="172">
        <v>125000</v>
      </c>
      <c r="O642" s="172"/>
      <c r="P642" s="173" t="s">
        <v>2461</v>
      </c>
      <c r="Q642" s="174" t="str">
        <f t="shared" si="9"/>
        <v>註3</v>
      </c>
      <c r="R642" s="203" t="e">
        <f>INDEX([1]告訴人!$D$15:$F$372,MATCH(C642,[1]告訴人!$F$15:$F$372,0),1)</f>
        <v>#N/A</v>
      </c>
      <c r="S642" s="203" t="str">
        <f t="array" ref="S642">IF(OR(C642=[1]告訴人!$F$15:$F$372),"重疊","")</f>
        <v/>
      </c>
    </row>
    <row r="643" spans="1:22" ht="17" customHeight="1">
      <c r="A643" s="166">
        <v>640</v>
      </c>
      <c r="B643" s="166" t="s">
        <v>32</v>
      </c>
      <c r="C643" s="166" t="s">
        <v>280</v>
      </c>
      <c r="D643" s="167"/>
      <c r="E643" s="168" t="s">
        <v>83</v>
      </c>
      <c r="F643" s="169">
        <v>1000</v>
      </c>
      <c r="G643" s="168">
        <v>25</v>
      </c>
      <c r="H643" s="169">
        <v>25000</v>
      </c>
      <c r="I643" s="186"/>
      <c r="J643" s="186"/>
      <c r="K643" s="170" t="s">
        <v>2908</v>
      </c>
      <c r="L643" s="170"/>
      <c r="M643" s="175"/>
      <c r="N643" s="172">
        <v>25000</v>
      </c>
      <c r="O643" s="172"/>
      <c r="P643" s="173" t="s">
        <v>2461</v>
      </c>
      <c r="Q643" s="174" t="str">
        <f t="shared" ref="Q643:Q673" si="10">IF(N643&lt;&gt;0,"註3",IF(O643&lt;&gt;0,"註4",""))</f>
        <v>註3</v>
      </c>
      <c r="R643" s="203" t="e">
        <f>INDEX([1]告訴人!$D$15:$F$372,MATCH(C643,[1]告訴人!$F$15:$F$372,0),1)</f>
        <v>#N/A</v>
      </c>
      <c r="S643" s="203" t="str">
        <f t="array" ref="S643">IF(OR(C643=[1]告訴人!$F$15:$F$372),"重疊","")</f>
        <v/>
      </c>
    </row>
    <row r="644" spans="1:22" ht="125.25" customHeight="1">
      <c r="A644" s="166">
        <v>641</v>
      </c>
      <c r="B644" s="166" t="s">
        <v>32</v>
      </c>
      <c r="C644" s="166" t="s">
        <v>2994</v>
      </c>
      <c r="D644" s="167"/>
      <c r="E644" s="168" t="s">
        <v>83</v>
      </c>
      <c r="F644" s="169">
        <v>1000</v>
      </c>
      <c r="G644" s="168">
        <v>67</v>
      </c>
      <c r="H644" s="169">
        <v>67000</v>
      </c>
      <c r="I644" s="186" t="s">
        <v>2921</v>
      </c>
      <c r="J644" s="186" t="s">
        <v>2921</v>
      </c>
      <c r="K644" s="170" t="s">
        <v>3228</v>
      </c>
      <c r="L644" s="170" t="s">
        <v>3705</v>
      </c>
      <c r="M644" s="175" t="s">
        <v>2907</v>
      </c>
      <c r="N644" s="172">
        <v>67000</v>
      </c>
      <c r="O644" s="172"/>
      <c r="P644" s="173" t="s">
        <v>2461</v>
      </c>
      <c r="Q644" s="174" t="str">
        <f t="shared" si="10"/>
        <v>註3</v>
      </c>
      <c r="R644" s="203">
        <f>INDEX([1]告訴人!$D$15:$F$372,MATCH(C644,[1]告訴人!$F$15:$F$372,0),1)</f>
        <v>336</v>
      </c>
      <c r="S644" s="203" t="str">
        <f t="array" ref="S644">IF(OR(C644=[1]告訴人!$F$15:$F$372),"重疊","")</f>
        <v>重疊</v>
      </c>
      <c r="T644" s="203">
        <v>1</v>
      </c>
      <c r="V644" s="203">
        <v>1</v>
      </c>
    </row>
    <row r="645" spans="1:22" ht="17" customHeight="1">
      <c r="A645" s="166">
        <v>642</v>
      </c>
      <c r="B645" s="166" t="s">
        <v>32</v>
      </c>
      <c r="C645" s="166" t="s">
        <v>178</v>
      </c>
      <c r="D645" s="167"/>
      <c r="E645" s="168" t="s">
        <v>83</v>
      </c>
      <c r="F645" s="169">
        <v>5000</v>
      </c>
      <c r="G645" s="168">
        <v>67</v>
      </c>
      <c r="H645" s="169">
        <v>335000</v>
      </c>
      <c r="I645" s="186"/>
      <c r="J645" s="186"/>
      <c r="K645" s="170" t="s">
        <v>2908</v>
      </c>
      <c r="L645" s="170"/>
      <c r="M645" s="175"/>
      <c r="N645" s="172">
        <v>335000</v>
      </c>
      <c r="O645" s="172"/>
      <c r="P645" s="173" t="s">
        <v>2461</v>
      </c>
      <c r="Q645" s="174" t="str">
        <f t="shared" si="10"/>
        <v>註3</v>
      </c>
      <c r="R645" s="203" t="e">
        <f>INDEX([1]告訴人!$D$15:$F$372,MATCH(C645,[1]告訴人!$F$15:$F$372,0),1)</f>
        <v>#N/A</v>
      </c>
      <c r="S645" s="203" t="str">
        <f t="array" ref="S645">IF(OR(C645=[1]告訴人!$F$15:$F$372),"重疊","")</f>
        <v/>
      </c>
    </row>
    <row r="646" spans="1:22" ht="114" customHeight="1">
      <c r="A646" s="166">
        <v>643</v>
      </c>
      <c r="B646" s="166" t="s">
        <v>32</v>
      </c>
      <c r="C646" s="166" t="s">
        <v>475</v>
      </c>
      <c r="D646" s="167"/>
      <c r="E646" s="168" t="s">
        <v>83</v>
      </c>
      <c r="F646" s="169">
        <v>2000</v>
      </c>
      <c r="G646" s="168">
        <v>67</v>
      </c>
      <c r="H646" s="169">
        <v>134000</v>
      </c>
      <c r="I646" s="186" t="s">
        <v>2921</v>
      </c>
      <c r="J646" s="186" t="s">
        <v>2921</v>
      </c>
      <c r="K646" s="170" t="s">
        <v>3229</v>
      </c>
      <c r="L646" s="170" t="s">
        <v>3659</v>
      </c>
      <c r="M646" s="175" t="s">
        <v>2907</v>
      </c>
      <c r="N646" s="172">
        <v>134000</v>
      </c>
      <c r="O646" s="172"/>
      <c r="P646" s="173" t="s">
        <v>2461</v>
      </c>
      <c r="Q646" s="174" t="str">
        <f t="shared" si="10"/>
        <v>註3</v>
      </c>
      <c r="R646" s="203">
        <f>INDEX([1]告訴人!$D$15:$F$372,MATCH(C646,[1]告訴人!$F$15:$F$372,0),1)</f>
        <v>89</v>
      </c>
      <c r="S646" s="203" t="str">
        <f t="array" ref="S646">IF(OR(C646=[1]告訴人!$F$15:$F$372),"重疊","")</f>
        <v>重疊</v>
      </c>
      <c r="T646" s="203">
        <v>1</v>
      </c>
      <c r="V646" s="203">
        <v>1</v>
      </c>
    </row>
    <row r="647" spans="1:22">
      <c r="A647" s="166">
        <v>644</v>
      </c>
      <c r="B647" s="166" t="s">
        <v>32</v>
      </c>
      <c r="C647" s="166" t="s">
        <v>2995</v>
      </c>
      <c r="D647" s="167"/>
      <c r="E647" s="168" t="s">
        <v>83</v>
      </c>
      <c r="F647" s="169">
        <v>2000</v>
      </c>
      <c r="G647" s="168">
        <v>67</v>
      </c>
      <c r="H647" s="169">
        <v>134000</v>
      </c>
      <c r="I647" s="186"/>
      <c r="J647" s="186"/>
      <c r="K647" s="170" t="s">
        <v>2908</v>
      </c>
      <c r="L647" s="170"/>
      <c r="M647" s="175"/>
      <c r="N647" s="172">
        <v>134000</v>
      </c>
      <c r="O647" s="172"/>
      <c r="P647" s="173" t="s">
        <v>2461</v>
      </c>
      <c r="Q647" s="174" t="str">
        <f t="shared" si="10"/>
        <v>註3</v>
      </c>
      <c r="R647" s="203" t="e">
        <f>INDEX([1]告訴人!$D$15:$F$372,MATCH(C647,[1]告訴人!$F$15:$F$372,0),1)</f>
        <v>#N/A</v>
      </c>
      <c r="S647" s="203" t="str">
        <f t="array" ref="S647">IF(OR(C647=[1]告訴人!$F$15:$F$372),"重疊","")</f>
        <v/>
      </c>
    </row>
    <row r="648" spans="1:22">
      <c r="A648" s="166">
        <v>645</v>
      </c>
      <c r="B648" s="166" t="s">
        <v>32</v>
      </c>
      <c r="C648" s="166" t="s">
        <v>271</v>
      </c>
      <c r="D648" s="167"/>
      <c r="E648" s="168" t="s">
        <v>272</v>
      </c>
      <c r="F648" s="169">
        <v>3000</v>
      </c>
      <c r="G648" s="168">
        <v>25</v>
      </c>
      <c r="H648" s="169">
        <v>75000</v>
      </c>
      <c r="I648" s="186"/>
      <c r="J648" s="186"/>
      <c r="K648" s="170" t="s">
        <v>2908</v>
      </c>
      <c r="L648" s="170"/>
      <c r="M648" s="175"/>
      <c r="N648" s="172">
        <v>75000</v>
      </c>
      <c r="O648" s="172"/>
      <c r="P648" s="173" t="s">
        <v>2461</v>
      </c>
      <c r="Q648" s="174" t="str">
        <f t="shared" si="10"/>
        <v>註3</v>
      </c>
      <c r="R648" s="203" t="e">
        <f>INDEX([1]告訴人!$D$15:$F$372,MATCH(C648,[1]告訴人!$F$15:$F$372,0),1)</f>
        <v>#N/A</v>
      </c>
      <c r="S648" s="203" t="str">
        <f t="array" ref="S648">IF(OR(C648=[1]告訴人!$F$15:$F$372),"重疊","")</f>
        <v/>
      </c>
    </row>
    <row r="649" spans="1:22">
      <c r="A649" s="166">
        <v>646</v>
      </c>
      <c r="B649" s="166" t="s">
        <v>32</v>
      </c>
      <c r="C649" s="166" t="s">
        <v>283</v>
      </c>
      <c r="D649" s="167"/>
      <c r="E649" s="168" t="s">
        <v>272</v>
      </c>
      <c r="F649" s="169">
        <v>1000</v>
      </c>
      <c r="G649" s="168">
        <v>25</v>
      </c>
      <c r="H649" s="169">
        <v>25000</v>
      </c>
      <c r="I649" s="186"/>
      <c r="J649" s="186"/>
      <c r="K649" s="170" t="s">
        <v>2908</v>
      </c>
      <c r="L649" s="170"/>
      <c r="M649" s="175"/>
      <c r="N649" s="172">
        <v>25000</v>
      </c>
      <c r="O649" s="172"/>
      <c r="P649" s="173" t="s">
        <v>2461</v>
      </c>
      <c r="Q649" s="174" t="str">
        <f t="shared" si="10"/>
        <v>註3</v>
      </c>
      <c r="R649" s="203" t="e">
        <f>INDEX([1]告訴人!$D$15:$F$372,MATCH(C649,[1]告訴人!$F$15:$F$372,0),1)</f>
        <v>#N/A</v>
      </c>
      <c r="S649" s="203" t="str">
        <f t="array" ref="S649">IF(OR(C649=[1]告訴人!$F$15:$F$372),"重疊","")</f>
        <v/>
      </c>
    </row>
    <row r="650" spans="1:22" ht="113.4" customHeight="1">
      <c r="A650" s="166">
        <v>647</v>
      </c>
      <c r="B650" s="166" t="s">
        <v>32</v>
      </c>
      <c r="C650" s="166" t="s">
        <v>475</v>
      </c>
      <c r="D650" s="167"/>
      <c r="E650" s="168" t="s">
        <v>272</v>
      </c>
      <c r="F650" s="169">
        <v>3000</v>
      </c>
      <c r="G650" s="168">
        <v>67</v>
      </c>
      <c r="H650" s="169">
        <v>201000</v>
      </c>
      <c r="I650" s="186" t="s">
        <v>2921</v>
      </c>
      <c r="J650" s="186" t="s">
        <v>2921</v>
      </c>
      <c r="K650" s="170" t="s">
        <v>3229</v>
      </c>
      <c r="L650" s="170" t="s">
        <v>3659</v>
      </c>
      <c r="M650" s="175" t="s">
        <v>2907</v>
      </c>
      <c r="N650" s="172">
        <v>201000</v>
      </c>
      <c r="O650" s="172"/>
      <c r="P650" s="173" t="s">
        <v>2461</v>
      </c>
      <c r="Q650" s="174" t="str">
        <f t="shared" si="10"/>
        <v>註3</v>
      </c>
      <c r="R650" s="203">
        <f>INDEX([1]告訴人!$D$15:$F$372,MATCH(C650,[1]告訴人!$F$15:$F$372,0),1)</f>
        <v>89</v>
      </c>
      <c r="S650" s="203" t="str">
        <f t="array" ref="S650">IF(OR(C650=[1]告訴人!$F$15:$F$372),"重疊","")</f>
        <v>重疊</v>
      </c>
      <c r="T650" s="203">
        <v>1</v>
      </c>
      <c r="V650" s="203">
        <v>1</v>
      </c>
    </row>
    <row r="651" spans="1:22">
      <c r="A651" s="166">
        <v>648</v>
      </c>
      <c r="B651" s="166" t="s">
        <v>32</v>
      </c>
      <c r="C651" s="166" t="s">
        <v>326</v>
      </c>
      <c r="D651" s="167"/>
      <c r="E651" s="168" t="s">
        <v>327</v>
      </c>
      <c r="F651" s="169">
        <v>1000</v>
      </c>
      <c r="G651" s="168">
        <v>25</v>
      </c>
      <c r="H651" s="169">
        <v>25000</v>
      </c>
      <c r="I651" s="186"/>
      <c r="J651" s="186"/>
      <c r="K651" s="170" t="s">
        <v>2908</v>
      </c>
      <c r="L651" s="170"/>
      <c r="M651" s="175"/>
      <c r="N651" s="172">
        <v>25000</v>
      </c>
      <c r="O651" s="172"/>
      <c r="P651" s="173" t="s">
        <v>2461</v>
      </c>
      <c r="Q651" s="174" t="str">
        <f t="shared" si="10"/>
        <v>註3</v>
      </c>
      <c r="R651" s="203" t="e">
        <f>INDEX([1]告訴人!$D$15:$F$372,MATCH(C651,[1]告訴人!$F$15:$F$372,0),1)</f>
        <v>#N/A</v>
      </c>
      <c r="S651" s="203" t="str">
        <f t="array" ref="S651">IF(OR(C651=[1]告訴人!$F$15:$F$372),"重疊","")</f>
        <v/>
      </c>
    </row>
    <row r="652" spans="1:22" ht="120" customHeight="1">
      <c r="A652" s="166">
        <v>649</v>
      </c>
      <c r="B652" s="166" t="s">
        <v>32</v>
      </c>
      <c r="C652" s="166" t="s">
        <v>259</v>
      </c>
      <c r="D652" s="167"/>
      <c r="E652" s="168" t="s">
        <v>260</v>
      </c>
      <c r="F652" s="169">
        <v>10000</v>
      </c>
      <c r="G652" s="168">
        <v>25</v>
      </c>
      <c r="H652" s="169">
        <v>250000</v>
      </c>
      <c r="I652" s="186" t="s">
        <v>2921</v>
      </c>
      <c r="J652" s="186" t="s">
        <v>2921</v>
      </c>
      <c r="K652" s="170" t="s">
        <v>3225</v>
      </c>
      <c r="L652" s="170" t="s">
        <v>3660</v>
      </c>
      <c r="M652" s="175" t="s">
        <v>2907</v>
      </c>
      <c r="N652" s="172">
        <v>250000</v>
      </c>
      <c r="O652" s="172"/>
      <c r="P652" s="173" t="s">
        <v>2461</v>
      </c>
      <c r="Q652" s="174" t="str">
        <f t="shared" si="10"/>
        <v>註3</v>
      </c>
      <c r="R652" s="203">
        <f>INDEX([1]告訴人!$D$15:$F$372,MATCH(C652,[1]告訴人!$F$15:$F$372,0),1)</f>
        <v>24</v>
      </c>
      <c r="S652" s="203" t="str">
        <f t="array" ref="S652">IF(OR(C652=[1]告訴人!$F$15:$F$372),"重疊","")</f>
        <v>重疊</v>
      </c>
      <c r="T652" s="203">
        <v>1</v>
      </c>
      <c r="V652" s="203">
        <v>1</v>
      </c>
    </row>
    <row r="653" spans="1:22" ht="117.75" customHeight="1">
      <c r="A653" s="166">
        <v>650</v>
      </c>
      <c r="B653" s="166" t="s">
        <v>32</v>
      </c>
      <c r="C653" s="166" t="s">
        <v>259</v>
      </c>
      <c r="D653" s="167"/>
      <c r="E653" s="168" t="s">
        <v>260</v>
      </c>
      <c r="F653" s="169">
        <v>10000</v>
      </c>
      <c r="G653" s="168">
        <v>67</v>
      </c>
      <c r="H653" s="169">
        <v>670000</v>
      </c>
      <c r="I653" s="186" t="s">
        <v>2921</v>
      </c>
      <c r="J653" s="186" t="s">
        <v>2921</v>
      </c>
      <c r="K653" s="170" t="s">
        <v>3225</v>
      </c>
      <c r="L653" s="170" t="s">
        <v>3660</v>
      </c>
      <c r="M653" s="175" t="s">
        <v>2907</v>
      </c>
      <c r="N653" s="172">
        <v>670000</v>
      </c>
      <c r="O653" s="172"/>
      <c r="P653" s="173" t="s">
        <v>2461</v>
      </c>
      <c r="Q653" s="174" t="str">
        <f t="shared" si="10"/>
        <v>註3</v>
      </c>
      <c r="R653" s="203">
        <f>INDEX([1]告訴人!$D$15:$F$372,MATCH(C653,[1]告訴人!$F$15:$F$372,0),1)</f>
        <v>24</v>
      </c>
      <c r="S653" s="203" t="str">
        <f t="array" ref="S653">IF(OR(C653=[1]告訴人!$F$15:$F$372),"重疊","")</f>
        <v>重疊</v>
      </c>
      <c r="T653" s="203">
        <v>1</v>
      </c>
      <c r="V653" s="203">
        <v>1</v>
      </c>
    </row>
    <row r="654" spans="1:22">
      <c r="A654" s="166">
        <v>651</v>
      </c>
      <c r="B654" s="166" t="s">
        <v>32</v>
      </c>
      <c r="C654" s="166" t="s">
        <v>518</v>
      </c>
      <c r="D654" s="167"/>
      <c r="E654" s="168" t="s">
        <v>260</v>
      </c>
      <c r="F654" s="169">
        <v>2000</v>
      </c>
      <c r="G654" s="168">
        <v>67</v>
      </c>
      <c r="H654" s="169">
        <v>134000</v>
      </c>
      <c r="I654" s="186"/>
      <c r="J654" s="186"/>
      <c r="K654" s="170" t="s">
        <v>2908</v>
      </c>
      <c r="L654" s="170"/>
      <c r="M654" s="175"/>
      <c r="N654" s="172">
        <v>134000</v>
      </c>
      <c r="O654" s="172"/>
      <c r="P654" s="173" t="s">
        <v>2461</v>
      </c>
      <c r="Q654" s="174" t="str">
        <f t="shared" si="10"/>
        <v>註3</v>
      </c>
      <c r="R654" s="203" t="e">
        <f>INDEX([1]告訴人!$D$15:$F$372,MATCH(C654,[1]告訴人!$F$15:$F$372,0),1)</f>
        <v>#N/A</v>
      </c>
      <c r="S654" s="203" t="str">
        <f t="array" ref="S654">IF(OR(C654=[1]告訴人!$F$15:$F$372),"重疊","")</f>
        <v/>
      </c>
    </row>
    <row r="655" spans="1:22" ht="96.15" customHeight="1">
      <c r="A655" s="166">
        <v>652</v>
      </c>
      <c r="B655" s="166" t="s">
        <v>32</v>
      </c>
      <c r="C655" s="166" t="s">
        <v>528</v>
      </c>
      <c r="D655" s="167"/>
      <c r="E655" s="168" t="s">
        <v>260</v>
      </c>
      <c r="F655" s="169">
        <v>10000</v>
      </c>
      <c r="G655" s="168">
        <v>67</v>
      </c>
      <c r="H655" s="169">
        <v>670000</v>
      </c>
      <c r="I655" s="186" t="s">
        <v>2921</v>
      </c>
      <c r="J655" s="186" t="s">
        <v>2921</v>
      </c>
      <c r="K655" s="170" t="s">
        <v>3230</v>
      </c>
      <c r="L655" s="170" t="s">
        <v>3715</v>
      </c>
      <c r="M655" s="175" t="s">
        <v>2907</v>
      </c>
      <c r="N655" s="172">
        <v>670000</v>
      </c>
      <c r="O655" s="172"/>
      <c r="P655" s="173" t="s">
        <v>2461</v>
      </c>
      <c r="Q655" s="174" t="str">
        <f t="shared" si="10"/>
        <v>註3</v>
      </c>
      <c r="R655" s="203">
        <f>INDEX([1]告訴人!$D$15:$F$372,MATCH(C655,[1]告訴人!$F$15:$F$372,0),1)</f>
        <v>128</v>
      </c>
      <c r="S655" s="203" t="str">
        <f t="array" ref="S655">IF(OR(C655=[1]告訴人!$F$15:$F$372),"重疊","")</f>
        <v>重疊</v>
      </c>
      <c r="T655" s="203">
        <v>1</v>
      </c>
      <c r="V655" s="203">
        <v>1</v>
      </c>
    </row>
    <row r="656" spans="1:22" ht="18.649999999999999" customHeight="1">
      <c r="A656" s="166">
        <v>653</v>
      </c>
      <c r="B656" s="166" t="s">
        <v>32</v>
      </c>
      <c r="C656" s="166" t="s">
        <v>3262</v>
      </c>
      <c r="D656" s="167"/>
      <c r="E656" s="168" t="s">
        <v>2996</v>
      </c>
      <c r="F656" s="169">
        <v>1000</v>
      </c>
      <c r="G656" s="168">
        <v>25</v>
      </c>
      <c r="H656" s="169">
        <v>25000</v>
      </c>
      <c r="I656" s="186"/>
      <c r="J656" s="186"/>
      <c r="K656" s="170" t="s">
        <v>2908</v>
      </c>
      <c r="L656" s="170"/>
      <c r="M656" s="175"/>
      <c r="N656" s="172">
        <v>25000</v>
      </c>
      <c r="O656" s="172"/>
      <c r="P656" s="173" t="s">
        <v>2461</v>
      </c>
      <c r="Q656" s="174" t="str">
        <f t="shared" si="10"/>
        <v>註3</v>
      </c>
      <c r="R656" s="203" t="e">
        <f>INDEX([1]告訴人!$D$15:$F$372,MATCH(C656,[1]告訴人!$F$15:$F$372,0),1)</f>
        <v>#N/A</v>
      </c>
      <c r="S656" s="203" t="str">
        <f t="array" ref="S656">IF(OR(C656=[1]告訴人!$F$15:$F$372),"重疊","")</f>
        <v/>
      </c>
    </row>
    <row r="657" spans="1:22" ht="126" customHeight="1">
      <c r="A657" s="166">
        <v>654</v>
      </c>
      <c r="B657" s="166" t="s">
        <v>2948</v>
      </c>
      <c r="C657" s="166" t="s">
        <v>2997</v>
      </c>
      <c r="D657" s="167"/>
      <c r="E657" s="168" t="s">
        <v>2996</v>
      </c>
      <c r="F657" s="169">
        <v>2000</v>
      </c>
      <c r="G657" s="168">
        <v>25</v>
      </c>
      <c r="H657" s="169">
        <v>50000</v>
      </c>
      <c r="I657" s="346" t="s">
        <v>2998</v>
      </c>
      <c r="J657" s="346" t="s">
        <v>2998</v>
      </c>
      <c r="K657" s="170" t="s">
        <v>3231</v>
      </c>
      <c r="L657" s="170" t="s">
        <v>3661</v>
      </c>
      <c r="M657" s="175" t="s">
        <v>2905</v>
      </c>
      <c r="N657" s="172">
        <v>50000</v>
      </c>
      <c r="O657" s="172"/>
      <c r="P657" s="173" t="s">
        <v>2461</v>
      </c>
      <c r="Q657" s="174" t="str">
        <f t="shared" si="10"/>
        <v>註3</v>
      </c>
      <c r="R657" s="203">
        <f>INDEX([1]告訴人!$D$15:$F$372,MATCH(C657,[1]告訴人!$F$15:$F$372,0),1)</f>
        <v>39</v>
      </c>
      <c r="S657" s="203" t="str">
        <f t="array" ref="S657">IF(OR(C657=[1]告訴人!$F$15:$F$372),"重疊","")</f>
        <v>重疊</v>
      </c>
      <c r="T657" s="203">
        <v>1</v>
      </c>
      <c r="V657" s="203">
        <v>1</v>
      </c>
    </row>
    <row r="658" spans="1:22" ht="44.15" customHeight="1">
      <c r="A658" s="166">
        <v>655</v>
      </c>
      <c r="B658" s="166" t="s">
        <v>32</v>
      </c>
      <c r="C658" s="166" t="s">
        <v>3257</v>
      </c>
      <c r="D658" s="167"/>
      <c r="E658" s="168" t="s">
        <v>3572</v>
      </c>
      <c r="F658" s="169">
        <v>1000</v>
      </c>
      <c r="G658" s="168">
        <v>25</v>
      </c>
      <c r="H658" s="169">
        <v>25000</v>
      </c>
      <c r="I658" s="186"/>
      <c r="J658" s="186"/>
      <c r="K658" s="170" t="s">
        <v>2903</v>
      </c>
      <c r="L658" s="170"/>
      <c r="M658" s="175"/>
      <c r="N658" s="172">
        <v>25000</v>
      </c>
      <c r="O658" s="172"/>
      <c r="P658" s="173" t="s">
        <v>2461</v>
      </c>
      <c r="Q658" s="174" t="str">
        <f>IF(N658&lt;&gt;0,"註3",IF(O658&lt;&gt;0,"註4",""))</f>
        <v>註3</v>
      </c>
      <c r="S658" s="203" t="str">
        <f t="array" ref="S658">IF(OR(C658=[1]告訴人!$F$15:$F$372),"重疊","")</f>
        <v/>
      </c>
    </row>
    <row r="659" spans="1:22" ht="42" customHeight="1">
      <c r="A659" s="166">
        <v>656</v>
      </c>
      <c r="B659" s="166" t="s">
        <v>32</v>
      </c>
      <c r="C659" s="166" t="s">
        <v>2999</v>
      </c>
      <c r="D659" s="167"/>
      <c r="E659" s="168" t="s">
        <v>3000</v>
      </c>
      <c r="F659" s="169">
        <v>1000</v>
      </c>
      <c r="G659" s="168">
        <v>67</v>
      </c>
      <c r="H659" s="169">
        <v>67000</v>
      </c>
      <c r="I659" s="186"/>
      <c r="J659" s="186"/>
      <c r="K659" s="170" t="s">
        <v>2904</v>
      </c>
      <c r="L659" s="170"/>
      <c r="M659" s="175"/>
      <c r="N659" s="172">
        <v>67000</v>
      </c>
      <c r="O659" s="172"/>
      <c r="P659" s="173" t="s">
        <v>2461</v>
      </c>
      <c r="Q659" s="174" t="str">
        <f t="shared" si="10"/>
        <v>註3</v>
      </c>
      <c r="R659" s="203" t="e">
        <f>INDEX([1]告訴人!$D$15:$F$372,MATCH(C659,[1]告訴人!$F$15:$F$372,0),1)</f>
        <v>#N/A</v>
      </c>
      <c r="S659" s="203" t="str">
        <f t="array" ref="S659">IF(OR(C659=[1]告訴人!$F$15:$F$372),"重疊","")</f>
        <v/>
      </c>
    </row>
    <row r="660" spans="1:22" ht="109.5" customHeight="1">
      <c r="A660" s="166">
        <v>657</v>
      </c>
      <c r="B660" s="166" t="s">
        <v>3001</v>
      </c>
      <c r="C660" s="166" t="s">
        <v>3002</v>
      </c>
      <c r="D660" s="167"/>
      <c r="E660" s="168" t="s">
        <v>3000</v>
      </c>
      <c r="F660" s="169">
        <v>3000</v>
      </c>
      <c r="G660" s="168">
        <v>67</v>
      </c>
      <c r="H660" s="169">
        <f>F660*G660</f>
        <v>201000</v>
      </c>
      <c r="I660" s="346" t="s">
        <v>2998</v>
      </c>
      <c r="J660" s="346" t="s">
        <v>2998</v>
      </c>
      <c r="K660" s="170" t="s">
        <v>3231</v>
      </c>
      <c r="L660" s="170" t="s">
        <v>3661</v>
      </c>
      <c r="M660" s="175" t="s">
        <v>2905</v>
      </c>
      <c r="N660" s="172">
        <v>201000</v>
      </c>
      <c r="O660" s="172"/>
      <c r="P660" s="173" t="s">
        <v>2461</v>
      </c>
      <c r="Q660" s="174" t="str">
        <f t="shared" si="10"/>
        <v>註3</v>
      </c>
      <c r="R660" s="203">
        <f>INDEX([1]告訴人!$D$15:$F$372,MATCH(C660,[1]告訴人!$F$15:$F$372,0),1)</f>
        <v>39</v>
      </c>
      <c r="S660" s="203" t="str">
        <f t="array" ref="S660">IF(OR(C660=[1]告訴人!$F$15:$F$372),"重疊","")</f>
        <v>重疊</v>
      </c>
      <c r="T660" s="203">
        <v>1</v>
      </c>
      <c r="V660" s="203">
        <v>1</v>
      </c>
    </row>
    <row r="661" spans="1:22" ht="42" customHeight="1">
      <c r="A661" s="166">
        <v>658</v>
      </c>
      <c r="B661" s="166" t="s">
        <v>32</v>
      </c>
      <c r="C661" s="166" t="s">
        <v>3003</v>
      </c>
      <c r="D661" s="167"/>
      <c r="E661" s="168" t="s">
        <v>3004</v>
      </c>
      <c r="F661" s="169">
        <v>5000</v>
      </c>
      <c r="G661" s="168">
        <v>25</v>
      </c>
      <c r="H661" s="169">
        <v>125000</v>
      </c>
      <c r="I661" s="186"/>
      <c r="J661" s="186"/>
      <c r="K661" s="170" t="s">
        <v>2904</v>
      </c>
      <c r="L661" s="170"/>
      <c r="M661" s="175"/>
      <c r="N661" s="172">
        <v>125000</v>
      </c>
      <c r="O661" s="172"/>
      <c r="P661" s="173" t="s">
        <v>2461</v>
      </c>
      <c r="Q661" s="174" t="str">
        <f t="shared" si="10"/>
        <v>註3</v>
      </c>
      <c r="R661" s="203" t="e">
        <f>INDEX([1]告訴人!$D$15:$F$372,MATCH(C661,[1]告訴人!$F$15:$F$372,0),1)</f>
        <v>#N/A</v>
      </c>
      <c r="S661" s="203" t="str">
        <f t="array" ref="S661">IF(OR(C661=[1]告訴人!$F$15:$F$372),"重疊","")</f>
        <v/>
      </c>
    </row>
    <row r="662" spans="1:22" ht="67.25" customHeight="1">
      <c r="A662" s="166">
        <v>659</v>
      </c>
      <c r="B662" s="166" t="s">
        <v>3001</v>
      </c>
      <c r="C662" s="166" t="s">
        <v>2920</v>
      </c>
      <c r="D662" s="168"/>
      <c r="E662" s="168" t="s">
        <v>3005</v>
      </c>
      <c r="F662" s="169">
        <v>10000</v>
      </c>
      <c r="G662" s="168">
        <v>67</v>
      </c>
      <c r="H662" s="169">
        <f>F662*G662</f>
        <v>670000</v>
      </c>
      <c r="I662" s="186"/>
      <c r="J662" s="186"/>
      <c r="K662" s="170" t="s">
        <v>3083</v>
      </c>
      <c r="L662" s="170" t="s">
        <v>3706</v>
      </c>
      <c r="M662" s="175"/>
      <c r="N662" s="172">
        <v>670000</v>
      </c>
      <c r="O662" s="172"/>
      <c r="P662" s="173" t="s">
        <v>2461</v>
      </c>
      <c r="Q662" s="174" t="str">
        <f t="shared" si="10"/>
        <v>註3</v>
      </c>
    </row>
    <row r="663" spans="1:22" ht="67.25" customHeight="1">
      <c r="A663" s="166">
        <v>660</v>
      </c>
      <c r="B663" s="178" t="s">
        <v>3006</v>
      </c>
      <c r="C663" s="178" t="s">
        <v>3007</v>
      </c>
      <c r="D663" s="179"/>
      <c r="E663" s="180" t="s">
        <v>3008</v>
      </c>
      <c r="F663" s="181">
        <v>10000</v>
      </c>
      <c r="G663" s="182">
        <v>25</v>
      </c>
      <c r="H663" s="181">
        <f>G663*F663</f>
        <v>250000</v>
      </c>
      <c r="I663" s="183"/>
      <c r="J663" s="346"/>
      <c r="K663" s="170" t="s">
        <v>3083</v>
      </c>
      <c r="L663" s="170" t="s">
        <v>3707</v>
      </c>
      <c r="M663" s="175"/>
      <c r="N663" s="172">
        <v>250000</v>
      </c>
      <c r="O663" s="172"/>
      <c r="P663" s="173" t="s">
        <v>2461</v>
      </c>
      <c r="Q663" s="174" t="str">
        <f t="shared" si="10"/>
        <v>註3</v>
      </c>
    </row>
    <row r="664" spans="1:22" ht="66.150000000000006" customHeight="1">
      <c r="A664" s="166">
        <v>661</v>
      </c>
      <c r="B664" s="166" t="s">
        <v>3009</v>
      </c>
      <c r="C664" s="166" t="s">
        <v>3010</v>
      </c>
      <c r="D664" s="168"/>
      <c r="E664" s="168" t="s">
        <v>3011</v>
      </c>
      <c r="F664" s="169">
        <v>5000</v>
      </c>
      <c r="G664" s="168">
        <v>67</v>
      </c>
      <c r="H664" s="169">
        <f>F664*G664</f>
        <v>335000</v>
      </c>
      <c r="I664" s="186"/>
      <c r="J664" s="186"/>
      <c r="K664" s="170" t="s">
        <v>3012</v>
      </c>
      <c r="L664" s="170" t="s">
        <v>3708</v>
      </c>
      <c r="M664" s="175"/>
      <c r="N664" s="172">
        <v>670000</v>
      </c>
      <c r="O664" s="172"/>
      <c r="P664" s="173" t="s">
        <v>2461</v>
      </c>
      <c r="Q664" s="174" t="str">
        <f t="shared" si="10"/>
        <v>註3</v>
      </c>
    </row>
    <row r="665" spans="1:22" ht="40.75" customHeight="1">
      <c r="A665" s="166">
        <v>662</v>
      </c>
      <c r="B665" s="178" t="s">
        <v>2948</v>
      </c>
      <c r="C665" s="178" t="s">
        <v>3013</v>
      </c>
      <c r="D665" s="179"/>
      <c r="E665" s="180" t="s">
        <v>3014</v>
      </c>
      <c r="F665" s="181">
        <v>2000</v>
      </c>
      <c r="G665" s="182">
        <v>25</v>
      </c>
      <c r="H665" s="181">
        <f>G665*F665</f>
        <v>50000</v>
      </c>
      <c r="I665" s="183"/>
      <c r="J665" s="346"/>
      <c r="K665" s="170" t="s">
        <v>3073</v>
      </c>
      <c r="L665" s="170" t="s">
        <v>3709</v>
      </c>
      <c r="M665" s="175"/>
      <c r="N665" s="172"/>
      <c r="O665" s="172">
        <v>50000</v>
      </c>
      <c r="P665" s="173" t="s">
        <v>2463</v>
      </c>
      <c r="Q665" s="174" t="str">
        <f t="shared" si="10"/>
        <v>註4</v>
      </c>
    </row>
    <row r="666" spans="1:22" ht="17.5" hidden="1" thickBot="1">
      <c r="A666" s="166"/>
      <c r="B666" s="166"/>
      <c r="C666" s="166"/>
      <c r="D666" s="167"/>
      <c r="E666" s="168"/>
      <c r="F666" s="169">
        <f>SUBTOTAL(9,F4:F213)</f>
        <v>774000</v>
      </c>
      <c r="G666" s="184" t="s">
        <v>329</v>
      </c>
      <c r="H666" s="169">
        <f>SUBTOTAL(9,H4:H213)</f>
        <v>50112000</v>
      </c>
      <c r="I666" s="186"/>
      <c r="J666" s="186"/>
      <c r="K666" s="170"/>
      <c r="L666" s="170"/>
      <c r="M666" s="185"/>
      <c r="N666" s="172"/>
      <c r="O666" s="172"/>
      <c r="P666" s="173" t="s">
        <v>1832</v>
      </c>
      <c r="Q666" s="174" t="str">
        <f t="shared" si="10"/>
        <v/>
      </c>
      <c r="R666" s="203" t="e">
        <f>INDEX([1]告訴人!$D$15:$F$372,MATCH(C666,[1]告訴人!$F$15:$F$372,0),1)</f>
        <v>#N/A</v>
      </c>
      <c r="S666" s="203" t="str">
        <f t="array" ref="S666">IF(OR(C666=[1]告訴人!$F$15:$F$372),"重疊","")</f>
        <v/>
      </c>
    </row>
    <row r="667" spans="1:22" ht="17.5" hidden="1" thickBot="1">
      <c r="A667" s="166"/>
      <c r="B667" s="166"/>
      <c r="C667" s="166"/>
      <c r="D667" s="167"/>
      <c r="E667" s="168"/>
      <c r="F667" s="169">
        <f>SUBTOTAL(9,F214)</f>
        <v>1000</v>
      </c>
      <c r="G667" s="184" t="s">
        <v>331</v>
      </c>
      <c r="H667" s="169">
        <f>SUBTOTAL(9,H214)</f>
        <v>69000</v>
      </c>
      <c r="I667" s="186"/>
      <c r="J667" s="186"/>
      <c r="K667" s="170"/>
      <c r="L667" s="170"/>
      <c r="M667" s="185"/>
      <c r="N667" s="172"/>
      <c r="O667" s="172"/>
      <c r="P667" s="173" t="s">
        <v>1832</v>
      </c>
      <c r="Q667" s="174" t="str">
        <f t="shared" si="10"/>
        <v/>
      </c>
      <c r="R667" s="203" t="e">
        <f>INDEX([1]告訴人!$D$15:$F$372,MATCH(C667,[1]告訴人!$F$15:$F$372,0),1)</f>
        <v>#N/A</v>
      </c>
      <c r="S667" s="203" t="str">
        <f t="array" ref="S667">IF(OR(C667=[1]告訴人!$F$15:$F$372),"重疊","")</f>
        <v/>
      </c>
    </row>
    <row r="668" spans="1:22" ht="17.5" hidden="1" thickBot="1">
      <c r="A668" s="166"/>
      <c r="B668" s="166"/>
      <c r="C668" s="166"/>
      <c r="D668" s="167"/>
      <c r="E668" s="168"/>
      <c r="F668" s="169">
        <f>SUBTOTAL(9,F215)</f>
        <v>2000</v>
      </c>
      <c r="G668" s="184" t="s">
        <v>333</v>
      </c>
      <c r="H668" s="169">
        <f>SUBTOTAL(9,H215)</f>
        <v>50000</v>
      </c>
      <c r="I668" s="186"/>
      <c r="J668" s="186"/>
      <c r="K668" s="170"/>
      <c r="L668" s="170"/>
      <c r="M668" s="185"/>
      <c r="N668" s="172"/>
      <c r="O668" s="172"/>
      <c r="P668" s="173" t="s">
        <v>1832</v>
      </c>
      <c r="Q668" s="174" t="str">
        <f t="shared" si="10"/>
        <v/>
      </c>
      <c r="R668" s="203" t="e">
        <f>INDEX([1]告訴人!$D$15:$F$372,MATCH(C668,[1]告訴人!$F$15:$F$372,0),1)</f>
        <v>#N/A</v>
      </c>
      <c r="S668" s="203" t="str">
        <f t="array" ref="S668">IF(OR(C668=[1]告訴人!$F$15:$F$372),"重疊","")</f>
        <v/>
      </c>
    </row>
    <row r="669" spans="1:22" ht="17.5" hidden="1" thickBot="1">
      <c r="A669" s="166"/>
      <c r="B669" s="166"/>
      <c r="C669" s="166"/>
      <c r="D669" s="167"/>
      <c r="E669" s="168"/>
      <c r="F669" s="169">
        <f>SUBTOTAL(9,F216)</f>
        <v>5000</v>
      </c>
      <c r="G669" s="184" t="s">
        <v>335</v>
      </c>
      <c r="H669" s="169">
        <f>SUBTOTAL(9,H216)</f>
        <v>335000</v>
      </c>
      <c r="I669" s="186"/>
      <c r="J669" s="186"/>
      <c r="K669" s="170"/>
      <c r="L669" s="170"/>
      <c r="M669" s="185"/>
      <c r="N669" s="172"/>
      <c r="O669" s="172"/>
      <c r="P669" s="173" t="s">
        <v>1832</v>
      </c>
      <c r="Q669" s="174" t="str">
        <f t="shared" si="10"/>
        <v/>
      </c>
      <c r="R669" s="203" t="e">
        <f>INDEX([1]告訴人!$D$15:$F$372,MATCH(C669,[1]告訴人!$F$15:$F$372,0),1)</f>
        <v>#N/A</v>
      </c>
      <c r="S669" s="203" t="str">
        <f t="array" ref="S669">IF(OR(C669=[1]告訴人!$F$15:$F$372),"重疊","")</f>
        <v/>
      </c>
    </row>
    <row r="670" spans="1:22" ht="17.5" hidden="1" thickBot="1">
      <c r="A670" s="166"/>
      <c r="B670" s="166"/>
      <c r="C670" s="166"/>
      <c r="D670" s="167"/>
      <c r="E670" s="168"/>
      <c r="F670" s="169">
        <f>SUBTOTAL(9,F217:F222)</f>
        <v>12000</v>
      </c>
      <c r="G670" s="184" t="s">
        <v>337</v>
      </c>
      <c r="H670" s="169">
        <f>SUBTOTAL(9,H217:H222)</f>
        <v>740000</v>
      </c>
      <c r="I670" s="186"/>
      <c r="J670" s="186"/>
      <c r="K670" s="170"/>
      <c r="L670" s="170"/>
      <c r="M670" s="185"/>
      <c r="N670" s="172"/>
      <c r="O670" s="172"/>
      <c r="P670" s="173" t="s">
        <v>1832</v>
      </c>
      <c r="Q670" s="174" t="str">
        <f t="shared" si="10"/>
        <v/>
      </c>
      <c r="R670" s="203" t="e">
        <f>INDEX([1]告訴人!$D$15:$F$372,MATCH(C670,[1]告訴人!$F$15:$F$372,0),1)</f>
        <v>#N/A</v>
      </c>
      <c r="S670" s="203" t="str">
        <f t="array" ref="S670">IF(OR(C670=[1]告訴人!$F$15:$F$372),"重疊","")</f>
        <v/>
      </c>
    </row>
    <row r="671" spans="1:22" ht="17.5" hidden="1" thickBot="1">
      <c r="A671" s="166"/>
      <c r="B671" s="166"/>
      <c r="C671" s="166"/>
      <c r="D671" s="167"/>
      <c r="E671" s="168"/>
      <c r="F671" s="169">
        <f>SUBTOTAL(9,F223)</f>
        <v>2000</v>
      </c>
      <c r="G671" s="184" t="s">
        <v>339</v>
      </c>
      <c r="H671" s="169">
        <f>SUBTOTAL(9,H223)</f>
        <v>50000</v>
      </c>
      <c r="I671" s="186"/>
      <c r="J671" s="186"/>
      <c r="K671" s="170"/>
      <c r="L671" s="170"/>
      <c r="M671" s="185"/>
      <c r="N671" s="172"/>
      <c r="O671" s="172"/>
      <c r="P671" s="173" t="s">
        <v>1832</v>
      </c>
      <c r="Q671" s="174" t="str">
        <f t="shared" si="10"/>
        <v/>
      </c>
      <c r="R671" s="203" t="e">
        <f>INDEX([1]告訴人!$D$15:$F$372,MATCH(C671,[1]告訴人!$F$15:$F$372,0),1)</f>
        <v>#N/A</v>
      </c>
      <c r="S671" s="203" t="str">
        <f t="array" ref="S671">IF(OR(C671=[1]告訴人!$F$15:$F$372),"重疊","")</f>
        <v/>
      </c>
    </row>
    <row r="672" spans="1:22" ht="17.5" hidden="1" thickBot="1">
      <c r="A672" s="166"/>
      <c r="B672" s="166"/>
      <c r="C672" s="166"/>
      <c r="D672" s="167"/>
      <c r="E672" s="168"/>
      <c r="F672" s="169">
        <f>SUBTOTAL(9,F224:F596)</f>
        <v>996000</v>
      </c>
      <c r="G672" s="184" t="s">
        <v>540</v>
      </c>
      <c r="H672" s="169">
        <f>SUBTOTAL(9,H224:H596)</f>
        <v>48508000</v>
      </c>
      <c r="I672" s="186"/>
      <c r="J672" s="186"/>
      <c r="K672" s="170"/>
      <c r="L672" s="170"/>
      <c r="M672" s="185"/>
      <c r="N672" s="172"/>
      <c r="O672" s="172"/>
      <c r="P672" s="173" t="s">
        <v>1832</v>
      </c>
      <c r="Q672" s="174" t="str">
        <f t="shared" si="10"/>
        <v/>
      </c>
      <c r="R672" s="203" t="e">
        <f>INDEX([1]告訴人!$D$15:$F$372,MATCH(C672,[1]告訴人!$F$15:$F$372,0),1)</f>
        <v>#N/A</v>
      </c>
      <c r="S672" s="203" t="str">
        <f t="array" ref="S672">IF(OR(C672=[1]告訴人!$F$15:$F$372),"重疊","")</f>
        <v/>
      </c>
    </row>
    <row r="673" spans="1:19" ht="17.5" hidden="1" thickBot="1">
      <c r="A673" s="166"/>
      <c r="B673" s="166"/>
      <c r="C673" s="166"/>
      <c r="D673" s="167"/>
      <c r="E673" s="168"/>
      <c r="F673" s="169">
        <f>SUBTOTAL(9,F597:F600)</f>
        <v>5000</v>
      </c>
      <c r="G673" s="184" t="s">
        <v>546</v>
      </c>
      <c r="H673" s="169">
        <f>SUBTOTAL(9,H597:H600)</f>
        <v>125000</v>
      </c>
      <c r="I673" s="186"/>
      <c r="J673" s="186"/>
      <c r="K673" s="170"/>
      <c r="L673" s="170"/>
      <c r="M673" s="185"/>
      <c r="N673" s="172"/>
      <c r="O673" s="172"/>
      <c r="P673" s="173" t="s">
        <v>1832</v>
      </c>
      <c r="Q673" s="174" t="str">
        <f t="shared" si="10"/>
        <v/>
      </c>
      <c r="R673" s="203" t="e">
        <f>INDEX([1]告訴人!$D$15:$F$372,MATCH(C673,[1]告訴人!$F$15:$F$372,0),1)</f>
        <v>#N/A</v>
      </c>
      <c r="S673" s="203" t="str">
        <f t="array" ref="S673">IF(OR(C673=[1]告訴人!$F$15:$F$372),"重疊","")</f>
        <v/>
      </c>
    </row>
    <row r="674" spans="1:19" ht="0.65" customHeight="1">
      <c r="A674" s="166"/>
      <c r="B674" s="166"/>
      <c r="C674" s="166"/>
      <c r="D674" s="167"/>
      <c r="E674" s="168"/>
      <c r="F674" s="169">
        <f>SUBTOTAL(9,F601:F665)</f>
        <v>218000</v>
      </c>
      <c r="G674" s="184" t="s">
        <v>579</v>
      </c>
      <c r="H674" s="169">
        <f>SUBTOTAL(9,H601:H665)</f>
        <v>11876000</v>
      </c>
      <c r="I674" s="186"/>
      <c r="J674" s="186"/>
      <c r="K674" s="170"/>
      <c r="L674" s="170"/>
      <c r="M674" s="170"/>
      <c r="N674" s="172"/>
      <c r="O674" s="172"/>
      <c r="P674" s="173"/>
      <c r="Q674" s="174"/>
    </row>
    <row r="675" spans="1:19" ht="36.65" customHeight="1">
      <c r="A675" s="188"/>
      <c r="B675" s="188"/>
      <c r="C675" s="188"/>
      <c r="D675" s="189"/>
      <c r="E675" s="188" t="s">
        <v>3015</v>
      </c>
      <c r="F675" s="190">
        <f>SUM(F666,F667,F668,F669,F670,F671,F672,F673,F674)</f>
        <v>2015000</v>
      </c>
      <c r="G675" s="190"/>
      <c r="H675" s="190">
        <v>111865000</v>
      </c>
      <c r="I675" s="191"/>
      <c r="J675" s="191"/>
      <c r="K675" s="192"/>
      <c r="L675" s="192"/>
      <c r="M675" s="157"/>
      <c r="N675" s="193">
        <f>SUM(N4:N674)</f>
        <v>68985000</v>
      </c>
      <c r="O675" s="193">
        <f>SUM(O4:O674)</f>
        <v>31788000</v>
      </c>
      <c r="P675" s="194"/>
      <c r="Q675" s="195"/>
    </row>
    <row r="676" spans="1:19" ht="43.5" customHeight="1">
      <c r="A676" s="166"/>
      <c r="B676" s="407" t="s">
        <v>3016</v>
      </c>
      <c r="C676" s="408"/>
      <c r="D676" s="408"/>
      <c r="E676" s="408"/>
      <c r="F676" s="196">
        <f>SUMIF(Q4:Q665,"註3",F4:F665)</f>
        <v>1193000</v>
      </c>
      <c r="G676" s="197"/>
      <c r="H676" s="196">
        <f>SUMIF(Q4:Q665,"註3",H4:H665)</f>
        <v>68650000</v>
      </c>
      <c r="I676" s="347"/>
      <c r="J676" s="347"/>
      <c r="K676" s="347"/>
      <c r="L676" s="198"/>
      <c r="M676" s="198"/>
      <c r="N676" s="172"/>
      <c r="O676" s="172"/>
      <c r="P676" s="199" t="s">
        <v>3017</v>
      </c>
      <c r="Q676" s="200" t="s">
        <v>3017</v>
      </c>
    </row>
    <row r="677" spans="1:19" ht="43.5" customHeight="1">
      <c r="A677" s="166"/>
      <c r="B677" s="407" t="s">
        <v>3232</v>
      </c>
      <c r="C677" s="408"/>
      <c r="D677" s="408"/>
      <c r="E677" s="408"/>
      <c r="F677" s="196">
        <f>SUMIF(Q4:Q665,"註4",F4:F665)</f>
        <v>613000</v>
      </c>
      <c r="G677" s="197"/>
      <c r="H677" s="196">
        <f>SUMIF(Q4:Q665,"註4",H4:H665)</f>
        <v>31788000</v>
      </c>
      <c r="I677" s="347"/>
      <c r="J677" s="255"/>
      <c r="K677" s="198"/>
      <c r="L677" s="198"/>
      <c r="M677" s="198"/>
      <c r="N677" s="172"/>
      <c r="O677" s="172"/>
      <c r="P677" s="199" t="s">
        <v>3018</v>
      </c>
      <c r="Q677" s="200" t="s">
        <v>3018</v>
      </c>
    </row>
    <row r="678" spans="1:19" ht="64.75" customHeight="1">
      <c r="A678" s="201"/>
      <c r="B678" s="202" t="s">
        <v>3019</v>
      </c>
      <c r="C678" s="409" t="s">
        <v>3893</v>
      </c>
      <c r="D678" s="409"/>
      <c r="E678" s="409"/>
      <c r="F678" s="409"/>
      <c r="G678" s="409"/>
      <c r="H678" s="409"/>
      <c r="I678" s="409"/>
      <c r="J678" s="409"/>
      <c r="K678" s="409"/>
      <c r="L678" s="409"/>
    </row>
    <row r="679" spans="1:19" ht="99" customHeight="1">
      <c r="A679" s="201"/>
      <c r="B679" s="202" t="s">
        <v>3020</v>
      </c>
      <c r="C679" s="410" t="s">
        <v>3892</v>
      </c>
      <c r="D679" s="410"/>
      <c r="E679" s="410"/>
      <c r="F679" s="410"/>
      <c r="G679" s="410"/>
      <c r="H679" s="410"/>
      <c r="I679" s="410"/>
      <c r="J679" s="410"/>
      <c r="K679" s="410"/>
      <c r="L679" s="410"/>
    </row>
    <row r="680" spans="1:19" ht="19.25" customHeight="1">
      <c r="B680" s="202" t="s">
        <v>3021</v>
      </c>
      <c r="C680" s="410" t="s">
        <v>3022</v>
      </c>
      <c r="D680" s="410"/>
      <c r="E680" s="410"/>
      <c r="F680" s="410"/>
      <c r="G680" s="410"/>
      <c r="H680" s="410"/>
      <c r="I680" s="410"/>
      <c r="J680" s="410"/>
      <c r="K680" s="410"/>
      <c r="L680" s="410"/>
    </row>
    <row r="681" spans="1:19" ht="21" customHeight="1">
      <c r="B681" s="202" t="s">
        <v>3023</v>
      </c>
      <c r="C681" s="410" t="s">
        <v>3233</v>
      </c>
      <c r="D681" s="410"/>
      <c r="E681" s="410"/>
      <c r="F681" s="410"/>
      <c r="G681" s="410"/>
      <c r="H681" s="410"/>
      <c r="I681" s="410"/>
      <c r="J681" s="410"/>
      <c r="K681" s="410"/>
      <c r="L681" s="410"/>
    </row>
    <row r="682" spans="1:19">
      <c r="B682" s="406"/>
      <c r="C682" s="406"/>
      <c r="D682" s="406"/>
      <c r="E682" s="406"/>
      <c r="F682" s="406"/>
      <c r="G682" s="406"/>
      <c r="H682" s="406"/>
      <c r="I682" s="406"/>
    </row>
  </sheetData>
  <autoFilter ref="A3:AD677"/>
  <mergeCells count="7">
    <mergeCell ref="B682:I682"/>
    <mergeCell ref="B676:E676"/>
    <mergeCell ref="B677:E677"/>
    <mergeCell ref="C678:L678"/>
    <mergeCell ref="C679:L679"/>
    <mergeCell ref="C680:L680"/>
    <mergeCell ref="C681:L681"/>
  </mergeCells>
  <phoneticPr fontId="1" type="noConversion"/>
  <printOptions horizontalCentered="1"/>
  <pageMargins left="0.59055118110236227" right="0.59055118110236227" top="0.59055118110236227" bottom="0.59055118110236227" header="0.31496062992125984" footer="0.31496062992125984"/>
  <pageSetup paperSize="9" scale="70" fitToHeight="100" orientation="portrait" r:id="rId1"/>
  <headerFooter>
    <oddFooter>&amp;C&amp;P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272"/>
  <sheetViews>
    <sheetView view="pageBreakPreview" topLeftCell="A49" zoomScale="115" zoomScaleNormal="70" zoomScaleSheetLayoutView="115" zoomScalePageLayoutView="125" workbookViewId="0">
      <selection activeCell="D218" sqref="D218"/>
    </sheetView>
  </sheetViews>
  <sheetFormatPr defaultColWidth="8.90625" defaultRowHeight="47.25" customHeight="1"/>
  <cols>
    <col min="1" max="1" width="6.453125" style="220" customWidth="1"/>
    <col min="2" max="2" width="10.08984375" style="292" customWidth="1"/>
    <col min="3" max="3" width="11.08984375" style="292" customWidth="1"/>
    <col min="4" max="4" width="12.453125" style="292" customWidth="1"/>
    <col min="5" max="6" width="10.453125" style="293" bestFit="1" customWidth="1"/>
    <col min="7" max="7" width="9.6328125" style="293" customWidth="1"/>
    <col min="8" max="8" width="11.6328125" style="293" bestFit="1" customWidth="1"/>
    <col min="9" max="9" width="13.36328125" style="204" hidden="1" customWidth="1"/>
    <col min="10" max="10" width="20.81640625" style="204" customWidth="1"/>
    <col min="11" max="11" width="27.36328125" style="204" customWidth="1"/>
    <col min="12" max="12" width="11.6328125" style="293" hidden="1" customWidth="1"/>
    <col min="13" max="13" width="16.453125" style="294" customWidth="1"/>
    <col min="14" max="14" width="11.6328125" style="293" hidden="1" customWidth="1"/>
    <col min="15" max="15" width="8.453125" style="293" hidden="1" customWidth="1"/>
    <col min="16" max="16" width="19.36328125" style="204" hidden="1" customWidth="1"/>
    <col min="17" max="19" width="8.90625" style="293" hidden="1" customWidth="1"/>
    <col min="20" max="255" width="8.90625" style="293"/>
    <col min="256" max="256" width="6.453125" style="293" customWidth="1"/>
    <col min="257" max="257" width="10.08984375" style="293" customWidth="1"/>
    <col min="258" max="258" width="11.08984375" style="293" customWidth="1"/>
    <col min="259" max="259" width="12.453125" style="293" customWidth="1"/>
    <col min="260" max="261" width="10.453125" style="293" bestFit="1" customWidth="1"/>
    <col min="262" max="262" width="9.6328125" style="293" customWidth="1"/>
    <col min="263" max="263" width="11.6328125" style="293" bestFit="1" customWidth="1"/>
    <col min="264" max="264" width="0" style="293" hidden="1" customWidth="1"/>
    <col min="265" max="265" width="20.81640625" style="293" customWidth="1"/>
    <col min="266" max="266" width="27.36328125" style="293" customWidth="1"/>
    <col min="267" max="267" width="0" style="293" hidden="1" customWidth="1"/>
    <col min="268" max="268" width="17.453125" style="293" customWidth="1"/>
    <col min="269" max="269" width="11.6328125" style="293" customWidth="1"/>
    <col min="270" max="270" width="8.453125" style="293" customWidth="1"/>
    <col min="271" max="271" width="19.36328125" style="293" customWidth="1"/>
    <col min="272" max="511" width="8.90625" style="293"/>
    <col min="512" max="512" width="6.453125" style="293" customWidth="1"/>
    <col min="513" max="513" width="10.08984375" style="293" customWidth="1"/>
    <col min="514" max="514" width="11.08984375" style="293" customWidth="1"/>
    <col min="515" max="515" width="12.453125" style="293" customWidth="1"/>
    <col min="516" max="517" width="10.453125" style="293" bestFit="1" customWidth="1"/>
    <col min="518" max="518" width="9.6328125" style="293" customWidth="1"/>
    <col min="519" max="519" width="11.6328125" style="293" bestFit="1" customWidth="1"/>
    <col min="520" max="520" width="0" style="293" hidden="1" customWidth="1"/>
    <col min="521" max="521" width="20.81640625" style="293" customWidth="1"/>
    <col min="522" max="522" width="27.36328125" style="293" customWidth="1"/>
    <col min="523" max="523" width="0" style="293" hidden="1" customWidth="1"/>
    <col min="524" max="524" width="17.453125" style="293" customWidth="1"/>
    <col min="525" max="525" width="11.6328125" style="293" customWidth="1"/>
    <col min="526" max="526" width="8.453125" style="293" customWidth="1"/>
    <col min="527" max="527" width="19.36328125" style="293" customWidth="1"/>
    <col min="528" max="767" width="8.90625" style="293"/>
    <col min="768" max="768" width="6.453125" style="293" customWidth="1"/>
    <col min="769" max="769" width="10.08984375" style="293" customWidth="1"/>
    <col min="770" max="770" width="11.08984375" style="293" customWidth="1"/>
    <col min="771" max="771" width="12.453125" style="293" customWidth="1"/>
    <col min="772" max="773" width="10.453125" style="293" bestFit="1" customWidth="1"/>
    <col min="774" max="774" width="9.6328125" style="293" customWidth="1"/>
    <col min="775" max="775" width="11.6328125" style="293" bestFit="1" customWidth="1"/>
    <col min="776" max="776" width="0" style="293" hidden="1" customWidth="1"/>
    <col min="777" max="777" width="20.81640625" style="293" customWidth="1"/>
    <col min="778" max="778" width="27.36328125" style="293" customWidth="1"/>
    <col min="779" max="779" width="0" style="293" hidden="1" customWidth="1"/>
    <col min="780" max="780" width="17.453125" style="293" customWidth="1"/>
    <col min="781" max="781" width="11.6328125" style="293" customWidth="1"/>
    <col min="782" max="782" width="8.453125" style="293" customWidth="1"/>
    <col min="783" max="783" width="19.36328125" style="293" customWidth="1"/>
    <col min="784" max="1023" width="8.90625" style="293"/>
    <col min="1024" max="1024" width="6.453125" style="293" customWidth="1"/>
    <col min="1025" max="1025" width="10.08984375" style="293" customWidth="1"/>
    <col min="1026" max="1026" width="11.08984375" style="293" customWidth="1"/>
    <col min="1027" max="1027" width="12.453125" style="293" customWidth="1"/>
    <col min="1028" max="1029" width="10.453125" style="293" bestFit="1" customWidth="1"/>
    <col min="1030" max="1030" width="9.6328125" style="293" customWidth="1"/>
    <col min="1031" max="1031" width="11.6328125" style="293" bestFit="1" customWidth="1"/>
    <col min="1032" max="1032" width="0" style="293" hidden="1" customWidth="1"/>
    <col min="1033" max="1033" width="20.81640625" style="293" customWidth="1"/>
    <col min="1034" max="1034" width="27.36328125" style="293" customWidth="1"/>
    <col min="1035" max="1035" width="0" style="293" hidden="1" customWidth="1"/>
    <col min="1036" max="1036" width="17.453125" style="293" customWidth="1"/>
    <col min="1037" max="1037" width="11.6328125" style="293" customWidth="1"/>
    <col min="1038" max="1038" width="8.453125" style="293" customWidth="1"/>
    <col min="1039" max="1039" width="19.36328125" style="293" customWidth="1"/>
    <col min="1040" max="1279" width="8.90625" style="293"/>
    <col min="1280" max="1280" width="6.453125" style="293" customWidth="1"/>
    <col min="1281" max="1281" width="10.08984375" style="293" customWidth="1"/>
    <col min="1282" max="1282" width="11.08984375" style="293" customWidth="1"/>
    <col min="1283" max="1283" width="12.453125" style="293" customWidth="1"/>
    <col min="1284" max="1285" width="10.453125" style="293" bestFit="1" customWidth="1"/>
    <col min="1286" max="1286" width="9.6328125" style="293" customWidth="1"/>
    <col min="1287" max="1287" width="11.6328125" style="293" bestFit="1" customWidth="1"/>
    <col min="1288" max="1288" width="0" style="293" hidden="1" customWidth="1"/>
    <col min="1289" max="1289" width="20.81640625" style="293" customWidth="1"/>
    <col min="1290" max="1290" width="27.36328125" style="293" customWidth="1"/>
    <col min="1291" max="1291" width="0" style="293" hidden="1" customWidth="1"/>
    <col min="1292" max="1292" width="17.453125" style="293" customWidth="1"/>
    <col min="1293" max="1293" width="11.6328125" style="293" customWidth="1"/>
    <col min="1294" max="1294" width="8.453125" style="293" customWidth="1"/>
    <col min="1295" max="1295" width="19.36328125" style="293" customWidth="1"/>
    <col min="1296" max="1535" width="8.90625" style="293"/>
    <col min="1536" max="1536" width="6.453125" style="293" customWidth="1"/>
    <col min="1537" max="1537" width="10.08984375" style="293" customWidth="1"/>
    <col min="1538" max="1538" width="11.08984375" style="293" customWidth="1"/>
    <col min="1539" max="1539" width="12.453125" style="293" customWidth="1"/>
    <col min="1540" max="1541" width="10.453125" style="293" bestFit="1" customWidth="1"/>
    <col min="1542" max="1542" width="9.6328125" style="293" customWidth="1"/>
    <col min="1543" max="1543" width="11.6328125" style="293" bestFit="1" customWidth="1"/>
    <col min="1544" max="1544" width="0" style="293" hidden="1" customWidth="1"/>
    <col min="1545" max="1545" width="20.81640625" style="293" customWidth="1"/>
    <col min="1546" max="1546" width="27.36328125" style="293" customWidth="1"/>
    <col min="1547" max="1547" width="0" style="293" hidden="1" customWidth="1"/>
    <col min="1548" max="1548" width="17.453125" style="293" customWidth="1"/>
    <col min="1549" max="1549" width="11.6328125" style="293" customWidth="1"/>
    <col min="1550" max="1550" width="8.453125" style="293" customWidth="1"/>
    <col min="1551" max="1551" width="19.36328125" style="293" customWidth="1"/>
    <col min="1552" max="1791" width="8.90625" style="293"/>
    <col min="1792" max="1792" width="6.453125" style="293" customWidth="1"/>
    <col min="1793" max="1793" width="10.08984375" style="293" customWidth="1"/>
    <col min="1794" max="1794" width="11.08984375" style="293" customWidth="1"/>
    <col min="1795" max="1795" width="12.453125" style="293" customWidth="1"/>
    <col min="1796" max="1797" width="10.453125" style="293" bestFit="1" customWidth="1"/>
    <col min="1798" max="1798" width="9.6328125" style="293" customWidth="1"/>
    <col min="1799" max="1799" width="11.6328125" style="293" bestFit="1" customWidth="1"/>
    <col min="1800" max="1800" width="0" style="293" hidden="1" customWidth="1"/>
    <col min="1801" max="1801" width="20.81640625" style="293" customWidth="1"/>
    <col min="1802" max="1802" width="27.36328125" style="293" customWidth="1"/>
    <col min="1803" max="1803" width="0" style="293" hidden="1" customWidth="1"/>
    <col min="1804" max="1804" width="17.453125" style="293" customWidth="1"/>
    <col min="1805" max="1805" width="11.6328125" style="293" customWidth="1"/>
    <col min="1806" max="1806" width="8.453125" style="293" customWidth="1"/>
    <col min="1807" max="1807" width="19.36328125" style="293" customWidth="1"/>
    <col min="1808" max="2047" width="8.90625" style="293"/>
    <col min="2048" max="2048" width="6.453125" style="293" customWidth="1"/>
    <col min="2049" max="2049" width="10.08984375" style="293" customWidth="1"/>
    <col min="2050" max="2050" width="11.08984375" style="293" customWidth="1"/>
    <col min="2051" max="2051" width="12.453125" style="293" customWidth="1"/>
    <col min="2052" max="2053" width="10.453125" style="293" bestFit="1" customWidth="1"/>
    <col min="2054" max="2054" width="9.6328125" style="293" customWidth="1"/>
    <col min="2055" max="2055" width="11.6328125" style="293" bestFit="1" customWidth="1"/>
    <col min="2056" max="2056" width="0" style="293" hidden="1" customWidth="1"/>
    <col min="2057" max="2057" width="20.81640625" style="293" customWidth="1"/>
    <col min="2058" max="2058" width="27.36328125" style="293" customWidth="1"/>
    <col min="2059" max="2059" width="0" style="293" hidden="1" customWidth="1"/>
    <col min="2060" max="2060" width="17.453125" style="293" customWidth="1"/>
    <col min="2061" max="2061" width="11.6328125" style="293" customWidth="1"/>
    <col min="2062" max="2062" width="8.453125" style="293" customWidth="1"/>
    <col min="2063" max="2063" width="19.36328125" style="293" customWidth="1"/>
    <col min="2064" max="2303" width="8.90625" style="293"/>
    <col min="2304" max="2304" width="6.453125" style="293" customWidth="1"/>
    <col min="2305" max="2305" width="10.08984375" style="293" customWidth="1"/>
    <col min="2306" max="2306" width="11.08984375" style="293" customWidth="1"/>
    <col min="2307" max="2307" width="12.453125" style="293" customWidth="1"/>
    <col min="2308" max="2309" width="10.453125" style="293" bestFit="1" customWidth="1"/>
    <col min="2310" max="2310" width="9.6328125" style="293" customWidth="1"/>
    <col min="2311" max="2311" width="11.6328125" style="293" bestFit="1" customWidth="1"/>
    <col min="2312" max="2312" width="0" style="293" hidden="1" customWidth="1"/>
    <col min="2313" max="2313" width="20.81640625" style="293" customWidth="1"/>
    <col min="2314" max="2314" width="27.36328125" style="293" customWidth="1"/>
    <col min="2315" max="2315" width="0" style="293" hidden="1" customWidth="1"/>
    <col min="2316" max="2316" width="17.453125" style="293" customWidth="1"/>
    <col min="2317" max="2317" width="11.6328125" style="293" customWidth="1"/>
    <col min="2318" max="2318" width="8.453125" style="293" customWidth="1"/>
    <col min="2319" max="2319" width="19.36328125" style="293" customWidth="1"/>
    <col min="2320" max="2559" width="8.90625" style="293"/>
    <col min="2560" max="2560" width="6.453125" style="293" customWidth="1"/>
    <col min="2561" max="2561" width="10.08984375" style="293" customWidth="1"/>
    <col min="2562" max="2562" width="11.08984375" style="293" customWidth="1"/>
    <col min="2563" max="2563" width="12.453125" style="293" customWidth="1"/>
    <col min="2564" max="2565" width="10.453125" style="293" bestFit="1" customWidth="1"/>
    <col min="2566" max="2566" width="9.6328125" style="293" customWidth="1"/>
    <col min="2567" max="2567" width="11.6328125" style="293" bestFit="1" customWidth="1"/>
    <col min="2568" max="2568" width="0" style="293" hidden="1" customWidth="1"/>
    <col min="2569" max="2569" width="20.81640625" style="293" customWidth="1"/>
    <col min="2570" max="2570" width="27.36328125" style="293" customWidth="1"/>
    <col min="2571" max="2571" width="0" style="293" hidden="1" customWidth="1"/>
    <col min="2572" max="2572" width="17.453125" style="293" customWidth="1"/>
    <col min="2573" max="2573" width="11.6328125" style="293" customWidth="1"/>
    <col min="2574" max="2574" width="8.453125" style="293" customWidth="1"/>
    <col min="2575" max="2575" width="19.36328125" style="293" customWidth="1"/>
    <col min="2576" max="2815" width="8.90625" style="293"/>
    <col min="2816" max="2816" width="6.453125" style="293" customWidth="1"/>
    <col min="2817" max="2817" width="10.08984375" style="293" customWidth="1"/>
    <col min="2818" max="2818" width="11.08984375" style="293" customWidth="1"/>
    <col min="2819" max="2819" width="12.453125" style="293" customWidth="1"/>
    <col min="2820" max="2821" width="10.453125" style="293" bestFit="1" customWidth="1"/>
    <col min="2822" max="2822" width="9.6328125" style="293" customWidth="1"/>
    <col min="2823" max="2823" width="11.6328125" style="293" bestFit="1" customWidth="1"/>
    <col min="2824" max="2824" width="0" style="293" hidden="1" customWidth="1"/>
    <col min="2825" max="2825" width="20.81640625" style="293" customWidth="1"/>
    <col min="2826" max="2826" width="27.36328125" style="293" customWidth="1"/>
    <col min="2827" max="2827" width="0" style="293" hidden="1" customWidth="1"/>
    <col min="2828" max="2828" width="17.453125" style="293" customWidth="1"/>
    <col min="2829" max="2829" width="11.6328125" style="293" customWidth="1"/>
    <col min="2830" max="2830" width="8.453125" style="293" customWidth="1"/>
    <col min="2831" max="2831" width="19.36328125" style="293" customWidth="1"/>
    <col min="2832" max="3071" width="8.90625" style="293"/>
    <col min="3072" max="3072" width="6.453125" style="293" customWidth="1"/>
    <col min="3073" max="3073" width="10.08984375" style="293" customWidth="1"/>
    <col min="3074" max="3074" width="11.08984375" style="293" customWidth="1"/>
    <col min="3075" max="3075" width="12.453125" style="293" customWidth="1"/>
    <col min="3076" max="3077" width="10.453125" style="293" bestFit="1" customWidth="1"/>
    <col min="3078" max="3078" width="9.6328125" style="293" customWidth="1"/>
    <col min="3079" max="3079" width="11.6328125" style="293" bestFit="1" customWidth="1"/>
    <col min="3080" max="3080" width="0" style="293" hidden="1" customWidth="1"/>
    <col min="3081" max="3081" width="20.81640625" style="293" customWidth="1"/>
    <col min="3082" max="3082" width="27.36328125" style="293" customWidth="1"/>
    <col min="3083" max="3083" width="0" style="293" hidden="1" customWidth="1"/>
    <col min="3084" max="3084" width="17.453125" style="293" customWidth="1"/>
    <col min="3085" max="3085" width="11.6328125" style="293" customWidth="1"/>
    <col min="3086" max="3086" width="8.453125" style="293" customWidth="1"/>
    <col min="3087" max="3087" width="19.36328125" style="293" customWidth="1"/>
    <col min="3088" max="3327" width="8.90625" style="293"/>
    <col min="3328" max="3328" width="6.453125" style="293" customWidth="1"/>
    <col min="3329" max="3329" width="10.08984375" style="293" customWidth="1"/>
    <col min="3330" max="3330" width="11.08984375" style="293" customWidth="1"/>
    <col min="3331" max="3331" width="12.453125" style="293" customWidth="1"/>
    <col min="3332" max="3333" width="10.453125" style="293" bestFit="1" customWidth="1"/>
    <col min="3334" max="3334" width="9.6328125" style="293" customWidth="1"/>
    <col min="3335" max="3335" width="11.6328125" style="293" bestFit="1" customWidth="1"/>
    <col min="3336" max="3336" width="0" style="293" hidden="1" customWidth="1"/>
    <col min="3337" max="3337" width="20.81640625" style="293" customWidth="1"/>
    <col min="3338" max="3338" width="27.36328125" style="293" customWidth="1"/>
    <col min="3339" max="3339" width="0" style="293" hidden="1" customWidth="1"/>
    <col min="3340" max="3340" width="17.453125" style="293" customWidth="1"/>
    <col min="3341" max="3341" width="11.6328125" style="293" customWidth="1"/>
    <col min="3342" max="3342" width="8.453125" style="293" customWidth="1"/>
    <col min="3343" max="3343" width="19.36328125" style="293" customWidth="1"/>
    <col min="3344" max="3583" width="8.90625" style="293"/>
    <col min="3584" max="3584" width="6.453125" style="293" customWidth="1"/>
    <col min="3585" max="3585" width="10.08984375" style="293" customWidth="1"/>
    <col min="3586" max="3586" width="11.08984375" style="293" customWidth="1"/>
    <col min="3587" max="3587" width="12.453125" style="293" customWidth="1"/>
    <col min="3588" max="3589" width="10.453125" style="293" bestFit="1" customWidth="1"/>
    <col min="3590" max="3590" width="9.6328125" style="293" customWidth="1"/>
    <col min="3591" max="3591" width="11.6328125" style="293" bestFit="1" customWidth="1"/>
    <col min="3592" max="3592" width="0" style="293" hidden="1" customWidth="1"/>
    <col min="3593" max="3593" width="20.81640625" style="293" customWidth="1"/>
    <col min="3594" max="3594" width="27.36328125" style="293" customWidth="1"/>
    <col min="3595" max="3595" width="0" style="293" hidden="1" customWidth="1"/>
    <col min="3596" max="3596" width="17.453125" style="293" customWidth="1"/>
    <col min="3597" max="3597" width="11.6328125" style="293" customWidth="1"/>
    <col min="3598" max="3598" width="8.453125" style="293" customWidth="1"/>
    <col min="3599" max="3599" width="19.36328125" style="293" customWidth="1"/>
    <col min="3600" max="3839" width="8.90625" style="293"/>
    <col min="3840" max="3840" width="6.453125" style="293" customWidth="1"/>
    <col min="3841" max="3841" width="10.08984375" style="293" customWidth="1"/>
    <col min="3842" max="3842" width="11.08984375" style="293" customWidth="1"/>
    <col min="3843" max="3843" width="12.453125" style="293" customWidth="1"/>
    <col min="3844" max="3845" width="10.453125" style="293" bestFit="1" customWidth="1"/>
    <col min="3846" max="3846" width="9.6328125" style="293" customWidth="1"/>
    <col min="3847" max="3847" width="11.6328125" style="293" bestFit="1" customWidth="1"/>
    <col min="3848" max="3848" width="0" style="293" hidden="1" customWidth="1"/>
    <col min="3849" max="3849" width="20.81640625" style="293" customWidth="1"/>
    <col min="3850" max="3850" width="27.36328125" style="293" customWidth="1"/>
    <col min="3851" max="3851" width="0" style="293" hidden="1" customWidth="1"/>
    <col min="3852" max="3852" width="17.453125" style="293" customWidth="1"/>
    <col min="3853" max="3853" width="11.6328125" style="293" customWidth="1"/>
    <col min="3854" max="3854" width="8.453125" style="293" customWidth="1"/>
    <col min="3855" max="3855" width="19.36328125" style="293" customWidth="1"/>
    <col min="3856" max="4095" width="8.90625" style="293"/>
    <col min="4096" max="4096" width="6.453125" style="293" customWidth="1"/>
    <col min="4097" max="4097" width="10.08984375" style="293" customWidth="1"/>
    <col min="4098" max="4098" width="11.08984375" style="293" customWidth="1"/>
    <col min="4099" max="4099" width="12.453125" style="293" customWidth="1"/>
    <col min="4100" max="4101" width="10.453125" style="293" bestFit="1" customWidth="1"/>
    <col min="4102" max="4102" width="9.6328125" style="293" customWidth="1"/>
    <col min="4103" max="4103" width="11.6328125" style="293" bestFit="1" customWidth="1"/>
    <col min="4104" max="4104" width="0" style="293" hidden="1" customWidth="1"/>
    <col min="4105" max="4105" width="20.81640625" style="293" customWidth="1"/>
    <col min="4106" max="4106" width="27.36328125" style="293" customWidth="1"/>
    <col min="4107" max="4107" width="0" style="293" hidden="1" customWidth="1"/>
    <col min="4108" max="4108" width="17.453125" style="293" customWidth="1"/>
    <col min="4109" max="4109" width="11.6328125" style="293" customWidth="1"/>
    <col min="4110" max="4110" width="8.453125" style="293" customWidth="1"/>
    <col min="4111" max="4111" width="19.36328125" style="293" customWidth="1"/>
    <col min="4112" max="4351" width="8.90625" style="293"/>
    <col min="4352" max="4352" width="6.453125" style="293" customWidth="1"/>
    <col min="4353" max="4353" width="10.08984375" style="293" customWidth="1"/>
    <col min="4354" max="4354" width="11.08984375" style="293" customWidth="1"/>
    <col min="4355" max="4355" width="12.453125" style="293" customWidth="1"/>
    <col min="4356" max="4357" width="10.453125" style="293" bestFit="1" customWidth="1"/>
    <col min="4358" max="4358" width="9.6328125" style="293" customWidth="1"/>
    <col min="4359" max="4359" width="11.6328125" style="293" bestFit="1" customWidth="1"/>
    <col min="4360" max="4360" width="0" style="293" hidden="1" customWidth="1"/>
    <col min="4361" max="4361" width="20.81640625" style="293" customWidth="1"/>
    <col min="4362" max="4362" width="27.36328125" style="293" customWidth="1"/>
    <col min="4363" max="4363" width="0" style="293" hidden="1" customWidth="1"/>
    <col min="4364" max="4364" width="17.453125" style="293" customWidth="1"/>
    <col min="4365" max="4365" width="11.6328125" style="293" customWidth="1"/>
    <col min="4366" max="4366" width="8.453125" style="293" customWidth="1"/>
    <col min="4367" max="4367" width="19.36328125" style="293" customWidth="1"/>
    <col min="4368" max="4607" width="8.90625" style="293"/>
    <col min="4608" max="4608" width="6.453125" style="293" customWidth="1"/>
    <col min="4609" max="4609" width="10.08984375" style="293" customWidth="1"/>
    <col min="4610" max="4610" width="11.08984375" style="293" customWidth="1"/>
    <col min="4611" max="4611" width="12.453125" style="293" customWidth="1"/>
    <col min="4612" max="4613" width="10.453125" style="293" bestFit="1" customWidth="1"/>
    <col min="4614" max="4614" width="9.6328125" style="293" customWidth="1"/>
    <col min="4615" max="4615" width="11.6328125" style="293" bestFit="1" customWidth="1"/>
    <col min="4616" max="4616" width="0" style="293" hidden="1" customWidth="1"/>
    <col min="4617" max="4617" width="20.81640625" style="293" customWidth="1"/>
    <col min="4618" max="4618" width="27.36328125" style="293" customWidth="1"/>
    <col min="4619" max="4619" width="0" style="293" hidden="1" customWidth="1"/>
    <col min="4620" max="4620" width="17.453125" style="293" customWidth="1"/>
    <col min="4621" max="4621" width="11.6328125" style="293" customWidth="1"/>
    <col min="4622" max="4622" width="8.453125" style="293" customWidth="1"/>
    <col min="4623" max="4623" width="19.36328125" style="293" customWidth="1"/>
    <col min="4624" max="4863" width="8.90625" style="293"/>
    <col min="4864" max="4864" width="6.453125" style="293" customWidth="1"/>
    <col min="4865" max="4865" width="10.08984375" style="293" customWidth="1"/>
    <col min="4866" max="4866" width="11.08984375" style="293" customWidth="1"/>
    <col min="4867" max="4867" width="12.453125" style="293" customWidth="1"/>
    <col min="4868" max="4869" width="10.453125" style="293" bestFit="1" customWidth="1"/>
    <col min="4870" max="4870" width="9.6328125" style="293" customWidth="1"/>
    <col min="4871" max="4871" width="11.6328125" style="293" bestFit="1" customWidth="1"/>
    <col min="4872" max="4872" width="0" style="293" hidden="1" customWidth="1"/>
    <col min="4873" max="4873" width="20.81640625" style="293" customWidth="1"/>
    <col min="4874" max="4874" width="27.36328125" style="293" customWidth="1"/>
    <col min="4875" max="4875" width="0" style="293" hidden="1" customWidth="1"/>
    <col min="4876" max="4876" width="17.453125" style="293" customWidth="1"/>
    <col min="4877" max="4877" width="11.6328125" style="293" customWidth="1"/>
    <col min="4878" max="4878" width="8.453125" style="293" customWidth="1"/>
    <col min="4879" max="4879" width="19.36328125" style="293" customWidth="1"/>
    <col min="4880" max="5119" width="8.90625" style="293"/>
    <col min="5120" max="5120" width="6.453125" style="293" customWidth="1"/>
    <col min="5121" max="5121" width="10.08984375" style="293" customWidth="1"/>
    <col min="5122" max="5122" width="11.08984375" style="293" customWidth="1"/>
    <col min="5123" max="5123" width="12.453125" style="293" customWidth="1"/>
    <col min="5124" max="5125" width="10.453125" style="293" bestFit="1" customWidth="1"/>
    <col min="5126" max="5126" width="9.6328125" style="293" customWidth="1"/>
    <col min="5127" max="5127" width="11.6328125" style="293" bestFit="1" customWidth="1"/>
    <col min="5128" max="5128" width="0" style="293" hidden="1" customWidth="1"/>
    <col min="5129" max="5129" width="20.81640625" style="293" customWidth="1"/>
    <col min="5130" max="5130" width="27.36328125" style="293" customWidth="1"/>
    <col min="5131" max="5131" width="0" style="293" hidden="1" customWidth="1"/>
    <col min="5132" max="5132" width="17.453125" style="293" customWidth="1"/>
    <col min="5133" max="5133" width="11.6328125" style="293" customWidth="1"/>
    <col min="5134" max="5134" width="8.453125" style="293" customWidth="1"/>
    <col min="5135" max="5135" width="19.36328125" style="293" customWidth="1"/>
    <col min="5136" max="5375" width="8.90625" style="293"/>
    <col min="5376" max="5376" width="6.453125" style="293" customWidth="1"/>
    <col min="5377" max="5377" width="10.08984375" style="293" customWidth="1"/>
    <col min="5378" max="5378" width="11.08984375" style="293" customWidth="1"/>
    <col min="5379" max="5379" width="12.453125" style="293" customWidth="1"/>
    <col min="5380" max="5381" width="10.453125" style="293" bestFit="1" customWidth="1"/>
    <col min="5382" max="5382" width="9.6328125" style="293" customWidth="1"/>
    <col min="5383" max="5383" width="11.6328125" style="293" bestFit="1" customWidth="1"/>
    <col min="5384" max="5384" width="0" style="293" hidden="1" customWidth="1"/>
    <col min="5385" max="5385" width="20.81640625" style="293" customWidth="1"/>
    <col min="5386" max="5386" width="27.36328125" style="293" customWidth="1"/>
    <col min="5387" max="5387" width="0" style="293" hidden="1" customWidth="1"/>
    <col min="5388" max="5388" width="17.453125" style="293" customWidth="1"/>
    <col min="5389" max="5389" width="11.6328125" style="293" customWidth="1"/>
    <col min="5390" max="5390" width="8.453125" style="293" customWidth="1"/>
    <col min="5391" max="5391" width="19.36328125" style="293" customWidth="1"/>
    <col min="5392" max="5631" width="8.90625" style="293"/>
    <col min="5632" max="5632" width="6.453125" style="293" customWidth="1"/>
    <col min="5633" max="5633" width="10.08984375" style="293" customWidth="1"/>
    <col min="5634" max="5634" width="11.08984375" style="293" customWidth="1"/>
    <col min="5635" max="5635" width="12.453125" style="293" customWidth="1"/>
    <col min="5636" max="5637" width="10.453125" style="293" bestFit="1" customWidth="1"/>
    <col min="5638" max="5638" width="9.6328125" style="293" customWidth="1"/>
    <col min="5639" max="5639" width="11.6328125" style="293" bestFit="1" customWidth="1"/>
    <col min="5640" max="5640" width="0" style="293" hidden="1" customWidth="1"/>
    <col min="5641" max="5641" width="20.81640625" style="293" customWidth="1"/>
    <col min="5642" max="5642" width="27.36328125" style="293" customWidth="1"/>
    <col min="5643" max="5643" width="0" style="293" hidden="1" customWidth="1"/>
    <col min="5644" max="5644" width="17.453125" style="293" customWidth="1"/>
    <col min="5645" max="5645" width="11.6328125" style="293" customWidth="1"/>
    <col min="5646" max="5646" width="8.453125" style="293" customWidth="1"/>
    <col min="5647" max="5647" width="19.36328125" style="293" customWidth="1"/>
    <col min="5648" max="5887" width="8.90625" style="293"/>
    <col min="5888" max="5888" width="6.453125" style="293" customWidth="1"/>
    <col min="5889" max="5889" width="10.08984375" style="293" customWidth="1"/>
    <col min="5890" max="5890" width="11.08984375" style="293" customWidth="1"/>
    <col min="5891" max="5891" width="12.453125" style="293" customWidth="1"/>
    <col min="5892" max="5893" width="10.453125" style="293" bestFit="1" customWidth="1"/>
    <col min="5894" max="5894" width="9.6328125" style="293" customWidth="1"/>
    <col min="5895" max="5895" width="11.6328125" style="293" bestFit="1" customWidth="1"/>
    <col min="5896" max="5896" width="0" style="293" hidden="1" customWidth="1"/>
    <col min="5897" max="5897" width="20.81640625" style="293" customWidth="1"/>
    <col min="5898" max="5898" width="27.36328125" style="293" customWidth="1"/>
    <col min="5899" max="5899" width="0" style="293" hidden="1" customWidth="1"/>
    <col min="5900" max="5900" width="17.453125" style="293" customWidth="1"/>
    <col min="5901" max="5901" width="11.6328125" style="293" customWidth="1"/>
    <col min="5902" max="5902" width="8.453125" style="293" customWidth="1"/>
    <col min="5903" max="5903" width="19.36328125" style="293" customWidth="1"/>
    <col min="5904" max="6143" width="8.90625" style="293"/>
    <col min="6144" max="6144" width="6.453125" style="293" customWidth="1"/>
    <col min="6145" max="6145" width="10.08984375" style="293" customWidth="1"/>
    <col min="6146" max="6146" width="11.08984375" style="293" customWidth="1"/>
    <col min="6147" max="6147" width="12.453125" style="293" customWidth="1"/>
    <col min="6148" max="6149" width="10.453125" style="293" bestFit="1" customWidth="1"/>
    <col min="6150" max="6150" width="9.6328125" style="293" customWidth="1"/>
    <col min="6151" max="6151" width="11.6328125" style="293" bestFit="1" customWidth="1"/>
    <col min="6152" max="6152" width="0" style="293" hidden="1" customWidth="1"/>
    <col min="6153" max="6153" width="20.81640625" style="293" customWidth="1"/>
    <col min="6154" max="6154" width="27.36328125" style="293" customWidth="1"/>
    <col min="6155" max="6155" width="0" style="293" hidden="1" customWidth="1"/>
    <col min="6156" max="6156" width="17.453125" style="293" customWidth="1"/>
    <col min="6157" max="6157" width="11.6328125" style="293" customWidth="1"/>
    <col min="6158" max="6158" width="8.453125" style="293" customWidth="1"/>
    <col min="6159" max="6159" width="19.36328125" style="293" customWidth="1"/>
    <col min="6160" max="6399" width="8.90625" style="293"/>
    <col min="6400" max="6400" width="6.453125" style="293" customWidth="1"/>
    <col min="6401" max="6401" width="10.08984375" style="293" customWidth="1"/>
    <col min="6402" max="6402" width="11.08984375" style="293" customWidth="1"/>
    <col min="6403" max="6403" width="12.453125" style="293" customWidth="1"/>
    <col min="6404" max="6405" width="10.453125" style="293" bestFit="1" customWidth="1"/>
    <col min="6406" max="6406" width="9.6328125" style="293" customWidth="1"/>
    <col min="6407" max="6407" width="11.6328125" style="293" bestFit="1" customWidth="1"/>
    <col min="6408" max="6408" width="0" style="293" hidden="1" customWidth="1"/>
    <col min="6409" max="6409" width="20.81640625" style="293" customWidth="1"/>
    <col min="6410" max="6410" width="27.36328125" style="293" customWidth="1"/>
    <col min="6411" max="6411" width="0" style="293" hidden="1" customWidth="1"/>
    <col min="6412" max="6412" width="17.453125" style="293" customWidth="1"/>
    <col min="6413" max="6413" width="11.6328125" style="293" customWidth="1"/>
    <col min="6414" max="6414" width="8.453125" style="293" customWidth="1"/>
    <col min="6415" max="6415" width="19.36328125" style="293" customWidth="1"/>
    <col min="6416" max="6655" width="8.90625" style="293"/>
    <col min="6656" max="6656" width="6.453125" style="293" customWidth="1"/>
    <col min="6657" max="6657" width="10.08984375" style="293" customWidth="1"/>
    <col min="6658" max="6658" width="11.08984375" style="293" customWidth="1"/>
    <col min="6659" max="6659" width="12.453125" style="293" customWidth="1"/>
    <col min="6660" max="6661" width="10.453125" style="293" bestFit="1" customWidth="1"/>
    <col min="6662" max="6662" width="9.6328125" style="293" customWidth="1"/>
    <col min="6663" max="6663" width="11.6328125" style="293" bestFit="1" customWidth="1"/>
    <col min="6664" max="6664" width="0" style="293" hidden="1" customWidth="1"/>
    <col min="6665" max="6665" width="20.81640625" style="293" customWidth="1"/>
    <col min="6666" max="6666" width="27.36328125" style="293" customWidth="1"/>
    <col min="6667" max="6667" width="0" style="293" hidden="1" customWidth="1"/>
    <col min="6668" max="6668" width="17.453125" style="293" customWidth="1"/>
    <col min="6669" max="6669" width="11.6328125" style="293" customWidth="1"/>
    <col min="6670" max="6670" width="8.453125" style="293" customWidth="1"/>
    <col min="6671" max="6671" width="19.36328125" style="293" customWidth="1"/>
    <col min="6672" max="6911" width="8.90625" style="293"/>
    <col min="6912" max="6912" width="6.453125" style="293" customWidth="1"/>
    <col min="6913" max="6913" width="10.08984375" style="293" customWidth="1"/>
    <col min="6914" max="6914" width="11.08984375" style="293" customWidth="1"/>
    <col min="6915" max="6915" width="12.453125" style="293" customWidth="1"/>
    <col min="6916" max="6917" width="10.453125" style="293" bestFit="1" customWidth="1"/>
    <col min="6918" max="6918" width="9.6328125" style="293" customWidth="1"/>
    <col min="6919" max="6919" width="11.6328125" style="293" bestFit="1" customWidth="1"/>
    <col min="6920" max="6920" width="0" style="293" hidden="1" customWidth="1"/>
    <col min="6921" max="6921" width="20.81640625" style="293" customWidth="1"/>
    <col min="6922" max="6922" width="27.36328125" style="293" customWidth="1"/>
    <col min="6923" max="6923" width="0" style="293" hidden="1" customWidth="1"/>
    <col min="6924" max="6924" width="17.453125" style="293" customWidth="1"/>
    <col min="6925" max="6925" width="11.6328125" style="293" customWidth="1"/>
    <col min="6926" max="6926" width="8.453125" style="293" customWidth="1"/>
    <col min="6927" max="6927" width="19.36328125" style="293" customWidth="1"/>
    <col min="6928" max="7167" width="8.90625" style="293"/>
    <col min="7168" max="7168" width="6.453125" style="293" customWidth="1"/>
    <col min="7169" max="7169" width="10.08984375" style="293" customWidth="1"/>
    <col min="7170" max="7170" width="11.08984375" style="293" customWidth="1"/>
    <col min="7171" max="7171" width="12.453125" style="293" customWidth="1"/>
    <col min="7172" max="7173" width="10.453125" style="293" bestFit="1" customWidth="1"/>
    <col min="7174" max="7174" width="9.6328125" style="293" customWidth="1"/>
    <col min="7175" max="7175" width="11.6328125" style="293" bestFit="1" customWidth="1"/>
    <col min="7176" max="7176" width="0" style="293" hidden="1" customWidth="1"/>
    <col min="7177" max="7177" width="20.81640625" style="293" customWidth="1"/>
    <col min="7178" max="7178" width="27.36328125" style="293" customWidth="1"/>
    <col min="7179" max="7179" width="0" style="293" hidden="1" customWidth="1"/>
    <col min="7180" max="7180" width="17.453125" style="293" customWidth="1"/>
    <col min="7181" max="7181" width="11.6328125" style="293" customWidth="1"/>
    <col min="7182" max="7182" width="8.453125" style="293" customWidth="1"/>
    <col min="7183" max="7183" width="19.36328125" style="293" customWidth="1"/>
    <col min="7184" max="7423" width="8.90625" style="293"/>
    <col min="7424" max="7424" width="6.453125" style="293" customWidth="1"/>
    <col min="7425" max="7425" width="10.08984375" style="293" customWidth="1"/>
    <col min="7426" max="7426" width="11.08984375" style="293" customWidth="1"/>
    <col min="7427" max="7427" width="12.453125" style="293" customWidth="1"/>
    <col min="7428" max="7429" width="10.453125" style="293" bestFit="1" customWidth="1"/>
    <col min="7430" max="7430" width="9.6328125" style="293" customWidth="1"/>
    <col min="7431" max="7431" width="11.6328125" style="293" bestFit="1" customWidth="1"/>
    <col min="7432" max="7432" width="0" style="293" hidden="1" customWidth="1"/>
    <col min="7433" max="7433" width="20.81640625" style="293" customWidth="1"/>
    <col min="7434" max="7434" width="27.36328125" style="293" customWidth="1"/>
    <col min="7435" max="7435" width="0" style="293" hidden="1" customWidth="1"/>
    <col min="7436" max="7436" width="17.453125" style="293" customWidth="1"/>
    <col min="7437" max="7437" width="11.6328125" style="293" customWidth="1"/>
    <col min="7438" max="7438" width="8.453125" style="293" customWidth="1"/>
    <col min="7439" max="7439" width="19.36328125" style="293" customWidth="1"/>
    <col min="7440" max="7679" width="8.90625" style="293"/>
    <col min="7680" max="7680" width="6.453125" style="293" customWidth="1"/>
    <col min="7681" max="7681" width="10.08984375" style="293" customWidth="1"/>
    <col min="7682" max="7682" width="11.08984375" style="293" customWidth="1"/>
    <col min="7683" max="7683" width="12.453125" style="293" customWidth="1"/>
    <col min="7684" max="7685" width="10.453125" style="293" bestFit="1" customWidth="1"/>
    <col min="7686" max="7686" width="9.6328125" style="293" customWidth="1"/>
    <col min="7687" max="7687" width="11.6328125" style="293" bestFit="1" customWidth="1"/>
    <col min="7688" max="7688" width="0" style="293" hidden="1" customWidth="1"/>
    <col min="7689" max="7689" width="20.81640625" style="293" customWidth="1"/>
    <col min="7690" max="7690" width="27.36328125" style="293" customWidth="1"/>
    <col min="7691" max="7691" width="0" style="293" hidden="1" customWidth="1"/>
    <col min="7692" max="7692" width="17.453125" style="293" customWidth="1"/>
    <col min="7693" max="7693" width="11.6328125" style="293" customWidth="1"/>
    <col min="7694" max="7694" width="8.453125" style="293" customWidth="1"/>
    <col min="7695" max="7695" width="19.36328125" style="293" customWidth="1"/>
    <col min="7696" max="7935" width="8.90625" style="293"/>
    <col min="7936" max="7936" width="6.453125" style="293" customWidth="1"/>
    <col min="7937" max="7937" width="10.08984375" style="293" customWidth="1"/>
    <col min="7938" max="7938" width="11.08984375" style="293" customWidth="1"/>
    <col min="7939" max="7939" width="12.453125" style="293" customWidth="1"/>
    <col min="7940" max="7941" width="10.453125" style="293" bestFit="1" customWidth="1"/>
    <col min="7942" max="7942" width="9.6328125" style="293" customWidth="1"/>
    <col min="7943" max="7943" width="11.6328125" style="293" bestFit="1" customWidth="1"/>
    <col min="7944" max="7944" width="0" style="293" hidden="1" customWidth="1"/>
    <col min="7945" max="7945" width="20.81640625" style="293" customWidth="1"/>
    <col min="7946" max="7946" width="27.36328125" style="293" customWidth="1"/>
    <col min="7947" max="7947" width="0" style="293" hidden="1" customWidth="1"/>
    <col min="7948" max="7948" width="17.453125" style="293" customWidth="1"/>
    <col min="7949" max="7949" width="11.6328125" style="293" customWidth="1"/>
    <col min="7950" max="7950" width="8.453125" style="293" customWidth="1"/>
    <col min="7951" max="7951" width="19.36328125" style="293" customWidth="1"/>
    <col min="7952" max="8191" width="8.90625" style="293"/>
    <col min="8192" max="8192" width="6.453125" style="293" customWidth="1"/>
    <col min="8193" max="8193" width="10.08984375" style="293" customWidth="1"/>
    <col min="8194" max="8194" width="11.08984375" style="293" customWidth="1"/>
    <col min="8195" max="8195" width="12.453125" style="293" customWidth="1"/>
    <col min="8196" max="8197" width="10.453125" style="293" bestFit="1" customWidth="1"/>
    <col min="8198" max="8198" width="9.6328125" style="293" customWidth="1"/>
    <col min="8199" max="8199" width="11.6328125" style="293" bestFit="1" customWidth="1"/>
    <col min="8200" max="8200" width="0" style="293" hidden="1" customWidth="1"/>
    <col min="8201" max="8201" width="20.81640625" style="293" customWidth="1"/>
    <col min="8202" max="8202" width="27.36328125" style="293" customWidth="1"/>
    <col min="8203" max="8203" width="0" style="293" hidden="1" customWidth="1"/>
    <col min="8204" max="8204" width="17.453125" style="293" customWidth="1"/>
    <col min="8205" max="8205" width="11.6328125" style="293" customWidth="1"/>
    <col min="8206" max="8206" width="8.453125" style="293" customWidth="1"/>
    <col min="8207" max="8207" width="19.36328125" style="293" customWidth="1"/>
    <col min="8208" max="8447" width="8.90625" style="293"/>
    <col min="8448" max="8448" width="6.453125" style="293" customWidth="1"/>
    <col min="8449" max="8449" width="10.08984375" style="293" customWidth="1"/>
    <col min="8450" max="8450" width="11.08984375" style="293" customWidth="1"/>
    <col min="8451" max="8451" width="12.453125" style="293" customWidth="1"/>
    <col min="8452" max="8453" width="10.453125" style="293" bestFit="1" customWidth="1"/>
    <col min="8454" max="8454" width="9.6328125" style="293" customWidth="1"/>
    <col min="8455" max="8455" width="11.6328125" style="293" bestFit="1" customWidth="1"/>
    <col min="8456" max="8456" width="0" style="293" hidden="1" customWidth="1"/>
    <col min="8457" max="8457" width="20.81640625" style="293" customWidth="1"/>
    <col min="8458" max="8458" width="27.36328125" style="293" customWidth="1"/>
    <col min="8459" max="8459" width="0" style="293" hidden="1" customWidth="1"/>
    <col min="8460" max="8460" width="17.453125" style="293" customWidth="1"/>
    <col min="8461" max="8461" width="11.6328125" style="293" customWidth="1"/>
    <col min="8462" max="8462" width="8.453125" style="293" customWidth="1"/>
    <col min="8463" max="8463" width="19.36328125" style="293" customWidth="1"/>
    <col min="8464" max="8703" width="8.90625" style="293"/>
    <col min="8704" max="8704" width="6.453125" style="293" customWidth="1"/>
    <col min="8705" max="8705" width="10.08984375" style="293" customWidth="1"/>
    <col min="8706" max="8706" width="11.08984375" style="293" customWidth="1"/>
    <col min="8707" max="8707" width="12.453125" style="293" customWidth="1"/>
    <col min="8708" max="8709" width="10.453125" style="293" bestFit="1" customWidth="1"/>
    <col min="8710" max="8710" width="9.6328125" style="293" customWidth="1"/>
    <col min="8711" max="8711" width="11.6328125" style="293" bestFit="1" customWidth="1"/>
    <col min="8712" max="8712" width="0" style="293" hidden="1" customWidth="1"/>
    <col min="8713" max="8713" width="20.81640625" style="293" customWidth="1"/>
    <col min="8714" max="8714" width="27.36328125" style="293" customWidth="1"/>
    <col min="8715" max="8715" width="0" style="293" hidden="1" customWidth="1"/>
    <col min="8716" max="8716" width="17.453125" style="293" customWidth="1"/>
    <col min="8717" max="8717" width="11.6328125" style="293" customWidth="1"/>
    <col min="8718" max="8718" width="8.453125" style="293" customWidth="1"/>
    <col min="8719" max="8719" width="19.36328125" style="293" customWidth="1"/>
    <col min="8720" max="8959" width="8.90625" style="293"/>
    <col min="8960" max="8960" width="6.453125" style="293" customWidth="1"/>
    <col min="8961" max="8961" width="10.08984375" style="293" customWidth="1"/>
    <col min="8962" max="8962" width="11.08984375" style="293" customWidth="1"/>
    <col min="8963" max="8963" width="12.453125" style="293" customWidth="1"/>
    <col min="8964" max="8965" width="10.453125" style="293" bestFit="1" customWidth="1"/>
    <col min="8966" max="8966" width="9.6328125" style="293" customWidth="1"/>
    <col min="8967" max="8967" width="11.6328125" style="293" bestFit="1" customWidth="1"/>
    <col min="8968" max="8968" width="0" style="293" hidden="1" customWidth="1"/>
    <col min="8969" max="8969" width="20.81640625" style="293" customWidth="1"/>
    <col min="8970" max="8970" width="27.36328125" style="293" customWidth="1"/>
    <col min="8971" max="8971" width="0" style="293" hidden="1" customWidth="1"/>
    <col min="8972" max="8972" width="17.453125" style="293" customWidth="1"/>
    <col min="8973" max="8973" width="11.6328125" style="293" customWidth="1"/>
    <col min="8974" max="8974" width="8.453125" style="293" customWidth="1"/>
    <col min="8975" max="8975" width="19.36328125" style="293" customWidth="1"/>
    <col min="8976" max="9215" width="8.90625" style="293"/>
    <col min="9216" max="9216" width="6.453125" style="293" customWidth="1"/>
    <col min="9217" max="9217" width="10.08984375" style="293" customWidth="1"/>
    <col min="9218" max="9218" width="11.08984375" style="293" customWidth="1"/>
    <col min="9219" max="9219" width="12.453125" style="293" customWidth="1"/>
    <col min="9220" max="9221" width="10.453125" style="293" bestFit="1" customWidth="1"/>
    <col min="9222" max="9222" width="9.6328125" style="293" customWidth="1"/>
    <col min="9223" max="9223" width="11.6328125" style="293" bestFit="1" customWidth="1"/>
    <col min="9224" max="9224" width="0" style="293" hidden="1" customWidth="1"/>
    <col min="9225" max="9225" width="20.81640625" style="293" customWidth="1"/>
    <col min="9226" max="9226" width="27.36328125" style="293" customWidth="1"/>
    <col min="9227" max="9227" width="0" style="293" hidden="1" customWidth="1"/>
    <col min="9228" max="9228" width="17.453125" style="293" customWidth="1"/>
    <col min="9229" max="9229" width="11.6328125" style="293" customWidth="1"/>
    <col min="9230" max="9230" width="8.453125" style="293" customWidth="1"/>
    <col min="9231" max="9231" width="19.36328125" style="293" customWidth="1"/>
    <col min="9232" max="9471" width="8.90625" style="293"/>
    <col min="9472" max="9472" width="6.453125" style="293" customWidth="1"/>
    <col min="9473" max="9473" width="10.08984375" style="293" customWidth="1"/>
    <col min="9474" max="9474" width="11.08984375" style="293" customWidth="1"/>
    <col min="9475" max="9475" width="12.453125" style="293" customWidth="1"/>
    <col min="9476" max="9477" width="10.453125" style="293" bestFit="1" customWidth="1"/>
    <col min="9478" max="9478" width="9.6328125" style="293" customWidth="1"/>
    <col min="9479" max="9479" width="11.6328125" style="293" bestFit="1" customWidth="1"/>
    <col min="9480" max="9480" width="0" style="293" hidden="1" customWidth="1"/>
    <col min="9481" max="9481" width="20.81640625" style="293" customWidth="1"/>
    <col min="9482" max="9482" width="27.36328125" style="293" customWidth="1"/>
    <col min="9483" max="9483" width="0" style="293" hidden="1" customWidth="1"/>
    <col min="9484" max="9484" width="17.453125" style="293" customWidth="1"/>
    <col min="9485" max="9485" width="11.6328125" style="293" customWidth="1"/>
    <col min="9486" max="9486" width="8.453125" style="293" customWidth="1"/>
    <col min="9487" max="9487" width="19.36328125" style="293" customWidth="1"/>
    <col min="9488" max="9727" width="8.90625" style="293"/>
    <col min="9728" max="9728" width="6.453125" style="293" customWidth="1"/>
    <col min="9729" max="9729" width="10.08984375" style="293" customWidth="1"/>
    <col min="9730" max="9730" width="11.08984375" style="293" customWidth="1"/>
    <col min="9731" max="9731" width="12.453125" style="293" customWidth="1"/>
    <col min="9732" max="9733" width="10.453125" style="293" bestFit="1" customWidth="1"/>
    <col min="9734" max="9734" width="9.6328125" style="293" customWidth="1"/>
    <col min="9735" max="9735" width="11.6328125" style="293" bestFit="1" customWidth="1"/>
    <col min="9736" max="9736" width="0" style="293" hidden="1" customWidth="1"/>
    <col min="9737" max="9737" width="20.81640625" style="293" customWidth="1"/>
    <col min="9738" max="9738" width="27.36328125" style="293" customWidth="1"/>
    <col min="9739" max="9739" width="0" style="293" hidden="1" customWidth="1"/>
    <col min="9740" max="9740" width="17.453125" style="293" customWidth="1"/>
    <col min="9741" max="9741" width="11.6328125" style="293" customWidth="1"/>
    <col min="9742" max="9742" width="8.453125" style="293" customWidth="1"/>
    <col min="9743" max="9743" width="19.36328125" style="293" customWidth="1"/>
    <col min="9744" max="9983" width="8.90625" style="293"/>
    <col min="9984" max="9984" width="6.453125" style="293" customWidth="1"/>
    <col min="9985" max="9985" width="10.08984375" style="293" customWidth="1"/>
    <col min="9986" max="9986" width="11.08984375" style="293" customWidth="1"/>
    <col min="9987" max="9987" width="12.453125" style="293" customWidth="1"/>
    <col min="9988" max="9989" width="10.453125" style="293" bestFit="1" customWidth="1"/>
    <col min="9990" max="9990" width="9.6328125" style="293" customWidth="1"/>
    <col min="9991" max="9991" width="11.6328125" style="293" bestFit="1" customWidth="1"/>
    <col min="9992" max="9992" width="0" style="293" hidden="1" customWidth="1"/>
    <col min="9993" max="9993" width="20.81640625" style="293" customWidth="1"/>
    <col min="9994" max="9994" width="27.36328125" style="293" customWidth="1"/>
    <col min="9995" max="9995" width="0" style="293" hidden="1" customWidth="1"/>
    <col min="9996" max="9996" width="17.453125" style="293" customWidth="1"/>
    <col min="9997" max="9997" width="11.6328125" style="293" customWidth="1"/>
    <col min="9998" max="9998" width="8.453125" style="293" customWidth="1"/>
    <col min="9999" max="9999" width="19.36328125" style="293" customWidth="1"/>
    <col min="10000" max="10239" width="8.90625" style="293"/>
    <col min="10240" max="10240" width="6.453125" style="293" customWidth="1"/>
    <col min="10241" max="10241" width="10.08984375" style="293" customWidth="1"/>
    <col min="10242" max="10242" width="11.08984375" style="293" customWidth="1"/>
    <col min="10243" max="10243" width="12.453125" style="293" customWidth="1"/>
    <col min="10244" max="10245" width="10.453125" style="293" bestFit="1" customWidth="1"/>
    <col min="10246" max="10246" width="9.6328125" style="293" customWidth="1"/>
    <col min="10247" max="10247" width="11.6328125" style="293" bestFit="1" customWidth="1"/>
    <col min="10248" max="10248" width="0" style="293" hidden="1" customWidth="1"/>
    <col min="10249" max="10249" width="20.81640625" style="293" customWidth="1"/>
    <col min="10250" max="10250" width="27.36328125" style="293" customWidth="1"/>
    <col min="10251" max="10251" width="0" style="293" hidden="1" customWidth="1"/>
    <col min="10252" max="10252" width="17.453125" style="293" customWidth="1"/>
    <col min="10253" max="10253" width="11.6328125" style="293" customWidth="1"/>
    <col min="10254" max="10254" width="8.453125" style="293" customWidth="1"/>
    <col min="10255" max="10255" width="19.36328125" style="293" customWidth="1"/>
    <col min="10256" max="10495" width="8.90625" style="293"/>
    <col min="10496" max="10496" width="6.453125" style="293" customWidth="1"/>
    <col min="10497" max="10497" width="10.08984375" style="293" customWidth="1"/>
    <col min="10498" max="10498" width="11.08984375" style="293" customWidth="1"/>
    <col min="10499" max="10499" width="12.453125" style="293" customWidth="1"/>
    <col min="10500" max="10501" width="10.453125" style="293" bestFit="1" customWidth="1"/>
    <col min="10502" max="10502" width="9.6328125" style="293" customWidth="1"/>
    <col min="10503" max="10503" width="11.6328125" style="293" bestFit="1" customWidth="1"/>
    <col min="10504" max="10504" width="0" style="293" hidden="1" customWidth="1"/>
    <col min="10505" max="10505" width="20.81640625" style="293" customWidth="1"/>
    <col min="10506" max="10506" width="27.36328125" style="293" customWidth="1"/>
    <col min="10507" max="10507" width="0" style="293" hidden="1" customWidth="1"/>
    <col min="10508" max="10508" width="17.453125" style="293" customWidth="1"/>
    <col min="10509" max="10509" width="11.6328125" style="293" customWidth="1"/>
    <col min="10510" max="10510" width="8.453125" style="293" customWidth="1"/>
    <col min="10511" max="10511" width="19.36328125" style="293" customWidth="1"/>
    <col min="10512" max="10751" width="8.90625" style="293"/>
    <col min="10752" max="10752" width="6.453125" style="293" customWidth="1"/>
    <col min="10753" max="10753" width="10.08984375" style="293" customWidth="1"/>
    <col min="10754" max="10754" width="11.08984375" style="293" customWidth="1"/>
    <col min="10755" max="10755" width="12.453125" style="293" customWidth="1"/>
    <col min="10756" max="10757" width="10.453125" style="293" bestFit="1" customWidth="1"/>
    <col min="10758" max="10758" width="9.6328125" style="293" customWidth="1"/>
    <col min="10759" max="10759" width="11.6328125" style="293" bestFit="1" customWidth="1"/>
    <col min="10760" max="10760" width="0" style="293" hidden="1" customWidth="1"/>
    <col min="10761" max="10761" width="20.81640625" style="293" customWidth="1"/>
    <col min="10762" max="10762" width="27.36328125" style="293" customWidth="1"/>
    <col min="10763" max="10763" width="0" style="293" hidden="1" customWidth="1"/>
    <col min="10764" max="10764" width="17.453125" style="293" customWidth="1"/>
    <col min="10765" max="10765" width="11.6328125" style="293" customWidth="1"/>
    <col min="10766" max="10766" width="8.453125" style="293" customWidth="1"/>
    <col min="10767" max="10767" width="19.36328125" style="293" customWidth="1"/>
    <col min="10768" max="11007" width="8.90625" style="293"/>
    <col min="11008" max="11008" width="6.453125" style="293" customWidth="1"/>
    <col min="11009" max="11009" width="10.08984375" style="293" customWidth="1"/>
    <col min="11010" max="11010" width="11.08984375" style="293" customWidth="1"/>
    <col min="11011" max="11011" width="12.453125" style="293" customWidth="1"/>
    <col min="11012" max="11013" width="10.453125" style="293" bestFit="1" customWidth="1"/>
    <col min="11014" max="11014" width="9.6328125" style="293" customWidth="1"/>
    <col min="11015" max="11015" width="11.6328125" style="293" bestFit="1" customWidth="1"/>
    <col min="11016" max="11016" width="0" style="293" hidden="1" customWidth="1"/>
    <col min="11017" max="11017" width="20.81640625" style="293" customWidth="1"/>
    <col min="11018" max="11018" width="27.36328125" style="293" customWidth="1"/>
    <col min="11019" max="11019" width="0" style="293" hidden="1" customWidth="1"/>
    <col min="11020" max="11020" width="17.453125" style="293" customWidth="1"/>
    <col min="11021" max="11021" width="11.6328125" style="293" customWidth="1"/>
    <col min="11022" max="11022" width="8.453125" style="293" customWidth="1"/>
    <col min="11023" max="11023" width="19.36328125" style="293" customWidth="1"/>
    <col min="11024" max="11263" width="8.90625" style="293"/>
    <col min="11264" max="11264" width="6.453125" style="293" customWidth="1"/>
    <col min="11265" max="11265" width="10.08984375" style="293" customWidth="1"/>
    <col min="11266" max="11266" width="11.08984375" style="293" customWidth="1"/>
    <col min="11267" max="11267" width="12.453125" style="293" customWidth="1"/>
    <col min="11268" max="11269" width="10.453125" style="293" bestFit="1" customWidth="1"/>
    <col min="11270" max="11270" width="9.6328125" style="293" customWidth="1"/>
    <col min="11271" max="11271" width="11.6328125" style="293" bestFit="1" customWidth="1"/>
    <col min="11272" max="11272" width="0" style="293" hidden="1" customWidth="1"/>
    <col min="11273" max="11273" width="20.81640625" style="293" customWidth="1"/>
    <col min="11274" max="11274" width="27.36328125" style="293" customWidth="1"/>
    <col min="11275" max="11275" width="0" style="293" hidden="1" customWidth="1"/>
    <col min="11276" max="11276" width="17.453125" style="293" customWidth="1"/>
    <col min="11277" max="11277" width="11.6328125" style="293" customWidth="1"/>
    <col min="11278" max="11278" width="8.453125" style="293" customWidth="1"/>
    <col min="11279" max="11279" width="19.36328125" style="293" customWidth="1"/>
    <col min="11280" max="11519" width="8.90625" style="293"/>
    <col min="11520" max="11520" width="6.453125" style="293" customWidth="1"/>
    <col min="11521" max="11521" width="10.08984375" style="293" customWidth="1"/>
    <col min="11522" max="11522" width="11.08984375" style="293" customWidth="1"/>
    <col min="11523" max="11523" width="12.453125" style="293" customWidth="1"/>
    <col min="11524" max="11525" width="10.453125" style="293" bestFit="1" customWidth="1"/>
    <col min="11526" max="11526" width="9.6328125" style="293" customWidth="1"/>
    <col min="11527" max="11527" width="11.6328125" style="293" bestFit="1" customWidth="1"/>
    <col min="11528" max="11528" width="0" style="293" hidden="1" customWidth="1"/>
    <col min="11529" max="11529" width="20.81640625" style="293" customWidth="1"/>
    <col min="11530" max="11530" width="27.36328125" style="293" customWidth="1"/>
    <col min="11531" max="11531" width="0" style="293" hidden="1" customWidth="1"/>
    <col min="11532" max="11532" width="17.453125" style="293" customWidth="1"/>
    <col min="11533" max="11533" width="11.6328125" style="293" customWidth="1"/>
    <col min="11534" max="11534" width="8.453125" style="293" customWidth="1"/>
    <col min="11535" max="11535" width="19.36328125" style="293" customWidth="1"/>
    <col min="11536" max="11775" width="8.90625" style="293"/>
    <col min="11776" max="11776" width="6.453125" style="293" customWidth="1"/>
    <col min="11777" max="11777" width="10.08984375" style="293" customWidth="1"/>
    <col min="11778" max="11778" width="11.08984375" style="293" customWidth="1"/>
    <col min="11779" max="11779" width="12.453125" style="293" customWidth="1"/>
    <col min="11780" max="11781" width="10.453125" style="293" bestFit="1" customWidth="1"/>
    <col min="11782" max="11782" width="9.6328125" style="293" customWidth="1"/>
    <col min="11783" max="11783" width="11.6328125" style="293" bestFit="1" customWidth="1"/>
    <col min="11784" max="11784" width="0" style="293" hidden="1" customWidth="1"/>
    <col min="11785" max="11785" width="20.81640625" style="293" customWidth="1"/>
    <col min="11786" max="11786" width="27.36328125" style="293" customWidth="1"/>
    <col min="11787" max="11787" width="0" style="293" hidden="1" customWidth="1"/>
    <col min="11788" max="11788" width="17.453125" style="293" customWidth="1"/>
    <col min="11789" max="11789" width="11.6328125" style="293" customWidth="1"/>
    <col min="11790" max="11790" width="8.453125" style="293" customWidth="1"/>
    <col min="11791" max="11791" width="19.36328125" style="293" customWidth="1"/>
    <col min="11792" max="12031" width="8.90625" style="293"/>
    <col min="12032" max="12032" width="6.453125" style="293" customWidth="1"/>
    <col min="12033" max="12033" width="10.08984375" style="293" customWidth="1"/>
    <col min="12034" max="12034" width="11.08984375" style="293" customWidth="1"/>
    <col min="12035" max="12035" width="12.453125" style="293" customWidth="1"/>
    <col min="12036" max="12037" width="10.453125" style="293" bestFit="1" customWidth="1"/>
    <col min="12038" max="12038" width="9.6328125" style="293" customWidth="1"/>
    <col min="12039" max="12039" width="11.6328125" style="293" bestFit="1" customWidth="1"/>
    <col min="12040" max="12040" width="0" style="293" hidden="1" customWidth="1"/>
    <col min="12041" max="12041" width="20.81640625" style="293" customWidth="1"/>
    <col min="12042" max="12042" width="27.36328125" style="293" customWidth="1"/>
    <col min="12043" max="12043" width="0" style="293" hidden="1" customWidth="1"/>
    <col min="12044" max="12044" width="17.453125" style="293" customWidth="1"/>
    <col min="12045" max="12045" width="11.6328125" style="293" customWidth="1"/>
    <col min="12046" max="12046" width="8.453125" style="293" customWidth="1"/>
    <col min="12047" max="12047" width="19.36328125" style="293" customWidth="1"/>
    <col min="12048" max="12287" width="8.90625" style="293"/>
    <col min="12288" max="12288" width="6.453125" style="293" customWidth="1"/>
    <col min="12289" max="12289" width="10.08984375" style="293" customWidth="1"/>
    <col min="12290" max="12290" width="11.08984375" style="293" customWidth="1"/>
    <col min="12291" max="12291" width="12.453125" style="293" customWidth="1"/>
    <col min="12292" max="12293" width="10.453125" style="293" bestFit="1" customWidth="1"/>
    <col min="12294" max="12294" width="9.6328125" style="293" customWidth="1"/>
    <col min="12295" max="12295" width="11.6328125" style="293" bestFit="1" customWidth="1"/>
    <col min="12296" max="12296" width="0" style="293" hidden="1" customWidth="1"/>
    <col min="12297" max="12297" width="20.81640625" style="293" customWidth="1"/>
    <col min="12298" max="12298" width="27.36328125" style="293" customWidth="1"/>
    <col min="12299" max="12299" width="0" style="293" hidden="1" customWidth="1"/>
    <col min="12300" max="12300" width="17.453125" style="293" customWidth="1"/>
    <col min="12301" max="12301" width="11.6328125" style="293" customWidth="1"/>
    <col min="12302" max="12302" width="8.453125" style="293" customWidth="1"/>
    <col min="12303" max="12303" width="19.36328125" style="293" customWidth="1"/>
    <col min="12304" max="12543" width="8.90625" style="293"/>
    <col min="12544" max="12544" width="6.453125" style="293" customWidth="1"/>
    <col min="12545" max="12545" width="10.08984375" style="293" customWidth="1"/>
    <col min="12546" max="12546" width="11.08984375" style="293" customWidth="1"/>
    <col min="12547" max="12547" width="12.453125" style="293" customWidth="1"/>
    <col min="12548" max="12549" width="10.453125" style="293" bestFit="1" customWidth="1"/>
    <col min="12550" max="12550" width="9.6328125" style="293" customWidth="1"/>
    <col min="12551" max="12551" width="11.6328125" style="293" bestFit="1" customWidth="1"/>
    <col min="12552" max="12552" width="0" style="293" hidden="1" customWidth="1"/>
    <col min="12553" max="12553" width="20.81640625" style="293" customWidth="1"/>
    <col min="12554" max="12554" width="27.36328125" style="293" customWidth="1"/>
    <col min="12555" max="12555" width="0" style="293" hidden="1" customWidth="1"/>
    <col min="12556" max="12556" width="17.453125" style="293" customWidth="1"/>
    <col min="12557" max="12557" width="11.6328125" style="293" customWidth="1"/>
    <col min="12558" max="12558" width="8.453125" style="293" customWidth="1"/>
    <col min="12559" max="12559" width="19.36328125" style="293" customWidth="1"/>
    <col min="12560" max="12799" width="8.90625" style="293"/>
    <col min="12800" max="12800" width="6.453125" style="293" customWidth="1"/>
    <col min="12801" max="12801" width="10.08984375" style="293" customWidth="1"/>
    <col min="12802" max="12802" width="11.08984375" style="293" customWidth="1"/>
    <col min="12803" max="12803" width="12.453125" style="293" customWidth="1"/>
    <col min="12804" max="12805" width="10.453125" style="293" bestFit="1" customWidth="1"/>
    <col min="12806" max="12806" width="9.6328125" style="293" customWidth="1"/>
    <col min="12807" max="12807" width="11.6328125" style="293" bestFit="1" customWidth="1"/>
    <col min="12808" max="12808" width="0" style="293" hidden="1" customWidth="1"/>
    <col min="12809" max="12809" width="20.81640625" style="293" customWidth="1"/>
    <col min="12810" max="12810" width="27.36328125" style="293" customWidth="1"/>
    <col min="12811" max="12811" width="0" style="293" hidden="1" customWidth="1"/>
    <col min="12812" max="12812" width="17.453125" style="293" customWidth="1"/>
    <col min="12813" max="12813" width="11.6328125" style="293" customWidth="1"/>
    <col min="12814" max="12814" width="8.453125" style="293" customWidth="1"/>
    <col min="12815" max="12815" width="19.36328125" style="293" customWidth="1"/>
    <col min="12816" max="13055" width="8.90625" style="293"/>
    <col min="13056" max="13056" width="6.453125" style="293" customWidth="1"/>
    <col min="13057" max="13057" width="10.08984375" style="293" customWidth="1"/>
    <col min="13058" max="13058" width="11.08984375" style="293" customWidth="1"/>
    <col min="13059" max="13059" width="12.453125" style="293" customWidth="1"/>
    <col min="13060" max="13061" width="10.453125" style="293" bestFit="1" customWidth="1"/>
    <col min="13062" max="13062" width="9.6328125" style="293" customWidth="1"/>
    <col min="13063" max="13063" width="11.6328125" style="293" bestFit="1" customWidth="1"/>
    <col min="13064" max="13064" width="0" style="293" hidden="1" customWidth="1"/>
    <col min="13065" max="13065" width="20.81640625" style="293" customWidth="1"/>
    <col min="13066" max="13066" width="27.36328125" style="293" customWidth="1"/>
    <col min="13067" max="13067" width="0" style="293" hidden="1" customWidth="1"/>
    <col min="13068" max="13068" width="17.453125" style="293" customWidth="1"/>
    <col min="13069" max="13069" width="11.6328125" style="293" customWidth="1"/>
    <col min="13070" max="13070" width="8.453125" style="293" customWidth="1"/>
    <col min="13071" max="13071" width="19.36328125" style="293" customWidth="1"/>
    <col min="13072" max="13311" width="8.90625" style="293"/>
    <col min="13312" max="13312" width="6.453125" style="293" customWidth="1"/>
    <col min="13313" max="13313" width="10.08984375" style="293" customWidth="1"/>
    <col min="13314" max="13314" width="11.08984375" style="293" customWidth="1"/>
    <col min="13315" max="13315" width="12.453125" style="293" customWidth="1"/>
    <col min="13316" max="13317" width="10.453125" style="293" bestFit="1" customWidth="1"/>
    <col min="13318" max="13318" width="9.6328125" style="293" customWidth="1"/>
    <col min="13319" max="13319" width="11.6328125" style="293" bestFit="1" customWidth="1"/>
    <col min="13320" max="13320" width="0" style="293" hidden="1" customWidth="1"/>
    <col min="13321" max="13321" width="20.81640625" style="293" customWidth="1"/>
    <col min="13322" max="13322" width="27.36328125" style="293" customWidth="1"/>
    <col min="13323" max="13323" width="0" style="293" hidden="1" customWidth="1"/>
    <col min="13324" max="13324" width="17.453125" style="293" customWidth="1"/>
    <col min="13325" max="13325" width="11.6328125" style="293" customWidth="1"/>
    <col min="13326" max="13326" width="8.453125" style="293" customWidth="1"/>
    <col min="13327" max="13327" width="19.36328125" style="293" customWidth="1"/>
    <col min="13328" max="13567" width="8.90625" style="293"/>
    <col min="13568" max="13568" width="6.453125" style="293" customWidth="1"/>
    <col min="13569" max="13569" width="10.08984375" style="293" customWidth="1"/>
    <col min="13570" max="13570" width="11.08984375" style="293" customWidth="1"/>
    <col min="13571" max="13571" width="12.453125" style="293" customWidth="1"/>
    <col min="13572" max="13573" width="10.453125" style="293" bestFit="1" customWidth="1"/>
    <col min="13574" max="13574" width="9.6328125" style="293" customWidth="1"/>
    <col min="13575" max="13575" width="11.6328125" style="293" bestFit="1" customWidth="1"/>
    <col min="13576" max="13576" width="0" style="293" hidden="1" customWidth="1"/>
    <col min="13577" max="13577" width="20.81640625" style="293" customWidth="1"/>
    <col min="13578" max="13578" width="27.36328125" style="293" customWidth="1"/>
    <col min="13579" max="13579" width="0" style="293" hidden="1" customWidth="1"/>
    <col min="13580" max="13580" width="17.453125" style="293" customWidth="1"/>
    <col min="13581" max="13581" width="11.6328125" style="293" customWidth="1"/>
    <col min="13582" max="13582" width="8.453125" style="293" customWidth="1"/>
    <col min="13583" max="13583" width="19.36328125" style="293" customWidth="1"/>
    <col min="13584" max="13823" width="8.90625" style="293"/>
    <col min="13824" max="13824" width="6.453125" style="293" customWidth="1"/>
    <col min="13825" max="13825" width="10.08984375" style="293" customWidth="1"/>
    <col min="13826" max="13826" width="11.08984375" style="293" customWidth="1"/>
    <col min="13827" max="13827" width="12.453125" style="293" customWidth="1"/>
    <col min="13828" max="13829" width="10.453125" style="293" bestFit="1" customWidth="1"/>
    <col min="13830" max="13830" width="9.6328125" style="293" customWidth="1"/>
    <col min="13831" max="13831" width="11.6328125" style="293" bestFit="1" customWidth="1"/>
    <col min="13832" max="13832" width="0" style="293" hidden="1" customWidth="1"/>
    <col min="13833" max="13833" width="20.81640625" style="293" customWidth="1"/>
    <col min="13834" max="13834" width="27.36328125" style="293" customWidth="1"/>
    <col min="13835" max="13835" width="0" style="293" hidden="1" customWidth="1"/>
    <col min="13836" max="13836" width="17.453125" style="293" customWidth="1"/>
    <col min="13837" max="13837" width="11.6328125" style="293" customWidth="1"/>
    <col min="13838" max="13838" width="8.453125" style="293" customWidth="1"/>
    <col min="13839" max="13839" width="19.36328125" style="293" customWidth="1"/>
    <col min="13840" max="14079" width="8.90625" style="293"/>
    <col min="14080" max="14080" width="6.453125" style="293" customWidth="1"/>
    <col min="14081" max="14081" width="10.08984375" style="293" customWidth="1"/>
    <col min="14082" max="14082" width="11.08984375" style="293" customWidth="1"/>
    <col min="14083" max="14083" width="12.453125" style="293" customWidth="1"/>
    <col min="14084" max="14085" width="10.453125" style="293" bestFit="1" customWidth="1"/>
    <col min="14086" max="14086" width="9.6328125" style="293" customWidth="1"/>
    <col min="14087" max="14087" width="11.6328125" style="293" bestFit="1" customWidth="1"/>
    <col min="14088" max="14088" width="0" style="293" hidden="1" customWidth="1"/>
    <col min="14089" max="14089" width="20.81640625" style="293" customWidth="1"/>
    <col min="14090" max="14090" width="27.36328125" style="293" customWidth="1"/>
    <col min="14091" max="14091" width="0" style="293" hidden="1" customWidth="1"/>
    <col min="14092" max="14092" width="17.453125" style="293" customWidth="1"/>
    <col min="14093" max="14093" width="11.6328125" style="293" customWidth="1"/>
    <col min="14094" max="14094" width="8.453125" style="293" customWidth="1"/>
    <col min="14095" max="14095" width="19.36328125" style="293" customWidth="1"/>
    <col min="14096" max="14335" width="8.90625" style="293"/>
    <col min="14336" max="14336" width="6.453125" style="293" customWidth="1"/>
    <col min="14337" max="14337" width="10.08984375" style="293" customWidth="1"/>
    <col min="14338" max="14338" width="11.08984375" style="293" customWidth="1"/>
    <col min="14339" max="14339" width="12.453125" style="293" customWidth="1"/>
    <col min="14340" max="14341" width="10.453125" style="293" bestFit="1" customWidth="1"/>
    <col min="14342" max="14342" width="9.6328125" style="293" customWidth="1"/>
    <col min="14343" max="14343" width="11.6328125" style="293" bestFit="1" customWidth="1"/>
    <col min="14344" max="14344" width="0" style="293" hidden="1" customWidth="1"/>
    <col min="14345" max="14345" width="20.81640625" style="293" customWidth="1"/>
    <col min="14346" max="14346" width="27.36328125" style="293" customWidth="1"/>
    <col min="14347" max="14347" width="0" style="293" hidden="1" customWidth="1"/>
    <col min="14348" max="14348" width="17.453125" style="293" customWidth="1"/>
    <col min="14349" max="14349" width="11.6328125" style="293" customWidth="1"/>
    <col min="14350" max="14350" width="8.453125" style="293" customWidth="1"/>
    <col min="14351" max="14351" width="19.36328125" style="293" customWidth="1"/>
    <col min="14352" max="14591" width="8.90625" style="293"/>
    <col min="14592" max="14592" width="6.453125" style="293" customWidth="1"/>
    <col min="14593" max="14593" width="10.08984375" style="293" customWidth="1"/>
    <col min="14594" max="14594" width="11.08984375" style="293" customWidth="1"/>
    <col min="14595" max="14595" width="12.453125" style="293" customWidth="1"/>
    <col min="14596" max="14597" width="10.453125" style="293" bestFit="1" customWidth="1"/>
    <col min="14598" max="14598" width="9.6328125" style="293" customWidth="1"/>
    <col min="14599" max="14599" width="11.6328125" style="293" bestFit="1" customWidth="1"/>
    <col min="14600" max="14600" width="0" style="293" hidden="1" customWidth="1"/>
    <col min="14601" max="14601" width="20.81640625" style="293" customWidth="1"/>
    <col min="14602" max="14602" width="27.36328125" style="293" customWidth="1"/>
    <col min="14603" max="14603" width="0" style="293" hidden="1" customWidth="1"/>
    <col min="14604" max="14604" width="17.453125" style="293" customWidth="1"/>
    <col min="14605" max="14605" width="11.6328125" style="293" customWidth="1"/>
    <col min="14606" max="14606" width="8.453125" style="293" customWidth="1"/>
    <col min="14607" max="14607" width="19.36328125" style="293" customWidth="1"/>
    <col min="14608" max="14847" width="8.90625" style="293"/>
    <col min="14848" max="14848" width="6.453125" style="293" customWidth="1"/>
    <col min="14849" max="14849" width="10.08984375" style="293" customWidth="1"/>
    <col min="14850" max="14850" width="11.08984375" style="293" customWidth="1"/>
    <col min="14851" max="14851" width="12.453125" style="293" customWidth="1"/>
    <col min="14852" max="14853" width="10.453125" style="293" bestFit="1" customWidth="1"/>
    <col min="14854" max="14854" width="9.6328125" style="293" customWidth="1"/>
    <col min="14855" max="14855" width="11.6328125" style="293" bestFit="1" customWidth="1"/>
    <col min="14856" max="14856" width="0" style="293" hidden="1" customWidth="1"/>
    <col min="14857" max="14857" width="20.81640625" style="293" customWidth="1"/>
    <col min="14858" max="14858" width="27.36328125" style="293" customWidth="1"/>
    <col min="14859" max="14859" width="0" style="293" hidden="1" customWidth="1"/>
    <col min="14860" max="14860" width="17.453125" style="293" customWidth="1"/>
    <col min="14861" max="14861" width="11.6328125" style="293" customWidth="1"/>
    <col min="14862" max="14862" width="8.453125" style="293" customWidth="1"/>
    <col min="14863" max="14863" width="19.36328125" style="293" customWidth="1"/>
    <col min="14864" max="15103" width="8.90625" style="293"/>
    <col min="15104" max="15104" width="6.453125" style="293" customWidth="1"/>
    <col min="15105" max="15105" width="10.08984375" style="293" customWidth="1"/>
    <col min="15106" max="15106" width="11.08984375" style="293" customWidth="1"/>
    <col min="15107" max="15107" width="12.453125" style="293" customWidth="1"/>
    <col min="15108" max="15109" width="10.453125" style="293" bestFit="1" customWidth="1"/>
    <col min="15110" max="15110" width="9.6328125" style="293" customWidth="1"/>
    <col min="15111" max="15111" width="11.6328125" style="293" bestFit="1" customWidth="1"/>
    <col min="15112" max="15112" width="0" style="293" hidden="1" customWidth="1"/>
    <col min="15113" max="15113" width="20.81640625" style="293" customWidth="1"/>
    <col min="15114" max="15114" width="27.36328125" style="293" customWidth="1"/>
    <col min="15115" max="15115" width="0" style="293" hidden="1" customWidth="1"/>
    <col min="15116" max="15116" width="17.453125" style="293" customWidth="1"/>
    <col min="15117" max="15117" width="11.6328125" style="293" customWidth="1"/>
    <col min="15118" max="15118" width="8.453125" style="293" customWidth="1"/>
    <col min="15119" max="15119" width="19.36328125" style="293" customWidth="1"/>
    <col min="15120" max="15359" width="8.90625" style="293"/>
    <col min="15360" max="15360" width="6.453125" style="293" customWidth="1"/>
    <col min="15361" max="15361" width="10.08984375" style="293" customWidth="1"/>
    <col min="15362" max="15362" width="11.08984375" style="293" customWidth="1"/>
    <col min="15363" max="15363" width="12.453125" style="293" customWidth="1"/>
    <col min="15364" max="15365" width="10.453125" style="293" bestFit="1" customWidth="1"/>
    <col min="15366" max="15366" width="9.6328125" style="293" customWidth="1"/>
    <col min="15367" max="15367" width="11.6328125" style="293" bestFit="1" customWidth="1"/>
    <col min="15368" max="15368" width="0" style="293" hidden="1" customWidth="1"/>
    <col min="15369" max="15369" width="20.81640625" style="293" customWidth="1"/>
    <col min="15370" max="15370" width="27.36328125" style="293" customWidth="1"/>
    <col min="15371" max="15371" width="0" style="293" hidden="1" customWidth="1"/>
    <col min="15372" max="15372" width="17.453125" style="293" customWidth="1"/>
    <col min="15373" max="15373" width="11.6328125" style="293" customWidth="1"/>
    <col min="15374" max="15374" width="8.453125" style="293" customWidth="1"/>
    <col min="15375" max="15375" width="19.36328125" style="293" customWidth="1"/>
    <col min="15376" max="15615" width="8.90625" style="293"/>
    <col min="15616" max="15616" width="6.453125" style="293" customWidth="1"/>
    <col min="15617" max="15617" width="10.08984375" style="293" customWidth="1"/>
    <col min="15618" max="15618" width="11.08984375" style="293" customWidth="1"/>
    <col min="15619" max="15619" width="12.453125" style="293" customWidth="1"/>
    <col min="15620" max="15621" width="10.453125" style="293" bestFit="1" customWidth="1"/>
    <col min="15622" max="15622" width="9.6328125" style="293" customWidth="1"/>
    <col min="15623" max="15623" width="11.6328125" style="293" bestFit="1" customWidth="1"/>
    <col min="15624" max="15624" width="0" style="293" hidden="1" customWidth="1"/>
    <col min="15625" max="15625" width="20.81640625" style="293" customWidth="1"/>
    <col min="15626" max="15626" width="27.36328125" style="293" customWidth="1"/>
    <col min="15627" max="15627" width="0" style="293" hidden="1" customWidth="1"/>
    <col min="15628" max="15628" width="17.453125" style="293" customWidth="1"/>
    <col min="15629" max="15629" width="11.6328125" style="293" customWidth="1"/>
    <col min="15630" max="15630" width="8.453125" style="293" customWidth="1"/>
    <col min="15631" max="15631" width="19.36328125" style="293" customWidth="1"/>
    <col min="15632" max="15871" width="8.90625" style="293"/>
    <col min="15872" max="15872" width="6.453125" style="293" customWidth="1"/>
    <col min="15873" max="15873" width="10.08984375" style="293" customWidth="1"/>
    <col min="15874" max="15874" width="11.08984375" style="293" customWidth="1"/>
    <col min="15875" max="15875" width="12.453125" style="293" customWidth="1"/>
    <col min="15876" max="15877" width="10.453125" style="293" bestFit="1" customWidth="1"/>
    <col min="15878" max="15878" width="9.6328125" style="293" customWidth="1"/>
    <col min="15879" max="15879" width="11.6328125" style="293" bestFit="1" customWidth="1"/>
    <col min="15880" max="15880" width="0" style="293" hidden="1" customWidth="1"/>
    <col min="15881" max="15881" width="20.81640625" style="293" customWidth="1"/>
    <col min="15882" max="15882" width="27.36328125" style="293" customWidth="1"/>
    <col min="15883" max="15883" width="0" style="293" hidden="1" customWidth="1"/>
    <col min="15884" max="15884" width="17.453125" style="293" customWidth="1"/>
    <col min="15885" max="15885" width="11.6328125" style="293" customWidth="1"/>
    <col min="15886" max="15886" width="8.453125" style="293" customWidth="1"/>
    <col min="15887" max="15887" width="19.36328125" style="293" customWidth="1"/>
    <col min="15888" max="16127" width="8.90625" style="293"/>
    <col min="16128" max="16128" width="6.453125" style="293" customWidth="1"/>
    <col min="16129" max="16129" width="10.08984375" style="293" customWidth="1"/>
    <col min="16130" max="16130" width="11.08984375" style="293" customWidth="1"/>
    <col min="16131" max="16131" width="12.453125" style="293" customWidth="1"/>
    <col min="16132" max="16133" width="10.453125" style="293" bestFit="1" customWidth="1"/>
    <col min="16134" max="16134" width="9.6328125" style="293" customWidth="1"/>
    <col min="16135" max="16135" width="11.6328125" style="293" bestFit="1" customWidth="1"/>
    <col min="16136" max="16136" width="0" style="293" hidden="1" customWidth="1"/>
    <col min="16137" max="16137" width="20.81640625" style="293" customWidth="1"/>
    <col min="16138" max="16138" width="27.36328125" style="293" customWidth="1"/>
    <col min="16139" max="16139" width="0" style="293" hidden="1" customWidth="1"/>
    <col min="16140" max="16140" width="17.453125" style="293" customWidth="1"/>
    <col min="16141" max="16141" width="11.6328125" style="293" customWidth="1"/>
    <col min="16142" max="16142" width="8.453125" style="293" customWidth="1"/>
    <col min="16143" max="16143" width="19.36328125" style="293" customWidth="1"/>
    <col min="16144" max="16384" width="8.90625" style="293"/>
  </cols>
  <sheetData>
    <row r="1" spans="1:17" ht="47.25" customHeight="1">
      <c r="A1" s="261" t="s">
        <v>3234</v>
      </c>
    </row>
    <row r="2" spans="1:17" ht="47.25" customHeight="1">
      <c r="A2" s="210" t="s">
        <v>776</v>
      </c>
      <c r="B2" s="295" t="s">
        <v>1594</v>
      </c>
      <c r="C2" s="295" t="s">
        <v>2451</v>
      </c>
      <c r="D2" s="295" t="s">
        <v>1588</v>
      </c>
      <c r="E2" s="295" t="s">
        <v>2452</v>
      </c>
      <c r="F2" s="295" t="s">
        <v>2453</v>
      </c>
      <c r="G2" s="295" t="s">
        <v>2454</v>
      </c>
      <c r="H2" s="295" t="s">
        <v>2455</v>
      </c>
      <c r="I2" s="205" t="s">
        <v>785</v>
      </c>
      <c r="J2" s="205" t="s">
        <v>3860</v>
      </c>
      <c r="K2" s="205" t="s">
        <v>3861</v>
      </c>
      <c r="L2" s="296" t="s">
        <v>3152</v>
      </c>
      <c r="M2" s="205" t="s">
        <v>785</v>
      </c>
      <c r="N2" s="297"/>
      <c r="O2" s="298" t="s">
        <v>2459</v>
      </c>
      <c r="Q2" s="293" t="s">
        <v>3235</v>
      </c>
    </row>
    <row r="3" spans="1:17" ht="32.25" customHeight="1">
      <c r="A3" s="210">
        <v>1</v>
      </c>
      <c r="B3" s="210" t="s">
        <v>580</v>
      </c>
      <c r="C3" s="210" t="s">
        <v>3252</v>
      </c>
      <c r="D3" s="210"/>
      <c r="E3" s="299" t="s">
        <v>91</v>
      </c>
      <c r="F3" s="300">
        <v>2000</v>
      </c>
      <c r="G3" s="299">
        <v>65</v>
      </c>
      <c r="H3" s="300">
        <v>130000</v>
      </c>
      <c r="I3" s="206"/>
      <c r="J3" s="206" t="s">
        <v>2460</v>
      </c>
      <c r="K3" s="206" t="s">
        <v>3484</v>
      </c>
      <c r="L3" s="301">
        <v>130000</v>
      </c>
      <c r="M3" s="176"/>
      <c r="N3" s="302"/>
      <c r="O3" s="293">
        <f>INDEX([1]告訴人!$D$15:$F$372,MATCH(C3,[1]告訴人!$F$15:$F$372,0),1)</f>
        <v>159</v>
      </c>
    </row>
    <row r="4" spans="1:17" ht="47.25" customHeight="1">
      <c r="A4" s="210">
        <v>2</v>
      </c>
      <c r="B4" s="210" t="s">
        <v>580</v>
      </c>
      <c r="C4" s="210" t="s">
        <v>2479</v>
      </c>
      <c r="D4" s="210"/>
      <c r="E4" s="299" t="s">
        <v>91</v>
      </c>
      <c r="F4" s="300">
        <v>5000</v>
      </c>
      <c r="G4" s="299">
        <v>65</v>
      </c>
      <c r="H4" s="300">
        <v>325000</v>
      </c>
      <c r="I4" s="206"/>
      <c r="J4" s="206" t="s">
        <v>3236</v>
      </c>
      <c r="K4" s="206"/>
      <c r="L4" s="301"/>
      <c r="M4" s="176" t="s">
        <v>1832</v>
      </c>
      <c r="N4" s="302" t="str">
        <f>IF(L4&lt;&gt;0,"註3","")</f>
        <v/>
      </c>
      <c r="O4" s="293" t="e">
        <f>INDEX([1]告訴人!$D$15:$F$372,MATCH(C4,[1]告訴人!$F$15:$F$372,0),1)</f>
        <v>#N/A</v>
      </c>
      <c r="P4" s="204" t="s">
        <v>2480</v>
      </c>
      <c r="Q4" s="293">
        <v>1</v>
      </c>
    </row>
    <row r="5" spans="1:17" ht="47.25" customHeight="1">
      <c r="A5" s="210">
        <v>3</v>
      </c>
      <c r="B5" s="210" t="s">
        <v>580</v>
      </c>
      <c r="C5" s="210" t="s">
        <v>3263</v>
      </c>
      <c r="D5" s="210"/>
      <c r="E5" s="299" t="s">
        <v>590</v>
      </c>
      <c r="F5" s="300">
        <v>5000</v>
      </c>
      <c r="G5" s="299">
        <v>65</v>
      </c>
      <c r="H5" s="300">
        <v>325000</v>
      </c>
      <c r="I5" s="206"/>
      <c r="J5" s="206" t="s">
        <v>3236</v>
      </c>
      <c r="K5" s="206"/>
      <c r="L5" s="301"/>
      <c r="M5" s="176" t="s">
        <v>1832</v>
      </c>
      <c r="N5" s="302" t="str">
        <f>IF(L5&lt;&gt;0,"註3","")</f>
        <v/>
      </c>
      <c r="O5" s="293" t="e">
        <f>INDEX([1]告訴人!$D$15:$F$372,MATCH(C5,[1]告訴人!$F$15:$F$372,0),1)</f>
        <v>#N/A</v>
      </c>
      <c r="P5" s="204" t="s">
        <v>2480</v>
      </c>
      <c r="Q5" s="293">
        <v>1</v>
      </c>
    </row>
    <row r="6" spans="1:17" ht="47.25" customHeight="1">
      <c r="A6" s="210">
        <v>4</v>
      </c>
      <c r="B6" s="210" t="s">
        <v>580</v>
      </c>
      <c r="C6" s="210" t="s">
        <v>3264</v>
      </c>
      <c r="D6" s="210"/>
      <c r="E6" s="299" t="s">
        <v>590</v>
      </c>
      <c r="F6" s="300">
        <v>2000</v>
      </c>
      <c r="G6" s="299">
        <v>65</v>
      </c>
      <c r="H6" s="300">
        <v>130000</v>
      </c>
      <c r="I6" s="206"/>
      <c r="J6" s="206" t="s">
        <v>2460</v>
      </c>
      <c r="K6" s="206" t="s">
        <v>3769</v>
      </c>
      <c r="L6" s="301">
        <v>130000</v>
      </c>
      <c r="M6" s="176"/>
      <c r="N6" s="302"/>
      <c r="O6" s="293">
        <f>INDEX([1]告訴人!$D$15:$F$372,MATCH(C6,[1]告訴人!$F$15:$F$372,0),1)</f>
        <v>217</v>
      </c>
    </row>
    <row r="7" spans="1:17" ht="47.25" customHeight="1">
      <c r="A7" s="210">
        <v>5</v>
      </c>
      <c r="B7" s="210" t="s">
        <v>580</v>
      </c>
      <c r="C7" s="210" t="s">
        <v>3485</v>
      </c>
      <c r="D7" s="210"/>
      <c r="E7" s="299" t="s">
        <v>590</v>
      </c>
      <c r="F7" s="300">
        <v>2000</v>
      </c>
      <c r="G7" s="299">
        <v>65</v>
      </c>
      <c r="H7" s="300">
        <v>130000</v>
      </c>
      <c r="I7" s="206"/>
      <c r="J7" s="206" t="s">
        <v>2460</v>
      </c>
      <c r="K7" s="206" t="s">
        <v>2478</v>
      </c>
      <c r="L7" s="301">
        <v>130000</v>
      </c>
      <c r="M7" s="176"/>
      <c r="N7" s="302"/>
      <c r="O7" s="293">
        <f>INDEX([1]告訴人!$D$15:$F$372,MATCH(C7,[1]告訴人!$F$15:$F$372,0),1)</f>
        <v>159</v>
      </c>
    </row>
    <row r="8" spans="1:17" ht="47.25" customHeight="1">
      <c r="A8" s="210">
        <v>6</v>
      </c>
      <c r="B8" s="210" t="s">
        <v>580</v>
      </c>
      <c r="C8" s="210" t="s">
        <v>3265</v>
      </c>
      <c r="D8" s="210"/>
      <c r="E8" s="299" t="s">
        <v>590</v>
      </c>
      <c r="F8" s="300">
        <v>1000</v>
      </c>
      <c r="G8" s="299">
        <v>65</v>
      </c>
      <c r="H8" s="300">
        <v>65000</v>
      </c>
      <c r="I8" s="206"/>
      <c r="J8" s="206" t="s">
        <v>2460</v>
      </c>
      <c r="K8" s="206" t="s">
        <v>3769</v>
      </c>
      <c r="L8" s="301">
        <v>65000</v>
      </c>
      <c r="M8" s="176"/>
      <c r="N8" s="302"/>
      <c r="O8" s="293" t="e">
        <f>INDEX([1]告訴人!$D$15:$F$372,MATCH(C8,[1]告訴人!$F$15:$F$372,0),1)</f>
        <v>#N/A</v>
      </c>
    </row>
    <row r="9" spans="1:17" ht="47.25" customHeight="1">
      <c r="A9" s="210">
        <v>7</v>
      </c>
      <c r="B9" s="210" t="s">
        <v>580</v>
      </c>
      <c r="C9" s="210" t="s">
        <v>3266</v>
      </c>
      <c r="D9" s="210"/>
      <c r="E9" s="299" t="s">
        <v>590</v>
      </c>
      <c r="F9" s="300">
        <v>1000</v>
      </c>
      <c r="G9" s="299">
        <v>65</v>
      </c>
      <c r="H9" s="300">
        <v>65000</v>
      </c>
      <c r="I9" s="206"/>
      <c r="J9" s="206" t="s">
        <v>2460</v>
      </c>
      <c r="K9" s="206" t="s">
        <v>3769</v>
      </c>
      <c r="L9" s="301">
        <v>65000</v>
      </c>
      <c r="M9" s="176"/>
      <c r="N9" s="302"/>
      <c r="O9" s="293">
        <f>INDEX([1]告訴人!$D$15:$F$372,MATCH(C9,[1]告訴人!$F$15:$F$372,0),1)</f>
        <v>297</v>
      </c>
    </row>
    <row r="10" spans="1:17" ht="47.25" customHeight="1">
      <c r="A10" s="210">
        <v>8</v>
      </c>
      <c r="B10" s="210" t="s">
        <v>580</v>
      </c>
      <c r="C10" s="210" t="s">
        <v>594</v>
      </c>
      <c r="D10" s="210"/>
      <c r="E10" s="299" t="s">
        <v>595</v>
      </c>
      <c r="F10" s="300">
        <v>2000</v>
      </c>
      <c r="G10" s="299">
        <v>65</v>
      </c>
      <c r="H10" s="300">
        <v>130000</v>
      </c>
      <c r="I10" s="206"/>
      <c r="J10" s="206" t="s">
        <v>2460</v>
      </c>
      <c r="K10" s="206" t="s">
        <v>3768</v>
      </c>
      <c r="L10" s="301">
        <v>130000</v>
      </c>
      <c r="M10" s="176"/>
      <c r="N10" s="302"/>
      <c r="O10" s="293">
        <f>INDEX([1]告訴人!$D$15:$F$372,MATCH(C10,[1]告訴人!$F$15:$F$372,0),1)</f>
        <v>159</v>
      </c>
    </row>
    <row r="11" spans="1:17" ht="47.25" customHeight="1">
      <c r="A11" s="210">
        <v>9</v>
      </c>
      <c r="B11" s="210" t="s">
        <v>580</v>
      </c>
      <c r="C11" s="210" t="s">
        <v>3267</v>
      </c>
      <c r="D11" s="210"/>
      <c r="E11" s="299" t="s">
        <v>595</v>
      </c>
      <c r="F11" s="300">
        <v>10000</v>
      </c>
      <c r="G11" s="299">
        <v>65</v>
      </c>
      <c r="H11" s="300">
        <v>650000</v>
      </c>
      <c r="I11" s="206"/>
      <c r="J11" s="206" t="s">
        <v>2460</v>
      </c>
      <c r="K11" s="206" t="s">
        <v>3769</v>
      </c>
      <c r="L11" s="301">
        <v>650000</v>
      </c>
      <c r="M11" s="176"/>
      <c r="N11" s="302"/>
      <c r="O11" s="293">
        <f>INDEX([1]告訴人!$D$15:$F$372,MATCH(C11,[1]告訴人!$F$15:$F$372,0),1)</f>
        <v>278</v>
      </c>
    </row>
    <row r="12" spans="1:17" ht="47.25" customHeight="1">
      <c r="A12" s="210">
        <v>10</v>
      </c>
      <c r="B12" s="210" t="s">
        <v>580</v>
      </c>
      <c r="C12" s="210" t="s">
        <v>3268</v>
      </c>
      <c r="D12" s="210"/>
      <c r="E12" s="299" t="s">
        <v>595</v>
      </c>
      <c r="F12" s="300">
        <v>1000</v>
      </c>
      <c r="G12" s="299">
        <v>65</v>
      </c>
      <c r="H12" s="300">
        <v>65000</v>
      </c>
      <c r="I12" s="206"/>
      <c r="J12" s="206" t="s">
        <v>2460</v>
      </c>
      <c r="K12" s="206" t="s">
        <v>2481</v>
      </c>
      <c r="L12" s="301">
        <v>65000</v>
      </c>
      <c r="M12" s="176"/>
      <c r="N12" s="302"/>
      <c r="O12" s="293" t="e">
        <f>INDEX([1]告訴人!$D$15:$F$372,MATCH(C12,[1]告訴人!$F$15:$F$372,0),1)</f>
        <v>#N/A</v>
      </c>
    </row>
    <row r="13" spans="1:17" ht="47.25" customHeight="1">
      <c r="A13" s="210">
        <v>11</v>
      </c>
      <c r="B13" s="210" t="s">
        <v>580</v>
      </c>
      <c r="C13" s="210" t="s">
        <v>2485</v>
      </c>
      <c r="D13" s="210"/>
      <c r="E13" s="299" t="s">
        <v>595</v>
      </c>
      <c r="F13" s="300">
        <v>2000</v>
      </c>
      <c r="G13" s="299">
        <v>67</v>
      </c>
      <c r="H13" s="300">
        <v>134000</v>
      </c>
      <c r="I13" s="206"/>
      <c r="J13" s="206" t="s">
        <v>2460</v>
      </c>
      <c r="K13" s="206" t="s">
        <v>3770</v>
      </c>
      <c r="L13" s="301">
        <v>134000</v>
      </c>
      <c r="M13" s="176"/>
      <c r="N13" s="302"/>
      <c r="O13" s="293">
        <f>INDEX([1]告訴人!$D$15:$F$372,MATCH(C13,[1]告訴人!$F$15:$F$372,0),1)</f>
        <v>309</v>
      </c>
    </row>
    <row r="14" spans="1:17" ht="47.25" customHeight="1">
      <c r="A14" s="210">
        <v>12</v>
      </c>
      <c r="B14" s="210" t="s">
        <v>580</v>
      </c>
      <c r="C14" s="210" t="s">
        <v>3269</v>
      </c>
      <c r="D14" s="210"/>
      <c r="E14" s="299" t="s">
        <v>656</v>
      </c>
      <c r="F14" s="300">
        <v>2000</v>
      </c>
      <c r="G14" s="299">
        <v>67</v>
      </c>
      <c r="H14" s="300">
        <v>134000</v>
      </c>
      <c r="I14" s="206"/>
      <c r="J14" s="206" t="s">
        <v>2460</v>
      </c>
      <c r="K14" s="206" t="s">
        <v>3771</v>
      </c>
      <c r="L14" s="301">
        <v>134000</v>
      </c>
      <c r="M14" s="176"/>
      <c r="N14" s="302"/>
      <c r="O14" s="293" t="e">
        <f>INDEX([1]告訴人!$D$15:$F$372,MATCH(C14,[1]告訴人!$F$15:$F$372,0),1)</f>
        <v>#N/A</v>
      </c>
    </row>
    <row r="15" spans="1:17" ht="47.25" customHeight="1">
      <c r="A15" s="210">
        <v>13</v>
      </c>
      <c r="B15" s="210" t="s">
        <v>580</v>
      </c>
      <c r="C15" s="210" t="s">
        <v>3270</v>
      </c>
      <c r="D15" s="210"/>
      <c r="E15" s="299" t="s">
        <v>611</v>
      </c>
      <c r="F15" s="300">
        <v>3000</v>
      </c>
      <c r="G15" s="299">
        <v>65</v>
      </c>
      <c r="H15" s="300">
        <v>195000</v>
      </c>
      <c r="I15" s="206"/>
      <c r="J15" s="206" t="s">
        <v>2460</v>
      </c>
      <c r="K15" s="206" t="s">
        <v>2478</v>
      </c>
      <c r="L15" s="301">
        <v>195000</v>
      </c>
      <c r="M15" s="176"/>
      <c r="N15" s="302"/>
      <c r="O15" s="293" t="e">
        <f>INDEX([1]告訴人!$D$15:$F$372,MATCH(C15,[1]告訴人!$F$15:$F$372,0),1)</f>
        <v>#N/A</v>
      </c>
    </row>
    <row r="16" spans="1:17" ht="47.25" customHeight="1">
      <c r="A16" s="210">
        <v>14</v>
      </c>
      <c r="B16" s="210" t="s">
        <v>580</v>
      </c>
      <c r="C16" s="210" t="s">
        <v>3271</v>
      </c>
      <c r="D16" s="210"/>
      <c r="E16" s="299" t="s">
        <v>611</v>
      </c>
      <c r="F16" s="300">
        <v>5000</v>
      </c>
      <c r="G16" s="299">
        <v>67</v>
      </c>
      <c r="H16" s="300">
        <v>335000</v>
      </c>
      <c r="I16" s="206"/>
      <c r="J16" s="206" t="s">
        <v>2460</v>
      </c>
      <c r="K16" s="206" t="s">
        <v>3772</v>
      </c>
      <c r="L16" s="301">
        <v>335000</v>
      </c>
      <c r="M16" s="176"/>
      <c r="N16" s="302"/>
      <c r="O16" s="293">
        <f>INDEX([1]告訴人!$D$15:$F$372,MATCH(C16,[1]告訴人!$F$15:$F$372,0),1)</f>
        <v>108</v>
      </c>
    </row>
    <row r="17" spans="1:17" ht="47.25" customHeight="1">
      <c r="A17" s="210">
        <v>15</v>
      </c>
      <c r="B17" s="210" t="s">
        <v>580</v>
      </c>
      <c r="C17" s="210" t="s">
        <v>3486</v>
      </c>
      <c r="D17" s="210"/>
      <c r="E17" s="299" t="s">
        <v>592</v>
      </c>
      <c r="F17" s="300">
        <v>5000</v>
      </c>
      <c r="G17" s="299">
        <v>65</v>
      </c>
      <c r="H17" s="300">
        <v>325000</v>
      </c>
      <c r="I17" s="206"/>
      <c r="J17" s="206" t="s">
        <v>3236</v>
      </c>
      <c r="K17" s="206"/>
      <c r="L17" s="301"/>
      <c r="M17" s="176" t="s">
        <v>1832</v>
      </c>
      <c r="N17" s="302" t="str">
        <f>IF(L17&lt;&gt;0,"註3","")</f>
        <v/>
      </c>
      <c r="O17" s="293" t="e">
        <f>INDEX([1]告訴人!$D$15:$F$372,MATCH(C17,[1]告訴人!$F$15:$F$372,0),1)</f>
        <v>#N/A</v>
      </c>
      <c r="P17" s="204" t="s">
        <v>2480</v>
      </c>
      <c r="Q17" s="293">
        <v>1</v>
      </c>
    </row>
    <row r="18" spans="1:17" ht="47.25" customHeight="1">
      <c r="A18" s="210">
        <v>16</v>
      </c>
      <c r="B18" s="210" t="s">
        <v>580</v>
      </c>
      <c r="C18" s="210" t="s">
        <v>2468</v>
      </c>
      <c r="D18" s="206" t="s">
        <v>3981</v>
      </c>
      <c r="E18" s="299" t="s">
        <v>592</v>
      </c>
      <c r="F18" s="300">
        <v>2000</v>
      </c>
      <c r="G18" s="299">
        <v>65</v>
      </c>
      <c r="H18" s="300">
        <v>130000</v>
      </c>
      <c r="I18" s="206"/>
      <c r="J18" s="206" t="s">
        <v>2460</v>
      </c>
      <c r="K18" s="206" t="s">
        <v>3773</v>
      </c>
      <c r="L18" s="301">
        <v>130000</v>
      </c>
      <c r="M18" s="176"/>
      <c r="N18" s="302"/>
      <c r="O18" s="293">
        <f>INDEX([1]告訴人!$D$15:$F$372,MATCH(C18,[1]告訴人!$F$15:$F$372,0),1)</f>
        <v>248</v>
      </c>
    </row>
    <row r="19" spans="1:17" ht="47.25" customHeight="1">
      <c r="A19" s="210">
        <v>17</v>
      </c>
      <c r="B19" s="210" t="s">
        <v>580</v>
      </c>
      <c r="C19" s="210" t="s">
        <v>3273</v>
      </c>
      <c r="D19" s="210"/>
      <c r="E19" s="299" t="s">
        <v>592</v>
      </c>
      <c r="F19" s="300">
        <v>1000</v>
      </c>
      <c r="G19" s="299">
        <v>65</v>
      </c>
      <c r="H19" s="300">
        <v>65000</v>
      </c>
      <c r="I19" s="206"/>
      <c r="J19" s="206" t="s">
        <v>2460</v>
      </c>
      <c r="K19" s="206" t="s">
        <v>3774</v>
      </c>
      <c r="L19" s="301">
        <v>65000</v>
      </c>
      <c r="M19" s="176"/>
      <c r="N19" s="302"/>
      <c r="O19" s="293">
        <f>INDEX([1]告訴人!$D$15:$F$372,MATCH(C19,[1]告訴人!$F$15:$F$372,0),1)</f>
        <v>342</v>
      </c>
    </row>
    <row r="20" spans="1:17" ht="47.25" customHeight="1">
      <c r="A20" s="210">
        <v>18</v>
      </c>
      <c r="B20" s="210" t="s">
        <v>580</v>
      </c>
      <c r="C20" s="210" t="s">
        <v>2482</v>
      </c>
      <c r="D20" s="210"/>
      <c r="E20" s="299" t="s">
        <v>606</v>
      </c>
      <c r="F20" s="300">
        <v>2000</v>
      </c>
      <c r="G20" s="299">
        <v>65</v>
      </c>
      <c r="H20" s="300">
        <v>130000</v>
      </c>
      <c r="I20" s="206"/>
      <c r="J20" s="206" t="s">
        <v>2460</v>
      </c>
      <c r="K20" s="206" t="s">
        <v>3775</v>
      </c>
      <c r="L20" s="301">
        <v>130000</v>
      </c>
      <c r="M20" s="176"/>
      <c r="N20" s="302"/>
      <c r="O20" s="293">
        <f>INDEX([1]告訴人!$D$15:$F$372,MATCH(C20,[1]告訴人!$F$15:$F$372,0),1)</f>
        <v>246</v>
      </c>
    </row>
    <row r="21" spans="1:17" ht="47.25" customHeight="1">
      <c r="A21" s="210">
        <v>19</v>
      </c>
      <c r="B21" s="210" t="s">
        <v>580</v>
      </c>
      <c r="C21" s="210" t="s">
        <v>3274</v>
      </c>
      <c r="D21" s="210"/>
      <c r="E21" s="299" t="s">
        <v>599</v>
      </c>
      <c r="F21" s="300">
        <v>1000</v>
      </c>
      <c r="G21" s="299">
        <v>65</v>
      </c>
      <c r="H21" s="300">
        <v>65000</v>
      </c>
      <c r="I21" s="206"/>
      <c r="J21" s="206" t="s">
        <v>3236</v>
      </c>
      <c r="K21" s="206"/>
      <c r="L21" s="301"/>
      <c r="M21" s="176" t="s">
        <v>1832</v>
      </c>
      <c r="N21" s="302" t="str">
        <f>IF(L21&lt;&gt;0,"註3","")</f>
        <v/>
      </c>
      <c r="O21" s="293" t="e">
        <f>INDEX([1]告訴人!$D$15:$F$372,MATCH(C21,[1]告訴人!$F$15:$F$372,0),1)</f>
        <v>#N/A</v>
      </c>
      <c r="P21" s="204" t="s">
        <v>2480</v>
      </c>
      <c r="Q21" s="293">
        <v>1</v>
      </c>
    </row>
    <row r="22" spans="1:17" ht="47.25" customHeight="1">
      <c r="A22" s="210">
        <v>20</v>
      </c>
      <c r="B22" s="210" t="s">
        <v>580</v>
      </c>
      <c r="C22" s="210" t="s">
        <v>3275</v>
      </c>
      <c r="D22" s="210"/>
      <c r="E22" s="299" t="s">
        <v>599</v>
      </c>
      <c r="F22" s="300">
        <v>2000</v>
      </c>
      <c r="G22" s="299">
        <v>67</v>
      </c>
      <c r="H22" s="300">
        <v>134000</v>
      </c>
      <c r="I22" s="206"/>
      <c r="J22" s="206" t="s">
        <v>2460</v>
      </c>
      <c r="K22" s="206" t="s">
        <v>2486</v>
      </c>
      <c r="L22" s="301">
        <v>134000</v>
      </c>
      <c r="M22" s="176"/>
      <c r="N22" s="302"/>
      <c r="O22" s="293" t="e">
        <f>INDEX([1]告訴人!$D$15:$F$372,MATCH(C22,[1]告訴人!$F$15:$F$372,0),1)</f>
        <v>#N/A</v>
      </c>
    </row>
    <row r="23" spans="1:17" ht="47.25" customHeight="1">
      <c r="A23" s="210">
        <v>21</v>
      </c>
      <c r="B23" s="210" t="s">
        <v>580</v>
      </c>
      <c r="C23" s="210" t="s">
        <v>3276</v>
      </c>
      <c r="D23" s="210"/>
      <c r="E23" s="299" t="s">
        <v>614</v>
      </c>
      <c r="F23" s="300">
        <v>6000</v>
      </c>
      <c r="G23" s="299">
        <v>65</v>
      </c>
      <c r="H23" s="300">
        <v>390000</v>
      </c>
      <c r="I23" s="206"/>
      <c r="J23" s="206" t="s">
        <v>2460</v>
      </c>
      <c r="K23" s="206" t="s">
        <v>3774</v>
      </c>
      <c r="L23" s="301">
        <v>390000</v>
      </c>
      <c r="M23" s="176"/>
      <c r="N23" s="302"/>
      <c r="O23" s="293">
        <f>INDEX([1]告訴人!$D$15:$F$372,MATCH(C23,[1]告訴人!$F$15:$F$372,0),1)</f>
        <v>68</v>
      </c>
    </row>
    <row r="24" spans="1:17" ht="47.25" customHeight="1">
      <c r="A24" s="210">
        <v>22</v>
      </c>
      <c r="B24" s="210" t="s">
        <v>580</v>
      </c>
      <c r="C24" s="210" t="s">
        <v>3277</v>
      </c>
      <c r="D24" s="210"/>
      <c r="E24" s="299" t="s">
        <v>614</v>
      </c>
      <c r="F24" s="300">
        <v>2000</v>
      </c>
      <c r="G24" s="299">
        <v>67</v>
      </c>
      <c r="H24" s="300">
        <v>134000</v>
      </c>
      <c r="I24" s="206"/>
      <c r="J24" s="206" t="s">
        <v>2460</v>
      </c>
      <c r="K24" s="206" t="s">
        <v>3776</v>
      </c>
      <c r="L24" s="301">
        <v>134000</v>
      </c>
      <c r="M24" s="176"/>
      <c r="N24" s="302"/>
      <c r="O24" s="293">
        <f>INDEX([1]告訴人!$D$15:$F$372,MATCH(C24,[1]告訴人!$F$15:$F$372,0),1)</f>
        <v>345</v>
      </c>
    </row>
    <row r="25" spans="1:17" ht="47.25" customHeight="1">
      <c r="A25" s="210">
        <v>23</v>
      </c>
      <c r="B25" s="210" t="s">
        <v>580</v>
      </c>
      <c r="C25" s="210" t="s">
        <v>3278</v>
      </c>
      <c r="D25" s="210"/>
      <c r="E25" s="299" t="s">
        <v>614</v>
      </c>
      <c r="F25" s="300">
        <v>6000</v>
      </c>
      <c r="G25" s="299">
        <v>67</v>
      </c>
      <c r="H25" s="300">
        <v>402000</v>
      </c>
      <c r="I25" s="206"/>
      <c r="J25" s="206" t="s">
        <v>2460</v>
      </c>
      <c r="K25" s="206" t="s">
        <v>3777</v>
      </c>
      <c r="L25" s="301">
        <v>402000</v>
      </c>
      <c r="M25" s="176"/>
      <c r="N25" s="302"/>
      <c r="O25" s="293">
        <f>INDEX([1]告訴人!$D$15:$F$372,MATCH(C25,[1]告訴人!$F$15:$F$372,0),1)</f>
        <v>18</v>
      </c>
    </row>
    <row r="26" spans="1:17" ht="47.25" customHeight="1">
      <c r="A26" s="210">
        <v>24</v>
      </c>
      <c r="B26" s="210" t="s">
        <v>580</v>
      </c>
      <c r="C26" s="210" t="s">
        <v>3279</v>
      </c>
      <c r="D26" s="210"/>
      <c r="E26" s="299" t="s">
        <v>92</v>
      </c>
      <c r="F26" s="300">
        <v>1000</v>
      </c>
      <c r="G26" s="299">
        <v>38</v>
      </c>
      <c r="H26" s="300">
        <v>38000</v>
      </c>
      <c r="I26" s="206"/>
      <c r="J26" s="206" t="s">
        <v>2460</v>
      </c>
      <c r="K26" s="206" t="s">
        <v>3767</v>
      </c>
      <c r="L26" s="301">
        <v>38000</v>
      </c>
      <c r="M26" s="176"/>
      <c r="N26" s="302"/>
      <c r="O26" s="293">
        <f>INDEX([1]告訴人!$D$15:$F$372,MATCH(C26,[1]告訴人!$F$15:$F$372,0),1)</f>
        <v>165</v>
      </c>
      <c r="Q26" s="204"/>
    </row>
    <row r="27" spans="1:17" ht="47.25" customHeight="1">
      <c r="A27" s="210">
        <v>25</v>
      </c>
      <c r="B27" s="210" t="s">
        <v>580</v>
      </c>
      <c r="C27" s="210" t="s">
        <v>3280</v>
      </c>
      <c r="D27" s="210"/>
      <c r="E27" s="299" t="s">
        <v>92</v>
      </c>
      <c r="F27" s="300">
        <v>2000</v>
      </c>
      <c r="G27" s="299">
        <v>38</v>
      </c>
      <c r="H27" s="300">
        <v>76000</v>
      </c>
      <c r="I27" s="206"/>
      <c r="J27" s="206" t="s">
        <v>2460</v>
      </c>
      <c r="K27" s="206" t="s">
        <v>3778</v>
      </c>
      <c r="L27" s="301">
        <v>76000</v>
      </c>
      <c r="M27" s="176"/>
      <c r="N27" s="302"/>
      <c r="O27" s="293">
        <f>INDEX([1]告訴人!$D$15:$F$372,MATCH(C27,[1]告訴人!$F$15:$F$372,0),1)</f>
        <v>213</v>
      </c>
    </row>
    <row r="28" spans="1:17" ht="47.25" customHeight="1">
      <c r="A28" s="210">
        <v>26</v>
      </c>
      <c r="B28" s="210" t="s">
        <v>580</v>
      </c>
      <c r="C28" s="210" t="s">
        <v>3281</v>
      </c>
      <c r="D28" s="210"/>
      <c r="E28" s="299" t="s">
        <v>92</v>
      </c>
      <c r="F28" s="300">
        <v>10000</v>
      </c>
      <c r="G28" s="299">
        <v>65</v>
      </c>
      <c r="H28" s="300">
        <v>650000</v>
      </c>
      <c r="I28" s="206"/>
      <c r="J28" s="206" t="s">
        <v>3236</v>
      </c>
      <c r="K28" s="206"/>
      <c r="L28" s="301"/>
      <c r="M28" s="176" t="s">
        <v>1832</v>
      </c>
      <c r="N28" s="302" t="str">
        <f>IF(L28&lt;&gt;0,"註3","")</f>
        <v/>
      </c>
      <c r="O28" s="293">
        <f>INDEX([1]告訴人!$D$15:$F$372,MATCH(C28,[1]告訴人!$F$15:$F$372,0),1)</f>
        <v>45</v>
      </c>
      <c r="P28" s="204" t="s">
        <v>2480</v>
      </c>
      <c r="Q28" s="293">
        <v>1</v>
      </c>
    </row>
    <row r="29" spans="1:17" ht="47.25" customHeight="1">
      <c r="A29" s="210">
        <v>27</v>
      </c>
      <c r="B29" s="210" t="s">
        <v>580</v>
      </c>
      <c r="C29" s="210" t="s">
        <v>3282</v>
      </c>
      <c r="D29" s="210"/>
      <c r="E29" s="299" t="s">
        <v>92</v>
      </c>
      <c r="F29" s="300">
        <v>2000</v>
      </c>
      <c r="G29" s="299">
        <v>65</v>
      </c>
      <c r="H29" s="300">
        <v>130000</v>
      </c>
      <c r="I29" s="206"/>
      <c r="J29" s="206" t="s">
        <v>2460</v>
      </c>
      <c r="K29" s="206" t="s">
        <v>3774</v>
      </c>
      <c r="L29" s="301">
        <v>130000</v>
      </c>
      <c r="M29" s="176"/>
      <c r="N29" s="302"/>
      <c r="O29" s="293">
        <f>INDEX([1]告訴人!$D$15:$F$372,MATCH(C29,[1]告訴人!$F$15:$F$372,0),1)</f>
        <v>135</v>
      </c>
    </row>
    <row r="30" spans="1:17" ht="47.25" customHeight="1">
      <c r="A30" s="210">
        <v>28</v>
      </c>
      <c r="B30" s="210" t="s">
        <v>580</v>
      </c>
      <c r="C30" s="210" t="s">
        <v>3280</v>
      </c>
      <c r="D30" s="210"/>
      <c r="E30" s="299" t="s">
        <v>92</v>
      </c>
      <c r="F30" s="300">
        <v>10000</v>
      </c>
      <c r="G30" s="299">
        <v>65</v>
      </c>
      <c r="H30" s="300">
        <v>650000</v>
      </c>
      <c r="I30" s="206" t="s">
        <v>2483</v>
      </c>
      <c r="J30" s="206" t="s">
        <v>2460</v>
      </c>
      <c r="K30" s="206" t="s">
        <v>3779</v>
      </c>
      <c r="L30" s="301">
        <v>650000</v>
      </c>
      <c r="M30" s="176" t="s">
        <v>2873</v>
      </c>
      <c r="N30" s="302"/>
      <c r="O30" s="293">
        <f>INDEX([1]告訴人!$D$15:$F$372,MATCH(C30,[1]告訴人!$F$15:$F$372,0),1)</f>
        <v>213</v>
      </c>
    </row>
    <row r="31" spans="1:17" ht="47.25" customHeight="1">
      <c r="A31" s="210">
        <v>29</v>
      </c>
      <c r="B31" s="210" t="s">
        <v>580</v>
      </c>
      <c r="C31" s="210" t="s">
        <v>3284</v>
      </c>
      <c r="D31" s="210"/>
      <c r="E31" s="299" t="s">
        <v>3283</v>
      </c>
      <c r="F31" s="300">
        <v>4000</v>
      </c>
      <c r="G31" s="299">
        <v>67</v>
      </c>
      <c r="H31" s="300">
        <v>268000</v>
      </c>
      <c r="I31" s="206"/>
      <c r="J31" s="206" t="s">
        <v>2460</v>
      </c>
      <c r="K31" s="206" t="s">
        <v>2487</v>
      </c>
      <c r="L31" s="301">
        <v>268000</v>
      </c>
      <c r="M31" s="176"/>
      <c r="N31" s="302"/>
      <c r="O31" s="293">
        <f>INDEX([1]告訴人!$D$15:$F$372,MATCH(C31,[1]告訴人!$F$15:$F$372,0),1)</f>
        <v>192</v>
      </c>
    </row>
    <row r="32" spans="1:17" ht="47.25" customHeight="1">
      <c r="A32" s="210">
        <v>30</v>
      </c>
      <c r="B32" s="210" t="s">
        <v>580</v>
      </c>
      <c r="C32" s="210" t="s">
        <v>3285</v>
      </c>
      <c r="D32" s="210"/>
      <c r="E32" s="299" t="s">
        <v>92</v>
      </c>
      <c r="F32" s="300">
        <v>4000</v>
      </c>
      <c r="G32" s="299">
        <v>67</v>
      </c>
      <c r="H32" s="300">
        <v>268000</v>
      </c>
      <c r="I32" s="206"/>
      <c r="J32" s="206" t="s">
        <v>2460</v>
      </c>
      <c r="K32" s="206" t="s">
        <v>3767</v>
      </c>
      <c r="L32" s="301">
        <v>268000</v>
      </c>
      <c r="M32" s="176"/>
      <c r="N32" s="302"/>
      <c r="O32" s="293">
        <f>INDEX([1]告訴人!$D$15:$F$372,MATCH(C32,[1]告訴人!$F$15:$F$372,0),1)</f>
        <v>165</v>
      </c>
    </row>
    <row r="33" spans="1:17" ht="47.25" customHeight="1">
      <c r="A33" s="210">
        <v>31</v>
      </c>
      <c r="B33" s="210" t="s">
        <v>580</v>
      </c>
      <c r="C33" s="210" t="s">
        <v>3286</v>
      </c>
      <c r="D33" s="210"/>
      <c r="E33" s="299" t="s">
        <v>33</v>
      </c>
      <c r="F33" s="300">
        <v>4000</v>
      </c>
      <c r="G33" s="299">
        <v>65</v>
      </c>
      <c r="H33" s="300">
        <v>260000</v>
      </c>
      <c r="I33" s="206"/>
      <c r="J33" s="206" t="s">
        <v>2460</v>
      </c>
      <c r="K33" s="206" t="s">
        <v>3774</v>
      </c>
      <c r="L33" s="301">
        <v>260000</v>
      </c>
      <c r="M33" s="176"/>
      <c r="N33" s="302"/>
      <c r="O33" s="293">
        <f>INDEX([1]告訴人!$D$15:$F$372,MATCH(C33,[1]告訴人!$F$15:$F$372,0),1)</f>
        <v>74</v>
      </c>
    </row>
    <row r="34" spans="1:17" ht="47.25" customHeight="1">
      <c r="A34" s="210">
        <v>32</v>
      </c>
      <c r="B34" s="210" t="s">
        <v>580</v>
      </c>
      <c r="C34" s="210" t="s">
        <v>3287</v>
      </c>
      <c r="D34" s="210"/>
      <c r="E34" s="299" t="s">
        <v>33</v>
      </c>
      <c r="F34" s="300">
        <v>2000</v>
      </c>
      <c r="G34" s="299">
        <v>65</v>
      </c>
      <c r="H34" s="300">
        <v>130000</v>
      </c>
      <c r="I34" s="206"/>
      <c r="J34" s="206" t="s">
        <v>2460</v>
      </c>
      <c r="K34" s="206" t="s">
        <v>3774</v>
      </c>
      <c r="L34" s="301">
        <v>130000</v>
      </c>
      <c r="M34" s="176"/>
      <c r="N34" s="302"/>
      <c r="O34" s="293" t="e">
        <f>INDEX([1]告訴人!$D$15:$F$372,MATCH(C34,[1]告訴人!$F$15:$F$372,0),1)</f>
        <v>#N/A</v>
      </c>
    </row>
    <row r="35" spans="1:17" ht="47.25" customHeight="1">
      <c r="A35" s="210">
        <v>33</v>
      </c>
      <c r="B35" s="210" t="s">
        <v>580</v>
      </c>
      <c r="C35" s="210" t="s">
        <v>3288</v>
      </c>
      <c r="D35" s="210"/>
      <c r="E35" s="299" t="s">
        <v>33</v>
      </c>
      <c r="F35" s="300">
        <v>2000</v>
      </c>
      <c r="G35" s="299">
        <v>67</v>
      </c>
      <c r="H35" s="300">
        <v>134000</v>
      </c>
      <c r="I35" s="206"/>
      <c r="J35" s="206" t="s">
        <v>2460</v>
      </c>
      <c r="K35" s="206" t="s">
        <v>3780</v>
      </c>
      <c r="L35" s="301">
        <v>134000</v>
      </c>
      <c r="M35" s="176"/>
      <c r="N35" s="302"/>
      <c r="O35" s="293">
        <f>INDEX([1]告訴人!$D$15:$F$372,MATCH(C35,[1]告訴人!$F$15:$F$372,0),1)</f>
        <v>295</v>
      </c>
    </row>
    <row r="36" spans="1:17" ht="47.25" customHeight="1">
      <c r="A36" s="210">
        <v>34</v>
      </c>
      <c r="B36" s="210" t="s">
        <v>580</v>
      </c>
      <c r="C36" s="210" t="s">
        <v>3289</v>
      </c>
      <c r="D36" s="210"/>
      <c r="E36" s="299" t="s">
        <v>33</v>
      </c>
      <c r="F36" s="300">
        <v>1000</v>
      </c>
      <c r="G36" s="299">
        <v>67</v>
      </c>
      <c r="H36" s="300">
        <v>67000</v>
      </c>
      <c r="I36" s="206"/>
      <c r="J36" s="206" t="s">
        <v>2488</v>
      </c>
      <c r="K36" s="206" t="s">
        <v>2486</v>
      </c>
      <c r="L36" s="301">
        <v>67000</v>
      </c>
      <c r="M36" s="176"/>
      <c r="N36" s="302"/>
      <c r="O36" s="293" t="e">
        <f>INDEX([1]告訴人!$D$15:$F$372,MATCH(C36,[1]告訴人!$F$15:$F$372,0),1)</f>
        <v>#N/A</v>
      </c>
      <c r="P36" s="204" t="s">
        <v>2480</v>
      </c>
      <c r="Q36" s="293">
        <v>1</v>
      </c>
    </row>
    <row r="37" spans="1:17" ht="47.25" customHeight="1">
      <c r="A37" s="210">
        <v>35</v>
      </c>
      <c r="B37" s="210" t="s">
        <v>580</v>
      </c>
      <c r="C37" s="210" t="s">
        <v>2497</v>
      </c>
      <c r="D37" s="210"/>
      <c r="E37" s="299" t="s">
        <v>33</v>
      </c>
      <c r="F37" s="300">
        <v>10000</v>
      </c>
      <c r="G37" s="299">
        <v>68</v>
      </c>
      <c r="H37" s="300">
        <v>680000</v>
      </c>
      <c r="I37" s="206"/>
      <c r="J37" s="206" t="s">
        <v>2460</v>
      </c>
      <c r="K37" s="206" t="s">
        <v>3767</v>
      </c>
      <c r="L37" s="301">
        <v>680000</v>
      </c>
      <c r="M37" s="176"/>
      <c r="N37" s="302"/>
      <c r="O37" s="293">
        <f>INDEX([1]告訴人!$D$15:$F$372,MATCH(C37,[1]告訴人!$F$15:$F$372,0),1)</f>
        <v>213</v>
      </c>
    </row>
    <row r="38" spans="1:17" ht="47.25" customHeight="1">
      <c r="A38" s="210">
        <v>36</v>
      </c>
      <c r="B38" s="210" t="s">
        <v>580</v>
      </c>
      <c r="C38" s="210" t="s">
        <v>3290</v>
      </c>
      <c r="D38" s="210"/>
      <c r="E38" s="299" t="s">
        <v>102</v>
      </c>
      <c r="F38" s="300">
        <v>2000</v>
      </c>
      <c r="G38" s="299">
        <v>38</v>
      </c>
      <c r="H38" s="300">
        <v>76000</v>
      </c>
      <c r="I38" s="206"/>
      <c r="J38" s="206" t="s">
        <v>2460</v>
      </c>
      <c r="K38" s="206" t="s">
        <v>3778</v>
      </c>
      <c r="L38" s="301">
        <v>76000</v>
      </c>
      <c r="M38" s="176"/>
      <c r="N38" s="302"/>
      <c r="O38" s="293">
        <f>INDEX([1]告訴人!$D$15:$F$372,MATCH(C38,[1]告訴人!$F$15:$F$372,0),1)</f>
        <v>327</v>
      </c>
    </row>
    <row r="39" spans="1:17" ht="47.25" customHeight="1">
      <c r="A39" s="210">
        <v>37</v>
      </c>
      <c r="B39" s="210" t="s">
        <v>580</v>
      </c>
      <c r="C39" s="210" t="s">
        <v>3291</v>
      </c>
      <c r="D39" s="210"/>
      <c r="E39" s="299" t="s">
        <v>102</v>
      </c>
      <c r="F39" s="300">
        <v>5000</v>
      </c>
      <c r="G39" s="299">
        <v>65</v>
      </c>
      <c r="H39" s="300">
        <v>325000</v>
      </c>
      <c r="I39" s="206"/>
      <c r="J39" s="206" t="s">
        <v>3237</v>
      </c>
      <c r="K39" s="206" t="s">
        <v>3781</v>
      </c>
      <c r="L39" s="301">
        <v>325000</v>
      </c>
      <c r="M39" s="176"/>
      <c r="N39" s="302"/>
      <c r="O39" s="293">
        <f>INDEX([1]告訴人!$D$15:$F$372,MATCH(C39,[1]告訴人!$F$15:$F$372,0),1)</f>
        <v>302</v>
      </c>
      <c r="Q39" s="293">
        <v>1</v>
      </c>
    </row>
    <row r="40" spans="1:17" ht="47.25" customHeight="1">
      <c r="A40" s="210">
        <v>38</v>
      </c>
      <c r="B40" s="210" t="s">
        <v>580</v>
      </c>
      <c r="C40" s="210" t="s">
        <v>439</v>
      </c>
      <c r="D40" s="210"/>
      <c r="E40" s="299" t="s">
        <v>102</v>
      </c>
      <c r="F40" s="300">
        <v>12000</v>
      </c>
      <c r="G40" s="299">
        <v>67</v>
      </c>
      <c r="H40" s="300">
        <v>804000</v>
      </c>
      <c r="I40" s="206"/>
      <c r="J40" s="206" t="s">
        <v>2460</v>
      </c>
      <c r="K40" s="206" t="s">
        <v>3782</v>
      </c>
      <c r="L40" s="301">
        <v>804000</v>
      </c>
      <c r="M40" s="176"/>
      <c r="N40" s="302"/>
      <c r="O40" s="293">
        <f>INDEX([1]告訴人!$D$15:$F$372,MATCH(C40,[1]告訴人!$F$15:$F$372,0),1)</f>
        <v>327</v>
      </c>
    </row>
    <row r="41" spans="1:17" ht="47.25" customHeight="1">
      <c r="A41" s="210">
        <v>39</v>
      </c>
      <c r="B41" s="210" t="s">
        <v>580</v>
      </c>
      <c r="C41" s="210" t="s">
        <v>3292</v>
      </c>
      <c r="D41" s="210"/>
      <c r="E41" s="299" t="s">
        <v>600</v>
      </c>
      <c r="F41" s="300">
        <v>2000</v>
      </c>
      <c r="G41" s="299">
        <v>65</v>
      </c>
      <c r="H41" s="300">
        <v>130000</v>
      </c>
      <c r="I41" s="206"/>
      <c r="J41" s="206" t="s">
        <v>2460</v>
      </c>
      <c r="K41" s="206" t="s">
        <v>3783</v>
      </c>
      <c r="L41" s="301">
        <v>130000</v>
      </c>
      <c r="M41" s="176"/>
      <c r="N41" s="302"/>
      <c r="O41" s="293">
        <f>INDEX([1]告訴人!$D$15:$F$372,MATCH(C41,[1]告訴人!$F$15:$F$372,0),1)</f>
        <v>125</v>
      </c>
    </row>
    <row r="42" spans="1:17" ht="47.25" customHeight="1">
      <c r="A42" s="210">
        <v>40</v>
      </c>
      <c r="B42" s="210" t="s">
        <v>580</v>
      </c>
      <c r="C42" s="210" t="s">
        <v>3293</v>
      </c>
      <c r="D42" s="210"/>
      <c r="E42" s="299" t="s">
        <v>413</v>
      </c>
      <c r="F42" s="300">
        <v>3000</v>
      </c>
      <c r="G42" s="299">
        <v>65</v>
      </c>
      <c r="H42" s="300">
        <v>195000</v>
      </c>
      <c r="I42" s="206"/>
      <c r="J42" s="206" t="s">
        <v>3236</v>
      </c>
      <c r="K42" s="206"/>
      <c r="L42" s="301"/>
      <c r="M42" s="176" t="s">
        <v>1832</v>
      </c>
      <c r="N42" s="302" t="str">
        <f>IF(L42&lt;&gt;0,"註3","")</f>
        <v/>
      </c>
      <c r="O42" s="293" t="e">
        <f>INDEX([1]告訴人!$D$15:$F$372,MATCH(C42,[1]告訴人!$F$15:$F$372,0),1)</f>
        <v>#N/A</v>
      </c>
      <c r="P42" s="204" t="s">
        <v>2480</v>
      </c>
      <c r="Q42" s="293">
        <v>1</v>
      </c>
    </row>
    <row r="43" spans="1:17" ht="47.25" customHeight="1">
      <c r="A43" s="210">
        <v>41</v>
      </c>
      <c r="B43" s="210" t="s">
        <v>580</v>
      </c>
      <c r="C43" s="210" t="s">
        <v>3294</v>
      </c>
      <c r="D43" s="210"/>
      <c r="E43" s="299" t="s">
        <v>413</v>
      </c>
      <c r="F43" s="300">
        <v>2000</v>
      </c>
      <c r="G43" s="299">
        <v>65</v>
      </c>
      <c r="H43" s="300">
        <v>130000</v>
      </c>
      <c r="I43" s="206"/>
      <c r="J43" s="206" t="s">
        <v>2460</v>
      </c>
      <c r="K43" s="206" t="s">
        <v>3774</v>
      </c>
      <c r="L43" s="301">
        <v>130000</v>
      </c>
      <c r="M43" s="176"/>
      <c r="N43" s="302"/>
      <c r="O43" s="293" t="e">
        <f>INDEX([1]告訴人!$D$15:$F$372,MATCH(C43,[1]告訴人!$F$15:$F$372,0),1)</f>
        <v>#N/A</v>
      </c>
    </row>
    <row r="44" spans="1:17" ht="47.25" customHeight="1">
      <c r="A44" s="210">
        <v>42</v>
      </c>
      <c r="B44" s="210" t="s">
        <v>580</v>
      </c>
      <c r="C44" s="210" t="s">
        <v>2469</v>
      </c>
      <c r="D44" s="210"/>
      <c r="E44" s="299" t="s">
        <v>413</v>
      </c>
      <c r="F44" s="300">
        <v>6000</v>
      </c>
      <c r="G44" s="299">
        <v>65</v>
      </c>
      <c r="H44" s="300">
        <v>390000</v>
      </c>
      <c r="I44" s="206"/>
      <c r="J44" s="206" t="s">
        <v>2460</v>
      </c>
      <c r="K44" s="206" t="s">
        <v>3779</v>
      </c>
      <c r="L44" s="301">
        <v>390000</v>
      </c>
      <c r="M44" s="176"/>
      <c r="N44" s="302"/>
      <c r="O44" s="293">
        <f>INDEX([1]告訴人!$D$15:$F$372,MATCH(C44,[1]告訴人!$F$15:$F$372,0),1)</f>
        <v>121</v>
      </c>
    </row>
    <row r="45" spans="1:17" ht="47.25" customHeight="1">
      <c r="A45" s="210">
        <v>43</v>
      </c>
      <c r="B45" s="210" t="s">
        <v>580</v>
      </c>
      <c r="C45" s="210" t="s">
        <v>3295</v>
      </c>
      <c r="D45" s="210"/>
      <c r="E45" s="299" t="s">
        <v>413</v>
      </c>
      <c r="F45" s="300">
        <v>3000</v>
      </c>
      <c r="G45" s="299">
        <v>65</v>
      </c>
      <c r="H45" s="300">
        <v>195000</v>
      </c>
      <c r="I45" s="206"/>
      <c r="J45" s="206" t="s">
        <v>3236</v>
      </c>
      <c r="K45" s="206"/>
      <c r="L45" s="301"/>
      <c r="M45" s="176" t="s">
        <v>1832</v>
      </c>
      <c r="N45" s="302" t="str">
        <f>IF(L45&lt;&gt;0,"註3","")</f>
        <v/>
      </c>
      <c r="O45" s="293">
        <f>INDEX([1]告訴人!$D$15:$F$372,MATCH(C45,[1]告訴人!$F$15:$F$372,0),1)</f>
        <v>222</v>
      </c>
      <c r="P45" s="204" t="s">
        <v>2480</v>
      </c>
      <c r="Q45" s="293">
        <v>1</v>
      </c>
    </row>
    <row r="46" spans="1:17" ht="47.25" customHeight="1">
      <c r="A46" s="210">
        <v>44</v>
      </c>
      <c r="B46" s="210" t="s">
        <v>580</v>
      </c>
      <c r="C46" s="210" t="s">
        <v>3296</v>
      </c>
      <c r="D46" s="210"/>
      <c r="E46" s="299" t="s">
        <v>413</v>
      </c>
      <c r="F46" s="300">
        <v>2000</v>
      </c>
      <c r="G46" s="299">
        <v>65</v>
      </c>
      <c r="H46" s="300">
        <v>130000</v>
      </c>
      <c r="I46" s="206"/>
      <c r="J46" s="206" t="s">
        <v>2460</v>
      </c>
      <c r="K46" s="206" t="s">
        <v>3774</v>
      </c>
      <c r="L46" s="301">
        <v>130000</v>
      </c>
      <c r="M46" s="176"/>
      <c r="N46" s="302"/>
      <c r="O46" s="293">
        <f>INDEX([1]告訴人!$D$15:$F$372,MATCH(C46,[1]告訴人!$F$15:$F$372,0),1)</f>
        <v>151</v>
      </c>
    </row>
    <row r="47" spans="1:17" ht="47.25" customHeight="1">
      <c r="A47" s="210">
        <v>45</v>
      </c>
      <c r="B47" s="210" t="s">
        <v>580</v>
      </c>
      <c r="C47" s="210" t="s">
        <v>3297</v>
      </c>
      <c r="D47" s="210"/>
      <c r="E47" s="299" t="s">
        <v>413</v>
      </c>
      <c r="F47" s="300">
        <v>5000</v>
      </c>
      <c r="G47" s="299">
        <v>65</v>
      </c>
      <c r="H47" s="300">
        <v>325000</v>
      </c>
      <c r="I47" s="206"/>
      <c r="J47" s="206" t="s">
        <v>3840</v>
      </c>
      <c r="K47" s="206" t="s">
        <v>3784</v>
      </c>
      <c r="L47" s="301">
        <v>325000</v>
      </c>
      <c r="M47" s="176"/>
      <c r="N47" s="302"/>
      <c r="O47" s="293">
        <f>INDEX([1]告訴人!$D$15:$F$372,MATCH(C47,[1]告訴人!$F$15:$F$372,0),1)</f>
        <v>333</v>
      </c>
      <c r="Q47" s="293">
        <v>1</v>
      </c>
    </row>
    <row r="48" spans="1:17" ht="47.25" customHeight="1">
      <c r="A48" s="210">
        <v>46</v>
      </c>
      <c r="B48" s="210" t="s">
        <v>580</v>
      </c>
      <c r="C48" s="210" t="s">
        <v>3298</v>
      </c>
      <c r="D48" s="210"/>
      <c r="E48" s="299" t="s">
        <v>413</v>
      </c>
      <c r="F48" s="300">
        <v>5000</v>
      </c>
      <c r="G48" s="299">
        <v>67</v>
      </c>
      <c r="H48" s="300">
        <v>335000</v>
      </c>
      <c r="I48" s="206"/>
      <c r="J48" s="206" t="s">
        <v>2460</v>
      </c>
      <c r="K48" s="206" t="s">
        <v>3780</v>
      </c>
      <c r="L48" s="301">
        <v>335000</v>
      </c>
      <c r="M48" s="176"/>
      <c r="N48" s="302"/>
      <c r="O48" s="293">
        <f>INDEX([1]告訴人!$D$15:$F$372,MATCH(C48,[1]告訴人!$F$15:$F$372,0),1)</f>
        <v>303</v>
      </c>
    </row>
    <row r="49" spans="1:15" ht="47.25" customHeight="1">
      <c r="A49" s="210">
        <v>47</v>
      </c>
      <c r="B49" s="210" t="s">
        <v>580</v>
      </c>
      <c r="C49" s="210" t="s">
        <v>2477</v>
      </c>
      <c r="D49" s="210"/>
      <c r="E49" s="299" t="s">
        <v>93</v>
      </c>
      <c r="F49" s="300">
        <v>2000</v>
      </c>
      <c r="G49" s="299">
        <v>38</v>
      </c>
      <c r="H49" s="300">
        <v>76000</v>
      </c>
      <c r="I49" s="206"/>
      <c r="J49" s="206" t="s">
        <v>2460</v>
      </c>
      <c r="K49" s="206" t="s">
        <v>3785</v>
      </c>
      <c r="L49" s="301">
        <v>76000</v>
      </c>
      <c r="M49" s="176"/>
      <c r="N49" s="302"/>
      <c r="O49" s="293" t="e">
        <f>INDEX([1]告訴人!$D$15:$F$372,MATCH(C49,[1]告訴人!$F$15:$F$372,0),1)</f>
        <v>#N/A</v>
      </c>
    </row>
    <row r="50" spans="1:15" ht="47.25" customHeight="1">
      <c r="A50" s="210">
        <v>48</v>
      </c>
      <c r="B50" s="210" t="s">
        <v>580</v>
      </c>
      <c r="C50" s="210" t="s">
        <v>3299</v>
      </c>
      <c r="D50" s="206" t="s">
        <v>3981</v>
      </c>
      <c r="E50" s="299" t="s">
        <v>93</v>
      </c>
      <c r="F50" s="300">
        <v>1000</v>
      </c>
      <c r="G50" s="299">
        <v>38</v>
      </c>
      <c r="H50" s="300">
        <v>38000</v>
      </c>
      <c r="I50" s="206"/>
      <c r="J50" s="206" t="s">
        <v>2460</v>
      </c>
      <c r="K50" s="206" t="s">
        <v>3786</v>
      </c>
      <c r="L50" s="301">
        <v>38000</v>
      </c>
      <c r="M50" s="176"/>
      <c r="N50" s="302"/>
      <c r="O50" s="293" t="e">
        <f>INDEX([1]告訴人!$D$15:$F$372,MATCH(C50,[1]告訴人!$F$15:$F$372,0),1)</f>
        <v>#N/A</v>
      </c>
    </row>
    <row r="51" spans="1:15" ht="47.25" customHeight="1">
      <c r="A51" s="210">
        <v>49</v>
      </c>
      <c r="B51" s="210" t="s">
        <v>580</v>
      </c>
      <c r="C51" s="210" t="s">
        <v>3300</v>
      </c>
      <c r="D51" s="210"/>
      <c r="E51" s="299" t="s">
        <v>93</v>
      </c>
      <c r="F51" s="300">
        <v>1000</v>
      </c>
      <c r="G51" s="299">
        <v>38</v>
      </c>
      <c r="H51" s="300">
        <v>38000</v>
      </c>
      <c r="I51" s="206"/>
      <c r="J51" s="206" t="s">
        <v>2460</v>
      </c>
      <c r="K51" s="206" t="s">
        <v>3787</v>
      </c>
      <c r="L51" s="301">
        <v>38000</v>
      </c>
      <c r="M51" s="176"/>
      <c r="N51" s="302"/>
      <c r="O51" s="293" t="e">
        <f>INDEX([1]告訴人!$D$15:$F$372,MATCH(C51,[1]告訴人!$F$15:$F$372,0),1)</f>
        <v>#N/A</v>
      </c>
    </row>
    <row r="52" spans="1:15" ht="47.25" customHeight="1">
      <c r="A52" s="210">
        <v>50</v>
      </c>
      <c r="B52" s="210" t="s">
        <v>580</v>
      </c>
      <c r="C52" s="210" t="s">
        <v>3302</v>
      </c>
      <c r="D52" s="210"/>
      <c r="E52" s="299" t="s">
        <v>93</v>
      </c>
      <c r="F52" s="300">
        <v>1000</v>
      </c>
      <c r="G52" s="299">
        <v>38</v>
      </c>
      <c r="H52" s="300">
        <v>38000</v>
      </c>
      <c r="I52" s="206"/>
      <c r="J52" s="206" t="s">
        <v>2460</v>
      </c>
      <c r="K52" s="206" t="s">
        <v>3782</v>
      </c>
      <c r="L52" s="301">
        <v>38000</v>
      </c>
      <c r="M52" s="176"/>
      <c r="N52" s="302"/>
      <c r="O52" s="293">
        <f>INDEX([1]告訴人!$D$15:$F$372,MATCH(C52,[1]告訴人!$F$15:$F$372,0),1)</f>
        <v>262</v>
      </c>
    </row>
    <row r="53" spans="1:15" ht="47.25" customHeight="1">
      <c r="A53" s="210">
        <v>51</v>
      </c>
      <c r="B53" s="210" t="s">
        <v>580</v>
      </c>
      <c r="C53" s="210" t="s">
        <v>3301</v>
      </c>
      <c r="D53" s="206" t="s">
        <v>3981</v>
      </c>
      <c r="E53" s="299" t="s">
        <v>93</v>
      </c>
      <c r="F53" s="300">
        <v>1000</v>
      </c>
      <c r="G53" s="299">
        <v>38</v>
      </c>
      <c r="H53" s="300">
        <v>38000</v>
      </c>
      <c r="I53" s="206"/>
      <c r="J53" s="206" t="s">
        <v>2460</v>
      </c>
      <c r="K53" s="206" t="s">
        <v>3780</v>
      </c>
      <c r="L53" s="301">
        <v>38000</v>
      </c>
      <c r="M53" s="176"/>
      <c r="N53" s="302"/>
      <c r="O53" s="293">
        <f>INDEX([1]告訴人!$D$15:$F$372,MATCH(C53,[1]告訴人!$F$15:$F$372,0),1)</f>
        <v>270</v>
      </c>
    </row>
    <row r="54" spans="1:15" ht="47.25" customHeight="1">
      <c r="A54" s="210">
        <v>52</v>
      </c>
      <c r="B54" s="210" t="s">
        <v>580</v>
      </c>
      <c r="C54" s="210" t="s">
        <v>3303</v>
      </c>
      <c r="D54" s="210"/>
      <c r="E54" s="299" t="s">
        <v>93</v>
      </c>
      <c r="F54" s="300">
        <v>1000</v>
      </c>
      <c r="G54" s="299">
        <v>38</v>
      </c>
      <c r="H54" s="300">
        <v>38000</v>
      </c>
      <c r="I54" s="206"/>
      <c r="J54" s="206" t="s">
        <v>2460</v>
      </c>
      <c r="K54" s="206" t="s">
        <v>3785</v>
      </c>
      <c r="L54" s="301">
        <v>38000</v>
      </c>
      <c r="M54" s="176"/>
      <c r="N54" s="302"/>
      <c r="O54" s="293">
        <f>INDEX([1]告訴人!$D$15:$F$372,MATCH(C54,[1]告訴人!$F$15:$F$372,0),1)</f>
        <v>243</v>
      </c>
    </row>
    <row r="55" spans="1:15" ht="47.25" customHeight="1">
      <c r="A55" s="210">
        <v>53</v>
      </c>
      <c r="B55" s="210" t="s">
        <v>580</v>
      </c>
      <c r="C55" s="210" t="s">
        <v>3304</v>
      </c>
      <c r="D55" s="206" t="s">
        <v>3981</v>
      </c>
      <c r="E55" s="299" t="s">
        <v>93</v>
      </c>
      <c r="F55" s="300">
        <v>3000</v>
      </c>
      <c r="G55" s="299">
        <v>65</v>
      </c>
      <c r="H55" s="300">
        <v>195000</v>
      </c>
      <c r="I55" s="206"/>
      <c r="J55" s="206" t="s">
        <v>2460</v>
      </c>
      <c r="K55" s="206" t="s">
        <v>3788</v>
      </c>
      <c r="L55" s="301">
        <v>195000</v>
      </c>
      <c r="M55" s="176"/>
      <c r="N55" s="302"/>
      <c r="O55" s="293" t="e">
        <f>INDEX([1]告訴人!$D$15:$F$372,MATCH(C55,[1]告訴人!$F$15:$F$372,0),1)</f>
        <v>#N/A</v>
      </c>
    </row>
    <row r="56" spans="1:15" ht="47.25" customHeight="1">
      <c r="A56" s="210">
        <v>54</v>
      </c>
      <c r="B56" s="210" t="s">
        <v>580</v>
      </c>
      <c r="C56" s="210" t="s">
        <v>2484</v>
      </c>
      <c r="D56" s="210"/>
      <c r="E56" s="299" t="s">
        <v>93</v>
      </c>
      <c r="F56" s="300">
        <v>3000</v>
      </c>
      <c r="G56" s="299">
        <v>65</v>
      </c>
      <c r="H56" s="300">
        <v>195000</v>
      </c>
      <c r="I56" s="206"/>
      <c r="J56" s="206" t="s">
        <v>2460</v>
      </c>
      <c r="K56" s="206" t="s">
        <v>3789</v>
      </c>
      <c r="L56" s="301">
        <v>195000</v>
      </c>
      <c r="M56" s="176"/>
      <c r="N56" s="302"/>
      <c r="O56" s="293">
        <f>INDEX([1]告訴人!$D$15:$F$372,MATCH(C56,[1]告訴人!$F$15:$F$372,0),1)</f>
        <v>262</v>
      </c>
    </row>
    <row r="57" spans="1:15" ht="47.25" customHeight="1">
      <c r="A57" s="210">
        <v>55</v>
      </c>
      <c r="B57" s="210" t="s">
        <v>580</v>
      </c>
      <c r="C57" s="210" t="s">
        <v>3305</v>
      </c>
      <c r="D57" s="210"/>
      <c r="E57" s="299" t="s">
        <v>93</v>
      </c>
      <c r="F57" s="300">
        <v>1000</v>
      </c>
      <c r="G57" s="299">
        <v>65</v>
      </c>
      <c r="H57" s="300">
        <v>65000</v>
      </c>
      <c r="I57" s="206"/>
      <c r="J57" s="206" t="s">
        <v>2460</v>
      </c>
      <c r="K57" s="206" t="s">
        <v>3790</v>
      </c>
      <c r="L57" s="301">
        <v>65000</v>
      </c>
      <c r="M57" s="176"/>
      <c r="N57" s="302"/>
      <c r="O57" s="293">
        <f>INDEX([1]告訴人!$D$15:$F$372,MATCH(C57,[1]告訴人!$F$15:$F$372,0),1)</f>
        <v>332</v>
      </c>
    </row>
    <row r="58" spans="1:15" ht="47.25" customHeight="1">
      <c r="A58" s="210">
        <v>56</v>
      </c>
      <c r="B58" s="210" t="s">
        <v>580</v>
      </c>
      <c r="C58" s="210" t="s">
        <v>585</v>
      </c>
      <c r="D58" s="206" t="s">
        <v>3981</v>
      </c>
      <c r="E58" s="299" t="s">
        <v>93</v>
      </c>
      <c r="F58" s="300">
        <v>10000</v>
      </c>
      <c r="G58" s="299">
        <v>65</v>
      </c>
      <c r="H58" s="300">
        <v>650000</v>
      </c>
      <c r="I58" s="206"/>
      <c r="J58" s="206" t="s">
        <v>2460</v>
      </c>
      <c r="K58" s="206" t="s">
        <v>3790</v>
      </c>
      <c r="L58" s="301">
        <v>650000</v>
      </c>
      <c r="M58" s="176"/>
      <c r="N58" s="302"/>
      <c r="O58" s="293">
        <f>INDEX([1]告訴人!$D$15:$F$372,MATCH(C58,[1]告訴人!$F$15:$F$372,0),1)</f>
        <v>270</v>
      </c>
    </row>
    <row r="59" spans="1:15" ht="47.25" customHeight="1">
      <c r="A59" s="210">
        <v>57</v>
      </c>
      <c r="B59" s="210" t="s">
        <v>580</v>
      </c>
      <c r="C59" s="210" t="s">
        <v>587</v>
      </c>
      <c r="D59" s="210"/>
      <c r="E59" s="299" t="s">
        <v>93</v>
      </c>
      <c r="F59" s="300">
        <v>5000</v>
      </c>
      <c r="G59" s="299">
        <v>65</v>
      </c>
      <c r="H59" s="300">
        <v>325000</v>
      </c>
      <c r="I59" s="206"/>
      <c r="J59" s="206" t="s">
        <v>2460</v>
      </c>
      <c r="K59" s="206" t="s">
        <v>3791</v>
      </c>
      <c r="L59" s="301">
        <v>325000</v>
      </c>
      <c r="M59" s="176"/>
      <c r="N59" s="302"/>
      <c r="O59" s="293">
        <f>INDEX([1]告訴人!$D$15:$F$372,MATCH(C59,[1]告訴人!$F$15:$F$372,0),1)</f>
        <v>243</v>
      </c>
    </row>
    <row r="60" spans="1:15" ht="47.25" customHeight="1">
      <c r="A60" s="210">
        <v>58</v>
      </c>
      <c r="B60" s="210" t="s">
        <v>580</v>
      </c>
      <c r="C60" s="210" t="s">
        <v>3306</v>
      </c>
      <c r="D60" s="210"/>
      <c r="E60" s="299" t="s">
        <v>93</v>
      </c>
      <c r="F60" s="300">
        <v>5000</v>
      </c>
      <c r="G60" s="299">
        <v>67</v>
      </c>
      <c r="H60" s="300">
        <v>335000</v>
      </c>
      <c r="I60" s="206"/>
      <c r="J60" s="206" t="s">
        <v>2460</v>
      </c>
      <c r="K60" s="206" t="s">
        <v>3792</v>
      </c>
      <c r="L60" s="301">
        <v>335000</v>
      </c>
      <c r="M60" s="176"/>
      <c r="N60" s="302"/>
      <c r="O60" s="293">
        <f>INDEX([1]告訴人!$D$15:$F$372,MATCH(C60,[1]告訴人!$F$15:$F$372,0),1)</f>
        <v>231</v>
      </c>
    </row>
    <row r="61" spans="1:15" ht="47.25" customHeight="1">
      <c r="A61" s="210">
        <v>59</v>
      </c>
      <c r="B61" s="210" t="s">
        <v>580</v>
      </c>
      <c r="C61" s="210" t="s">
        <v>2477</v>
      </c>
      <c r="D61" s="210"/>
      <c r="E61" s="299" t="s">
        <v>93</v>
      </c>
      <c r="F61" s="300">
        <v>8000</v>
      </c>
      <c r="G61" s="299">
        <v>67</v>
      </c>
      <c r="H61" s="300">
        <v>536000</v>
      </c>
      <c r="I61" s="206"/>
      <c r="J61" s="206" t="s">
        <v>2460</v>
      </c>
      <c r="K61" s="206" t="s">
        <v>3793</v>
      </c>
      <c r="L61" s="301">
        <v>536000</v>
      </c>
      <c r="M61" s="176"/>
      <c r="N61" s="302"/>
      <c r="O61" s="293" t="e">
        <f>INDEX([1]告訴人!$D$15:$F$372,MATCH(C61,[1]告訴人!$F$15:$F$372,0),1)</f>
        <v>#N/A</v>
      </c>
    </row>
    <row r="62" spans="1:15" ht="47.25" customHeight="1">
      <c r="A62" s="210">
        <v>60</v>
      </c>
      <c r="B62" s="210" t="s">
        <v>580</v>
      </c>
      <c r="C62" s="210" t="s">
        <v>3307</v>
      </c>
      <c r="D62" s="210"/>
      <c r="E62" s="299" t="s">
        <v>93</v>
      </c>
      <c r="F62" s="300">
        <v>4000</v>
      </c>
      <c r="G62" s="299">
        <v>67</v>
      </c>
      <c r="H62" s="300">
        <v>268000</v>
      </c>
      <c r="I62" s="206"/>
      <c r="J62" s="206" t="s">
        <v>2460</v>
      </c>
      <c r="K62" s="206" t="s">
        <v>3793</v>
      </c>
      <c r="L62" s="301">
        <v>268000</v>
      </c>
      <c r="M62" s="176"/>
      <c r="N62" s="302"/>
      <c r="O62" s="293" t="e">
        <f>INDEX([1]告訴人!$D$15:$F$372,MATCH(C62,[1]告訴人!$F$15:$F$372,0),1)</f>
        <v>#N/A</v>
      </c>
    </row>
    <row r="63" spans="1:15" ht="47.25" customHeight="1">
      <c r="A63" s="210">
        <v>61</v>
      </c>
      <c r="B63" s="210" t="s">
        <v>580</v>
      </c>
      <c r="C63" s="210" t="s">
        <v>3308</v>
      </c>
      <c r="D63" s="210"/>
      <c r="E63" s="299" t="s">
        <v>93</v>
      </c>
      <c r="F63" s="300">
        <v>7000</v>
      </c>
      <c r="G63" s="299">
        <v>67</v>
      </c>
      <c r="H63" s="300">
        <v>469000</v>
      </c>
      <c r="I63" s="206"/>
      <c r="J63" s="206" t="s">
        <v>2460</v>
      </c>
      <c r="K63" s="206" t="s">
        <v>3792</v>
      </c>
      <c r="L63" s="301">
        <v>469000</v>
      </c>
      <c r="M63" s="176"/>
      <c r="N63" s="302"/>
      <c r="O63" s="293">
        <f>INDEX([1]告訴人!$D$15:$F$372,MATCH(C63,[1]告訴人!$F$15:$F$372,0),1)</f>
        <v>334</v>
      </c>
    </row>
    <row r="64" spans="1:15" ht="47.25" customHeight="1">
      <c r="A64" s="210">
        <v>62</v>
      </c>
      <c r="B64" s="210" t="s">
        <v>580</v>
      </c>
      <c r="C64" s="210" t="s">
        <v>3309</v>
      </c>
      <c r="D64" s="210"/>
      <c r="E64" s="299" t="s">
        <v>93</v>
      </c>
      <c r="F64" s="300">
        <v>5000</v>
      </c>
      <c r="G64" s="299">
        <v>67</v>
      </c>
      <c r="H64" s="300">
        <v>335000</v>
      </c>
      <c r="I64" s="206" t="s">
        <v>3841</v>
      </c>
      <c r="J64" s="206" t="s">
        <v>2460</v>
      </c>
      <c r="K64" s="206" t="s">
        <v>2489</v>
      </c>
      <c r="L64" s="301">
        <v>335000</v>
      </c>
      <c r="M64" s="176" t="s">
        <v>2874</v>
      </c>
      <c r="N64" s="302"/>
      <c r="O64" s="293" t="e">
        <f>INDEX([1]告訴人!$D$15:$F$372,MATCH(C64,[1]告訴人!$F$15:$F$372,0),1)</f>
        <v>#N/A</v>
      </c>
    </row>
    <row r="65" spans="1:17" ht="47.25" customHeight="1">
      <c r="A65" s="210">
        <v>63</v>
      </c>
      <c r="B65" s="210" t="s">
        <v>580</v>
      </c>
      <c r="C65" s="210" t="s">
        <v>3310</v>
      </c>
      <c r="D65" s="210"/>
      <c r="E65" s="299" t="s">
        <v>93</v>
      </c>
      <c r="F65" s="300">
        <v>1000</v>
      </c>
      <c r="G65" s="299">
        <v>68</v>
      </c>
      <c r="H65" s="300">
        <v>68000</v>
      </c>
      <c r="I65" s="206"/>
      <c r="J65" s="206" t="s">
        <v>2460</v>
      </c>
      <c r="K65" s="206"/>
      <c r="L65" s="301">
        <v>68000</v>
      </c>
      <c r="M65" s="176"/>
      <c r="N65" s="302"/>
      <c r="O65" s="293">
        <f>INDEX([1]告訴人!$D$15:$F$372,MATCH(C65,[1]告訴人!$F$15:$F$372,0),1)</f>
        <v>188</v>
      </c>
    </row>
    <row r="66" spans="1:17" ht="47.25" customHeight="1">
      <c r="A66" s="210">
        <v>64</v>
      </c>
      <c r="B66" s="210" t="s">
        <v>580</v>
      </c>
      <c r="C66" s="210" t="s">
        <v>3272</v>
      </c>
      <c r="D66" s="206" t="s">
        <v>3981</v>
      </c>
      <c r="E66" s="299" t="s">
        <v>583</v>
      </c>
      <c r="F66" s="300">
        <v>1000</v>
      </c>
      <c r="G66" s="299">
        <v>38</v>
      </c>
      <c r="H66" s="300">
        <v>38000</v>
      </c>
      <c r="I66" s="206"/>
      <c r="J66" s="206" t="s">
        <v>2460</v>
      </c>
      <c r="K66" s="206" t="s">
        <v>3794</v>
      </c>
      <c r="L66" s="301">
        <v>38000</v>
      </c>
      <c r="M66" s="176"/>
      <c r="N66" s="302"/>
      <c r="O66" s="293">
        <f>INDEX([1]告訴人!$D$15:$F$372,MATCH(C66,[1]告訴人!$F$15:$F$372,0),1)</f>
        <v>248</v>
      </c>
    </row>
    <row r="67" spans="1:17" ht="47.25" customHeight="1">
      <c r="A67" s="210">
        <v>65</v>
      </c>
      <c r="B67" s="210" t="s">
        <v>580</v>
      </c>
      <c r="C67" s="210" t="s">
        <v>582</v>
      </c>
      <c r="D67" s="206" t="s">
        <v>3981</v>
      </c>
      <c r="E67" s="299" t="s">
        <v>583</v>
      </c>
      <c r="F67" s="300">
        <v>1000</v>
      </c>
      <c r="G67" s="299">
        <v>65</v>
      </c>
      <c r="H67" s="300">
        <v>65000</v>
      </c>
      <c r="I67" s="206"/>
      <c r="J67" s="206" t="s">
        <v>2460</v>
      </c>
      <c r="K67" s="206" t="s">
        <v>3795</v>
      </c>
      <c r="L67" s="301">
        <v>65000</v>
      </c>
      <c r="M67" s="176"/>
      <c r="N67" s="302"/>
      <c r="O67" s="293">
        <f>INDEX([1]告訴人!$D$15:$F$372,MATCH(C67,[1]告訴人!$F$15:$F$372,0),1)</f>
        <v>248</v>
      </c>
    </row>
    <row r="68" spans="1:17" ht="47.25" customHeight="1">
      <c r="A68" s="210">
        <v>66</v>
      </c>
      <c r="B68" s="210" t="s">
        <v>580</v>
      </c>
      <c r="C68" s="210" t="s">
        <v>3311</v>
      </c>
      <c r="D68" s="210"/>
      <c r="E68" s="299" t="s">
        <v>545</v>
      </c>
      <c r="F68" s="300">
        <v>5000</v>
      </c>
      <c r="G68" s="299">
        <v>65</v>
      </c>
      <c r="H68" s="300">
        <v>325000</v>
      </c>
      <c r="I68" s="206"/>
      <c r="J68" s="206" t="s">
        <v>3238</v>
      </c>
      <c r="K68" s="206" t="s">
        <v>3796</v>
      </c>
      <c r="L68" s="301">
        <v>325000</v>
      </c>
      <c r="M68" s="176"/>
      <c r="N68" s="302"/>
      <c r="O68" s="293">
        <f>INDEX([1]告訴人!$D$15:$F$372,MATCH(C68,[1]告訴人!$F$15:$F$372,0),1)</f>
        <v>86</v>
      </c>
      <c r="Q68" s="293">
        <v>1</v>
      </c>
    </row>
    <row r="69" spans="1:17" ht="47.25" customHeight="1">
      <c r="A69" s="210">
        <v>67</v>
      </c>
      <c r="B69" s="210" t="s">
        <v>580</v>
      </c>
      <c r="C69" s="210" t="s">
        <v>3312</v>
      </c>
      <c r="D69" s="210"/>
      <c r="E69" s="299" t="s">
        <v>545</v>
      </c>
      <c r="F69" s="300">
        <v>2000</v>
      </c>
      <c r="G69" s="299">
        <v>65</v>
      </c>
      <c r="H69" s="300">
        <v>130000</v>
      </c>
      <c r="I69" s="206"/>
      <c r="J69" s="206" t="s">
        <v>3238</v>
      </c>
      <c r="K69" s="206" t="s">
        <v>3797</v>
      </c>
      <c r="L69" s="301">
        <v>130000</v>
      </c>
      <c r="M69" s="176"/>
      <c r="N69" s="302"/>
      <c r="O69" s="293">
        <f>INDEX([1]告訴人!$D$15:$F$372,MATCH(C69,[1]告訴人!$F$15:$F$372,0),1)</f>
        <v>157</v>
      </c>
      <c r="Q69" s="293">
        <v>1</v>
      </c>
    </row>
    <row r="70" spans="1:17" ht="47.25" customHeight="1">
      <c r="A70" s="210">
        <v>68</v>
      </c>
      <c r="B70" s="210" t="s">
        <v>580</v>
      </c>
      <c r="C70" s="210" t="s">
        <v>3313</v>
      </c>
      <c r="D70" s="210"/>
      <c r="E70" s="299" t="s">
        <v>545</v>
      </c>
      <c r="F70" s="300">
        <v>3000</v>
      </c>
      <c r="G70" s="299">
        <v>65</v>
      </c>
      <c r="H70" s="300">
        <v>195000</v>
      </c>
      <c r="I70" s="206"/>
      <c r="J70" s="206" t="s">
        <v>3236</v>
      </c>
      <c r="K70" s="206"/>
      <c r="L70" s="301"/>
      <c r="M70" s="176" t="s">
        <v>1832</v>
      </c>
      <c r="N70" s="302" t="str">
        <f>IF(L70&lt;&gt;0,"註3","")</f>
        <v/>
      </c>
      <c r="O70" s="293" t="e">
        <f>INDEX([1]告訴人!$D$15:$F$372,MATCH(C70,[1]告訴人!$F$15:$F$372,0),1)</f>
        <v>#N/A</v>
      </c>
      <c r="P70" s="204" t="s">
        <v>2480</v>
      </c>
      <c r="Q70" s="293">
        <v>1</v>
      </c>
    </row>
    <row r="71" spans="1:17" ht="47.25" customHeight="1">
      <c r="A71" s="210">
        <v>69</v>
      </c>
      <c r="B71" s="210" t="s">
        <v>580</v>
      </c>
      <c r="C71" s="210" t="s">
        <v>3314</v>
      </c>
      <c r="D71" s="210"/>
      <c r="E71" s="299" t="s">
        <v>545</v>
      </c>
      <c r="F71" s="300">
        <v>1000</v>
      </c>
      <c r="G71" s="299">
        <v>67</v>
      </c>
      <c r="H71" s="300">
        <v>67000</v>
      </c>
      <c r="I71" s="206"/>
      <c r="J71" s="206" t="s">
        <v>2460</v>
      </c>
      <c r="K71" s="206" t="s">
        <v>3798</v>
      </c>
      <c r="L71" s="301">
        <v>67000</v>
      </c>
      <c r="M71" s="176" t="s">
        <v>2875</v>
      </c>
      <c r="N71" s="302"/>
      <c r="O71" s="293">
        <f>INDEX([1]告訴人!$D$15:$F$372,MATCH(C71,[1]告訴人!$F$15:$F$372,0),1)</f>
        <v>171</v>
      </c>
    </row>
    <row r="72" spans="1:17" ht="47.25" customHeight="1">
      <c r="A72" s="210">
        <v>70</v>
      </c>
      <c r="B72" s="210" t="s">
        <v>580</v>
      </c>
      <c r="C72" s="210" t="s">
        <v>3315</v>
      </c>
      <c r="D72" s="206" t="s">
        <v>3981</v>
      </c>
      <c r="E72" s="299" t="s">
        <v>94</v>
      </c>
      <c r="F72" s="300">
        <v>10000</v>
      </c>
      <c r="G72" s="299">
        <v>65</v>
      </c>
      <c r="H72" s="300">
        <v>650000</v>
      </c>
      <c r="I72" s="206"/>
      <c r="J72" s="206" t="s">
        <v>2460</v>
      </c>
      <c r="K72" s="206" t="s">
        <v>3799</v>
      </c>
      <c r="L72" s="301">
        <v>650000</v>
      </c>
      <c r="M72" s="176"/>
      <c r="N72" s="302"/>
      <c r="O72" s="293">
        <f>INDEX([1]告訴人!$D$15:$F$372,MATCH(C72,[1]告訴人!$F$15:$F$372,0),1)</f>
        <v>99</v>
      </c>
    </row>
    <row r="73" spans="1:17" ht="47.25" customHeight="1">
      <c r="A73" s="210">
        <v>71</v>
      </c>
      <c r="B73" s="210" t="s">
        <v>580</v>
      </c>
      <c r="C73" s="210" t="s">
        <v>3316</v>
      </c>
      <c r="D73" s="210"/>
      <c r="E73" s="299" t="s">
        <v>94</v>
      </c>
      <c r="F73" s="300">
        <v>6000</v>
      </c>
      <c r="G73" s="299">
        <v>67</v>
      </c>
      <c r="H73" s="300">
        <v>402000</v>
      </c>
      <c r="I73" s="206"/>
      <c r="J73" s="206" t="s">
        <v>2460</v>
      </c>
      <c r="K73" s="206" t="s">
        <v>3792</v>
      </c>
      <c r="L73" s="301">
        <v>402000</v>
      </c>
      <c r="M73" s="176"/>
      <c r="N73" s="302"/>
      <c r="O73" s="293">
        <f>INDEX([1]告訴人!$D$15:$F$372,MATCH(C73,[1]告訴人!$F$15:$F$372,0),1)</f>
        <v>187</v>
      </c>
    </row>
    <row r="74" spans="1:17" ht="47.25" customHeight="1">
      <c r="A74" s="210">
        <v>72</v>
      </c>
      <c r="B74" s="210" t="s">
        <v>580</v>
      </c>
      <c r="C74" s="210" t="s">
        <v>3317</v>
      </c>
      <c r="D74" s="210"/>
      <c r="E74" s="299" t="s">
        <v>94</v>
      </c>
      <c r="F74" s="300">
        <v>5000</v>
      </c>
      <c r="G74" s="299">
        <v>67</v>
      </c>
      <c r="H74" s="300">
        <v>335000</v>
      </c>
      <c r="I74" s="206"/>
      <c r="J74" s="206" t="s">
        <v>2460</v>
      </c>
      <c r="K74" s="206" t="s">
        <v>3800</v>
      </c>
      <c r="L74" s="301">
        <v>335000</v>
      </c>
      <c r="M74" s="176"/>
      <c r="N74" s="302"/>
      <c r="O74" s="293" t="e">
        <f>INDEX([1]告訴人!$D$15:$F$372,MATCH(C74,[1]告訴人!$F$15:$F$372,0),1)</f>
        <v>#N/A</v>
      </c>
    </row>
    <row r="75" spans="1:17" ht="47.25" customHeight="1">
      <c r="A75" s="210">
        <v>73</v>
      </c>
      <c r="B75" s="210" t="s">
        <v>580</v>
      </c>
      <c r="C75" s="210" t="s">
        <v>3318</v>
      </c>
      <c r="D75" s="210"/>
      <c r="E75" s="299" t="s">
        <v>94</v>
      </c>
      <c r="F75" s="300">
        <v>2000</v>
      </c>
      <c r="G75" s="299">
        <v>67</v>
      </c>
      <c r="H75" s="300">
        <v>134000</v>
      </c>
      <c r="I75" s="206"/>
      <c r="J75" s="206" t="s">
        <v>2460</v>
      </c>
      <c r="K75" s="206" t="s">
        <v>2490</v>
      </c>
      <c r="L75" s="301">
        <v>134000</v>
      </c>
      <c r="M75" s="176"/>
      <c r="N75" s="302"/>
      <c r="O75" s="293">
        <f>INDEX([1]告訴人!$D$15:$F$372,MATCH(C75,[1]告訴人!$F$15:$F$372,0),1)</f>
        <v>214</v>
      </c>
    </row>
    <row r="76" spans="1:17" ht="47.25" customHeight="1">
      <c r="A76" s="210">
        <v>74</v>
      </c>
      <c r="B76" s="210" t="s">
        <v>580</v>
      </c>
      <c r="C76" s="210" t="s">
        <v>3319</v>
      </c>
      <c r="D76" s="210"/>
      <c r="E76" s="299" t="s">
        <v>94</v>
      </c>
      <c r="F76" s="300">
        <v>1000</v>
      </c>
      <c r="G76" s="299">
        <v>67</v>
      </c>
      <c r="H76" s="300">
        <v>67000</v>
      </c>
      <c r="I76" s="206"/>
      <c r="J76" s="206" t="s">
        <v>3838</v>
      </c>
      <c r="K76" s="206" t="s">
        <v>2490</v>
      </c>
      <c r="L76" s="301">
        <v>67000</v>
      </c>
      <c r="M76" s="176"/>
      <c r="N76" s="302"/>
      <c r="O76" s="293" t="e">
        <f>INDEX([1]告訴人!$D$15:$F$372,MATCH(C76,[1]告訴人!$F$15:$F$372,0),1)</f>
        <v>#N/A</v>
      </c>
      <c r="P76" s="204" t="s">
        <v>2480</v>
      </c>
      <c r="Q76" s="293">
        <v>1</v>
      </c>
    </row>
    <row r="77" spans="1:17" ht="47.25" customHeight="1">
      <c r="A77" s="210">
        <v>75</v>
      </c>
      <c r="B77" s="210" t="s">
        <v>580</v>
      </c>
      <c r="C77" s="210" t="s">
        <v>3320</v>
      </c>
      <c r="D77" s="210"/>
      <c r="E77" s="299" t="s">
        <v>94</v>
      </c>
      <c r="F77" s="300">
        <v>5000</v>
      </c>
      <c r="G77" s="299">
        <v>68</v>
      </c>
      <c r="H77" s="300">
        <v>340000</v>
      </c>
      <c r="I77" s="206"/>
      <c r="J77" s="206" t="s">
        <v>2460</v>
      </c>
      <c r="K77" s="206" t="s">
        <v>3801</v>
      </c>
      <c r="L77" s="301">
        <v>340000</v>
      </c>
      <c r="M77" s="176"/>
      <c r="N77" s="302"/>
      <c r="O77" s="293">
        <f>INDEX([1]告訴人!$D$15:$F$372,MATCH(C77,[1]告訴人!$F$15:$F$372,0),1)</f>
        <v>46</v>
      </c>
    </row>
    <row r="78" spans="1:17" ht="47.25" customHeight="1">
      <c r="A78" s="210">
        <v>76</v>
      </c>
      <c r="B78" s="210" t="s">
        <v>580</v>
      </c>
      <c r="C78" s="210" t="s">
        <v>3321</v>
      </c>
      <c r="D78" s="210"/>
      <c r="E78" s="299" t="s">
        <v>94</v>
      </c>
      <c r="F78" s="300">
        <v>10000</v>
      </c>
      <c r="G78" s="299">
        <v>69</v>
      </c>
      <c r="H78" s="300">
        <v>690000</v>
      </c>
      <c r="I78" s="206"/>
      <c r="J78" s="206" t="s">
        <v>2460</v>
      </c>
      <c r="K78" s="206" t="s">
        <v>3802</v>
      </c>
      <c r="L78" s="301">
        <v>690000</v>
      </c>
      <c r="M78" s="176"/>
      <c r="N78" s="302"/>
      <c r="O78" s="293">
        <f>INDEX([1]告訴人!$D$15:$F$372,MATCH(C78,[1]告訴人!$F$15:$F$372,0),1)</f>
        <v>72</v>
      </c>
    </row>
    <row r="79" spans="1:17" ht="47.25" customHeight="1">
      <c r="A79" s="210">
        <v>77</v>
      </c>
      <c r="B79" s="210" t="s">
        <v>580</v>
      </c>
      <c r="C79" s="210" t="s">
        <v>3322</v>
      </c>
      <c r="D79" s="210"/>
      <c r="E79" s="299" t="s">
        <v>94</v>
      </c>
      <c r="F79" s="300">
        <v>3000</v>
      </c>
      <c r="G79" s="299">
        <v>69</v>
      </c>
      <c r="H79" s="300">
        <v>207000</v>
      </c>
      <c r="I79" s="206"/>
      <c r="J79" s="206" t="s">
        <v>2460</v>
      </c>
      <c r="K79" s="206" t="s">
        <v>3801</v>
      </c>
      <c r="L79" s="301">
        <v>207000</v>
      </c>
      <c r="M79" s="176"/>
      <c r="N79" s="302"/>
      <c r="O79" s="293" t="e">
        <f>INDEX([1]告訴人!$D$15:$F$372,MATCH(C79,[1]告訴人!$F$15:$F$372,0),1)</f>
        <v>#N/A</v>
      </c>
    </row>
    <row r="80" spans="1:17" ht="47.25" customHeight="1">
      <c r="A80" s="210">
        <v>78</v>
      </c>
      <c r="B80" s="210" t="s">
        <v>580</v>
      </c>
      <c r="C80" s="210" t="s">
        <v>3323</v>
      </c>
      <c r="D80" s="210"/>
      <c r="E80" s="299" t="s">
        <v>608</v>
      </c>
      <c r="F80" s="300">
        <v>2000</v>
      </c>
      <c r="G80" s="299">
        <v>65</v>
      </c>
      <c r="H80" s="300">
        <v>130000</v>
      </c>
      <c r="I80" s="206"/>
      <c r="J80" s="206" t="s">
        <v>2460</v>
      </c>
      <c r="K80" s="206" t="s">
        <v>3799</v>
      </c>
      <c r="L80" s="301">
        <v>130000</v>
      </c>
      <c r="M80" s="176"/>
      <c r="N80" s="302"/>
      <c r="O80" s="293">
        <f>INDEX([1]告訴人!$D$15:$F$372,MATCH(C80,[1]告訴人!$F$15:$F$372,0),1)</f>
        <v>98</v>
      </c>
    </row>
    <row r="81" spans="1:17" ht="47.25" customHeight="1">
      <c r="A81" s="210">
        <v>79</v>
      </c>
      <c r="B81" s="210" t="s">
        <v>580</v>
      </c>
      <c r="C81" s="210" t="s">
        <v>651</v>
      </c>
      <c r="D81" s="210"/>
      <c r="E81" s="299" t="s">
        <v>559</v>
      </c>
      <c r="F81" s="300">
        <v>8000</v>
      </c>
      <c r="G81" s="299">
        <v>67</v>
      </c>
      <c r="H81" s="300">
        <v>536000</v>
      </c>
      <c r="I81" s="206"/>
      <c r="J81" s="206" t="s">
        <v>2460</v>
      </c>
      <c r="K81" s="206" t="s">
        <v>2490</v>
      </c>
      <c r="L81" s="301">
        <v>536000</v>
      </c>
      <c r="M81" s="176"/>
      <c r="N81" s="302"/>
      <c r="O81" s="293">
        <f>INDEX([1]告訴人!$D$15:$F$372,MATCH(C81,[1]告訴人!$F$15:$F$372,0),1)</f>
        <v>214</v>
      </c>
    </row>
    <row r="82" spans="1:17" ht="47.25" customHeight="1">
      <c r="A82" s="210">
        <v>80</v>
      </c>
      <c r="B82" s="210" t="s">
        <v>580</v>
      </c>
      <c r="C82" s="210" t="s">
        <v>3324</v>
      </c>
      <c r="D82" s="210"/>
      <c r="E82" s="299" t="s">
        <v>509</v>
      </c>
      <c r="F82" s="300">
        <v>6000</v>
      </c>
      <c r="G82" s="299">
        <v>66</v>
      </c>
      <c r="H82" s="300">
        <v>396000</v>
      </c>
      <c r="I82" s="206"/>
      <c r="J82" s="206" t="s">
        <v>2460</v>
      </c>
      <c r="K82" s="206" t="s">
        <v>3788</v>
      </c>
      <c r="L82" s="301">
        <v>396000</v>
      </c>
      <c r="M82" s="176"/>
      <c r="N82" s="302"/>
      <c r="O82" s="293">
        <f>INDEX([1]告訴人!$D$15:$F$372,MATCH(C82,[1]告訴人!$F$15:$F$372,0),1)</f>
        <v>32</v>
      </c>
    </row>
    <row r="83" spans="1:17" ht="47.25" customHeight="1">
      <c r="A83" s="210">
        <v>81</v>
      </c>
      <c r="B83" s="210" t="s">
        <v>580</v>
      </c>
      <c r="C83" s="210" t="s">
        <v>3325</v>
      </c>
      <c r="D83" s="210"/>
      <c r="E83" s="299" t="s">
        <v>509</v>
      </c>
      <c r="F83" s="300">
        <v>1000</v>
      </c>
      <c r="G83" s="299">
        <v>67</v>
      </c>
      <c r="H83" s="300">
        <v>67000</v>
      </c>
      <c r="I83" s="206"/>
      <c r="J83" s="206" t="s">
        <v>2460</v>
      </c>
      <c r="K83" s="206" t="s">
        <v>2490</v>
      </c>
      <c r="L83" s="301">
        <v>67000</v>
      </c>
      <c r="M83" s="176"/>
      <c r="N83" s="302"/>
      <c r="O83" s="293">
        <f>INDEX([1]告訴人!$D$15:$F$372,MATCH(C83,[1]告訴人!$F$15:$F$372,0),1)</f>
        <v>216</v>
      </c>
    </row>
    <row r="84" spans="1:17" ht="47.25" customHeight="1">
      <c r="A84" s="210">
        <v>82</v>
      </c>
      <c r="B84" s="210" t="s">
        <v>580</v>
      </c>
      <c r="C84" s="210" t="s">
        <v>3326</v>
      </c>
      <c r="D84" s="210"/>
      <c r="E84" s="299" t="s">
        <v>509</v>
      </c>
      <c r="F84" s="300">
        <v>2000</v>
      </c>
      <c r="G84" s="299">
        <v>67</v>
      </c>
      <c r="H84" s="300">
        <v>134000</v>
      </c>
      <c r="I84" s="206"/>
      <c r="J84" s="206" t="s">
        <v>2460</v>
      </c>
      <c r="K84" s="206" t="s">
        <v>3803</v>
      </c>
      <c r="L84" s="301">
        <v>134000</v>
      </c>
      <c r="M84" s="176"/>
      <c r="N84" s="302"/>
      <c r="O84" s="293">
        <f>INDEX([1]告訴人!$D$15:$F$372,MATCH(C84,[1]告訴人!$F$15:$F$372,0),1)</f>
        <v>22</v>
      </c>
    </row>
    <row r="85" spans="1:17" ht="47.25" customHeight="1">
      <c r="A85" s="210">
        <v>83</v>
      </c>
      <c r="B85" s="210" t="s">
        <v>580</v>
      </c>
      <c r="C85" s="210" t="s">
        <v>3327</v>
      </c>
      <c r="D85" s="210"/>
      <c r="E85" s="299" t="s">
        <v>509</v>
      </c>
      <c r="F85" s="300">
        <v>1000</v>
      </c>
      <c r="G85" s="299">
        <v>69</v>
      </c>
      <c r="H85" s="300">
        <v>69000</v>
      </c>
      <c r="I85" s="206"/>
      <c r="J85" s="206" t="s">
        <v>2460</v>
      </c>
      <c r="K85" s="206" t="s">
        <v>3801</v>
      </c>
      <c r="L85" s="301">
        <v>69000</v>
      </c>
      <c r="M85" s="176"/>
      <c r="N85" s="302"/>
      <c r="O85" s="293" t="e">
        <f>INDEX([1]告訴人!$D$15:$F$372,MATCH(C85,[1]告訴人!$F$15:$F$372,0),1)</f>
        <v>#N/A</v>
      </c>
    </row>
    <row r="86" spans="1:17" ht="47.25" customHeight="1">
      <c r="A86" s="210">
        <v>84</v>
      </c>
      <c r="B86" s="210" t="s">
        <v>580</v>
      </c>
      <c r="C86" s="210" t="s">
        <v>591</v>
      </c>
      <c r="D86" s="206" t="s">
        <v>3981</v>
      </c>
      <c r="E86" s="299" t="s">
        <v>554</v>
      </c>
      <c r="F86" s="300">
        <v>5000</v>
      </c>
      <c r="G86" s="299">
        <v>65</v>
      </c>
      <c r="H86" s="300">
        <v>325000</v>
      </c>
      <c r="I86" s="206"/>
      <c r="J86" s="206" t="s">
        <v>2460</v>
      </c>
      <c r="K86" s="206" t="s">
        <v>3799</v>
      </c>
      <c r="L86" s="301">
        <v>325000</v>
      </c>
      <c r="M86" s="176"/>
      <c r="N86" s="302"/>
      <c r="O86" s="293">
        <f>INDEX([1]告訴人!$D$15:$F$372,MATCH(C86,[1]告訴人!$F$15:$F$372,0),1)</f>
        <v>99</v>
      </c>
    </row>
    <row r="87" spans="1:17" ht="47.25" customHeight="1">
      <c r="A87" s="210">
        <v>85</v>
      </c>
      <c r="B87" s="210" t="s">
        <v>580</v>
      </c>
      <c r="C87" s="210" t="s">
        <v>3328</v>
      </c>
      <c r="D87" s="210"/>
      <c r="E87" s="299" t="s">
        <v>554</v>
      </c>
      <c r="F87" s="300">
        <v>10000</v>
      </c>
      <c r="G87" s="299">
        <v>67</v>
      </c>
      <c r="H87" s="300">
        <v>670000</v>
      </c>
      <c r="I87" s="206"/>
      <c r="J87" s="206" t="s">
        <v>2460</v>
      </c>
      <c r="K87" s="206" t="s">
        <v>2489</v>
      </c>
      <c r="L87" s="301">
        <v>670000</v>
      </c>
      <c r="M87" s="176"/>
      <c r="N87" s="302"/>
      <c r="O87" s="293" t="e">
        <f>INDEX([1]告訴人!$D$15:$F$372,MATCH(C87,[1]告訴人!$F$15:$F$372,0),1)</f>
        <v>#N/A</v>
      </c>
    </row>
    <row r="88" spans="1:17" ht="47.25" customHeight="1">
      <c r="A88" s="210">
        <v>86</v>
      </c>
      <c r="B88" s="210" t="s">
        <v>580</v>
      </c>
      <c r="C88" s="210" t="s">
        <v>3329</v>
      </c>
      <c r="D88" s="210"/>
      <c r="E88" s="299" t="s">
        <v>554</v>
      </c>
      <c r="F88" s="300">
        <v>1000</v>
      </c>
      <c r="G88" s="299">
        <v>67</v>
      </c>
      <c r="H88" s="300">
        <v>67000</v>
      </c>
      <c r="I88" s="206"/>
      <c r="J88" s="206" t="s">
        <v>2460</v>
      </c>
      <c r="K88" s="206" t="s">
        <v>2490</v>
      </c>
      <c r="L88" s="301">
        <v>67000</v>
      </c>
      <c r="M88" s="176"/>
      <c r="N88" s="302"/>
      <c r="O88" s="293" t="e">
        <f>INDEX([1]告訴人!$D$15:$F$372,MATCH(C88,[1]告訴人!$F$15:$F$372,0),1)</f>
        <v>#N/A</v>
      </c>
    </row>
    <row r="89" spans="1:17" ht="47.25" customHeight="1">
      <c r="A89" s="210">
        <v>87</v>
      </c>
      <c r="B89" s="210" t="s">
        <v>580</v>
      </c>
      <c r="C89" s="210" t="s">
        <v>3330</v>
      </c>
      <c r="D89" s="210"/>
      <c r="E89" s="299" t="s">
        <v>554</v>
      </c>
      <c r="F89" s="300">
        <v>3000</v>
      </c>
      <c r="G89" s="299">
        <v>67</v>
      </c>
      <c r="H89" s="300">
        <v>201000</v>
      </c>
      <c r="I89" s="206"/>
      <c r="J89" s="206" t="s">
        <v>2460</v>
      </c>
      <c r="K89" s="206" t="s">
        <v>3801</v>
      </c>
      <c r="L89" s="301">
        <v>201000</v>
      </c>
      <c r="M89" s="176"/>
      <c r="N89" s="302"/>
      <c r="O89" s="293">
        <f>INDEX([1]告訴人!$D$15:$F$372,MATCH(C89,[1]告訴人!$F$15:$F$372,0),1)</f>
        <v>266</v>
      </c>
    </row>
    <row r="90" spans="1:17" ht="47.25" customHeight="1">
      <c r="A90" s="210">
        <v>88</v>
      </c>
      <c r="B90" s="210" t="s">
        <v>580</v>
      </c>
      <c r="C90" s="210" t="s">
        <v>3331</v>
      </c>
      <c r="D90" s="210"/>
      <c r="E90" s="299" t="s">
        <v>554</v>
      </c>
      <c r="F90" s="300">
        <v>2000</v>
      </c>
      <c r="G90" s="299">
        <v>69</v>
      </c>
      <c r="H90" s="300">
        <v>138000</v>
      </c>
      <c r="I90" s="206"/>
      <c r="J90" s="206" t="s">
        <v>2460</v>
      </c>
      <c r="K90" s="206" t="s">
        <v>3804</v>
      </c>
      <c r="L90" s="301">
        <v>138000</v>
      </c>
      <c r="M90" s="176"/>
      <c r="N90" s="302"/>
      <c r="O90" s="293" t="e">
        <f>INDEX([1]告訴人!$D$15:$F$372,MATCH(C90,[1]告訴人!$F$15:$F$372,0),1)</f>
        <v>#N/A</v>
      </c>
    </row>
    <row r="91" spans="1:17" ht="47.25" customHeight="1">
      <c r="A91" s="210">
        <v>89</v>
      </c>
      <c r="B91" s="210" t="s">
        <v>580</v>
      </c>
      <c r="C91" s="210" t="s">
        <v>3332</v>
      </c>
      <c r="D91" s="210"/>
      <c r="E91" s="299" t="s">
        <v>34</v>
      </c>
      <c r="F91" s="300">
        <v>3000</v>
      </c>
      <c r="G91" s="299">
        <v>67</v>
      </c>
      <c r="H91" s="300">
        <v>201000</v>
      </c>
      <c r="I91" s="206"/>
      <c r="J91" s="206" t="s">
        <v>2460</v>
      </c>
      <c r="K91" s="206" t="s">
        <v>3805</v>
      </c>
      <c r="L91" s="301">
        <v>201000</v>
      </c>
      <c r="M91" s="176"/>
      <c r="N91" s="302"/>
      <c r="O91" s="293">
        <f>INDEX([1]告訴人!$D$15:$F$372,MATCH(C91,[1]告訴人!$F$15:$F$372,0),1)</f>
        <v>321</v>
      </c>
    </row>
    <row r="92" spans="1:17" ht="47.25" customHeight="1">
      <c r="A92" s="210">
        <v>90</v>
      </c>
      <c r="B92" s="210" t="s">
        <v>580</v>
      </c>
      <c r="C92" s="210" t="s">
        <v>3333</v>
      </c>
      <c r="D92" s="210"/>
      <c r="E92" s="299" t="s">
        <v>34</v>
      </c>
      <c r="F92" s="300">
        <v>2000</v>
      </c>
      <c r="G92" s="299">
        <v>67</v>
      </c>
      <c r="H92" s="300">
        <v>134000</v>
      </c>
      <c r="I92" s="206"/>
      <c r="J92" s="206" t="s">
        <v>2460</v>
      </c>
      <c r="K92" s="206" t="s">
        <v>3801</v>
      </c>
      <c r="L92" s="301">
        <v>134000</v>
      </c>
      <c r="M92" s="176"/>
      <c r="N92" s="302"/>
      <c r="O92" s="293">
        <f>INDEX([1]告訴人!$D$15:$F$372,MATCH(C92,[1]告訴人!$F$15:$F$372,0),1)</f>
        <v>126</v>
      </c>
    </row>
    <row r="93" spans="1:17" ht="47.25" customHeight="1">
      <c r="A93" s="210">
        <v>91</v>
      </c>
      <c r="B93" s="210" t="s">
        <v>580</v>
      </c>
      <c r="C93" s="210" t="s">
        <v>3334</v>
      </c>
      <c r="D93" s="210"/>
      <c r="E93" s="299" t="s">
        <v>34</v>
      </c>
      <c r="F93" s="300">
        <v>1000</v>
      </c>
      <c r="G93" s="299">
        <v>67</v>
      </c>
      <c r="H93" s="300">
        <v>67000</v>
      </c>
      <c r="I93" s="206"/>
      <c r="J93" s="206" t="s">
        <v>2460</v>
      </c>
      <c r="K93" s="206" t="s">
        <v>3803</v>
      </c>
      <c r="L93" s="301">
        <v>67000</v>
      </c>
      <c r="M93" s="176"/>
      <c r="N93" s="302"/>
      <c r="O93" s="293" t="e">
        <f>INDEX([1]告訴人!$D$15:$F$372,MATCH(C93,[1]告訴人!$F$15:$F$372,0),1)</f>
        <v>#N/A</v>
      </c>
    </row>
    <row r="94" spans="1:17" ht="47.25" customHeight="1">
      <c r="A94" s="210">
        <v>92</v>
      </c>
      <c r="B94" s="210" t="s">
        <v>580</v>
      </c>
      <c r="C94" s="210" t="s">
        <v>598</v>
      </c>
      <c r="D94" s="210"/>
      <c r="E94" s="299" t="s">
        <v>34</v>
      </c>
      <c r="F94" s="300">
        <v>2000</v>
      </c>
      <c r="G94" s="299">
        <v>67</v>
      </c>
      <c r="H94" s="300">
        <v>134000</v>
      </c>
      <c r="I94" s="206"/>
      <c r="J94" s="206" t="s">
        <v>3238</v>
      </c>
      <c r="K94" s="206" t="s">
        <v>3797</v>
      </c>
      <c r="L94" s="301">
        <v>134000</v>
      </c>
      <c r="M94" s="176"/>
      <c r="N94" s="302"/>
      <c r="O94" s="293">
        <f>INDEX([1]告訴人!$D$15:$F$372,MATCH(C94,[1]告訴人!$F$15:$F$372,0),1)</f>
        <v>157</v>
      </c>
      <c r="Q94" s="293">
        <v>1</v>
      </c>
    </row>
    <row r="95" spans="1:17" ht="47.25" customHeight="1">
      <c r="A95" s="210">
        <v>93</v>
      </c>
      <c r="B95" s="210" t="s">
        <v>580</v>
      </c>
      <c r="C95" s="210" t="s">
        <v>3335</v>
      </c>
      <c r="D95" s="210"/>
      <c r="E95" s="299" t="s">
        <v>34</v>
      </c>
      <c r="F95" s="300">
        <v>1000</v>
      </c>
      <c r="G95" s="299">
        <v>67</v>
      </c>
      <c r="H95" s="300">
        <v>67000</v>
      </c>
      <c r="I95" s="206"/>
      <c r="J95" s="206" t="s">
        <v>2460</v>
      </c>
      <c r="K95" s="206" t="s">
        <v>2490</v>
      </c>
      <c r="L95" s="301">
        <v>67000</v>
      </c>
      <c r="M95" s="176"/>
      <c r="N95" s="302"/>
      <c r="O95" s="293">
        <f>INDEX([1]告訴人!$D$15:$F$372,MATCH(C95,[1]告訴人!$F$15:$F$372,0),1)</f>
        <v>293</v>
      </c>
    </row>
    <row r="96" spans="1:17" ht="47.25" customHeight="1">
      <c r="A96" s="210">
        <v>94</v>
      </c>
      <c r="B96" s="210" t="s">
        <v>580</v>
      </c>
      <c r="C96" s="210" t="s">
        <v>3336</v>
      </c>
      <c r="D96" s="210"/>
      <c r="E96" s="299" t="s">
        <v>34</v>
      </c>
      <c r="F96" s="300">
        <v>20000</v>
      </c>
      <c r="G96" s="299">
        <v>67</v>
      </c>
      <c r="H96" s="300">
        <v>1340000</v>
      </c>
      <c r="I96" s="206"/>
      <c r="J96" s="206" t="s">
        <v>2460</v>
      </c>
      <c r="K96" s="206" t="s">
        <v>3801</v>
      </c>
      <c r="L96" s="301">
        <v>1340000</v>
      </c>
      <c r="M96" s="176"/>
      <c r="N96" s="302"/>
      <c r="O96" s="293">
        <f>INDEX([1]告訴人!$D$15:$F$372,MATCH(C96,[1]告訴人!$F$15:$F$372,0),1)</f>
        <v>144</v>
      </c>
    </row>
    <row r="97" spans="1:17" ht="47.25" customHeight="1">
      <c r="A97" s="210">
        <v>95</v>
      </c>
      <c r="B97" s="210" t="s">
        <v>580</v>
      </c>
      <c r="C97" s="210" t="s">
        <v>3337</v>
      </c>
      <c r="D97" s="210"/>
      <c r="E97" s="299" t="s">
        <v>34</v>
      </c>
      <c r="F97" s="300">
        <v>2000</v>
      </c>
      <c r="G97" s="299">
        <v>69</v>
      </c>
      <c r="H97" s="300">
        <v>138000</v>
      </c>
      <c r="I97" s="206"/>
      <c r="J97" s="206" t="s">
        <v>2460</v>
      </c>
      <c r="K97" s="206" t="s">
        <v>3806</v>
      </c>
      <c r="L97" s="301">
        <v>138000</v>
      </c>
      <c r="M97" s="176"/>
      <c r="N97" s="302"/>
      <c r="O97" s="293">
        <f>INDEX([1]告訴人!$D$15:$F$372,MATCH(C97,[1]告訴人!$F$15:$F$372,0),1)</f>
        <v>242</v>
      </c>
    </row>
    <row r="98" spans="1:17" ht="47.25" customHeight="1">
      <c r="A98" s="210">
        <v>96</v>
      </c>
      <c r="B98" s="210" t="s">
        <v>580</v>
      </c>
      <c r="C98" s="210" t="s">
        <v>3338</v>
      </c>
      <c r="D98" s="210"/>
      <c r="E98" s="299" t="s">
        <v>34</v>
      </c>
      <c r="F98" s="300">
        <v>1000</v>
      </c>
      <c r="G98" s="299">
        <v>69</v>
      </c>
      <c r="H98" s="300">
        <v>69000</v>
      </c>
      <c r="I98" s="206"/>
      <c r="J98" s="206" t="s">
        <v>3236</v>
      </c>
      <c r="K98" s="206"/>
      <c r="L98" s="301"/>
      <c r="M98" s="176" t="s">
        <v>1832</v>
      </c>
      <c r="N98" s="302" t="str">
        <f>IF(L98&lt;&gt;0,"註3","")</f>
        <v/>
      </c>
      <c r="O98" s="293" t="e">
        <f>INDEX([1]告訴人!$D$15:$F$372,MATCH(C98,[1]告訴人!$F$15:$F$372,0),1)</f>
        <v>#N/A</v>
      </c>
      <c r="P98" s="204" t="s">
        <v>2480</v>
      </c>
      <c r="Q98" s="293">
        <v>1</v>
      </c>
    </row>
    <row r="99" spans="1:17" ht="47.25" customHeight="1">
      <c r="A99" s="210">
        <v>97</v>
      </c>
      <c r="B99" s="210" t="s">
        <v>580</v>
      </c>
      <c r="C99" s="210" t="s">
        <v>3339</v>
      </c>
      <c r="D99" s="210"/>
      <c r="E99" s="299" t="s">
        <v>34</v>
      </c>
      <c r="F99" s="300">
        <v>6000</v>
      </c>
      <c r="G99" s="299">
        <v>69</v>
      </c>
      <c r="H99" s="300">
        <v>414000</v>
      </c>
      <c r="I99" s="206"/>
      <c r="J99" s="206" t="s">
        <v>2460</v>
      </c>
      <c r="K99" s="206" t="s">
        <v>3807</v>
      </c>
      <c r="L99" s="301">
        <v>414000</v>
      </c>
      <c r="M99" s="176"/>
      <c r="N99" s="302"/>
      <c r="O99" s="293">
        <f>INDEX([1]告訴人!$D$15:$F$372,MATCH(C99,[1]告訴人!$F$15:$F$372,0),1)</f>
        <v>131</v>
      </c>
    </row>
    <row r="100" spans="1:17" ht="47.25" customHeight="1">
      <c r="A100" s="210">
        <v>98</v>
      </c>
      <c r="B100" s="210" t="s">
        <v>580</v>
      </c>
      <c r="C100" s="210" t="s">
        <v>3340</v>
      </c>
      <c r="D100" s="210"/>
      <c r="E100" s="299" t="s">
        <v>664</v>
      </c>
      <c r="F100" s="300">
        <v>1000</v>
      </c>
      <c r="G100" s="299">
        <v>67</v>
      </c>
      <c r="H100" s="300">
        <v>67000</v>
      </c>
      <c r="I100" s="206"/>
      <c r="J100" s="206" t="s">
        <v>3236</v>
      </c>
      <c r="K100" s="206"/>
      <c r="L100" s="301"/>
      <c r="M100" s="176" t="s">
        <v>1832</v>
      </c>
      <c r="N100" s="302" t="str">
        <f>IF(L100&lt;&gt;0,"註3","")</f>
        <v/>
      </c>
      <c r="O100" s="293" t="e">
        <f>INDEX([1]告訴人!$D$15:$F$372,MATCH(C100,[1]告訴人!$F$15:$F$372,0),1)</f>
        <v>#N/A</v>
      </c>
      <c r="P100" s="204" t="s">
        <v>2480</v>
      </c>
      <c r="Q100" s="293">
        <v>1</v>
      </c>
    </row>
    <row r="101" spans="1:17" ht="47.25" customHeight="1">
      <c r="A101" s="210">
        <v>99</v>
      </c>
      <c r="B101" s="210" t="s">
        <v>580</v>
      </c>
      <c r="C101" s="210" t="s">
        <v>3341</v>
      </c>
      <c r="D101" s="210"/>
      <c r="E101" s="299" t="s">
        <v>664</v>
      </c>
      <c r="F101" s="300">
        <v>2000</v>
      </c>
      <c r="G101" s="299">
        <v>69</v>
      </c>
      <c r="H101" s="300">
        <v>138000</v>
      </c>
      <c r="I101" s="206"/>
      <c r="J101" s="206" t="s">
        <v>2460</v>
      </c>
      <c r="K101" s="206" t="s">
        <v>3804</v>
      </c>
      <c r="L101" s="301">
        <v>138000</v>
      </c>
      <c r="M101" s="176"/>
      <c r="N101" s="302"/>
      <c r="O101" s="293" t="e">
        <f>INDEX([1]告訴人!$D$15:$F$372,MATCH(C101,[1]告訴人!$F$15:$F$372,0),1)</f>
        <v>#N/A</v>
      </c>
    </row>
    <row r="102" spans="1:17" ht="47.25" customHeight="1">
      <c r="A102" s="210">
        <v>100</v>
      </c>
      <c r="B102" s="210" t="s">
        <v>580</v>
      </c>
      <c r="C102" s="210" t="s">
        <v>3342</v>
      </c>
      <c r="D102" s="210"/>
      <c r="E102" s="299" t="s">
        <v>652</v>
      </c>
      <c r="F102" s="300">
        <v>2000</v>
      </c>
      <c r="G102" s="299">
        <v>67</v>
      </c>
      <c r="H102" s="300">
        <v>134000</v>
      </c>
      <c r="I102" s="206"/>
      <c r="J102" s="206" t="s">
        <v>2460</v>
      </c>
      <c r="K102" s="206" t="s">
        <v>3808</v>
      </c>
      <c r="L102" s="301">
        <v>134000</v>
      </c>
      <c r="M102" s="176"/>
      <c r="N102" s="302"/>
      <c r="O102" s="293">
        <f>INDEX([1]告訴人!$D$15:$F$372,MATCH(C102,[1]告訴人!$F$15:$F$372,0),1)</f>
        <v>278</v>
      </c>
    </row>
    <row r="103" spans="1:17" ht="47.25" customHeight="1">
      <c r="A103" s="210">
        <v>101</v>
      </c>
      <c r="B103" s="210" t="s">
        <v>580</v>
      </c>
      <c r="C103" s="210" t="s">
        <v>3343</v>
      </c>
      <c r="D103" s="206" t="s">
        <v>3981</v>
      </c>
      <c r="E103" s="299" t="s">
        <v>652</v>
      </c>
      <c r="F103" s="300">
        <v>1000</v>
      </c>
      <c r="G103" s="299">
        <v>67</v>
      </c>
      <c r="H103" s="300">
        <v>67000</v>
      </c>
      <c r="I103" s="206"/>
      <c r="J103" s="206" t="s">
        <v>2460</v>
      </c>
      <c r="K103" s="206" t="s">
        <v>3809</v>
      </c>
      <c r="L103" s="301">
        <v>67000</v>
      </c>
      <c r="M103" s="176"/>
      <c r="N103" s="302"/>
      <c r="O103" s="293">
        <f>INDEX([1]告訴人!$D$15:$F$372,MATCH(C103,[1]告訴人!$F$15:$F$372,0),1)</f>
        <v>325</v>
      </c>
    </row>
    <row r="104" spans="1:17" ht="47.25" customHeight="1">
      <c r="A104" s="210">
        <v>102</v>
      </c>
      <c r="B104" s="210" t="s">
        <v>580</v>
      </c>
      <c r="C104" s="210" t="s">
        <v>3344</v>
      </c>
      <c r="D104" s="210"/>
      <c r="E104" s="299" t="s">
        <v>652</v>
      </c>
      <c r="F104" s="300">
        <v>1000</v>
      </c>
      <c r="G104" s="299">
        <v>67</v>
      </c>
      <c r="H104" s="300">
        <v>67000</v>
      </c>
      <c r="I104" s="206"/>
      <c r="J104" s="206" t="s">
        <v>2460</v>
      </c>
      <c r="K104" s="206" t="s">
        <v>2490</v>
      </c>
      <c r="L104" s="301">
        <v>67000</v>
      </c>
      <c r="M104" s="176"/>
      <c r="N104" s="302"/>
      <c r="O104" s="293" t="e">
        <f>INDEX([1]告訴人!$D$15:$F$372,MATCH(C104,[1]告訴人!$F$15:$F$372,0),1)</f>
        <v>#N/A</v>
      </c>
    </row>
    <row r="105" spans="1:17" ht="47.25" customHeight="1">
      <c r="A105" s="210">
        <v>103</v>
      </c>
      <c r="B105" s="210" t="s">
        <v>580</v>
      </c>
      <c r="C105" s="210" t="s">
        <v>3345</v>
      </c>
      <c r="D105" s="210"/>
      <c r="E105" s="299" t="s">
        <v>652</v>
      </c>
      <c r="F105" s="300">
        <v>2000</v>
      </c>
      <c r="G105" s="299">
        <v>67</v>
      </c>
      <c r="H105" s="300">
        <v>134000</v>
      </c>
      <c r="I105" s="206"/>
      <c r="J105" s="206" t="s">
        <v>2460</v>
      </c>
      <c r="K105" s="206" t="s">
        <v>3809</v>
      </c>
      <c r="L105" s="301">
        <v>134000</v>
      </c>
      <c r="M105" s="176"/>
      <c r="N105" s="302"/>
      <c r="O105" s="293">
        <f>INDEX([1]告訴人!$D$15:$F$372,MATCH(C105,[1]告訴人!$F$15:$F$372,0),1)</f>
        <v>92</v>
      </c>
    </row>
    <row r="106" spans="1:17" ht="47.25" customHeight="1">
      <c r="A106" s="210">
        <v>104</v>
      </c>
      <c r="B106" s="210" t="s">
        <v>580</v>
      </c>
      <c r="C106" s="210" t="s">
        <v>3346</v>
      </c>
      <c r="D106" s="210"/>
      <c r="E106" s="299" t="s">
        <v>652</v>
      </c>
      <c r="F106" s="300">
        <v>1000</v>
      </c>
      <c r="G106" s="299">
        <v>69</v>
      </c>
      <c r="H106" s="300">
        <v>69000</v>
      </c>
      <c r="I106" s="206"/>
      <c r="J106" s="206" t="s">
        <v>2460</v>
      </c>
      <c r="K106" s="206" t="s">
        <v>2490</v>
      </c>
      <c r="L106" s="301">
        <v>69000</v>
      </c>
      <c r="M106" s="176"/>
      <c r="N106" s="302"/>
      <c r="O106" s="293">
        <f>INDEX([1]告訴人!$D$15:$F$372,MATCH(C106,[1]告訴人!$F$15:$F$372,0),1)</f>
        <v>179</v>
      </c>
    </row>
    <row r="107" spans="1:17" ht="47.25" customHeight="1">
      <c r="A107" s="210">
        <v>105</v>
      </c>
      <c r="B107" s="210" t="s">
        <v>580</v>
      </c>
      <c r="C107" s="210" t="s">
        <v>596</v>
      </c>
      <c r="D107" s="210"/>
      <c r="E107" s="299" t="s">
        <v>653</v>
      </c>
      <c r="F107" s="300">
        <v>4000</v>
      </c>
      <c r="G107" s="299">
        <v>67</v>
      </c>
      <c r="H107" s="300">
        <v>268000</v>
      </c>
      <c r="I107" s="206"/>
      <c r="J107" s="206" t="s">
        <v>2460</v>
      </c>
      <c r="K107" s="206" t="s">
        <v>3808</v>
      </c>
      <c r="L107" s="301">
        <v>268000</v>
      </c>
      <c r="M107" s="176"/>
      <c r="N107" s="302"/>
      <c r="O107" s="293">
        <f>INDEX([1]告訴人!$D$15:$F$372,MATCH(C107,[1]告訴人!$F$15:$F$372,0),1)</f>
        <v>278</v>
      </c>
    </row>
    <row r="108" spans="1:17" ht="47.25" customHeight="1">
      <c r="A108" s="210">
        <v>106</v>
      </c>
      <c r="B108" s="210" t="s">
        <v>580</v>
      </c>
      <c r="C108" s="210" t="s">
        <v>3347</v>
      </c>
      <c r="D108" s="206" t="s">
        <v>3981</v>
      </c>
      <c r="E108" s="299" t="s">
        <v>653</v>
      </c>
      <c r="F108" s="300">
        <v>5000</v>
      </c>
      <c r="G108" s="299">
        <v>67</v>
      </c>
      <c r="H108" s="300">
        <v>335000</v>
      </c>
      <c r="I108" s="206"/>
      <c r="J108" s="206" t="s">
        <v>2460</v>
      </c>
      <c r="K108" s="206" t="s">
        <v>3810</v>
      </c>
      <c r="L108" s="301">
        <v>335000</v>
      </c>
      <c r="M108" s="176"/>
      <c r="N108" s="302"/>
      <c r="O108" s="293">
        <f>INDEX([1]告訴人!$D$15:$F$372,MATCH(C108,[1]告訴人!$F$15:$F$372,0),1)</f>
        <v>301</v>
      </c>
    </row>
    <row r="109" spans="1:17" ht="47.25" customHeight="1">
      <c r="A109" s="210">
        <v>107</v>
      </c>
      <c r="B109" s="210" t="s">
        <v>580</v>
      </c>
      <c r="C109" s="210" t="s">
        <v>3348</v>
      </c>
      <c r="D109" s="206" t="s">
        <v>3981</v>
      </c>
      <c r="E109" s="299" t="s">
        <v>653</v>
      </c>
      <c r="F109" s="300">
        <v>1000</v>
      </c>
      <c r="G109" s="299">
        <v>67</v>
      </c>
      <c r="H109" s="300">
        <v>67000</v>
      </c>
      <c r="I109" s="206"/>
      <c r="J109" s="206" t="s">
        <v>2460</v>
      </c>
      <c r="K109" s="206" t="s">
        <v>3811</v>
      </c>
      <c r="L109" s="301">
        <v>67000</v>
      </c>
      <c r="M109" s="176"/>
      <c r="N109" s="302"/>
      <c r="O109" s="293">
        <f>INDEX([1]告訴人!$D$15:$F$372,MATCH(C109,[1]告訴人!$F$15:$F$372,0),1)</f>
        <v>113</v>
      </c>
    </row>
    <row r="110" spans="1:17" ht="47.25" customHeight="1">
      <c r="A110" s="210">
        <v>108</v>
      </c>
      <c r="B110" s="210" t="s">
        <v>580</v>
      </c>
      <c r="C110" s="210" t="s">
        <v>3349</v>
      </c>
      <c r="D110" s="210"/>
      <c r="E110" s="299" t="s">
        <v>653</v>
      </c>
      <c r="F110" s="300">
        <v>2000</v>
      </c>
      <c r="G110" s="299">
        <v>68</v>
      </c>
      <c r="H110" s="300">
        <v>136000</v>
      </c>
      <c r="I110" s="206"/>
      <c r="J110" s="206" t="s">
        <v>3842</v>
      </c>
      <c r="K110" s="206" t="s">
        <v>2498</v>
      </c>
      <c r="L110" s="301">
        <v>136000</v>
      </c>
      <c r="M110" s="176"/>
      <c r="N110" s="302"/>
      <c r="O110" s="293" t="e">
        <f>INDEX([1]告訴人!$D$15:$F$372,MATCH(C110,[1]告訴人!$F$15:$F$372,0),1)</f>
        <v>#N/A</v>
      </c>
      <c r="P110" s="204" t="s">
        <v>2480</v>
      </c>
      <c r="Q110" s="293">
        <v>1</v>
      </c>
    </row>
    <row r="111" spans="1:17" ht="47.25" customHeight="1">
      <c r="A111" s="210">
        <v>109</v>
      </c>
      <c r="B111" s="210" t="s">
        <v>580</v>
      </c>
      <c r="C111" s="210" t="s">
        <v>3350</v>
      </c>
      <c r="D111" s="210"/>
      <c r="E111" s="299" t="s">
        <v>630</v>
      </c>
      <c r="F111" s="300">
        <v>2000</v>
      </c>
      <c r="G111" s="299">
        <v>67</v>
      </c>
      <c r="H111" s="300">
        <v>134000</v>
      </c>
      <c r="I111" s="206"/>
      <c r="J111" s="206" t="s">
        <v>2460</v>
      </c>
      <c r="K111" s="206" t="s">
        <v>3793</v>
      </c>
      <c r="L111" s="301">
        <v>134000</v>
      </c>
      <c r="M111" s="176"/>
      <c r="N111" s="302"/>
      <c r="O111" s="293">
        <f>INDEX([1]告訴人!$D$15:$F$372,MATCH(C111,[1]告訴人!$F$15:$F$372,0),1)</f>
        <v>250</v>
      </c>
    </row>
    <row r="112" spans="1:17" ht="47.25" customHeight="1">
      <c r="A112" s="210">
        <v>110</v>
      </c>
      <c r="B112" s="210" t="s">
        <v>580</v>
      </c>
      <c r="C112" s="210" t="s">
        <v>3351</v>
      </c>
      <c r="D112" s="210"/>
      <c r="E112" s="299" t="s">
        <v>630</v>
      </c>
      <c r="F112" s="300">
        <v>2000</v>
      </c>
      <c r="G112" s="299">
        <v>67</v>
      </c>
      <c r="H112" s="300">
        <v>134000</v>
      </c>
      <c r="I112" s="206"/>
      <c r="J112" s="206" t="s">
        <v>2460</v>
      </c>
      <c r="K112" s="206" t="s">
        <v>3793</v>
      </c>
      <c r="L112" s="301">
        <v>134000</v>
      </c>
      <c r="M112" s="176"/>
      <c r="N112" s="302"/>
      <c r="O112" s="293" t="e">
        <f>INDEX([1]告訴人!$D$15:$F$372,MATCH(C112,[1]告訴人!$F$15:$F$372,0),1)</f>
        <v>#N/A</v>
      </c>
    </row>
    <row r="113" spans="1:15" ht="47.25" customHeight="1">
      <c r="A113" s="210">
        <v>111</v>
      </c>
      <c r="B113" s="210" t="s">
        <v>580</v>
      </c>
      <c r="C113" s="210" t="s">
        <v>3352</v>
      </c>
      <c r="D113" s="210"/>
      <c r="E113" s="299" t="s">
        <v>630</v>
      </c>
      <c r="F113" s="300">
        <v>2000</v>
      </c>
      <c r="G113" s="299">
        <v>67</v>
      </c>
      <c r="H113" s="300">
        <v>134000</v>
      </c>
      <c r="I113" s="206"/>
      <c r="J113" s="206" t="s">
        <v>2460</v>
      </c>
      <c r="K113" s="206" t="s">
        <v>3812</v>
      </c>
      <c r="L113" s="301">
        <v>134000</v>
      </c>
      <c r="M113" s="176"/>
      <c r="N113" s="302"/>
      <c r="O113" s="293">
        <f>INDEX([1]告訴人!$D$15:$F$372,MATCH(C113,[1]告訴人!$F$15:$F$372,0),1)</f>
        <v>90</v>
      </c>
    </row>
    <row r="114" spans="1:15" ht="47.25" customHeight="1">
      <c r="A114" s="210">
        <v>112</v>
      </c>
      <c r="B114" s="210" t="s">
        <v>580</v>
      </c>
      <c r="C114" s="210" t="s">
        <v>2499</v>
      </c>
      <c r="D114" s="210"/>
      <c r="E114" s="299" t="s">
        <v>630</v>
      </c>
      <c r="F114" s="300">
        <v>4000</v>
      </c>
      <c r="G114" s="299">
        <v>69</v>
      </c>
      <c r="H114" s="300">
        <v>276000</v>
      </c>
      <c r="I114" s="206"/>
      <c r="J114" s="206" t="s">
        <v>2460</v>
      </c>
      <c r="K114" s="206" t="s">
        <v>3793</v>
      </c>
      <c r="L114" s="301">
        <v>276000</v>
      </c>
      <c r="M114" s="176"/>
      <c r="N114" s="302"/>
      <c r="O114" s="293" t="e">
        <f>INDEX([1]告訴人!$D$15:$F$372,MATCH(C114,[1]告訴人!$F$15:$F$372,0),1)</f>
        <v>#N/A</v>
      </c>
    </row>
    <row r="115" spans="1:15" ht="47.25" customHeight="1">
      <c r="A115" s="210">
        <v>113</v>
      </c>
      <c r="B115" s="210" t="s">
        <v>580</v>
      </c>
      <c r="C115" s="210" t="s">
        <v>3353</v>
      </c>
      <c r="D115" s="210"/>
      <c r="E115" s="299" t="s">
        <v>638</v>
      </c>
      <c r="F115" s="300">
        <v>2000</v>
      </c>
      <c r="G115" s="299">
        <v>67</v>
      </c>
      <c r="H115" s="300">
        <v>134000</v>
      </c>
      <c r="I115" s="206"/>
      <c r="J115" s="206" t="s">
        <v>2460</v>
      </c>
      <c r="K115" s="206" t="s">
        <v>3813</v>
      </c>
      <c r="L115" s="301">
        <v>134000</v>
      </c>
      <c r="M115" s="176"/>
      <c r="N115" s="302"/>
      <c r="O115" s="293">
        <f>INDEX([1]告訴人!$D$15:$F$372,MATCH(C115,[1]告訴人!$F$15:$F$372,0),1)</f>
        <v>265</v>
      </c>
    </row>
    <row r="116" spans="1:15" ht="47.25" customHeight="1">
      <c r="A116" s="210">
        <v>114</v>
      </c>
      <c r="B116" s="210" t="s">
        <v>580</v>
      </c>
      <c r="C116" s="210" t="s">
        <v>3354</v>
      </c>
      <c r="D116" s="210"/>
      <c r="E116" s="299" t="s">
        <v>638</v>
      </c>
      <c r="F116" s="300">
        <v>3000</v>
      </c>
      <c r="G116" s="299">
        <v>69</v>
      </c>
      <c r="H116" s="300">
        <v>207000</v>
      </c>
      <c r="I116" s="206"/>
      <c r="J116" s="206" t="s">
        <v>2460</v>
      </c>
      <c r="K116" s="206" t="s">
        <v>3814</v>
      </c>
      <c r="L116" s="301">
        <v>207000</v>
      </c>
      <c r="M116" s="176"/>
      <c r="N116" s="302"/>
      <c r="O116" s="293">
        <f>INDEX([1]告訴人!$D$15:$F$372,MATCH(C116,[1]告訴人!$F$15:$F$372,0),1)</f>
        <v>257</v>
      </c>
    </row>
    <row r="117" spans="1:15" ht="47.25" customHeight="1">
      <c r="A117" s="210">
        <v>115</v>
      </c>
      <c r="B117" s="210" t="s">
        <v>580</v>
      </c>
      <c r="C117" s="210" t="s">
        <v>3355</v>
      </c>
      <c r="D117" s="210"/>
      <c r="E117" s="299" t="s">
        <v>117</v>
      </c>
      <c r="F117" s="300">
        <v>1000</v>
      </c>
      <c r="G117" s="299">
        <v>67</v>
      </c>
      <c r="H117" s="300">
        <v>67000</v>
      </c>
      <c r="I117" s="206" t="s">
        <v>3843</v>
      </c>
      <c r="J117" s="206" t="s">
        <v>2460</v>
      </c>
      <c r="K117" s="206" t="s">
        <v>2490</v>
      </c>
      <c r="L117" s="301">
        <v>67000</v>
      </c>
      <c r="M117" s="176" t="s">
        <v>2876</v>
      </c>
      <c r="N117" s="302"/>
      <c r="O117" s="293" t="e">
        <f>INDEX([1]告訴人!$D$15:$F$372,MATCH(C117,[1]告訴人!$F$15:$F$372,0),1)</f>
        <v>#N/A</v>
      </c>
    </row>
    <row r="118" spans="1:15" ht="47.25" customHeight="1">
      <c r="A118" s="210">
        <v>116</v>
      </c>
      <c r="B118" s="210" t="s">
        <v>580</v>
      </c>
      <c r="C118" s="210" t="s">
        <v>3356</v>
      </c>
      <c r="D118" s="206" t="s">
        <v>3981</v>
      </c>
      <c r="E118" s="299" t="s">
        <v>117</v>
      </c>
      <c r="F118" s="300">
        <v>6000</v>
      </c>
      <c r="G118" s="299">
        <v>69</v>
      </c>
      <c r="H118" s="300">
        <v>414000</v>
      </c>
      <c r="I118" s="206"/>
      <c r="J118" s="206" t="s">
        <v>2460</v>
      </c>
      <c r="K118" s="206" t="s">
        <v>3793</v>
      </c>
      <c r="L118" s="301">
        <v>414000</v>
      </c>
      <c r="M118" s="176"/>
      <c r="N118" s="302"/>
      <c r="O118" s="293">
        <f>INDEX([1]告訴人!$D$15:$F$372,MATCH(C118,[1]告訴人!$F$15:$F$372,0),1)</f>
        <v>296</v>
      </c>
    </row>
    <row r="119" spans="1:15" ht="47.25" customHeight="1">
      <c r="A119" s="210">
        <v>117</v>
      </c>
      <c r="B119" s="210" t="s">
        <v>580</v>
      </c>
      <c r="C119" s="210" t="s">
        <v>3357</v>
      </c>
      <c r="D119" s="210"/>
      <c r="E119" s="299" t="s">
        <v>117</v>
      </c>
      <c r="F119" s="300">
        <v>5000</v>
      </c>
      <c r="G119" s="299">
        <v>69</v>
      </c>
      <c r="H119" s="300">
        <v>345000</v>
      </c>
      <c r="I119" s="206" t="s">
        <v>3844</v>
      </c>
      <c r="J119" s="206" t="s">
        <v>2460</v>
      </c>
      <c r="K119" s="206" t="s">
        <v>2668</v>
      </c>
      <c r="L119" s="301">
        <v>345000</v>
      </c>
      <c r="M119" s="176" t="s">
        <v>2881</v>
      </c>
      <c r="N119" s="302"/>
      <c r="O119" s="293" t="e">
        <f>INDEX([1]告訴人!$D$15:$F$372,MATCH(C119,[1]告訴人!$F$15:$F$372,0),1)</f>
        <v>#N/A</v>
      </c>
    </row>
    <row r="120" spans="1:15" ht="47.25" customHeight="1">
      <c r="A120" s="210">
        <v>118</v>
      </c>
      <c r="B120" s="210" t="s">
        <v>580</v>
      </c>
      <c r="C120" s="210" t="s">
        <v>3358</v>
      </c>
      <c r="D120" s="210"/>
      <c r="E120" s="299" t="s">
        <v>118</v>
      </c>
      <c r="F120" s="300">
        <v>1000</v>
      </c>
      <c r="G120" s="299">
        <v>67</v>
      </c>
      <c r="H120" s="300">
        <v>67000</v>
      </c>
      <c r="I120" s="206"/>
      <c r="J120" s="206" t="s">
        <v>2460</v>
      </c>
      <c r="K120" s="206" t="s">
        <v>3793</v>
      </c>
      <c r="L120" s="301">
        <v>67000</v>
      </c>
      <c r="M120" s="176"/>
      <c r="N120" s="302"/>
      <c r="O120" s="293">
        <f>INDEX([1]告訴人!$D$15:$F$372,MATCH(C120,[1]告訴人!$F$15:$F$372,0),1)</f>
        <v>264</v>
      </c>
    </row>
    <row r="121" spans="1:15" ht="47.25" customHeight="1">
      <c r="A121" s="210">
        <v>119</v>
      </c>
      <c r="B121" s="210" t="s">
        <v>580</v>
      </c>
      <c r="C121" s="210" t="s">
        <v>3359</v>
      </c>
      <c r="D121" s="210"/>
      <c r="E121" s="299" t="s">
        <v>118</v>
      </c>
      <c r="F121" s="300">
        <v>5000</v>
      </c>
      <c r="G121" s="299">
        <v>67</v>
      </c>
      <c r="H121" s="300">
        <v>335000</v>
      </c>
      <c r="I121" s="206"/>
      <c r="J121" s="206" t="s">
        <v>2460</v>
      </c>
      <c r="K121" s="206" t="s">
        <v>3815</v>
      </c>
      <c r="L121" s="301">
        <v>335000</v>
      </c>
      <c r="M121" s="176"/>
      <c r="N121" s="302"/>
      <c r="O121" s="293">
        <f>INDEX([1]告訴人!$D$15:$F$372,MATCH(C121,[1]告訴人!$F$15:$F$372,0),1)</f>
        <v>324</v>
      </c>
    </row>
    <row r="122" spans="1:15" ht="47.25" customHeight="1">
      <c r="A122" s="210">
        <v>120</v>
      </c>
      <c r="B122" s="210" t="s">
        <v>580</v>
      </c>
      <c r="C122" s="210" t="s">
        <v>3360</v>
      </c>
      <c r="D122" s="210"/>
      <c r="E122" s="299" t="s">
        <v>118</v>
      </c>
      <c r="F122" s="300">
        <v>1000</v>
      </c>
      <c r="G122" s="299">
        <v>69</v>
      </c>
      <c r="H122" s="300">
        <v>69000</v>
      </c>
      <c r="I122" s="206"/>
      <c r="J122" s="206" t="s">
        <v>2460</v>
      </c>
      <c r="K122" s="206" t="s">
        <v>2490</v>
      </c>
      <c r="L122" s="301">
        <v>69000</v>
      </c>
      <c r="M122" s="176"/>
      <c r="N122" s="302"/>
      <c r="O122" s="293">
        <f>INDEX([1]告訴人!$D$15:$F$372,MATCH(C122,[1]告訴人!$F$15:$F$372,0),1)</f>
        <v>263</v>
      </c>
    </row>
    <row r="123" spans="1:15" ht="47.25" customHeight="1">
      <c r="A123" s="210">
        <v>121</v>
      </c>
      <c r="B123" s="210" t="s">
        <v>580</v>
      </c>
      <c r="C123" s="210" t="s">
        <v>3361</v>
      </c>
      <c r="D123" s="210"/>
      <c r="E123" s="299" t="s">
        <v>118</v>
      </c>
      <c r="F123" s="300">
        <v>2000</v>
      </c>
      <c r="G123" s="299">
        <v>69</v>
      </c>
      <c r="H123" s="300">
        <v>138000</v>
      </c>
      <c r="I123" s="206"/>
      <c r="J123" s="206" t="s">
        <v>2460</v>
      </c>
      <c r="K123" s="206" t="s">
        <v>3793</v>
      </c>
      <c r="L123" s="301">
        <v>138000</v>
      </c>
      <c r="M123" s="176"/>
      <c r="N123" s="302"/>
      <c r="O123" s="293">
        <f>INDEX([1]告訴人!$D$15:$F$372,MATCH(C123,[1]告訴人!$F$15:$F$372,0),1)</f>
        <v>8</v>
      </c>
    </row>
    <row r="124" spans="1:15" ht="47.25" customHeight="1">
      <c r="A124" s="210">
        <v>122</v>
      </c>
      <c r="B124" s="210" t="s">
        <v>580</v>
      </c>
      <c r="C124" s="210" t="s">
        <v>3362</v>
      </c>
      <c r="D124" s="210"/>
      <c r="E124" s="299" t="s">
        <v>118</v>
      </c>
      <c r="F124" s="300">
        <v>1000</v>
      </c>
      <c r="G124" s="299">
        <v>69</v>
      </c>
      <c r="H124" s="300">
        <v>69000</v>
      </c>
      <c r="I124" s="206"/>
      <c r="J124" s="206" t="s">
        <v>2460</v>
      </c>
      <c r="K124" s="206" t="s">
        <v>3816</v>
      </c>
      <c r="L124" s="301">
        <v>69000</v>
      </c>
      <c r="M124" s="176"/>
      <c r="N124" s="302"/>
      <c r="O124" s="293">
        <f>INDEX([1]告訴人!$D$15:$F$372,MATCH(C124,[1]告訴人!$F$15:$F$372,0),1)</f>
        <v>69</v>
      </c>
    </row>
    <row r="125" spans="1:15" ht="47.25" customHeight="1">
      <c r="A125" s="210">
        <v>123</v>
      </c>
      <c r="B125" s="210" t="s">
        <v>580</v>
      </c>
      <c r="C125" s="210" t="s">
        <v>3363</v>
      </c>
      <c r="D125" s="210"/>
      <c r="E125" s="299" t="s">
        <v>95</v>
      </c>
      <c r="F125" s="300">
        <v>2000</v>
      </c>
      <c r="G125" s="299">
        <v>67</v>
      </c>
      <c r="H125" s="300">
        <v>134000</v>
      </c>
      <c r="I125" s="206"/>
      <c r="J125" s="206" t="s">
        <v>2460</v>
      </c>
      <c r="K125" s="206" t="s">
        <v>3798</v>
      </c>
      <c r="L125" s="301">
        <v>134000</v>
      </c>
      <c r="M125" s="176"/>
      <c r="N125" s="302"/>
      <c r="O125" s="293" t="e">
        <f>INDEX([1]告訴人!$D$15:$F$372,MATCH(C125,[1]告訴人!$F$15:$F$372,0),1)</f>
        <v>#N/A</v>
      </c>
    </row>
    <row r="126" spans="1:15" ht="47.25" customHeight="1">
      <c r="A126" s="210">
        <v>124</v>
      </c>
      <c r="B126" s="210" t="s">
        <v>580</v>
      </c>
      <c r="C126" s="210" t="s">
        <v>3364</v>
      </c>
      <c r="D126" s="303" t="s">
        <v>2491</v>
      </c>
      <c r="E126" s="299" t="s">
        <v>95</v>
      </c>
      <c r="F126" s="300">
        <v>3000</v>
      </c>
      <c r="G126" s="299">
        <v>67</v>
      </c>
      <c r="H126" s="300">
        <v>201000</v>
      </c>
      <c r="I126" s="206"/>
      <c r="J126" s="206" t="s">
        <v>2460</v>
      </c>
      <c r="K126" s="206" t="s">
        <v>3793</v>
      </c>
      <c r="L126" s="301">
        <v>201000</v>
      </c>
      <c r="M126" s="176"/>
      <c r="N126" s="302"/>
      <c r="O126" s="293">
        <f>INDEX([1]告訴人!$D$15:$F$372,MATCH(C126,[1]告訴人!$F$15:$F$372,0),1)</f>
        <v>202</v>
      </c>
    </row>
    <row r="127" spans="1:15" ht="47.25" customHeight="1">
      <c r="A127" s="210">
        <v>125</v>
      </c>
      <c r="B127" s="210" t="s">
        <v>580</v>
      </c>
      <c r="C127" s="210" t="s">
        <v>3365</v>
      </c>
      <c r="D127" s="210"/>
      <c r="E127" s="299" t="s">
        <v>95</v>
      </c>
      <c r="F127" s="300">
        <v>5000</v>
      </c>
      <c r="G127" s="299">
        <v>67</v>
      </c>
      <c r="H127" s="300">
        <v>335000</v>
      </c>
      <c r="I127" s="206"/>
      <c r="J127" s="206" t="s">
        <v>2460</v>
      </c>
      <c r="K127" s="206" t="s">
        <v>3809</v>
      </c>
      <c r="L127" s="301">
        <v>335000</v>
      </c>
      <c r="M127" s="176"/>
      <c r="N127" s="302"/>
      <c r="O127" s="293">
        <f>INDEX([1]告訴人!$D$15:$F$372,MATCH(C127,[1]告訴人!$F$15:$F$372,0),1)</f>
        <v>290</v>
      </c>
    </row>
    <row r="128" spans="1:15" ht="47.25" customHeight="1">
      <c r="A128" s="210">
        <v>126</v>
      </c>
      <c r="B128" s="210" t="s">
        <v>580</v>
      </c>
      <c r="C128" s="210" t="s">
        <v>3366</v>
      </c>
      <c r="D128" s="210"/>
      <c r="E128" s="299" t="s">
        <v>95</v>
      </c>
      <c r="F128" s="300">
        <v>1000</v>
      </c>
      <c r="G128" s="299">
        <v>69</v>
      </c>
      <c r="H128" s="300">
        <v>69000</v>
      </c>
      <c r="I128" s="206"/>
      <c r="J128" s="206" t="s">
        <v>2460</v>
      </c>
      <c r="K128" s="206" t="s">
        <v>2490</v>
      </c>
      <c r="L128" s="301">
        <v>69000</v>
      </c>
      <c r="M128" s="176"/>
      <c r="N128" s="302"/>
      <c r="O128" s="293">
        <f>INDEX([1]告訴人!$D$15:$F$372,MATCH(C128,[1]告訴人!$F$15:$F$372,0),1)</f>
        <v>124</v>
      </c>
    </row>
    <row r="129" spans="1:17" ht="47.25" customHeight="1">
      <c r="A129" s="210">
        <v>127</v>
      </c>
      <c r="B129" s="210" t="s">
        <v>580</v>
      </c>
      <c r="C129" s="210" t="s">
        <v>3367</v>
      </c>
      <c r="D129" s="210"/>
      <c r="E129" s="299" t="s">
        <v>95</v>
      </c>
      <c r="F129" s="300">
        <v>1000</v>
      </c>
      <c r="G129" s="299">
        <v>69</v>
      </c>
      <c r="H129" s="300">
        <v>69000</v>
      </c>
      <c r="I129" s="206"/>
      <c r="J129" s="206" t="s">
        <v>2460</v>
      </c>
      <c r="K129" s="206" t="s">
        <v>3798</v>
      </c>
      <c r="L129" s="301">
        <v>69000</v>
      </c>
      <c r="M129" s="176"/>
      <c r="N129" s="302"/>
      <c r="O129" s="293">
        <f>INDEX([1]告訴人!$D$15:$F$372,MATCH(C129,[1]告訴人!$F$15:$F$372,0),1)</f>
        <v>185</v>
      </c>
    </row>
    <row r="130" spans="1:17" ht="47.25" customHeight="1">
      <c r="A130" s="210">
        <v>128</v>
      </c>
      <c r="B130" s="210" t="s">
        <v>580</v>
      </c>
      <c r="C130" s="210" t="s">
        <v>672</v>
      </c>
      <c r="D130" s="210"/>
      <c r="E130" s="299" t="s">
        <v>673</v>
      </c>
      <c r="F130" s="300">
        <v>1000</v>
      </c>
      <c r="G130" s="299">
        <v>67</v>
      </c>
      <c r="H130" s="300">
        <v>67000</v>
      </c>
      <c r="I130" s="206"/>
      <c r="J130" s="206" t="s">
        <v>2460</v>
      </c>
      <c r="K130" s="206" t="s">
        <v>3817</v>
      </c>
      <c r="L130" s="301">
        <v>67000</v>
      </c>
      <c r="M130" s="176"/>
      <c r="N130" s="302"/>
      <c r="O130" s="293">
        <f>INDEX([1]告訴人!$D$15:$F$372,MATCH(C130,[1]告訴人!$F$15:$F$372,0),1)</f>
        <v>171</v>
      </c>
    </row>
    <row r="131" spans="1:17" ht="47.25" customHeight="1">
      <c r="A131" s="210">
        <v>129</v>
      </c>
      <c r="B131" s="210" t="s">
        <v>580</v>
      </c>
      <c r="C131" s="210" t="s">
        <v>3368</v>
      </c>
      <c r="D131" s="210"/>
      <c r="E131" s="299" t="s">
        <v>619</v>
      </c>
      <c r="F131" s="300">
        <v>10000</v>
      </c>
      <c r="G131" s="299">
        <v>67</v>
      </c>
      <c r="H131" s="300">
        <v>670000</v>
      </c>
      <c r="I131" s="206"/>
      <c r="J131" s="206" t="s">
        <v>3236</v>
      </c>
      <c r="K131" s="206"/>
      <c r="L131" s="301"/>
      <c r="M131" s="176" t="s">
        <v>1832</v>
      </c>
      <c r="N131" s="302" t="str">
        <f>IF(L131&lt;&gt;0,"註3","")</f>
        <v/>
      </c>
      <c r="O131" s="293">
        <f>INDEX([1]告訴人!$D$15:$F$372,MATCH(C131,[1]告訴人!$F$15:$F$372,0),1)</f>
        <v>193</v>
      </c>
      <c r="P131" s="204" t="s">
        <v>2480</v>
      </c>
      <c r="Q131" s="293">
        <v>1</v>
      </c>
    </row>
    <row r="132" spans="1:17" ht="47.25" customHeight="1">
      <c r="A132" s="210">
        <v>130</v>
      </c>
      <c r="B132" s="210" t="s">
        <v>580</v>
      </c>
      <c r="C132" s="210" t="s">
        <v>3369</v>
      </c>
      <c r="D132" s="210"/>
      <c r="E132" s="299" t="s">
        <v>619</v>
      </c>
      <c r="F132" s="300">
        <v>1000</v>
      </c>
      <c r="G132" s="299">
        <v>67</v>
      </c>
      <c r="H132" s="300">
        <v>67000</v>
      </c>
      <c r="I132" s="206"/>
      <c r="J132" s="206" t="s">
        <v>2460</v>
      </c>
      <c r="K132" s="206" t="s">
        <v>2486</v>
      </c>
      <c r="L132" s="301">
        <v>67000</v>
      </c>
      <c r="M132" s="176"/>
      <c r="N132" s="302"/>
      <c r="O132" s="293" t="e">
        <f>INDEX([1]告訴人!$D$15:$F$372,MATCH(C132,[1]告訴人!$F$15:$F$372,0),1)</f>
        <v>#N/A</v>
      </c>
    </row>
    <row r="133" spans="1:17" ht="47.25" customHeight="1">
      <c r="A133" s="210">
        <v>131</v>
      </c>
      <c r="B133" s="210" t="s">
        <v>580</v>
      </c>
      <c r="C133" s="210" t="s">
        <v>3370</v>
      </c>
      <c r="D133" s="210"/>
      <c r="E133" s="299" t="s">
        <v>619</v>
      </c>
      <c r="F133" s="300">
        <v>20000</v>
      </c>
      <c r="G133" s="299">
        <v>67</v>
      </c>
      <c r="H133" s="300">
        <v>1340000</v>
      </c>
      <c r="I133" s="206"/>
      <c r="J133" s="206" t="s">
        <v>2460</v>
      </c>
      <c r="K133" s="206"/>
      <c r="L133" s="301">
        <v>1340000</v>
      </c>
      <c r="M133" s="176"/>
      <c r="N133" s="302"/>
      <c r="O133" s="293">
        <f>INDEX([1]告訴人!$D$15:$F$372,MATCH(C133,[1]告訴人!$F$15:$F$372,0),1)</f>
        <v>60</v>
      </c>
    </row>
    <row r="134" spans="1:17" ht="47.25" customHeight="1">
      <c r="A134" s="210">
        <v>132</v>
      </c>
      <c r="B134" s="210" t="s">
        <v>580</v>
      </c>
      <c r="C134" s="210" t="s">
        <v>3371</v>
      </c>
      <c r="D134" s="210"/>
      <c r="E134" s="299" t="s">
        <v>619</v>
      </c>
      <c r="F134" s="300">
        <v>10000</v>
      </c>
      <c r="G134" s="299">
        <v>67</v>
      </c>
      <c r="H134" s="300">
        <v>670000</v>
      </c>
      <c r="I134" s="206"/>
      <c r="J134" s="206" t="s">
        <v>2460</v>
      </c>
      <c r="K134" s="206" t="s">
        <v>3818</v>
      </c>
      <c r="L134" s="301">
        <v>670000</v>
      </c>
      <c r="M134" s="176"/>
      <c r="N134" s="302"/>
      <c r="O134" s="293">
        <f>INDEX([1]告訴人!$D$15:$F$372,MATCH(C134,[1]告訴人!$F$15:$F$372,0),1)</f>
        <v>328</v>
      </c>
    </row>
    <row r="135" spans="1:17" ht="47.25" customHeight="1">
      <c r="A135" s="210">
        <v>133</v>
      </c>
      <c r="B135" s="210" t="s">
        <v>580</v>
      </c>
      <c r="C135" s="210" t="s">
        <v>3372</v>
      </c>
      <c r="D135" s="210"/>
      <c r="E135" s="299" t="s">
        <v>619</v>
      </c>
      <c r="F135" s="300">
        <v>2000</v>
      </c>
      <c r="G135" s="299">
        <v>67</v>
      </c>
      <c r="H135" s="300">
        <v>134000</v>
      </c>
      <c r="I135" s="206"/>
      <c r="J135" s="206" t="s">
        <v>2460</v>
      </c>
      <c r="K135" s="206" t="s">
        <v>3818</v>
      </c>
      <c r="L135" s="301">
        <v>134000</v>
      </c>
      <c r="M135" s="176"/>
      <c r="N135" s="302"/>
      <c r="O135" s="293">
        <f>INDEX([1]告訴人!$D$15:$F$372,MATCH(C135,[1]告訴人!$F$15:$F$372,0),1)</f>
        <v>322</v>
      </c>
    </row>
    <row r="136" spans="1:17" ht="47.25" customHeight="1">
      <c r="A136" s="210">
        <v>134</v>
      </c>
      <c r="B136" s="210" t="s">
        <v>580</v>
      </c>
      <c r="C136" s="210" t="s">
        <v>678</v>
      </c>
      <c r="D136" s="210"/>
      <c r="E136" s="299" t="s">
        <v>619</v>
      </c>
      <c r="F136" s="300">
        <v>5000</v>
      </c>
      <c r="G136" s="299">
        <v>67</v>
      </c>
      <c r="H136" s="300">
        <v>335000</v>
      </c>
      <c r="I136" s="206" t="s">
        <v>3845</v>
      </c>
      <c r="J136" s="206" t="s">
        <v>2460</v>
      </c>
      <c r="K136" s="206" t="s">
        <v>3787</v>
      </c>
      <c r="L136" s="301">
        <v>335000</v>
      </c>
      <c r="M136" s="176" t="s">
        <v>2877</v>
      </c>
      <c r="N136" s="302"/>
      <c r="O136" s="293">
        <f>INDEX([1]告訴人!$D$15:$F$372,MATCH(C136,[1]告訴人!$F$15:$F$372,0),1)</f>
        <v>324</v>
      </c>
    </row>
    <row r="137" spans="1:17" ht="47.25" customHeight="1">
      <c r="A137" s="210">
        <v>135</v>
      </c>
      <c r="B137" s="210" t="s">
        <v>580</v>
      </c>
      <c r="C137" s="210" t="s">
        <v>3373</v>
      </c>
      <c r="D137" s="304" t="s">
        <v>1921</v>
      </c>
      <c r="E137" s="299" t="s">
        <v>619</v>
      </c>
      <c r="F137" s="300">
        <v>1000</v>
      </c>
      <c r="G137" s="299">
        <v>69</v>
      </c>
      <c r="H137" s="300">
        <v>69000</v>
      </c>
      <c r="I137" s="206" t="s">
        <v>3846</v>
      </c>
      <c r="J137" s="206" t="s">
        <v>2460</v>
      </c>
      <c r="K137" s="206"/>
      <c r="L137" s="301">
        <v>69000</v>
      </c>
      <c r="M137" s="176" t="s">
        <v>3847</v>
      </c>
      <c r="N137" s="302"/>
      <c r="O137" s="293" t="e">
        <f>INDEX([1]告訴人!$D$15:$F$372,MATCH(C137,[1]告訴人!$F$15:$F$372,0),1)</f>
        <v>#N/A</v>
      </c>
    </row>
    <row r="138" spans="1:17" ht="47.25" customHeight="1">
      <c r="A138" s="210">
        <v>136</v>
      </c>
      <c r="B138" s="210" t="s">
        <v>580</v>
      </c>
      <c r="C138" s="210" t="s">
        <v>3374</v>
      </c>
      <c r="D138" s="210"/>
      <c r="E138" s="299" t="s">
        <v>619</v>
      </c>
      <c r="F138" s="300">
        <v>1000</v>
      </c>
      <c r="G138" s="299">
        <v>69</v>
      </c>
      <c r="H138" s="300">
        <v>69000</v>
      </c>
      <c r="I138" s="206"/>
      <c r="J138" s="206" t="s">
        <v>2460</v>
      </c>
      <c r="K138" s="206"/>
      <c r="L138" s="301">
        <v>69000</v>
      </c>
      <c r="M138" s="176"/>
      <c r="N138" s="302"/>
      <c r="O138" s="293">
        <f>INDEX([1]告訴人!$D$15:$F$372,MATCH(C138,[1]告訴人!$F$15:$F$372,0),1)</f>
        <v>122</v>
      </c>
    </row>
    <row r="139" spans="1:17" ht="47.25" customHeight="1">
      <c r="A139" s="210">
        <v>137</v>
      </c>
      <c r="B139" s="210" t="s">
        <v>580</v>
      </c>
      <c r="C139" s="210" t="s">
        <v>3375</v>
      </c>
      <c r="D139" s="206" t="s">
        <v>3981</v>
      </c>
      <c r="E139" s="299" t="s">
        <v>619</v>
      </c>
      <c r="F139" s="300">
        <v>2000</v>
      </c>
      <c r="G139" s="299">
        <v>69</v>
      </c>
      <c r="H139" s="300">
        <v>138000</v>
      </c>
      <c r="I139" s="206"/>
      <c r="J139" s="206" t="s">
        <v>2460</v>
      </c>
      <c r="K139" s="206" t="s">
        <v>3818</v>
      </c>
      <c r="L139" s="301">
        <v>138000</v>
      </c>
      <c r="M139" s="176"/>
      <c r="N139" s="302"/>
      <c r="O139" s="293">
        <f>INDEX([1]告訴人!$D$15:$F$372,MATCH(C139,[1]告訴人!$F$15:$F$372,0),1)</f>
        <v>152</v>
      </c>
    </row>
    <row r="140" spans="1:17" ht="47.25" customHeight="1">
      <c r="A140" s="210">
        <v>138</v>
      </c>
      <c r="B140" s="210" t="s">
        <v>580</v>
      </c>
      <c r="C140" s="210" t="s">
        <v>717</v>
      </c>
      <c r="D140" s="210"/>
      <c r="E140" s="299" t="s">
        <v>619</v>
      </c>
      <c r="F140" s="300">
        <v>8000</v>
      </c>
      <c r="G140" s="299">
        <v>69</v>
      </c>
      <c r="H140" s="300">
        <v>552000</v>
      </c>
      <c r="I140" s="206"/>
      <c r="J140" s="206" t="s">
        <v>2460</v>
      </c>
      <c r="K140" s="206" t="s">
        <v>3804</v>
      </c>
      <c r="L140" s="301">
        <v>552000</v>
      </c>
      <c r="M140" s="176"/>
      <c r="N140" s="302"/>
      <c r="O140" s="293" t="e">
        <f>INDEX([1]告訴人!$D$15:$F$372,MATCH(C140,[1]告訴人!$F$15:$F$372,0),1)</f>
        <v>#N/A</v>
      </c>
    </row>
    <row r="141" spans="1:17" ht="47.25" customHeight="1">
      <c r="A141" s="210">
        <v>139</v>
      </c>
      <c r="B141" s="210" t="s">
        <v>580</v>
      </c>
      <c r="C141" s="210" t="s">
        <v>3376</v>
      </c>
      <c r="D141" s="210"/>
      <c r="E141" s="299" t="s">
        <v>2</v>
      </c>
      <c r="F141" s="300">
        <v>4000</v>
      </c>
      <c r="G141" s="299">
        <v>67</v>
      </c>
      <c r="H141" s="300">
        <v>268000</v>
      </c>
      <c r="I141" s="206"/>
      <c r="J141" s="206" t="s">
        <v>2460</v>
      </c>
      <c r="K141" s="206" t="s">
        <v>3819</v>
      </c>
      <c r="L141" s="301">
        <v>268000</v>
      </c>
      <c r="M141" s="176"/>
      <c r="N141" s="302"/>
      <c r="O141" s="293">
        <f>INDEX([1]告訴人!$D$15:$F$372,MATCH(C141,[1]告訴人!$F$15:$F$372,0),1)</f>
        <v>125</v>
      </c>
    </row>
    <row r="142" spans="1:17" ht="47.25" customHeight="1">
      <c r="A142" s="210">
        <v>140</v>
      </c>
      <c r="B142" s="210" t="s">
        <v>580</v>
      </c>
      <c r="C142" s="210" t="s">
        <v>3377</v>
      </c>
      <c r="D142" s="210"/>
      <c r="E142" s="299" t="s">
        <v>2</v>
      </c>
      <c r="F142" s="300">
        <v>5000</v>
      </c>
      <c r="G142" s="299">
        <v>69</v>
      </c>
      <c r="H142" s="300">
        <v>345000</v>
      </c>
      <c r="I142" s="206"/>
      <c r="J142" s="206" t="s">
        <v>2460</v>
      </c>
      <c r="K142" s="254" t="s">
        <v>3820</v>
      </c>
      <c r="L142" s="301">
        <v>345000</v>
      </c>
      <c r="M142" s="176"/>
      <c r="N142" s="302"/>
      <c r="O142" s="293">
        <f>INDEX([1]告訴人!$D$15:$F$372,MATCH(C142,[1]告訴人!$F$15:$F$372,0),1)</f>
        <v>280</v>
      </c>
    </row>
    <row r="143" spans="1:17" ht="47.25" customHeight="1">
      <c r="A143" s="210">
        <v>141</v>
      </c>
      <c r="B143" s="210" t="s">
        <v>580</v>
      </c>
      <c r="C143" s="210" t="s">
        <v>3378</v>
      </c>
      <c r="D143" s="210"/>
      <c r="E143" s="299" t="s">
        <v>115</v>
      </c>
      <c r="F143" s="300">
        <v>1000</v>
      </c>
      <c r="G143" s="299">
        <v>69</v>
      </c>
      <c r="H143" s="300">
        <v>69000</v>
      </c>
      <c r="I143" s="206"/>
      <c r="J143" s="206" t="s">
        <v>2460</v>
      </c>
      <c r="K143" s="206" t="s">
        <v>2794</v>
      </c>
      <c r="L143" s="301">
        <v>69000</v>
      </c>
      <c r="M143" s="176"/>
      <c r="N143" s="302"/>
      <c r="O143" s="293">
        <f>INDEX([1]告訴人!$D$15:$F$372,MATCH(C143,[1]告訴人!$F$15:$F$372,0),1)</f>
        <v>298</v>
      </c>
    </row>
    <row r="144" spans="1:17" ht="47.25" customHeight="1">
      <c r="A144" s="210">
        <v>142</v>
      </c>
      <c r="B144" s="210" t="s">
        <v>580</v>
      </c>
      <c r="C144" s="210" t="s">
        <v>3379</v>
      </c>
      <c r="D144" s="210"/>
      <c r="E144" s="299" t="s">
        <v>115</v>
      </c>
      <c r="F144" s="300">
        <v>1000</v>
      </c>
      <c r="G144" s="299">
        <v>69</v>
      </c>
      <c r="H144" s="300">
        <v>69000</v>
      </c>
      <c r="I144" s="206"/>
      <c r="J144" s="206" t="s">
        <v>2460</v>
      </c>
      <c r="K144" s="206"/>
      <c r="L144" s="301">
        <v>69000</v>
      </c>
      <c r="M144" s="176"/>
      <c r="N144" s="302"/>
      <c r="O144" s="293">
        <f>INDEX([1]告訴人!$D$15:$F$372,MATCH(C144,[1]告訴人!$F$15:$F$372,0),1)</f>
        <v>299</v>
      </c>
    </row>
    <row r="145" spans="1:17" ht="47.25" customHeight="1">
      <c r="A145" s="210">
        <v>143</v>
      </c>
      <c r="B145" s="210" t="s">
        <v>580</v>
      </c>
      <c r="C145" s="210" t="s">
        <v>3380</v>
      </c>
      <c r="D145" s="210"/>
      <c r="E145" s="299" t="s">
        <v>115</v>
      </c>
      <c r="F145" s="300">
        <v>2000</v>
      </c>
      <c r="G145" s="299">
        <v>69</v>
      </c>
      <c r="H145" s="300">
        <v>138000</v>
      </c>
      <c r="I145" s="206"/>
      <c r="J145" s="206" t="s">
        <v>2460</v>
      </c>
      <c r="K145" s="206" t="s">
        <v>3818</v>
      </c>
      <c r="L145" s="301">
        <v>138000</v>
      </c>
      <c r="M145" s="176"/>
      <c r="N145" s="302"/>
      <c r="O145" s="293" t="e">
        <f>INDEX([1]告訴人!$D$15:$F$372,MATCH(C145,[1]告訴人!$F$15:$F$372,0),1)</f>
        <v>#N/A</v>
      </c>
    </row>
    <row r="146" spans="1:17" ht="47.25" customHeight="1">
      <c r="A146" s="210">
        <v>144</v>
      </c>
      <c r="B146" s="210" t="s">
        <v>580</v>
      </c>
      <c r="C146" s="210" t="s">
        <v>3381</v>
      </c>
      <c r="D146" s="210"/>
      <c r="E146" s="299" t="s">
        <v>115</v>
      </c>
      <c r="F146" s="300">
        <v>1000</v>
      </c>
      <c r="G146" s="299">
        <v>69</v>
      </c>
      <c r="H146" s="300">
        <v>69000</v>
      </c>
      <c r="I146" s="206"/>
      <c r="J146" s="206" t="s">
        <v>2460</v>
      </c>
      <c r="K146" s="206" t="s">
        <v>3818</v>
      </c>
      <c r="L146" s="301">
        <v>69000</v>
      </c>
      <c r="M146" s="176"/>
      <c r="N146" s="302"/>
      <c r="O146" s="293">
        <f>INDEX([1]告訴人!$D$15:$F$372,MATCH(C146,[1]告訴人!$F$15:$F$372,0),1)</f>
        <v>120</v>
      </c>
    </row>
    <row r="147" spans="1:17" ht="47.25" customHeight="1">
      <c r="A147" s="210">
        <v>145</v>
      </c>
      <c r="B147" s="210" t="s">
        <v>580</v>
      </c>
      <c r="C147" s="210" t="s">
        <v>3382</v>
      </c>
      <c r="D147" s="210"/>
      <c r="E147" s="299" t="s">
        <v>35</v>
      </c>
      <c r="F147" s="300">
        <v>3000</v>
      </c>
      <c r="G147" s="299">
        <v>67</v>
      </c>
      <c r="H147" s="300">
        <v>201000</v>
      </c>
      <c r="I147" s="206"/>
      <c r="J147" s="206" t="s">
        <v>2460</v>
      </c>
      <c r="K147" s="206" t="s">
        <v>3821</v>
      </c>
      <c r="L147" s="301">
        <v>201000</v>
      </c>
      <c r="M147" s="176"/>
      <c r="N147" s="302"/>
      <c r="O147" s="293">
        <f>INDEX([1]告訴人!$D$15:$F$372,MATCH(C147,[1]告訴人!$F$15:$F$372,0),1)</f>
        <v>134</v>
      </c>
    </row>
    <row r="148" spans="1:17" ht="47.25" customHeight="1">
      <c r="A148" s="210">
        <v>146</v>
      </c>
      <c r="B148" s="210" t="s">
        <v>580</v>
      </c>
      <c r="C148" s="210" t="s">
        <v>3383</v>
      </c>
      <c r="D148" s="210"/>
      <c r="E148" s="299" t="s">
        <v>35</v>
      </c>
      <c r="F148" s="300">
        <v>5000</v>
      </c>
      <c r="G148" s="299">
        <v>67</v>
      </c>
      <c r="H148" s="300">
        <v>335000</v>
      </c>
      <c r="I148" s="206"/>
      <c r="J148" s="206" t="s">
        <v>2460</v>
      </c>
      <c r="K148" s="206" t="s">
        <v>3822</v>
      </c>
      <c r="L148" s="301">
        <v>335000</v>
      </c>
      <c r="M148" s="176"/>
      <c r="N148" s="302"/>
      <c r="O148" s="293">
        <f>INDEX([1]告訴人!$D$15:$F$372,MATCH(C148,[1]告訴人!$F$15:$F$372,0),1)</f>
        <v>225</v>
      </c>
    </row>
    <row r="149" spans="1:17" ht="47.25" customHeight="1">
      <c r="A149" s="210">
        <v>147</v>
      </c>
      <c r="B149" s="210" t="s">
        <v>580</v>
      </c>
      <c r="C149" s="210" t="s">
        <v>3384</v>
      </c>
      <c r="D149" s="210"/>
      <c r="E149" s="299" t="s">
        <v>35</v>
      </c>
      <c r="F149" s="300">
        <v>3000</v>
      </c>
      <c r="G149" s="299">
        <v>69</v>
      </c>
      <c r="H149" s="300">
        <v>207000</v>
      </c>
      <c r="I149" s="206"/>
      <c r="J149" s="206" t="s">
        <v>2460</v>
      </c>
      <c r="K149" s="206" t="s">
        <v>3823</v>
      </c>
      <c r="L149" s="301">
        <v>207000</v>
      </c>
      <c r="M149" s="176"/>
      <c r="N149" s="302"/>
      <c r="O149" s="293">
        <f>INDEX([1]告訴人!$D$15:$F$372,MATCH(C149,[1]告訴人!$F$15:$F$372,0),1)</f>
        <v>189</v>
      </c>
      <c r="P149" s="204" t="s">
        <v>2501</v>
      </c>
    </row>
    <row r="150" spans="1:17" ht="47.25" customHeight="1">
      <c r="A150" s="210">
        <v>148</v>
      </c>
      <c r="B150" s="210" t="s">
        <v>580</v>
      </c>
      <c r="C150" s="210" t="s">
        <v>3385</v>
      </c>
      <c r="D150" s="210"/>
      <c r="E150" s="299" t="s">
        <v>35</v>
      </c>
      <c r="F150" s="300">
        <v>1000</v>
      </c>
      <c r="G150" s="299">
        <v>69</v>
      </c>
      <c r="H150" s="300">
        <v>69000</v>
      </c>
      <c r="I150" s="206"/>
      <c r="J150" s="206" t="s">
        <v>2460</v>
      </c>
      <c r="K150" s="206" t="s">
        <v>3818</v>
      </c>
      <c r="L150" s="301">
        <v>69000</v>
      </c>
      <c r="M150" s="176"/>
      <c r="N150" s="302"/>
      <c r="O150" s="293">
        <f>INDEX([1]告訴人!$D$15:$F$372,MATCH(C150,[1]告訴人!$F$15:$F$372,0),1)</f>
        <v>145</v>
      </c>
    </row>
    <row r="151" spans="1:17" ht="47.25" customHeight="1">
      <c r="A151" s="210">
        <v>149</v>
      </c>
      <c r="B151" s="210" t="s">
        <v>580</v>
      </c>
      <c r="C151" s="210" t="s">
        <v>3386</v>
      </c>
      <c r="D151" s="210"/>
      <c r="E151" s="299" t="s">
        <v>35</v>
      </c>
      <c r="F151" s="300">
        <v>2000</v>
      </c>
      <c r="G151" s="299">
        <v>69</v>
      </c>
      <c r="H151" s="300">
        <v>138000</v>
      </c>
      <c r="I151" s="206"/>
      <c r="J151" s="206" t="s">
        <v>2460</v>
      </c>
      <c r="K151" s="206" t="s">
        <v>3818</v>
      </c>
      <c r="L151" s="301">
        <v>138000</v>
      </c>
      <c r="M151" s="176"/>
      <c r="N151" s="302"/>
      <c r="O151" s="293" t="e">
        <f>INDEX([1]告訴人!$D$15:$F$372,MATCH(C151,[1]告訴人!$F$15:$F$372,0),1)</f>
        <v>#N/A</v>
      </c>
    </row>
    <row r="152" spans="1:17" ht="47.25" customHeight="1">
      <c r="A152" s="210">
        <v>150</v>
      </c>
      <c r="B152" s="210" t="s">
        <v>580</v>
      </c>
      <c r="C152" s="210" t="s">
        <v>3387</v>
      </c>
      <c r="D152" s="210"/>
      <c r="E152" s="299" t="s">
        <v>36</v>
      </c>
      <c r="F152" s="300">
        <v>2000</v>
      </c>
      <c r="G152" s="299">
        <v>67</v>
      </c>
      <c r="H152" s="300">
        <v>134000</v>
      </c>
      <c r="I152" s="206"/>
      <c r="J152" s="206" t="s">
        <v>2460</v>
      </c>
      <c r="K152" s="206"/>
      <c r="L152" s="301">
        <v>134000</v>
      </c>
      <c r="M152" s="176"/>
      <c r="N152" s="302"/>
      <c r="O152" s="293">
        <f>INDEX([1]告訴人!$D$15:$F$372,MATCH(C152,[1]告訴人!$F$15:$F$372,0),1)</f>
        <v>142</v>
      </c>
    </row>
    <row r="153" spans="1:17" ht="47.25" customHeight="1">
      <c r="A153" s="210">
        <v>151</v>
      </c>
      <c r="B153" s="210" t="s">
        <v>580</v>
      </c>
      <c r="C153" s="210" t="s">
        <v>3453</v>
      </c>
      <c r="D153" s="205"/>
      <c r="E153" s="299" t="s">
        <v>36</v>
      </c>
      <c r="F153" s="300">
        <v>6000</v>
      </c>
      <c r="G153" s="299">
        <v>69</v>
      </c>
      <c r="H153" s="300">
        <v>414000</v>
      </c>
      <c r="I153" s="206" t="s">
        <v>3848</v>
      </c>
      <c r="J153" s="206" t="s">
        <v>3239</v>
      </c>
      <c r="K153" s="206" t="s">
        <v>2502</v>
      </c>
      <c r="L153" s="301">
        <v>69000</v>
      </c>
      <c r="M153" s="176" t="s">
        <v>3849</v>
      </c>
      <c r="N153" s="302"/>
      <c r="O153" s="293" t="e">
        <f>INDEX([1]告訴人!$D$15:$F$372,MATCH(C153,[1]告訴人!$F$15:$F$372,0),1)</f>
        <v>#N/A</v>
      </c>
      <c r="P153" s="204" t="s">
        <v>2480</v>
      </c>
      <c r="Q153" s="293">
        <v>1</v>
      </c>
    </row>
    <row r="154" spans="1:17" ht="47.25" customHeight="1">
      <c r="A154" s="210">
        <v>152</v>
      </c>
      <c r="B154" s="210" t="s">
        <v>580</v>
      </c>
      <c r="C154" s="210" t="s">
        <v>3388</v>
      </c>
      <c r="D154" s="210"/>
      <c r="E154" s="299" t="s">
        <v>634</v>
      </c>
      <c r="F154" s="300">
        <v>3000</v>
      </c>
      <c r="G154" s="299">
        <v>67</v>
      </c>
      <c r="H154" s="300">
        <v>201000</v>
      </c>
      <c r="I154" s="206"/>
      <c r="J154" s="206" t="s">
        <v>3238</v>
      </c>
      <c r="K154" s="208" t="s">
        <v>3824</v>
      </c>
      <c r="L154" s="301">
        <v>201000</v>
      </c>
      <c r="M154" s="176"/>
      <c r="N154" s="302"/>
      <c r="O154" s="293">
        <f>INDEX([1]告訴人!$D$15:$F$372,MATCH(C154,[1]告訴人!$F$15:$F$372,0),1)</f>
        <v>116</v>
      </c>
      <c r="P154" s="293"/>
      <c r="Q154" s="293">
        <v>1</v>
      </c>
    </row>
    <row r="155" spans="1:17" ht="47.25" customHeight="1">
      <c r="A155" s="210">
        <v>153</v>
      </c>
      <c r="B155" s="210" t="s">
        <v>580</v>
      </c>
      <c r="C155" s="210" t="s">
        <v>3389</v>
      </c>
      <c r="D155" s="210"/>
      <c r="E155" s="299" t="s">
        <v>634</v>
      </c>
      <c r="F155" s="300">
        <v>3000</v>
      </c>
      <c r="G155" s="299">
        <v>67</v>
      </c>
      <c r="H155" s="300">
        <v>201000</v>
      </c>
      <c r="I155" s="206"/>
      <c r="J155" s="206" t="s">
        <v>3236</v>
      </c>
      <c r="K155" s="206"/>
      <c r="L155" s="301"/>
      <c r="M155" s="176" t="s">
        <v>1832</v>
      </c>
      <c r="N155" s="302" t="str">
        <f>IF(L155&lt;&gt;0,"註3","")</f>
        <v/>
      </c>
      <c r="O155" s="293" t="e">
        <f>INDEX([1]告訴人!$D$15:$F$372,MATCH(C155,[1]告訴人!$F$15:$F$372,0),1)</f>
        <v>#N/A</v>
      </c>
      <c r="P155" s="204" t="s">
        <v>2480</v>
      </c>
      <c r="Q155" s="293">
        <v>1</v>
      </c>
    </row>
    <row r="156" spans="1:17" ht="47.25" customHeight="1">
      <c r="A156" s="210">
        <v>154</v>
      </c>
      <c r="B156" s="210" t="s">
        <v>580</v>
      </c>
      <c r="C156" s="210" t="s">
        <v>3390</v>
      </c>
      <c r="D156" s="210"/>
      <c r="E156" s="299" t="s">
        <v>634</v>
      </c>
      <c r="F156" s="300">
        <v>2000</v>
      </c>
      <c r="G156" s="299">
        <v>67</v>
      </c>
      <c r="H156" s="300">
        <v>134000</v>
      </c>
      <c r="I156" s="206"/>
      <c r="J156" s="206" t="s">
        <v>3236</v>
      </c>
      <c r="K156" s="206"/>
      <c r="L156" s="301"/>
      <c r="M156" s="176" t="s">
        <v>1832</v>
      </c>
      <c r="N156" s="302" t="str">
        <f>IF(L156&lt;&gt;0,"註3","")</f>
        <v/>
      </c>
      <c r="O156" s="293">
        <f>INDEX([1]告訴人!$D$15:$F$372,MATCH(C156,[1]告訴人!$F$15:$F$372,0),1)</f>
        <v>57</v>
      </c>
      <c r="P156" s="204" t="s">
        <v>2480</v>
      </c>
      <c r="Q156" s="293">
        <v>1</v>
      </c>
    </row>
    <row r="157" spans="1:17" ht="47.25" customHeight="1">
      <c r="A157" s="210">
        <v>155</v>
      </c>
      <c r="B157" s="210" t="s">
        <v>580</v>
      </c>
      <c r="C157" s="210" t="s">
        <v>3391</v>
      </c>
      <c r="D157" s="210"/>
      <c r="E157" s="299" t="s">
        <v>500</v>
      </c>
      <c r="F157" s="300">
        <v>1000</v>
      </c>
      <c r="G157" s="299">
        <v>67</v>
      </c>
      <c r="H157" s="300">
        <v>67000</v>
      </c>
      <c r="I157" s="206"/>
      <c r="J157" s="206" t="s">
        <v>2460</v>
      </c>
      <c r="K157" s="206" t="s">
        <v>3825</v>
      </c>
      <c r="L157" s="301">
        <v>67000</v>
      </c>
      <c r="M157" s="176"/>
      <c r="N157" s="302"/>
      <c r="O157" s="293" t="e">
        <f>INDEX([1]告訴人!$D$15:$F$372,MATCH(C157,[1]告訴人!$F$15:$F$372,0),1)</f>
        <v>#N/A</v>
      </c>
    </row>
    <row r="158" spans="1:17" ht="47.25" customHeight="1">
      <c r="A158" s="210">
        <v>156</v>
      </c>
      <c r="B158" s="210" t="s">
        <v>580</v>
      </c>
      <c r="C158" s="210" t="s">
        <v>3392</v>
      </c>
      <c r="D158" s="210"/>
      <c r="E158" s="299" t="s">
        <v>500</v>
      </c>
      <c r="F158" s="300">
        <v>5000</v>
      </c>
      <c r="G158" s="299">
        <v>67</v>
      </c>
      <c r="H158" s="300">
        <v>335000</v>
      </c>
      <c r="I158" s="206"/>
      <c r="J158" s="206" t="s">
        <v>2460</v>
      </c>
      <c r="K158" s="206"/>
      <c r="L158" s="301">
        <v>335000</v>
      </c>
      <c r="M158" s="176"/>
      <c r="N158" s="302"/>
      <c r="O158" s="293">
        <f>INDEX([1]告訴人!$D$15:$F$372,MATCH(C158,[1]告訴人!$F$15:$F$372,0),1)</f>
        <v>272</v>
      </c>
    </row>
    <row r="159" spans="1:17" ht="47.25" customHeight="1">
      <c r="A159" s="210">
        <v>157</v>
      </c>
      <c r="B159" s="210" t="s">
        <v>580</v>
      </c>
      <c r="C159" s="210" t="s">
        <v>3393</v>
      </c>
      <c r="D159" s="210"/>
      <c r="E159" s="299" t="s">
        <v>500</v>
      </c>
      <c r="F159" s="300">
        <v>2000</v>
      </c>
      <c r="G159" s="299">
        <v>67</v>
      </c>
      <c r="H159" s="300">
        <v>134000</v>
      </c>
      <c r="I159" s="206"/>
      <c r="J159" s="206" t="s">
        <v>2460</v>
      </c>
      <c r="K159" s="206"/>
      <c r="L159" s="301">
        <v>134000</v>
      </c>
      <c r="M159" s="176"/>
      <c r="N159" s="302"/>
      <c r="O159" s="293">
        <f>INDEX([1]告訴人!$D$15:$F$372,MATCH(C159,[1]告訴人!$F$15:$F$372,0),1)</f>
        <v>273</v>
      </c>
    </row>
    <row r="160" spans="1:17" ht="47.25" customHeight="1">
      <c r="A160" s="210">
        <v>158</v>
      </c>
      <c r="B160" s="210" t="s">
        <v>580</v>
      </c>
      <c r="C160" s="210" t="s">
        <v>3394</v>
      </c>
      <c r="D160" s="210"/>
      <c r="E160" s="299" t="s">
        <v>500</v>
      </c>
      <c r="F160" s="300">
        <v>5000</v>
      </c>
      <c r="G160" s="299">
        <v>69</v>
      </c>
      <c r="H160" s="300">
        <v>345000</v>
      </c>
      <c r="I160" s="206" t="s">
        <v>3850</v>
      </c>
      <c r="J160" s="206" t="s">
        <v>2460</v>
      </c>
      <c r="K160" s="211"/>
      <c r="L160" s="301">
        <v>345000</v>
      </c>
      <c r="M160" s="176" t="s">
        <v>2882</v>
      </c>
      <c r="N160" s="302"/>
      <c r="O160" s="293" t="e">
        <f>INDEX([1]告訴人!$D$15:$F$372,MATCH(C160,[1]告訴人!$F$15:$F$372,0),1)</f>
        <v>#N/A</v>
      </c>
    </row>
    <row r="161" spans="1:17" ht="47.25" customHeight="1">
      <c r="A161" s="210">
        <v>159</v>
      </c>
      <c r="B161" s="210" t="s">
        <v>580</v>
      </c>
      <c r="C161" s="210" t="s">
        <v>3395</v>
      </c>
      <c r="D161" s="210"/>
      <c r="E161" s="299" t="s">
        <v>627</v>
      </c>
      <c r="F161" s="300">
        <v>3000</v>
      </c>
      <c r="G161" s="299">
        <v>67</v>
      </c>
      <c r="H161" s="300">
        <v>201000</v>
      </c>
      <c r="I161" s="206"/>
      <c r="J161" s="206" t="s">
        <v>2460</v>
      </c>
      <c r="K161" s="206" t="s">
        <v>3818</v>
      </c>
      <c r="L161" s="301">
        <v>201000</v>
      </c>
      <c r="M161" s="176"/>
      <c r="N161" s="302"/>
      <c r="O161" s="293" t="e">
        <f>INDEX([1]告訴人!$D$15:$F$372,MATCH(C161,[1]告訴人!$F$15:$F$372,0),1)</f>
        <v>#N/A</v>
      </c>
    </row>
    <row r="162" spans="1:17" ht="47.25" customHeight="1">
      <c r="A162" s="210">
        <v>160</v>
      </c>
      <c r="B162" s="210" t="s">
        <v>580</v>
      </c>
      <c r="C162" s="210" t="s">
        <v>3396</v>
      </c>
      <c r="D162" s="210"/>
      <c r="E162" s="299" t="s">
        <v>627</v>
      </c>
      <c r="F162" s="300">
        <v>6000</v>
      </c>
      <c r="G162" s="299">
        <v>67</v>
      </c>
      <c r="H162" s="300">
        <v>402000</v>
      </c>
      <c r="I162" s="206"/>
      <c r="J162" s="206" t="s">
        <v>3236</v>
      </c>
      <c r="K162" s="206"/>
      <c r="L162" s="301"/>
      <c r="M162" s="176" t="s">
        <v>1832</v>
      </c>
      <c r="N162" s="302" t="str">
        <f>IF(L162&lt;&gt;0,"註3","")</f>
        <v/>
      </c>
      <c r="O162" s="293">
        <f>INDEX([1]告訴人!$D$15:$F$372,MATCH(C162,[1]告訴人!$F$15:$F$372,0),1)</f>
        <v>310</v>
      </c>
      <c r="P162" s="204" t="s">
        <v>2480</v>
      </c>
      <c r="Q162" s="293">
        <v>1</v>
      </c>
    </row>
    <row r="163" spans="1:17" ht="47.25" customHeight="1">
      <c r="A163" s="210">
        <v>161</v>
      </c>
      <c r="B163" s="210" t="s">
        <v>580</v>
      </c>
      <c r="C163" s="210" t="s">
        <v>642</v>
      </c>
      <c r="D163" s="210"/>
      <c r="E163" s="299" t="s">
        <v>627</v>
      </c>
      <c r="F163" s="300">
        <v>3000</v>
      </c>
      <c r="G163" s="299">
        <v>67</v>
      </c>
      <c r="H163" s="300">
        <v>201000</v>
      </c>
      <c r="I163" s="206"/>
      <c r="J163" s="206" t="s">
        <v>2460</v>
      </c>
      <c r="K163" s="206"/>
      <c r="L163" s="301">
        <v>201000</v>
      </c>
      <c r="M163" s="176"/>
      <c r="N163" s="302"/>
      <c r="O163" s="293">
        <f>INDEX([1]告訴人!$D$15:$F$372,MATCH(C163,[1]告訴人!$F$15:$F$372,0),1)</f>
        <v>273</v>
      </c>
    </row>
    <row r="164" spans="1:17" ht="47.25" customHeight="1">
      <c r="A164" s="210">
        <v>162</v>
      </c>
      <c r="B164" s="210" t="s">
        <v>580</v>
      </c>
      <c r="C164" s="210" t="s">
        <v>3391</v>
      </c>
      <c r="D164" s="210"/>
      <c r="E164" s="299" t="s">
        <v>501</v>
      </c>
      <c r="F164" s="300">
        <v>1000</v>
      </c>
      <c r="G164" s="299">
        <v>67</v>
      </c>
      <c r="H164" s="300">
        <v>67000</v>
      </c>
      <c r="I164" s="206"/>
      <c r="J164" s="206" t="s">
        <v>2460</v>
      </c>
      <c r="K164" s="206" t="s">
        <v>3825</v>
      </c>
      <c r="L164" s="301">
        <v>67000</v>
      </c>
      <c r="M164" s="176"/>
      <c r="N164" s="302"/>
      <c r="O164" s="293" t="e">
        <f>INDEX([1]告訴人!$D$15:$F$372,MATCH(C164,[1]告訴人!$F$15:$F$372,0),1)</f>
        <v>#N/A</v>
      </c>
    </row>
    <row r="165" spans="1:17" ht="47.25" customHeight="1">
      <c r="A165" s="210">
        <v>163</v>
      </c>
      <c r="B165" s="210" t="s">
        <v>580</v>
      </c>
      <c r="C165" s="210" t="s">
        <v>2492</v>
      </c>
      <c r="D165" s="210"/>
      <c r="E165" s="299" t="s">
        <v>501</v>
      </c>
      <c r="F165" s="300">
        <v>5000</v>
      </c>
      <c r="G165" s="299">
        <v>67</v>
      </c>
      <c r="H165" s="300">
        <v>335000</v>
      </c>
      <c r="I165" s="206"/>
      <c r="J165" s="206" t="s">
        <v>2460</v>
      </c>
      <c r="K165" s="206" t="s">
        <v>3826</v>
      </c>
      <c r="L165" s="301">
        <v>335000</v>
      </c>
      <c r="M165" s="176"/>
      <c r="N165" s="302"/>
      <c r="O165" s="293">
        <f>INDEX([1]告訴人!$D$15:$F$372,MATCH(C165,[1]告訴人!$F$15:$F$372,0),1)</f>
        <v>311</v>
      </c>
    </row>
    <row r="166" spans="1:17" ht="47.25" customHeight="1">
      <c r="A166" s="210">
        <v>164</v>
      </c>
      <c r="B166" s="210" t="s">
        <v>580</v>
      </c>
      <c r="C166" s="210" t="s">
        <v>3397</v>
      </c>
      <c r="D166" s="210"/>
      <c r="E166" s="299" t="s">
        <v>621</v>
      </c>
      <c r="F166" s="300">
        <v>5000</v>
      </c>
      <c r="G166" s="299">
        <v>67</v>
      </c>
      <c r="H166" s="300">
        <v>335000</v>
      </c>
      <c r="I166" s="206"/>
      <c r="J166" s="206" t="s">
        <v>2460</v>
      </c>
      <c r="K166" s="206" t="s">
        <v>3827</v>
      </c>
      <c r="L166" s="301">
        <v>335000</v>
      </c>
      <c r="M166" s="176"/>
      <c r="N166" s="302"/>
      <c r="O166" s="293">
        <f>INDEX([1]告訴人!$D$15:$F$372,MATCH(C166,[1]告訴人!$F$15:$F$372,0),1)</f>
        <v>108</v>
      </c>
    </row>
    <row r="167" spans="1:17" ht="47.25" customHeight="1">
      <c r="A167" s="210">
        <v>165</v>
      </c>
      <c r="B167" s="210" t="s">
        <v>580</v>
      </c>
      <c r="C167" s="210" t="s">
        <v>661</v>
      </c>
      <c r="D167" s="210"/>
      <c r="E167" s="299" t="s">
        <v>621</v>
      </c>
      <c r="F167" s="300">
        <v>5000</v>
      </c>
      <c r="G167" s="299">
        <v>67</v>
      </c>
      <c r="H167" s="300">
        <v>335000</v>
      </c>
      <c r="I167" s="206"/>
      <c r="J167" s="206" t="s">
        <v>2460</v>
      </c>
      <c r="K167" s="206" t="s">
        <v>3828</v>
      </c>
      <c r="L167" s="301">
        <v>335000</v>
      </c>
      <c r="M167" s="176"/>
      <c r="N167" s="302"/>
      <c r="O167" s="293">
        <f>INDEX([1]告訴人!$D$15:$F$372,MATCH(C167,[1]告訴人!$F$15:$F$372,0),1)</f>
        <v>225</v>
      </c>
      <c r="P167" s="204" t="s">
        <v>2493</v>
      </c>
    </row>
    <row r="168" spans="1:17" ht="47.25" customHeight="1">
      <c r="A168" s="210">
        <v>166</v>
      </c>
      <c r="B168" s="210" t="s">
        <v>580</v>
      </c>
      <c r="C168" s="210" t="s">
        <v>3398</v>
      </c>
      <c r="D168" s="210"/>
      <c r="E168" s="299" t="s">
        <v>621</v>
      </c>
      <c r="F168" s="300">
        <v>5000</v>
      </c>
      <c r="G168" s="299">
        <v>68</v>
      </c>
      <c r="H168" s="300">
        <v>340000</v>
      </c>
      <c r="I168" s="206"/>
      <c r="J168" s="206" t="s">
        <v>2460</v>
      </c>
      <c r="K168" s="206" t="s">
        <v>3817</v>
      </c>
      <c r="L168" s="301">
        <v>340000</v>
      </c>
      <c r="M168" s="176"/>
      <c r="N168" s="302"/>
      <c r="O168" s="293">
        <f>INDEX([1]告訴人!$D$15:$F$372,MATCH(C168,[1]告訴人!$F$15:$F$372,0),1)</f>
        <v>275</v>
      </c>
    </row>
    <row r="169" spans="1:17" ht="47.25" customHeight="1">
      <c r="A169" s="210">
        <v>167</v>
      </c>
      <c r="B169" s="210" t="s">
        <v>580</v>
      </c>
      <c r="C169" s="210" t="s">
        <v>3399</v>
      </c>
      <c r="D169" s="210"/>
      <c r="E169" s="299" t="s">
        <v>621</v>
      </c>
      <c r="F169" s="300">
        <v>2000</v>
      </c>
      <c r="G169" s="299">
        <v>69</v>
      </c>
      <c r="H169" s="300">
        <v>138000</v>
      </c>
      <c r="I169" s="206"/>
      <c r="J169" s="206" t="s">
        <v>2460</v>
      </c>
      <c r="K169" s="206"/>
      <c r="L169" s="301">
        <v>138000</v>
      </c>
      <c r="M169" s="176"/>
      <c r="N169" s="302"/>
      <c r="O169" s="293">
        <f>INDEX([1]告訴人!$D$15:$F$372,MATCH(C169,[1]告訴人!$F$15:$F$372,0),1)</f>
        <v>205</v>
      </c>
    </row>
    <row r="170" spans="1:17" ht="47.25" customHeight="1">
      <c r="A170" s="210">
        <v>168</v>
      </c>
      <c r="B170" s="210" t="s">
        <v>580</v>
      </c>
      <c r="C170" s="210" t="s">
        <v>3400</v>
      </c>
      <c r="D170" s="210"/>
      <c r="E170" s="299" t="s">
        <v>621</v>
      </c>
      <c r="F170" s="300">
        <v>3000</v>
      </c>
      <c r="G170" s="299">
        <v>69</v>
      </c>
      <c r="H170" s="300">
        <v>207000</v>
      </c>
      <c r="I170" s="206"/>
      <c r="J170" s="206" t="s">
        <v>2460</v>
      </c>
      <c r="K170" s="206" t="s">
        <v>3818</v>
      </c>
      <c r="L170" s="301">
        <v>207000</v>
      </c>
      <c r="M170" s="176"/>
      <c r="N170" s="302"/>
      <c r="O170" s="293">
        <f>INDEX([1]告訴人!$D$15:$F$372,MATCH(C170,[1]告訴人!$F$15:$F$372,0),1)</f>
        <v>62</v>
      </c>
    </row>
    <row r="171" spans="1:17" ht="47.25" customHeight="1">
      <c r="A171" s="210">
        <v>169</v>
      </c>
      <c r="B171" s="210" t="s">
        <v>580</v>
      </c>
      <c r="C171" s="210" t="s">
        <v>3401</v>
      </c>
      <c r="D171" s="210"/>
      <c r="E171" s="299" t="s">
        <v>712</v>
      </c>
      <c r="F171" s="300">
        <v>1000</v>
      </c>
      <c r="G171" s="299">
        <v>69</v>
      </c>
      <c r="H171" s="300">
        <v>69000</v>
      </c>
      <c r="I171" s="206"/>
      <c r="J171" s="206" t="s">
        <v>2460</v>
      </c>
      <c r="K171" s="206" t="s">
        <v>3827</v>
      </c>
      <c r="L171" s="301">
        <v>69000</v>
      </c>
      <c r="M171" s="176"/>
      <c r="N171" s="302"/>
      <c r="O171" s="293">
        <f>INDEX([1]告訴人!$D$15:$F$372,MATCH(C171,[1]告訴人!$F$15:$F$372,0),1)</f>
        <v>110</v>
      </c>
    </row>
    <row r="172" spans="1:17" ht="47.25" customHeight="1">
      <c r="A172" s="210">
        <v>170</v>
      </c>
      <c r="B172" s="210" t="s">
        <v>580</v>
      </c>
      <c r="C172" s="210" t="s">
        <v>3402</v>
      </c>
      <c r="D172" s="210"/>
      <c r="E172" s="299" t="s">
        <v>712</v>
      </c>
      <c r="F172" s="300">
        <v>2000</v>
      </c>
      <c r="G172" s="299">
        <v>69</v>
      </c>
      <c r="H172" s="300">
        <v>138000</v>
      </c>
      <c r="I172" s="206"/>
      <c r="J172" s="206" t="s">
        <v>2460</v>
      </c>
      <c r="K172" s="206" t="s">
        <v>3825</v>
      </c>
      <c r="L172" s="301">
        <v>138000</v>
      </c>
      <c r="M172" s="176"/>
      <c r="N172" s="302"/>
      <c r="O172" s="293">
        <f>INDEX([1]告訴人!$D$15:$F$372,MATCH(C172,[1]告訴人!$F$15:$F$372,0),1)</f>
        <v>182</v>
      </c>
    </row>
    <row r="173" spans="1:17" ht="47.25" customHeight="1">
      <c r="A173" s="210">
        <v>171</v>
      </c>
      <c r="B173" s="210" t="s">
        <v>580</v>
      </c>
      <c r="C173" s="210" t="s">
        <v>3403</v>
      </c>
      <c r="D173" s="306"/>
      <c r="E173" s="299" t="s">
        <v>96</v>
      </c>
      <c r="F173" s="300">
        <v>20000</v>
      </c>
      <c r="G173" s="299">
        <v>67</v>
      </c>
      <c r="H173" s="300">
        <v>1340000</v>
      </c>
      <c r="I173" s="206" t="s">
        <v>3851</v>
      </c>
      <c r="J173" s="206" t="s">
        <v>3236</v>
      </c>
      <c r="K173" s="206"/>
      <c r="L173" s="301"/>
      <c r="M173" s="176" t="s">
        <v>2494</v>
      </c>
      <c r="N173" s="302" t="str">
        <f>IF(L173&lt;&gt;0,"註3","")</f>
        <v/>
      </c>
      <c r="O173" s="293" t="e">
        <f>INDEX([1]告訴人!$D$15:$F$372,MATCH(C173,[1]告訴人!$F$15:$F$372,0),1)</f>
        <v>#N/A</v>
      </c>
      <c r="P173" s="204" t="s">
        <v>2480</v>
      </c>
      <c r="Q173" s="293">
        <v>1</v>
      </c>
    </row>
    <row r="174" spans="1:17" ht="47.25" customHeight="1">
      <c r="A174" s="210">
        <v>172</v>
      </c>
      <c r="B174" s="210" t="s">
        <v>580</v>
      </c>
      <c r="C174" s="210" t="s">
        <v>3404</v>
      </c>
      <c r="D174" s="210"/>
      <c r="E174" s="299" t="s">
        <v>96</v>
      </c>
      <c r="F174" s="300">
        <v>7000</v>
      </c>
      <c r="G174" s="299">
        <v>67</v>
      </c>
      <c r="H174" s="300">
        <v>469000</v>
      </c>
      <c r="I174" s="206"/>
      <c r="J174" s="206" t="s">
        <v>2460</v>
      </c>
      <c r="K174" s="206" t="s">
        <v>3829</v>
      </c>
      <c r="L174" s="301">
        <v>469000</v>
      </c>
      <c r="M174" s="176"/>
      <c r="N174" s="302"/>
      <c r="O174" s="293">
        <f>INDEX([1]告訴人!$D$15:$F$372,MATCH(C174,[1]告訴人!$F$15:$F$372,0),1)</f>
        <v>47</v>
      </c>
      <c r="P174" s="204" t="s">
        <v>2495</v>
      </c>
    </row>
    <row r="175" spans="1:17" ht="47.25" customHeight="1">
      <c r="A175" s="210">
        <v>173</v>
      </c>
      <c r="B175" s="210" t="s">
        <v>580</v>
      </c>
      <c r="C175" s="210" t="s">
        <v>3405</v>
      </c>
      <c r="D175" s="210"/>
      <c r="E175" s="299" t="s">
        <v>85</v>
      </c>
      <c r="F175" s="300">
        <v>2000</v>
      </c>
      <c r="G175" s="299">
        <v>67</v>
      </c>
      <c r="H175" s="300">
        <v>134000</v>
      </c>
      <c r="I175" s="206"/>
      <c r="J175" s="206" t="s">
        <v>2460</v>
      </c>
      <c r="K175" s="206"/>
      <c r="L175" s="301">
        <v>134000</v>
      </c>
      <c r="M175" s="176"/>
      <c r="N175" s="305"/>
      <c r="O175" s="293" t="e">
        <f>INDEX([1]告訴人!$D$15:$F$372,MATCH(C175,[1]告訴人!$F$15:$F$372,0),1)</f>
        <v>#N/A</v>
      </c>
    </row>
    <row r="176" spans="1:17" ht="47.25" customHeight="1">
      <c r="A176" s="210">
        <v>174</v>
      </c>
      <c r="B176" s="210" t="s">
        <v>580</v>
      </c>
      <c r="C176" s="210" t="s">
        <v>3406</v>
      </c>
      <c r="D176" s="210"/>
      <c r="E176" s="299" t="s">
        <v>85</v>
      </c>
      <c r="F176" s="300">
        <v>2000</v>
      </c>
      <c r="G176" s="299">
        <v>68</v>
      </c>
      <c r="H176" s="300">
        <v>136000</v>
      </c>
      <c r="I176" s="206"/>
      <c r="J176" s="206" t="s">
        <v>2460</v>
      </c>
      <c r="K176" s="206" t="s">
        <v>3830</v>
      </c>
      <c r="L176" s="301">
        <v>136000</v>
      </c>
      <c r="M176" s="176"/>
      <c r="N176" s="305"/>
      <c r="O176" s="293">
        <f>INDEX([1]告訴人!$D$15:$F$372,MATCH(C176,[1]告訴人!$F$15:$F$372,0),1)</f>
        <v>11</v>
      </c>
    </row>
    <row r="177" spans="1:15" ht="47.25" customHeight="1">
      <c r="A177" s="210">
        <v>175</v>
      </c>
      <c r="B177" s="210" t="s">
        <v>580</v>
      </c>
      <c r="C177" s="210" t="s">
        <v>3407</v>
      </c>
      <c r="D177" s="210"/>
      <c r="E177" s="299" t="s">
        <v>38</v>
      </c>
      <c r="F177" s="300">
        <v>4000</v>
      </c>
      <c r="G177" s="299">
        <v>68</v>
      </c>
      <c r="H177" s="300">
        <v>272000</v>
      </c>
      <c r="I177" s="206"/>
      <c r="J177" s="206" t="s">
        <v>2460</v>
      </c>
      <c r="K177" s="206" t="s">
        <v>3825</v>
      </c>
      <c r="L177" s="301">
        <v>272000</v>
      </c>
      <c r="M177" s="176"/>
      <c r="N177" s="305"/>
      <c r="O177" s="293">
        <f>INDEX([1]告訴人!$D$15:$F$372,MATCH(C177,[1]告訴人!$F$15:$F$372,0),1)</f>
        <v>138</v>
      </c>
    </row>
    <row r="178" spans="1:15" ht="47.25" customHeight="1">
      <c r="A178" s="210">
        <v>176</v>
      </c>
      <c r="B178" s="210" t="s">
        <v>580</v>
      </c>
      <c r="C178" s="210" t="s">
        <v>3408</v>
      </c>
      <c r="D178" s="210"/>
      <c r="E178" s="299" t="s">
        <v>86</v>
      </c>
      <c r="F178" s="300">
        <v>3000</v>
      </c>
      <c r="G178" s="299">
        <v>67</v>
      </c>
      <c r="H178" s="300">
        <v>201000</v>
      </c>
      <c r="I178" s="206" t="s">
        <v>3852</v>
      </c>
      <c r="J178" s="206" t="s">
        <v>2460</v>
      </c>
      <c r="K178" s="206"/>
      <c r="L178" s="301">
        <v>201000</v>
      </c>
      <c r="M178" s="176" t="s">
        <v>2878</v>
      </c>
      <c r="N178" s="302"/>
      <c r="O178" s="293">
        <f>INDEX([1]告訴人!$D$15:$F$372,MATCH(C178,[1]告訴人!$F$15:$F$372,0),1)</f>
        <v>184</v>
      </c>
    </row>
    <row r="179" spans="1:15" ht="47.25" customHeight="1">
      <c r="A179" s="210">
        <v>177</v>
      </c>
      <c r="B179" s="210" t="s">
        <v>580</v>
      </c>
      <c r="C179" s="210" t="s">
        <v>3409</v>
      </c>
      <c r="D179" s="210"/>
      <c r="E179" s="299" t="s">
        <v>86</v>
      </c>
      <c r="F179" s="300">
        <v>3000</v>
      </c>
      <c r="G179" s="299">
        <v>69</v>
      </c>
      <c r="H179" s="300">
        <v>207000</v>
      </c>
      <c r="I179" s="206"/>
      <c r="J179" s="206" t="s">
        <v>2460</v>
      </c>
      <c r="K179" s="206" t="s">
        <v>3825</v>
      </c>
      <c r="L179" s="301">
        <v>207000</v>
      </c>
      <c r="M179" s="176"/>
      <c r="N179" s="302"/>
      <c r="O179" s="293">
        <f>INDEX([1]告訴人!$D$15:$F$372,MATCH(C179,[1]告訴人!$F$15:$F$372,0),1)</f>
        <v>1</v>
      </c>
    </row>
    <row r="180" spans="1:15" ht="47.25" customHeight="1">
      <c r="A180" s="210">
        <v>178</v>
      </c>
      <c r="B180" s="210" t="s">
        <v>580</v>
      </c>
      <c r="C180" s="210" t="s">
        <v>3410</v>
      </c>
      <c r="D180" s="210"/>
      <c r="E180" s="299" t="s">
        <v>86</v>
      </c>
      <c r="F180" s="300">
        <v>2000</v>
      </c>
      <c r="G180" s="299">
        <v>69</v>
      </c>
      <c r="H180" s="300">
        <v>138000</v>
      </c>
      <c r="I180" s="206"/>
      <c r="J180" s="206" t="s">
        <v>2460</v>
      </c>
      <c r="K180" s="206" t="s">
        <v>3825</v>
      </c>
      <c r="L180" s="301">
        <v>138000</v>
      </c>
      <c r="M180" s="176"/>
      <c r="N180" s="302"/>
      <c r="O180" s="293" t="e">
        <f>INDEX([1]告訴人!$D$15:$F$372,MATCH(C180,[1]告訴人!$F$15:$F$372,0),1)</f>
        <v>#N/A</v>
      </c>
    </row>
    <row r="181" spans="1:15" ht="47.25" customHeight="1">
      <c r="A181" s="210">
        <v>179</v>
      </c>
      <c r="B181" s="210" t="s">
        <v>580</v>
      </c>
      <c r="C181" s="210" t="s">
        <v>3411</v>
      </c>
      <c r="D181" s="210"/>
      <c r="E181" s="299" t="s">
        <v>701</v>
      </c>
      <c r="F181" s="300">
        <v>20000</v>
      </c>
      <c r="G181" s="299">
        <v>69</v>
      </c>
      <c r="H181" s="300">
        <v>1380000</v>
      </c>
      <c r="I181" s="206" t="s">
        <v>3853</v>
      </c>
      <c r="J181" s="206" t="s">
        <v>2460</v>
      </c>
      <c r="K181" s="211"/>
      <c r="L181" s="301">
        <v>1380000</v>
      </c>
      <c r="M181" s="176" t="s">
        <v>2883</v>
      </c>
      <c r="N181" s="302"/>
      <c r="O181" s="293" t="e">
        <f>INDEX([1]告訴人!$D$15:$F$372,MATCH(C181,[1]告訴人!$F$15:$F$372,0),1)</f>
        <v>#N/A</v>
      </c>
    </row>
    <row r="182" spans="1:15" ht="47.25" customHeight="1">
      <c r="A182" s="210">
        <v>180</v>
      </c>
      <c r="B182" s="210" t="s">
        <v>580</v>
      </c>
      <c r="C182" s="210" t="s">
        <v>3412</v>
      </c>
      <c r="D182" s="210"/>
      <c r="E182" s="299" t="s">
        <v>97</v>
      </c>
      <c r="F182" s="300">
        <v>1000</v>
      </c>
      <c r="G182" s="299">
        <v>69</v>
      </c>
      <c r="H182" s="300">
        <v>69000</v>
      </c>
      <c r="I182" s="206"/>
      <c r="J182" s="206" t="s">
        <v>2460</v>
      </c>
      <c r="K182" s="206" t="s">
        <v>3825</v>
      </c>
      <c r="L182" s="301">
        <v>69000</v>
      </c>
      <c r="M182" s="176"/>
      <c r="N182" s="302"/>
      <c r="O182" s="293">
        <f>INDEX([1]告訴人!$D$15:$F$372,MATCH(C182,[1]告訴人!$F$15:$F$372,0),1)</f>
        <v>85</v>
      </c>
    </row>
    <row r="183" spans="1:15" ht="47.25" customHeight="1">
      <c r="A183" s="210">
        <v>181</v>
      </c>
      <c r="B183" s="210" t="s">
        <v>580</v>
      </c>
      <c r="C183" s="210" t="s">
        <v>3413</v>
      </c>
      <c r="D183" s="210"/>
      <c r="E183" s="299" t="s">
        <v>3</v>
      </c>
      <c r="F183" s="300">
        <v>20000</v>
      </c>
      <c r="G183" s="299">
        <v>67</v>
      </c>
      <c r="H183" s="300">
        <v>1340000</v>
      </c>
      <c r="I183" s="206"/>
      <c r="J183" s="206" t="s">
        <v>2460</v>
      </c>
      <c r="K183" s="206"/>
      <c r="L183" s="301">
        <v>1340000</v>
      </c>
      <c r="M183" s="176"/>
      <c r="N183" s="302"/>
      <c r="O183" s="293">
        <f>INDEX([1]告訴人!$D$15:$F$372,MATCH(C183,[1]告訴人!$F$15:$F$372,0),1)</f>
        <v>289</v>
      </c>
    </row>
    <row r="184" spans="1:15" ht="47.25" customHeight="1">
      <c r="A184" s="210">
        <v>182</v>
      </c>
      <c r="B184" s="210" t="s">
        <v>580</v>
      </c>
      <c r="C184" s="210" t="s">
        <v>3414</v>
      </c>
      <c r="D184" s="210"/>
      <c r="E184" s="299" t="s">
        <v>3</v>
      </c>
      <c r="F184" s="300">
        <v>3000</v>
      </c>
      <c r="G184" s="299">
        <v>69</v>
      </c>
      <c r="H184" s="300">
        <v>207000</v>
      </c>
      <c r="I184" s="206"/>
      <c r="J184" s="206" t="s">
        <v>2460</v>
      </c>
      <c r="K184" s="206"/>
      <c r="L184" s="301">
        <v>207000</v>
      </c>
      <c r="M184" s="176"/>
      <c r="N184" s="302"/>
      <c r="O184" s="293">
        <f>INDEX([1]告訴人!$D$15:$F$372,MATCH(C184,[1]告訴人!$F$15:$F$372,0),1)</f>
        <v>101</v>
      </c>
    </row>
    <row r="185" spans="1:15" ht="47.25" customHeight="1">
      <c r="A185" s="210">
        <v>183</v>
      </c>
      <c r="B185" s="210" t="s">
        <v>580</v>
      </c>
      <c r="C185" s="210" t="s">
        <v>3415</v>
      </c>
      <c r="D185" s="210"/>
      <c r="E185" s="299" t="s">
        <v>677</v>
      </c>
      <c r="F185" s="300">
        <v>2000</v>
      </c>
      <c r="G185" s="299">
        <v>67</v>
      </c>
      <c r="H185" s="300">
        <v>134000</v>
      </c>
      <c r="I185" s="206"/>
      <c r="J185" s="206" t="s">
        <v>2460</v>
      </c>
      <c r="K185" s="206" t="s">
        <v>3831</v>
      </c>
      <c r="L185" s="301">
        <v>134000</v>
      </c>
      <c r="M185" s="176"/>
      <c r="N185" s="302"/>
      <c r="O185" s="293">
        <f>INDEX([1]告訴人!$D$15:$F$372,MATCH(C185,[1]告訴人!$F$15:$F$372,0),1)</f>
        <v>147</v>
      </c>
    </row>
    <row r="186" spans="1:15" ht="47.25" customHeight="1">
      <c r="A186" s="210">
        <v>184</v>
      </c>
      <c r="B186" s="210" t="s">
        <v>580</v>
      </c>
      <c r="C186" s="210" t="s">
        <v>3416</v>
      </c>
      <c r="D186" s="210"/>
      <c r="E186" s="299" t="s">
        <v>677</v>
      </c>
      <c r="F186" s="300">
        <v>1000</v>
      </c>
      <c r="G186" s="299">
        <v>69</v>
      </c>
      <c r="H186" s="300">
        <v>69000</v>
      </c>
      <c r="I186" s="206"/>
      <c r="J186" s="206" t="s">
        <v>2460</v>
      </c>
      <c r="K186" s="206" t="s">
        <v>3831</v>
      </c>
      <c r="L186" s="301">
        <v>69000</v>
      </c>
      <c r="M186" s="176"/>
      <c r="N186" s="302"/>
      <c r="O186" s="293">
        <f>INDEX([1]告訴人!$D$15:$F$372,MATCH(C186,[1]告訴人!$F$15:$F$372,0),1)</f>
        <v>174</v>
      </c>
    </row>
    <row r="187" spans="1:15" ht="47.25" customHeight="1">
      <c r="A187" s="210">
        <v>185</v>
      </c>
      <c r="B187" s="210" t="s">
        <v>580</v>
      </c>
      <c r="C187" s="210" t="s">
        <v>3417</v>
      </c>
      <c r="D187" s="210"/>
      <c r="E187" s="299" t="s">
        <v>677</v>
      </c>
      <c r="F187" s="300">
        <v>1000</v>
      </c>
      <c r="G187" s="299">
        <v>69</v>
      </c>
      <c r="H187" s="300">
        <v>69000</v>
      </c>
      <c r="I187" s="206"/>
      <c r="J187" s="206" t="s">
        <v>2460</v>
      </c>
      <c r="K187" s="206" t="s">
        <v>3831</v>
      </c>
      <c r="L187" s="301">
        <v>69000</v>
      </c>
      <c r="M187" s="176"/>
      <c r="N187" s="302"/>
      <c r="O187" s="293" t="e">
        <f>INDEX([1]告訴人!$D$15:$F$372,MATCH(C187,[1]告訴人!$F$15:$F$372,0),1)</f>
        <v>#N/A</v>
      </c>
    </row>
    <row r="188" spans="1:15" ht="47.25" customHeight="1">
      <c r="A188" s="210">
        <v>186</v>
      </c>
      <c r="B188" s="210" t="s">
        <v>580</v>
      </c>
      <c r="C188" s="210" t="s">
        <v>3418</v>
      </c>
      <c r="D188" s="210"/>
      <c r="E188" s="299" t="s">
        <v>677</v>
      </c>
      <c r="F188" s="300">
        <v>6000</v>
      </c>
      <c r="G188" s="299">
        <v>69</v>
      </c>
      <c r="H188" s="300">
        <v>414000</v>
      </c>
      <c r="I188" s="206"/>
      <c r="J188" s="206" t="s">
        <v>2460</v>
      </c>
      <c r="K188" s="206"/>
      <c r="L188" s="301">
        <v>414000</v>
      </c>
      <c r="M188" s="176"/>
      <c r="N188" s="302"/>
      <c r="O188" s="293">
        <f>INDEX([1]告訴人!$D$15:$F$372,MATCH(C188,[1]告訴人!$F$15:$F$372,0),1)</f>
        <v>211</v>
      </c>
    </row>
    <row r="189" spans="1:15" ht="47.25" customHeight="1">
      <c r="A189" s="210">
        <v>187</v>
      </c>
      <c r="B189" s="210" t="s">
        <v>580</v>
      </c>
      <c r="C189" s="210" t="s">
        <v>3419</v>
      </c>
      <c r="D189" s="210"/>
      <c r="E189" s="299" t="s">
        <v>677</v>
      </c>
      <c r="F189" s="300">
        <v>2000</v>
      </c>
      <c r="G189" s="299">
        <v>69</v>
      </c>
      <c r="H189" s="300">
        <v>138000</v>
      </c>
      <c r="I189" s="206"/>
      <c r="J189" s="206" t="s">
        <v>2460</v>
      </c>
      <c r="K189" s="206" t="s">
        <v>3831</v>
      </c>
      <c r="L189" s="301">
        <v>138000</v>
      </c>
      <c r="M189" s="176"/>
      <c r="N189" s="302"/>
      <c r="O189" s="293">
        <f>INDEX([1]告訴人!$D$15:$F$372,MATCH(C189,[1]告訴人!$F$15:$F$372,0),1)</f>
        <v>229</v>
      </c>
    </row>
    <row r="190" spans="1:15" ht="47.25" customHeight="1">
      <c r="A190" s="210">
        <v>188</v>
      </c>
      <c r="B190" s="210" t="s">
        <v>580</v>
      </c>
      <c r="C190" s="210" t="s">
        <v>3420</v>
      </c>
      <c r="D190" s="210"/>
      <c r="E190" s="299" t="s">
        <v>677</v>
      </c>
      <c r="F190" s="300">
        <v>5000</v>
      </c>
      <c r="G190" s="299">
        <v>69</v>
      </c>
      <c r="H190" s="300">
        <v>345000</v>
      </c>
      <c r="I190" s="206"/>
      <c r="J190" s="206" t="s">
        <v>2460</v>
      </c>
      <c r="K190" s="206" t="s">
        <v>3832</v>
      </c>
      <c r="L190" s="301">
        <v>345000</v>
      </c>
      <c r="M190" s="176"/>
      <c r="N190" s="302"/>
      <c r="O190" s="293" t="e">
        <f>INDEX([1]告訴人!$D$15:$F$372,MATCH(C190,[1]告訴人!$F$15:$F$372,0),1)</f>
        <v>#N/A</v>
      </c>
    </row>
    <row r="191" spans="1:15" ht="47.25" customHeight="1">
      <c r="A191" s="210">
        <v>189</v>
      </c>
      <c r="B191" s="210" t="s">
        <v>580</v>
      </c>
      <c r="C191" s="210" t="s">
        <v>3421</v>
      </c>
      <c r="D191" s="210"/>
      <c r="E191" s="299" t="s">
        <v>677</v>
      </c>
      <c r="F191" s="300">
        <v>5000</v>
      </c>
      <c r="G191" s="299">
        <v>69</v>
      </c>
      <c r="H191" s="300">
        <v>345000</v>
      </c>
      <c r="I191" s="206" t="s">
        <v>3854</v>
      </c>
      <c r="J191" s="206" t="s">
        <v>2460</v>
      </c>
      <c r="K191" s="206" t="s">
        <v>3831</v>
      </c>
      <c r="L191" s="301">
        <v>345000</v>
      </c>
      <c r="M191" s="176" t="s">
        <v>2884</v>
      </c>
      <c r="N191" s="302"/>
      <c r="O191" s="293">
        <f>INDEX([1]告訴人!$D$15:$F$372,MATCH(C191,[1]告訴人!$F$15:$F$372,0),1)</f>
        <v>238</v>
      </c>
    </row>
    <row r="192" spans="1:15" ht="47.25" customHeight="1">
      <c r="A192" s="210">
        <v>190</v>
      </c>
      <c r="B192" s="210" t="s">
        <v>580</v>
      </c>
      <c r="C192" s="210" t="s">
        <v>3422</v>
      </c>
      <c r="D192" s="210"/>
      <c r="E192" s="299" t="s">
        <v>677</v>
      </c>
      <c r="F192" s="300">
        <v>2000</v>
      </c>
      <c r="G192" s="299">
        <v>69</v>
      </c>
      <c r="H192" s="300">
        <v>138000</v>
      </c>
      <c r="I192" s="206"/>
      <c r="J192" s="206" t="s">
        <v>2460</v>
      </c>
      <c r="K192" s="206" t="s">
        <v>3831</v>
      </c>
      <c r="L192" s="301">
        <v>138000</v>
      </c>
      <c r="M192" s="176"/>
      <c r="N192" s="302"/>
      <c r="O192" s="293" t="e">
        <f>INDEX([1]告訴人!$D$15:$F$372,MATCH(C192,[1]告訴人!$F$15:$F$372,0),1)</f>
        <v>#N/A</v>
      </c>
    </row>
    <row r="193" spans="1:17" ht="47.25" customHeight="1">
      <c r="A193" s="210">
        <v>191</v>
      </c>
      <c r="B193" s="210" t="s">
        <v>580</v>
      </c>
      <c r="C193" s="210" t="s">
        <v>3423</v>
      </c>
      <c r="D193" s="210"/>
      <c r="E193" s="299" t="s">
        <v>98</v>
      </c>
      <c r="F193" s="300">
        <v>5000</v>
      </c>
      <c r="G193" s="299">
        <v>67</v>
      </c>
      <c r="H193" s="300">
        <v>335000</v>
      </c>
      <c r="I193" s="206"/>
      <c r="J193" s="206" t="s">
        <v>2460</v>
      </c>
      <c r="K193" s="206"/>
      <c r="L193" s="301">
        <v>335000</v>
      </c>
      <c r="M193" s="176"/>
      <c r="N193" s="302"/>
      <c r="O193" s="293">
        <f>INDEX([1]告訴人!$D$15:$F$372,MATCH(C193,[1]告訴人!$F$15:$F$372,0),1)</f>
        <v>42</v>
      </c>
    </row>
    <row r="194" spans="1:17" ht="47.25" customHeight="1">
      <c r="A194" s="210">
        <v>192</v>
      </c>
      <c r="B194" s="210" t="s">
        <v>580</v>
      </c>
      <c r="C194" s="210" t="s">
        <v>3424</v>
      </c>
      <c r="D194" s="306"/>
      <c r="E194" s="299" t="s">
        <v>98</v>
      </c>
      <c r="F194" s="300">
        <v>5000</v>
      </c>
      <c r="G194" s="299">
        <v>67</v>
      </c>
      <c r="H194" s="300">
        <v>335000</v>
      </c>
      <c r="I194" s="206" t="s">
        <v>2879</v>
      </c>
      <c r="J194" s="206" t="s">
        <v>2460</v>
      </c>
      <c r="K194" s="206"/>
      <c r="L194" s="301">
        <v>335000</v>
      </c>
      <c r="M194" s="176" t="s">
        <v>2879</v>
      </c>
      <c r="N194" s="302"/>
      <c r="O194" s="293" t="e">
        <f>INDEX([1]告訴人!$D$15:$F$372,MATCH(C194,[1]告訴人!$F$15:$F$372,0),1)</f>
        <v>#N/A</v>
      </c>
    </row>
    <row r="195" spans="1:17" ht="47.25" customHeight="1">
      <c r="A195" s="210">
        <v>193</v>
      </c>
      <c r="B195" s="210" t="s">
        <v>580</v>
      </c>
      <c r="C195" s="210" t="s">
        <v>3425</v>
      </c>
      <c r="D195" s="210"/>
      <c r="E195" s="299" t="s">
        <v>98</v>
      </c>
      <c r="F195" s="300">
        <v>10000</v>
      </c>
      <c r="G195" s="299">
        <v>67</v>
      </c>
      <c r="H195" s="300">
        <v>670000</v>
      </c>
      <c r="I195" s="206"/>
      <c r="J195" s="206" t="s">
        <v>2460</v>
      </c>
      <c r="K195" s="206"/>
      <c r="L195" s="301">
        <v>670000</v>
      </c>
      <c r="M195" s="176"/>
      <c r="N195" s="302"/>
      <c r="O195" s="293">
        <f>INDEX([1]告訴人!$D$15:$F$372,MATCH(C195,[1]告訴人!$F$15:$F$372,0),1)</f>
        <v>83</v>
      </c>
    </row>
    <row r="196" spans="1:17" ht="47.25" customHeight="1">
      <c r="A196" s="210">
        <v>194</v>
      </c>
      <c r="B196" s="210" t="s">
        <v>580</v>
      </c>
      <c r="C196" s="210" t="s">
        <v>3426</v>
      </c>
      <c r="D196" s="210"/>
      <c r="E196" s="299" t="s">
        <v>98</v>
      </c>
      <c r="F196" s="300">
        <v>1000</v>
      </c>
      <c r="G196" s="299">
        <v>69</v>
      </c>
      <c r="H196" s="300">
        <v>69000</v>
      </c>
      <c r="I196" s="206"/>
      <c r="J196" s="206" t="s">
        <v>2460</v>
      </c>
      <c r="K196" s="206" t="s">
        <v>3831</v>
      </c>
      <c r="L196" s="301">
        <v>69000</v>
      </c>
      <c r="M196" s="176"/>
      <c r="N196" s="302"/>
      <c r="O196" s="293" t="e">
        <f>INDEX([1]告訴人!$D$15:$F$372,MATCH(C196,[1]告訴人!$F$15:$F$372,0),1)</f>
        <v>#N/A</v>
      </c>
    </row>
    <row r="197" spans="1:17" ht="47.25" customHeight="1">
      <c r="A197" s="210">
        <v>195</v>
      </c>
      <c r="B197" s="210" t="s">
        <v>580</v>
      </c>
      <c r="C197" s="210" t="s">
        <v>3427</v>
      </c>
      <c r="D197" s="210"/>
      <c r="E197" s="299" t="s">
        <v>725</v>
      </c>
      <c r="F197" s="300">
        <v>2000</v>
      </c>
      <c r="G197" s="299">
        <v>69</v>
      </c>
      <c r="H197" s="300">
        <v>138000</v>
      </c>
      <c r="I197" s="206"/>
      <c r="J197" s="206" t="s">
        <v>2460</v>
      </c>
      <c r="K197" s="206" t="s">
        <v>3831</v>
      </c>
      <c r="L197" s="301">
        <v>138000</v>
      </c>
      <c r="M197" s="176"/>
      <c r="N197" s="302"/>
      <c r="O197" s="293">
        <f>INDEX([1]告訴人!$D$15:$F$372,MATCH(C197,[1]告訴人!$F$15:$F$372,0),1)</f>
        <v>36</v>
      </c>
    </row>
    <row r="198" spans="1:17" ht="47.25" customHeight="1">
      <c r="A198" s="210">
        <v>196</v>
      </c>
      <c r="B198" s="210" t="s">
        <v>580</v>
      </c>
      <c r="C198" s="210" t="s">
        <v>3428</v>
      </c>
      <c r="D198" s="210"/>
      <c r="E198" s="299" t="s">
        <v>725</v>
      </c>
      <c r="F198" s="300">
        <v>6000</v>
      </c>
      <c r="G198" s="299">
        <v>69</v>
      </c>
      <c r="H198" s="300">
        <v>414000</v>
      </c>
      <c r="I198" s="206"/>
      <c r="J198" s="206" t="s">
        <v>2460</v>
      </c>
      <c r="K198" s="206" t="s">
        <v>3831</v>
      </c>
      <c r="L198" s="301">
        <v>414000</v>
      </c>
      <c r="M198" s="176"/>
      <c r="N198" s="302"/>
      <c r="O198" s="293" t="e">
        <f>INDEX([1]告訴人!$D$15:$F$372,MATCH(C198,[1]告訴人!$F$15:$F$372,0),1)</f>
        <v>#N/A</v>
      </c>
    </row>
    <row r="199" spans="1:17" ht="47.25" customHeight="1">
      <c r="A199" s="210">
        <v>197</v>
      </c>
      <c r="B199" s="210" t="s">
        <v>580</v>
      </c>
      <c r="C199" s="210" t="s">
        <v>3429</v>
      </c>
      <c r="D199" s="303" t="s">
        <v>3982</v>
      </c>
      <c r="E199" s="299" t="s">
        <v>87</v>
      </c>
      <c r="F199" s="300">
        <v>3000</v>
      </c>
      <c r="G199" s="299">
        <v>67</v>
      </c>
      <c r="H199" s="300">
        <v>201000</v>
      </c>
      <c r="I199" s="206"/>
      <c r="J199" s="206" t="s">
        <v>2460</v>
      </c>
      <c r="K199" s="206" t="s">
        <v>3833</v>
      </c>
      <c r="L199" s="301">
        <v>201000</v>
      </c>
      <c r="M199" s="176"/>
      <c r="N199" s="302"/>
      <c r="O199" s="293">
        <f>INDEX([1]告訴人!$D$15:$F$372,MATCH(C199,[1]告訴人!$F$15:$F$372,0),1)</f>
        <v>23</v>
      </c>
    </row>
    <row r="200" spans="1:17" ht="47.25" customHeight="1">
      <c r="A200" s="210">
        <v>198</v>
      </c>
      <c r="B200" s="210" t="s">
        <v>580</v>
      </c>
      <c r="C200" s="210" t="s">
        <v>3430</v>
      </c>
      <c r="D200" s="210"/>
      <c r="E200" s="299" t="s">
        <v>87</v>
      </c>
      <c r="F200" s="300">
        <v>6000</v>
      </c>
      <c r="G200" s="299">
        <v>69</v>
      </c>
      <c r="H200" s="300">
        <v>414000</v>
      </c>
      <c r="I200" s="206"/>
      <c r="J200" s="206" t="s">
        <v>2460</v>
      </c>
      <c r="K200" s="206" t="s">
        <v>3802</v>
      </c>
      <c r="L200" s="301">
        <v>414000</v>
      </c>
      <c r="M200" s="176"/>
      <c r="N200" s="302"/>
      <c r="O200" s="293" t="e">
        <f>INDEX([1]告訴人!$D$15:$F$372,MATCH(C200,[1]告訴人!$F$15:$F$372,0),1)</f>
        <v>#N/A</v>
      </c>
    </row>
    <row r="201" spans="1:17" ht="47.25" customHeight="1">
      <c r="A201" s="210">
        <v>199</v>
      </c>
      <c r="B201" s="210" t="s">
        <v>580</v>
      </c>
      <c r="C201" s="210" t="s">
        <v>3431</v>
      </c>
      <c r="D201" s="210"/>
      <c r="E201" s="299" t="s">
        <v>99</v>
      </c>
      <c r="F201" s="300">
        <v>3000</v>
      </c>
      <c r="G201" s="299">
        <v>67</v>
      </c>
      <c r="H201" s="300">
        <v>201000</v>
      </c>
      <c r="I201" s="206"/>
      <c r="J201" s="206" t="s">
        <v>2460</v>
      </c>
      <c r="K201" s="307" t="s">
        <v>2699</v>
      </c>
      <c r="L201" s="301">
        <v>201000</v>
      </c>
      <c r="M201" s="176"/>
      <c r="N201" s="302"/>
      <c r="O201" s="293">
        <f>INDEX([1]告訴人!$D$15:$F$372,MATCH(C201,[1]告訴人!$F$15:$F$372,0),1)</f>
        <v>40</v>
      </c>
    </row>
    <row r="202" spans="1:17" ht="47.25" customHeight="1">
      <c r="A202" s="210">
        <v>200</v>
      </c>
      <c r="B202" s="210" t="s">
        <v>580</v>
      </c>
      <c r="C202" s="210" t="s">
        <v>3432</v>
      </c>
      <c r="D202" s="210"/>
      <c r="E202" s="299" t="s">
        <v>99</v>
      </c>
      <c r="F202" s="300">
        <v>5000</v>
      </c>
      <c r="G202" s="299">
        <v>67</v>
      </c>
      <c r="H202" s="300">
        <v>335000</v>
      </c>
      <c r="I202" s="206"/>
      <c r="J202" s="206" t="s">
        <v>2460</v>
      </c>
      <c r="K202" s="206" t="s">
        <v>2764</v>
      </c>
      <c r="L202" s="301">
        <v>335000</v>
      </c>
      <c r="M202" s="176"/>
      <c r="N202" s="302"/>
      <c r="O202" s="293">
        <f>INDEX([1]告訴人!$D$15:$F$372,MATCH(C202,[1]告訴人!$F$15:$F$372,0),1)</f>
        <v>208</v>
      </c>
      <c r="P202" s="204" t="s">
        <v>3834</v>
      </c>
      <c r="Q202" s="293">
        <v>1</v>
      </c>
    </row>
    <row r="203" spans="1:17" ht="47.25" customHeight="1">
      <c r="A203" s="210">
        <v>201</v>
      </c>
      <c r="B203" s="210" t="s">
        <v>580</v>
      </c>
      <c r="C203" s="210" t="s">
        <v>3433</v>
      </c>
      <c r="D203" s="210"/>
      <c r="E203" s="299" t="s">
        <v>99</v>
      </c>
      <c r="F203" s="300">
        <v>10000</v>
      </c>
      <c r="G203" s="299">
        <v>67</v>
      </c>
      <c r="H203" s="300">
        <v>670000</v>
      </c>
      <c r="I203" s="206"/>
      <c r="J203" s="206" t="s">
        <v>3236</v>
      </c>
      <c r="K203" s="206"/>
      <c r="L203" s="301"/>
      <c r="M203" s="176" t="s">
        <v>1832</v>
      </c>
      <c r="N203" s="302" t="str">
        <f>IF(L203&lt;&gt;0,"註3","")</f>
        <v/>
      </c>
      <c r="O203" s="293" t="e">
        <f>INDEX([1]告訴人!$D$15:$F$372,MATCH(C203,[1]告訴人!$F$15:$F$372,0),1)</f>
        <v>#N/A</v>
      </c>
      <c r="P203" s="204" t="s">
        <v>2480</v>
      </c>
      <c r="Q203" s="293">
        <v>1</v>
      </c>
    </row>
    <row r="204" spans="1:17" ht="47.25" customHeight="1">
      <c r="A204" s="210">
        <v>202</v>
      </c>
      <c r="B204" s="210" t="s">
        <v>580</v>
      </c>
      <c r="C204" s="210" t="s">
        <v>3434</v>
      </c>
      <c r="D204" s="210"/>
      <c r="E204" s="299" t="s">
        <v>99</v>
      </c>
      <c r="F204" s="300">
        <v>5000</v>
      </c>
      <c r="G204" s="299">
        <v>68</v>
      </c>
      <c r="H204" s="300">
        <v>340000</v>
      </c>
      <c r="I204" s="206"/>
      <c r="J204" s="206" t="s">
        <v>2460</v>
      </c>
      <c r="K204" s="206" t="s">
        <v>3831</v>
      </c>
      <c r="L204" s="301">
        <v>340000</v>
      </c>
      <c r="M204" s="176"/>
      <c r="N204" s="302"/>
      <c r="O204" s="293">
        <f>INDEX([1]告訴人!$D$15:$F$372,MATCH(C204,[1]告訴人!$F$15:$F$372,0),1)</f>
        <v>105</v>
      </c>
    </row>
    <row r="205" spans="1:17" ht="47.25" customHeight="1">
      <c r="A205" s="210">
        <v>203</v>
      </c>
      <c r="B205" s="210" t="s">
        <v>580</v>
      </c>
      <c r="C205" s="210" t="s">
        <v>695</v>
      </c>
      <c r="D205" s="210"/>
      <c r="E205" s="299" t="s">
        <v>99</v>
      </c>
      <c r="F205" s="300">
        <v>1000</v>
      </c>
      <c r="G205" s="299">
        <v>69</v>
      </c>
      <c r="H205" s="300">
        <v>69000</v>
      </c>
      <c r="I205" s="206"/>
      <c r="J205" s="206" t="s">
        <v>2460</v>
      </c>
      <c r="K205" s="206" t="s">
        <v>3831</v>
      </c>
      <c r="L205" s="301">
        <v>69000</v>
      </c>
      <c r="M205" s="176"/>
      <c r="N205" s="302"/>
      <c r="O205" s="293">
        <f>INDEX([1]告訴人!$D$15:$F$372,MATCH(C205,[1]告訴人!$F$15:$F$372,0),1)</f>
        <v>174</v>
      </c>
    </row>
    <row r="206" spans="1:17" ht="47.25" customHeight="1">
      <c r="A206" s="210">
        <v>204</v>
      </c>
      <c r="B206" s="210" t="s">
        <v>580</v>
      </c>
      <c r="C206" s="210" t="s">
        <v>3435</v>
      </c>
      <c r="D206" s="210"/>
      <c r="E206" s="299" t="s">
        <v>99</v>
      </c>
      <c r="F206" s="300">
        <v>6000</v>
      </c>
      <c r="G206" s="299">
        <v>69</v>
      </c>
      <c r="H206" s="300">
        <v>414000</v>
      </c>
      <c r="I206" s="206"/>
      <c r="J206" s="206" t="s">
        <v>2460</v>
      </c>
      <c r="K206" s="206" t="s">
        <v>3831</v>
      </c>
      <c r="L206" s="301">
        <v>414000</v>
      </c>
      <c r="M206" s="176"/>
      <c r="N206" s="302"/>
      <c r="O206" s="293">
        <f>INDEX([1]告訴人!$D$15:$F$372,MATCH(C206,[1]告訴人!$F$15:$F$372,0),1)</f>
        <v>118</v>
      </c>
    </row>
    <row r="207" spans="1:17" ht="47.25" customHeight="1">
      <c r="A207" s="210">
        <v>205</v>
      </c>
      <c r="B207" s="210" t="s">
        <v>580</v>
      </c>
      <c r="C207" s="210" t="s">
        <v>3436</v>
      </c>
      <c r="D207" s="210"/>
      <c r="E207" s="299" t="s">
        <v>99</v>
      </c>
      <c r="F207" s="300">
        <v>1000</v>
      </c>
      <c r="G207" s="299">
        <v>69</v>
      </c>
      <c r="H207" s="300">
        <v>69000</v>
      </c>
      <c r="I207" s="206"/>
      <c r="J207" s="206" t="s">
        <v>2460</v>
      </c>
      <c r="K207" s="206" t="s">
        <v>3831</v>
      </c>
      <c r="L207" s="301">
        <v>69000</v>
      </c>
      <c r="M207" s="176"/>
      <c r="N207" s="302"/>
      <c r="O207" s="293">
        <f>INDEX([1]告訴人!$D$15:$F$372,MATCH(C207,[1]告訴人!$F$15:$F$372,0),1)</f>
        <v>285</v>
      </c>
    </row>
    <row r="208" spans="1:17" ht="47.25" customHeight="1">
      <c r="A208" s="210">
        <v>206</v>
      </c>
      <c r="B208" s="210" t="s">
        <v>580</v>
      </c>
      <c r="C208" s="210" t="s">
        <v>3437</v>
      </c>
      <c r="D208" s="210"/>
      <c r="E208" s="299" t="s">
        <v>99</v>
      </c>
      <c r="F208" s="300">
        <v>1000</v>
      </c>
      <c r="G208" s="299">
        <v>69</v>
      </c>
      <c r="H208" s="300">
        <v>69000</v>
      </c>
      <c r="I208" s="206"/>
      <c r="J208" s="206" t="s">
        <v>2460</v>
      </c>
      <c r="K208" s="206"/>
      <c r="L208" s="301">
        <v>69000</v>
      </c>
      <c r="M208" s="176"/>
      <c r="N208" s="302"/>
      <c r="O208" s="293" t="e">
        <f>INDEX([1]告訴人!$D$15:$F$372,MATCH(C208,[1]告訴人!$F$15:$F$372,0),1)</f>
        <v>#N/A</v>
      </c>
    </row>
    <row r="209" spans="1:17" ht="47.25" customHeight="1">
      <c r="A209" s="210">
        <v>207</v>
      </c>
      <c r="B209" s="210" t="s">
        <v>580</v>
      </c>
      <c r="C209" s="210" t="s">
        <v>3438</v>
      </c>
      <c r="D209" s="210"/>
      <c r="E209" s="299" t="s">
        <v>100</v>
      </c>
      <c r="F209" s="300">
        <v>20000</v>
      </c>
      <c r="G209" s="299">
        <v>67</v>
      </c>
      <c r="H209" s="300">
        <v>1340000</v>
      </c>
      <c r="I209" s="206"/>
      <c r="J209" s="206" t="s">
        <v>2460</v>
      </c>
      <c r="K209" s="206"/>
      <c r="L209" s="301">
        <v>1340000</v>
      </c>
      <c r="M209" s="176"/>
      <c r="N209" s="302"/>
      <c r="O209" s="293">
        <f>INDEX([1]告訴人!$D$15:$F$372,MATCH(C209,[1]告訴人!$F$15:$F$372,0),1)</f>
        <v>43</v>
      </c>
    </row>
    <row r="210" spans="1:17" ht="47.25" customHeight="1">
      <c r="A210" s="210">
        <v>208</v>
      </c>
      <c r="B210" s="210" t="s">
        <v>580</v>
      </c>
      <c r="C210" s="210" t="s">
        <v>3439</v>
      </c>
      <c r="D210" s="210"/>
      <c r="E210" s="299" t="s">
        <v>100</v>
      </c>
      <c r="F210" s="300">
        <v>2000</v>
      </c>
      <c r="G210" s="299">
        <v>69</v>
      </c>
      <c r="H210" s="300">
        <v>138000</v>
      </c>
      <c r="I210" s="206"/>
      <c r="J210" s="206" t="s">
        <v>2460</v>
      </c>
      <c r="K210" s="206" t="s">
        <v>3802</v>
      </c>
      <c r="L210" s="301">
        <v>138000</v>
      </c>
      <c r="M210" s="176"/>
      <c r="N210" s="302"/>
      <c r="O210" s="293">
        <f>INDEX([1]告訴人!$D$15:$F$372,MATCH(C210,[1]告訴人!$F$15:$F$372,0),1)</f>
        <v>59</v>
      </c>
    </row>
    <row r="211" spans="1:17" ht="47.25" customHeight="1">
      <c r="A211" s="210">
        <v>209</v>
      </c>
      <c r="B211" s="210" t="s">
        <v>580</v>
      </c>
      <c r="C211" s="210" t="s">
        <v>3440</v>
      </c>
      <c r="D211" s="210"/>
      <c r="E211" s="299" t="s">
        <v>100</v>
      </c>
      <c r="F211" s="300">
        <v>3000</v>
      </c>
      <c r="G211" s="299">
        <v>69</v>
      </c>
      <c r="H211" s="300">
        <v>207000</v>
      </c>
      <c r="I211" s="206"/>
      <c r="J211" s="206" t="s">
        <v>2460</v>
      </c>
      <c r="K211" s="206" t="s">
        <v>3802</v>
      </c>
      <c r="L211" s="301">
        <v>207000</v>
      </c>
      <c r="M211" s="176"/>
      <c r="N211" s="302"/>
      <c r="O211" s="293">
        <f>INDEX([1]告訴人!$D$15:$F$372,MATCH(C211,[1]告訴人!$F$15:$F$372,0),1)</f>
        <v>191</v>
      </c>
    </row>
    <row r="212" spans="1:17" ht="47.25" customHeight="1">
      <c r="A212" s="210">
        <v>210</v>
      </c>
      <c r="B212" s="210" t="s">
        <v>580</v>
      </c>
      <c r="C212" s="210" t="s">
        <v>3441</v>
      </c>
      <c r="D212" s="210"/>
      <c r="E212" s="299" t="s">
        <v>39</v>
      </c>
      <c r="F212" s="300">
        <v>10000</v>
      </c>
      <c r="G212" s="299">
        <v>67</v>
      </c>
      <c r="H212" s="300">
        <v>670000</v>
      </c>
      <c r="I212" s="206"/>
      <c r="J212" s="206" t="s">
        <v>3236</v>
      </c>
      <c r="K212" s="206"/>
      <c r="L212" s="301"/>
      <c r="M212" s="176" t="s">
        <v>1832</v>
      </c>
      <c r="N212" s="302" t="str">
        <f>IF(L212&lt;&gt;0,"註3","")</f>
        <v/>
      </c>
      <c r="O212" s="293" t="e">
        <f>INDEX([1]告訴人!$D$15:$F$372,MATCH(C212,[1]告訴人!$F$15:$F$372,0),1)</f>
        <v>#N/A</v>
      </c>
      <c r="P212" s="204" t="s">
        <v>2480</v>
      </c>
      <c r="Q212" s="293">
        <v>1</v>
      </c>
    </row>
    <row r="213" spans="1:17" ht="47.25" customHeight="1">
      <c r="A213" s="210">
        <v>211</v>
      </c>
      <c r="B213" s="210" t="s">
        <v>580</v>
      </c>
      <c r="C213" s="210" t="s">
        <v>3442</v>
      </c>
      <c r="D213" s="210"/>
      <c r="E213" s="299" t="s">
        <v>39</v>
      </c>
      <c r="F213" s="300">
        <v>5000</v>
      </c>
      <c r="G213" s="299">
        <v>69</v>
      </c>
      <c r="H213" s="300">
        <v>345000</v>
      </c>
      <c r="I213" s="206" t="s">
        <v>2503</v>
      </c>
      <c r="J213" s="206" t="s">
        <v>2504</v>
      </c>
      <c r="K213" s="307" t="s">
        <v>2498</v>
      </c>
      <c r="L213" s="301">
        <v>345000</v>
      </c>
      <c r="M213" s="176" t="s">
        <v>3855</v>
      </c>
      <c r="N213" s="302"/>
      <c r="O213" s="293" t="e">
        <f>INDEX([1]告訴人!$D$15:$F$372,MATCH(C213,[1]告訴人!$F$15:$F$372,0),1)</f>
        <v>#N/A</v>
      </c>
      <c r="P213" s="204" t="s">
        <v>2480</v>
      </c>
      <c r="Q213" s="293">
        <v>1</v>
      </c>
    </row>
    <row r="214" spans="1:17" ht="47.25" customHeight="1">
      <c r="A214" s="210">
        <v>212</v>
      </c>
      <c r="B214" s="210" t="s">
        <v>580</v>
      </c>
      <c r="C214" s="210" t="s">
        <v>3440</v>
      </c>
      <c r="D214" s="210"/>
      <c r="E214" s="299" t="s">
        <v>39</v>
      </c>
      <c r="F214" s="300">
        <v>2000</v>
      </c>
      <c r="G214" s="299">
        <v>69</v>
      </c>
      <c r="H214" s="300">
        <v>138000</v>
      </c>
      <c r="I214" s="206" t="s">
        <v>3856</v>
      </c>
      <c r="J214" s="206" t="s">
        <v>2460</v>
      </c>
      <c r="K214" s="206" t="s">
        <v>3802</v>
      </c>
      <c r="L214" s="301">
        <v>138000</v>
      </c>
      <c r="M214" s="176" t="s">
        <v>3857</v>
      </c>
      <c r="N214" s="302"/>
      <c r="O214" s="293">
        <f>INDEX([1]告訴人!$D$15:$F$372,MATCH(C214,[1]告訴人!$F$15:$F$372,0),1)</f>
        <v>191</v>
      </c>
    </row>
    <row r="215" spans="1:17" ht="47.25" customHeight="1">
      <c r="A215" s="210">
        <v>213</v>
      </c>
      <c r="B215" s="210" t="s">
        <v>580</v>
      </c>
      <c r="C215" s="210" t="s">
        <v>3443</v>
      </c>
      <c r="D215" s="210"/>
      <c r="E215" s="299" t="s">
        <v>39</v>
      </c>
      <c r="F215" s="300">
        <v>6000</v>
      </c>
      <c r="G215" s="299">
        <v>69</v>
      </c>
      <c r="H215" s="300">
        <v>414000</v>
      </c>
      <c r="I215" s="206"/>
      <c r="J215" s="206" t="s">
        <v>2460</v>
      </c>
      <c r="K215" s="206" t="s">
        <v>3802</v>
      </c>
      <c r="L215" s="301">
        <v>414000</v>
      </c>
      <c r="M215" s="176"/>
      <c r="N215" s="302"/>
      <c r="O215" s="293">
        <f>INDEX([1]告訴人!$D$15:$F$372,MATCH(C215,[1]告訴人!$F$15:$F$372,0),1)</f>
        <v>254</v>
      </c>
    </row>
    <row r="216" spans="1:17" ht="47.25" customHeight="1">
      <c r="A216" s="210">
        <v>214</v>
      </c>
      <c r="B216" s="210" t="s">
        <v>580</v>
      </c>
      <c r="C216" s="210" t="s">
        <v>3444</v>
      </c>
      <c r="D216" s="210"/>
      <c r="E216" s="299" t="s">
        <v>88</v>
      </c>
      <c r="F216" s="300">
        <v>3000</v>
      </c>
      <c r="G216" s="299">
        <v>67</v>
      </c>
      <c r="H216" s="300">
        <v>201000</v>
      </c>
      <c r="I216" s="206"/>
      <c r="J216" s="206" t="s">
        <v>2460</v>
      </c>
      <c r="K216" s="206"/>
      <c r="L216" s="301">
        <v>201000</v>
      </c>
      <c r="M216" s="176"/>
      <c r="N216" s="302"/>
      <c r="O216" s="293">
        <f>INDEX([1]告訴人!$D$15:$F$372,MATCH(C216,[1]告訴人!$F$15:$F$372,0),1)</f>
        <v>20</v>
      </c>
    </row>
    <row r="217" spans="1:17" ht="47.25" customHeight="1">
      <c r="A217" s="210">
        <v>215</v>
      </c>
      <c r="B217" s="210" t="s">
        <v>580</v>
      </c>
      <c r="C217" s="210" t="s">
        <v>3445</v>
      </c>
      <c r="D217" s="210"/>
      <c r="E217" s="299" t="s">
        <v>88</v>
      </c>
      <c r="F217" s="300">
        <v>3000</v>
      </c>
      <c r="G217" s="299">
        <v>67</v>
      </c>
      <c r="H217" s="300">
        <v>201000</v>
      </c>
      <c r="I217" s="206"/>
      <c r="J217" s="206" t="s">
        <v>2460</v>
      </c>
      <c r="K217" s="206" t="s">
        <v>3771</v>
      </c>
      <c r="L217" s="301">
        <v>201000</v>
      </c>
      <c r="M217" s="176"/>
      <c r="N217" s="302"/>
      <c r="O217" s="293" t="e">
        <f>INDEX([1]告訴人!$D$15:$F$372,MATCH(C217,[1]告訴人!$F$15:$F$372,0),1)</f>
        <v>#N/A</v>
      </c>
    </row>
    <row r="218" spans="1:17" ht="47.25" customHeight="1">
      <c r="A218" s="210">
        <v>216</v>
      </c>
      <c r="B218" s="210" t="s">
        <v>580</v>
      </c>
      <c r="C218" s="210" t="s">
        <v>683</v>
      </c>
      <c r="D218" s="303" t="s">
        <v>3982</v>
      </c>
      <c r="E218" s="299" t="s">
        <v>88</v>
      </c>
      <c r="F218" s="300">
        <v>2000</v>
      </c>
      <c r="G218" s="299">
        <v>67</v>
      </c>
      <c r="H218" s="300">
        <v>134000</v>
      </c>
      <c r="I218" s="206"/>
      <c r="J218" s="206" t="s">
        <v>2460</v>
      </c>
      <c r="K218" s="206" t="s">
        <v>3835</v>
      </c>
      <c r="L218" s="301">
        <v>134000</v>
      </c>
      <c r="M218" s="176"/>
      <c r="N218" s="302"/>
      <c r="O218" s="293">
        <f>INDEX([1]告訴人!$D$15:$F$372,MATCH(C218,[1]告訴人!$F$15:$F$372,0),1)</f>
        <v>23</v>
      </c>
    </row>
    <row r="219" spans="1:17" ht="47.25" customHeight="1">
      <c r="A219" s="210">
        <v>217</v>
      </c>
      <c r="B219" s="210" t="s">
        <v>580</v>
      </c>
      <c r="C219" s="210" t="s">
        <v>3446</v>
      </c>
      <c r="D219" s="210"/>
      <c r="E219" s="299" t="s">
        <v>88</v>
      </c>
      <c r="F219" s="300">
        <v>2000</v>
      </c>
      <c r="G219" s="299">
        <v>69</v>
      </c>
      <c r="H219" s="300">
        <v>138000</v>
      </c>
      <c r="I219" s="206"/>
      <c r="J219" s="206" t="s">
        <v>2460</v>
      </c>
      <c r="K219" s="206" t="s">
        <v>3802</v>
      </c>
      <c r="L219" s="301">
        <v>138000</v>
      </c>
      <c r="M219" s="176"/>
      <c r="N219" s="302"/>
      <c r="O219" s="293" t="e">
        <f>INDEX([1]告訴人!$D$15:$F$372,MATCH(C219,[1]告訴人!$F$15:$F$372,0),1)</f>
        <v>#N/A</v>
      </c>
    </row>
    <row r="220" spans="1:17" ht="47.25" customHeight="1">
      <c r="A220" s="210">
        <v>218</v>
      </c>
      <c r="B220" s="210" t="s">
        <v>580</v>
      </c>
      <c r="C220" s="210" t="s">
        <v>3447</v>
      </c>
      <c r="D220" s="210"/>
      <c r="E220" s="299" t="s">
        <v>88</v>
      </c>
      <c r="F220" s="300">
        <v>2000</v>
      </c>
      <c r="G220" s="299">
        <v>69</v>
      </c>
      <c r="H220" s="300">
        <v>138000</v>
      </c>
      <c r="I220" s="206"/>
      <c r="J220" s="206" t="s">
        <v>2460</v>
      </c>
      <c r="K220" s="206"/>
      <c r="L220" s="301">
        <v>138000</v>
      </c>
      <c r="M220" s="176"/>
      <c r="N220" s="302"/>
      <c r="O220" s="293">
        <f>INDEX([1]告訴人!$D$15:$F$372,MATCH(C220,[1]告訴人!$F$15:$F$372,0),1)</f>
        <v>6</v>
      </c>
    </row>
    <row r="221" spans="1:17" ht="47.25" customHeight="1">
      <c r="A221" s="210">
        <v>219</v>
      </c>
      <c r="B221" s="210" t="s">
        <v>580</v>
      </c>
      <c r="C221" s="210" t="s">
        <v>3448</v>
      </c>
      <c r="D221" s="210"/>
      <c r="E221" s="299" t="s">
        <v>88</v>
      </c>
      <c r="F221" s="300">
        <v>10000</v>
      </c>
      <c r="G221" s="299">
        <v>69</v>
      </c>
      <c r="H221" s="300">
        <v>690000</v>
      </c>
      <c r="I221" s="206"/>
      <c r="J221" s="206" t="s">
        <v>2460</v>
      </c>
      <c r="K221" s="206"/>
      <c r="L221" s="301">
        <v>690000</v>
      </c>
      <c r="M221" s="176"/>
      <c r="N221" s="302"/>
      <c r="O221" s="293">
        <f>INDEX([1]告訴人!$D$15:$F$372,MATCH(C221,[1]告訴人!$F$15:$F$372,0),1)</f>
        <v>279</v>
      </c>
    </row>
    <row r="222" spans="1:17" ht="47.25" customHeight="1">
      <c r="A222" s="210">
        <v>220</v>
      </c>
      <c r="B222" s="210" t="s">
        <v>580</v>
      </c>
      <c r="C222" s="210" t="s">
        <v>3449</v>
      </c>
      <c r="D222" s="210"/>
      <c r="E222" s="299" t="s">
        <v>88</v>
      </c>
      <c r="F222" s="300">
        <v>1000</v>
      </c>
      <c r="G222" s="299">
        <v>69</v>
      </c>
      <c r="H222" s="300">
        <v>69000</v>
      </c>
      <c r="I222" s="206"/>
      <c r="J222" s="206" t="s">
        <v>2460</v>
      </c>
      <c r="K222" s="206" t="s">
        <v>3802</v>
      </c>
      <c r="L222" s="301">
        <v>69000</v>
      </c>
      <c r="M222" s="176"/>
      <c r="N222" s="302"/>
      <c r="O222" s="293" t="e">
        <f>INDEX([1]告訴人!$D$15:$F$372,MATCH(C222,[1]告訴人!$F$15:$F$372,0),1)</f>
        <v>#N/A</v>
      </c>
    </row>
    <row r="223" spans="1:17" ht="47.25" customHeight="1">
      <c r="A223" s="210">
        <v>221</v>
      </c>
      <c r="B223" s="210" t="s">
        <v>580</v>
      </c>
      <c r="C223" s="210" t="s">
        <v>3450</v>
      </c>
      <c r="D223" s="210"/>
      <c r="E223" s="299" t="s">
        <v>88</v>
      </c>
      <c r="F223" s="300">
        <v>1000</v>
      </c>
      <c r="G223" s="299">
        <v>69</v>
      </c>
      <c r="H223" s="300">
        <v>69000</v>
      </c>
      <c r="I223" s="206"/>
      <c r="J223" s="206" t="s">
        <v>2460</v>
      </c>
      <c r="K223" s="206" t="s">
        <v>3802</v>
      </c>
      <c r="L223" s="301">
        <v>69000</v>
      </c>
      <c r="M223" s="176"/>
      <c r="N223" s="302"/>
      <c r="O223" s="293" t="e">
        <f>INDEX([1]告訴人!$D$15:$F$372,MATCH(C223,[1]告訴人!$F$15:$F$372,0),1)</f>
        <v>#N/A</v>
      </c>
    </row>
    <row r="224" spans="1:17" ht="47.25" customHeight="1">
      <c r="A224" s="210">
        <v>222</v>
      </c>
      <c r="B224" s="210" t="s">
        <v>580</v>
      </c>
      <c r="C224" s="210" t="s">
        <v>3451</v>
      </c>
      <c r="D224" s="210"/>
      <c r="E224" s="299" t="s">
        <v>391</v>
      </c>
      <c r="F224" s="300">
        <v>2000</v>
      </c>
      <c r="G224" s="299">
        <v>67</v>
      </c>
      <c r="H224" s="300">
        <v>134000</v>
      </c>
      <c r="I224" s="206"/>
      <c r="J224" s="206" t="s">
        <v>3236</v>
      </c>
      <c r="K224" s="206"/>
      <c r="L224" s="301"/>
      <c r="M224" s="176" t="s">
        <v>1832</v>
      </c>
      <c r="N224" s="302" t="str">
        <f>IF(L224&lt;&gt;0,"註3","")</f>
        <v/>
      </c>
      <c r="O224" s="293" t="e">
        <f>INDEX([1]告訴人!$D$15:$F$372,MATCH(C224,[1]告訴人!$F$15:$F$372,0),1)</f>
        <v>#N/A</v>
      </c>
      <c r="P224" s="204" t="s">
        <v>2480</v>
      </c>
      <c r="Q224" s="293">
        <v>1</v>
      </c>
    </row>
    <row r="225" spans="1:17" ht="47.25" customHeight="1">
      <c r="A225" s="210">
        <v>223</v>
      </c>
      <c r="B225" s="210" t="s">
        <v>580</v>
      </c>
      <c r="C225" s="210" t="s">
        <v>3452</v>
      </c>
      <c r="D225" s="210"/>
      <c r="E225" s="299" t="s">
        <v>391</v>
      </c>
      <c r="F225" s="300">
        <v>4000</v>
      </c>
      <c r="G225" s="299">
        <v>67</v>
      </c>
      <c r="H225" s="300">
        <v>268000</v>
      </c>
      <c r="I225" s="206"/>
      <c r="J225" s="206" t="s">
        <v>2460</v>
      </c>
      <c r="K225" s="206" t="s">
        <v>3798</v>
      </c>
      <c r="L225" s="301">
        <v>268000</v>
      </c>
      <c r="M225" s="176"/>
      <c r="N225" s="302"/>
      <c r="O225" s="293">
        <f>INDEX([1]告訴人!$D$15:$F$372,MATCH(C225,[1]告訴人!$F$15:$F$372,0),1)</f>
        <v>35</v>
      </c>
    </row>
    <row r="226" spans="1:17" ht="47.25" customHeight="1">
      <c r="A226" s="210">
        <v>224</v>
      </c>
      <c r="B226" s="210" t="s">
        <v>580</v>
      </c>
      <c r="C226" s="210" t="s">
        <v>3458</v>
      </c>
      <c r="D226" s="210"/>
      <c r="E226" s="299" t="s">
        <v>391</v>
      </c>
      <c r="F226" s="300">
        <v>10000</v>
      </c>
      <c r="G226" s="299">
        <v>67</v>
      </c>
      <c r="H226" s="300">
        <v>670000</v>
      </c>
      <c r="I226" s="206"/>
      <c r="J226" s="206" t="s">
        <v>3236</v>
      </c>
      <c r="K226" s="206"/>
      <c r="L226" s="301"/>
      <c r="M226" s="176" t="s">
        <v>1832</v>
      </c>
      <c r="N226" s="302" t="str">
        <f>IF(L226&lt;&gt;0,"註3","")</f>
        <v/>
      </c>
      <c r="O226" s="293">
        <f>INDEX([1]告訴人!$D$15:$F$372,MATCH(C226,[1]告訴人!$F$15:$F$372,0),1)</f>
        <v>76</v>
      </c>
      <c r="P226" s="204" t="s">
        <v>2480</v>
      </c>
      <c r="Q226" s="293">
        <v>1</v>
      </c>
    </row>
    <row r="227" spans="1:17" ht="47.25" customHeight="1">
      <c r="A227" s="210">
        <v>225</v>
      </c>
      <c r="B227" s="210" t="s">
        <v>580</v>
      </c>
      <c r="C227" s="210" t="s">
        <v>3459</v>
      </c>
      <c r="D227" s="210"/>
      <c r="E227" s="299" t="s">
        <v>391</v>
      </c>
      <c r="F227" s="300">
        <v>2000</v>
      </c>
      <c r="G227" s="299">
        <v>67</v>
      </c>
      <c r="H227" s="300">
        <v>134000</v>
      </c>
      <c r="I227" s="206"/>
      <c r="J227" s="206" t="s">
        <v>3236</v>
      </c>
      <c r="K227" s="206"/>
      <c r="L227" s="301"/>
      <c r="M227" s="176" t="s">
        <v>1832</v>
      </c>
      <c r="N227" s="302" t="str">
        <f>IF(L227&lt;&gt;0,"註3","")</f>
        <v/>
      </c>
      <c r="O227" s="293" t="e">
        <f>INDEX([1]告訴人!$D$15:$F$372,MATCH(C227,[1]告訴人!$F$15:$F$372,0),1)</f>
        <v>#N/A</v>
      </c>
      <c r="P227" s="204" t="s">
        <v>2480</v>
      </c>
      <c r="Q227" s="293">
        <v>1</v>
      </c>
    </row>
    <row r="228" spans="1:17" ht="47.25" customHeight="1">
      <c r="A228" s="210">
        <v>226</v>
      </c>
      <c r="B228" s="210" t="s">
        <v>580</v>
      </c>
      <c r="C228" s="210" t="s">
        <v>3460</v>
      </c>
      <c r="D228" s="210"/>
      <c r="E228" s="299" t="s">
        <v>391</v>
      </c>
      <c r="F228" s="300">
        <v>2000</v>
      </c>
      <c r="G228" s="299">
        <v>67</v>
      </c>
      <c r="H228" s="300">
        <v>134000</v>
      </c>
      <c r="I228" s="206"/>
      <c r="J228" s="206" t="s">
        <v>3236</v>
      </c>
      <c r="K228" s="206"/>
      <c r="L228" s="301"/>
      <c r="M228" s="176" t="s">
        <v>1832</v>
      </c>
      <c r="N228" s="302" t="str">
        <f>IF(L228&lt;&gt;0,"註3","")</f>
        <v/>
      </c>
      <c r="O228" s="293">
        <f>INDEX([1]告訴人!$D$15:$F$372,MATCH(C228,[1]告訴人!$F$15:$F$372,0),1)</f>
        <v>222</v>
      </c>
      <c r="P228" s="204" t="s">
        <v>2480</v>
      </c>
      <c r="Q228" s="293">
        <v>1</v>
      </c>
    </row>
    <row r="229" spans="1:17" ht="47.25" customHeight="1">
      <c r="A229" s="210">
        <v>227</v>
      </c>
      <c r="B229" s="210" t="s">
        <v>580</v>
      </c>
      <c r="C229" s="210" t="s">
        <v>3461</v>
      </c>
      <c r="D229" s="210"/>
      <c r="E229" s="299" t="s">
        <v>391</v>
      </c>
      <c r="F229" s="300">
        <v>8000</v>
      </c>
      <c r="G229" s="299">
        <v>67</v>
      </c>
      <c r="H229" s="300">
        <v>536000</v>
      </c>
      <c r="I229" s="206"/>
      <c r="J229" s="206" t="s">
        <v>2460</v>
      </c>
      <c r="K229" s="206" t="s">
        <v>3798</v>
      </c>
      <c r="L229" s="301">
        <v>536000</v>
      </c>
      <c r="M229" s="176"/>
      <c r="N229" s="302"/>
      <c r="O229" s="293">
        <f>INDEX([1]告訴人!$D$15:$F$372,MATCH(C229,[1]告訴人!$F$15:$F$372,0),1)</f>
        <v>281</v>
      </c>
    </row>
    <row r="230" spans="1:17" ht="47.25" customHeight="1">
      <c r="A230" s="210">
        <v>228</v>
      </c>
      <c r="B230" s="210" t="s">
        <v>580</v>
      </c>
      <c r="C230" s="210" t="s">
        <v>674</v>
      </c>
      <c r="D230" s="210"/>
      <c r="E230" s="299" t="s">
        <v>391</v>
      </c>
      <c r="F230" s="300">
        <v>3000</v>
      </c>
      <c r="G230" s="299">
        <v>67</v>
      </c>
      <c r="H230" s="300">
        <v>201000</v>
      </c>
      <c r="I230" s="206"/>
      <c r="J230" s="206" t="s">
        <v>2460</v>
      </c>
      <c r="K230" s="206" t="s">
        <v>3798</v>
      </c>
      <c r="L230" s="301">
        <v>201000</v>
      </c>
      <c r="M230" s="176"/>
      <c r="N230" s="302"/>
      <c r="O230" s="293" t="e">
        <f>INDEX([1]告訴人!$D$15:$F$372,MATCH(C230,[1]告訴人!$F$15:$F$372,0),1)</f>
        <v>#N/A</v>
      </c>
    </row>
    <row r="231" spans="1:17" ht="47.25" customHeight="1">
      <c r="A231" s="210">
        <v>229</v>
      </c>
      <c r="B231" s="210" t="s">
        <v>580</v>
      </c>
      <c r="C231" s="210" t="s">
        <v>3462</v>
      </c>
      <c r="D231" s="210"/>
      <c r="E231" s="299" t="s">
        <v>391</v>
      </c>
      <c r="F231" s="300">
        <v>2000</v>
      </c>
      <c r="G231" s="299">
        <v>69</v>
      </c>
      <c r="H231" s="300">
        <v>138000</v>
      </c>
      <c r="I231" s="206"/>
      <c r="J231" s="206" t="s">
        <v>2460</v>
      </c>
      <c r="K231" s="206" t="s">
        <v>3802</v>
      </c>
      <c r="L231" s="301">
        <v>138000</v>
      </c>
      <c r="M231" s="176"/>
      <c r="N231" s="302"/>
      <c r="O231" s="293" t="e">
        <f>INDEX([1]告訴人!$D$15:$F$372,MATCH(C231,[1]告訴人!$F$15:$F$372,0),1)</f>
        <v>#N/A</v>
      </c>
    </row>
    <row r="232" spans="1:17" ht="47.25" customHeight="1">
      <c r="A232" s="210">
        <v>230</v>
      </c>
      <c r="B232" s="210" t="s">
        <v>580</v>
      </c>
      <c r="C232" s="210" t="s">
        <v>3464</v>
      </c>
      <c r="D232" s="210"/>
      <c r="E232" s="299" t="s">
        <v>113</v>
      </c>
      <c r="F232" s="300">
        <v>5000</v>
      </c>
      <c r="G232" s="299">
        <v>67</v>
      </c>
      <c r="H232" s="300">
        <v>335000</v>
      </c>
      <c r="I232" s="206"/>
      <c r="J232" s="206" t="s">
        <v>2460</v>
      </c>
      <c r="K232" s="206" t="s">
        <v>3802</v>
      </c>
      <c r="L232" s="301">
        <v>335000</v>
      </c>
      <c r="M232" s="176"/>
      <c r="N232" s="302"/>
      <c r="O232" s="293" t="e">
        <f>INDEX([1]告訴人!$D$15:$F$372,MATCH(C232,[1]告訴人!$F$15:$F$372,0),1)</f>
        <v>#N/A</v>
      </c>
    </row>
    <row r="233" spans="1:17" ht="47.25" customHeight="1">
      <c r="A233" s="210">
        <v>231</v>
      </c>
      <c r="B233" s="210" t="s">
        <v>580</v>
      </c>
      <c r="C233" s="210" t="s">
        <v>3465</v>
      </c>
      <c r="D233" s="210"/>
      <c r="E233" s="299" t="s">
        <v>113</v>
      </c>
      <c r="F233" s="300">
        <v>2000</v>
      </c>
      <c r="G233" s="299">
        <v>67</v>
      </c>
      <c r="H233" s="300">
        <v>134000</v>
      </c>
      <c r="I233" s="206"/>
      <c r="J233" s="206" t="s">
        <v>2460</v>
      </c>
      <c r="K233" s="206" t="s">
        <v>3798</v>
      </c>
      <c r="L233" s="301">
        <v>134000</v>
      </c>
      <c r="M233" s="176"/>
      <c r="N233" s="302"/>
      <c r="O233" s="293">
        <f>INDEX([1]告訴人!$D$15:$F$372,MATCH(C233,[1]告訴人!$F$15:$F$372,0),1)</f>
        <v>49</v>
      </c>
    </row>
    <row r="234" spans="1:17" ht="47.25" customHeight="1">
      <c r="A234" s="210">
        <v>232</v>
      </c>
      <c r="B234" s="210" t="s">
        <v>580</v>
      </c>
      <c r="C234" s="210" t="s">
        <v>3463</v>
      </c>
      <c r="D234" s="210"/>
      <c r="E234" s="299" t="s">
        <v>113</v>
      </c>
      <c r="F234" s="300">
        <v>2000</v>
      </c>
      <c r="G234" s="299">
        <v>67</v>
      </c>
      <c r="H234" s="300">
        <v>134000</v>
      </c>
      <c r="I234" s="206"/>
      <c r="J234" s="206" t="s">
        <v>2460</v>
      </c>
      <c r="K234" s="206"/>
      <c r="L234" s="301">
        <v>134000</v>
      </c>
      <c r="M234" s="176"/>
      <c r="N234" s="302"/>
      <c r="O234" s="293">
        <f>INDEX([1]告訴人!$D$15:$F$372,MATCH(C234,[1]告訴人!$F$15:$F$372,0),1)</f>
        <v>224</v>
      </c>
    </row>
    <row r="235" spans="1:17" ht="47.25" customHeight="1">
      <c r="A235" s="210">
        <v>233</v>
      </c>
      <c r="B235" s="210" t="s">
        <v>580</v>
      </c>
      <c r="C235" s="210" t="s">
        <v>3466</v>
      </c>
      <c r="D235" s="210"/>
      <c r="E235" s="299" t="s">
        <v>113</v>
      </c>
      <c r="F235" s="300">
        <v>5000</v>
      </c>
      <c r="G235" s="299">
        <v>67</v>
      </c>
      <c r="H235" s="300">
        <v>335000</v>
      </c>
      <c r="I235" s="206"/>
      <c r="J235" s="206" t="s">
        <v>2460</v>
      </c>
      <c r="K235" s="206" t="s">
        <v>3832</v>
      </c>
      <c r="L235" s="301">
        <v>335000</v>
      </c>
      <c r="M235" s="176"/>
      <c r="N235" s="302"/>
      <c r="O235" s="293" t="e">
        <f>INDEX([1]告訴人!$D$15:$F$372,MATCH(C235,[1]告訴人!$F$15:$F$372,0),1)</f>
        <v>#N/A</v>
      </c>
    </row>
    <row r="236" spans="1:17" ht="47.25" customHeight="1">
      <c r="A236" s="210">
        <v>234</v>
      </c>
      <c r="B236" s="210" t="s">
        <v>580</v>
      </c>
      <c r="C236" s="210" t="s">
        <v>3467</v>
      </c>
      <c r="D236" s="210"/>
      <c r="E236" s="299" t="s">
        <v>113</v>
      </c>
      <c r="F236" s="300">
        <v>2000</v>
      </c>
      <c r="G236" s="299">
        <v>69</v>
      </c>
      <c r="H236" s="300">
        <v>138000</v>
      </c>
      <c r="I236" s="206"/>
      <c r="J236" s="206" t="s">
        <v>2460</v>
      </c>
      <c r="K236" s="206" t="s">
        <v>3802</v>
      </c>
      <c r="L236" s="301">
        <v>138000</v>
      </c>
      <c r="M236" s="176"/>
      <c r="N236" s="302"/>
      <c r="O236" s="293">
        <f>INDEX([1]告訴人!$D$15:$F$372,MATCH(C236,[1]告訴人!$F$15:$F$372,0),1)</f>
        <v>4</v>
      </c>
    </row>
    <row r="237" spans="1:17" ht="47.25" customHeight="1">
      <c r="A237" s="210">
        <v>235</v>
      </c>
      <c r="B237" s="210" t="s">
        <v>580</v>
      </c>
      <c r="C237" s="210" t="s">
        <v>3468</v>
      </c>
      <c r="D237" s="210"/>
      <c r="E237" s="299" t="s">
        <v>113</v>
      </c>
      <c r="F237" s="300">
        <v>2000</v>
      </c>
      <c r="G237" s="299">
        <v>69</v>
      </c>
      <c r="H237" s="300">
        <v>138000</v>
      </c>
      <c r="I237" s="206"/>
      <c r="J237" s="206" t="s">
        <v>2460</v>
      </c>
      <c r="K237" s="206" t="s">
        <v>3832</v>
      </c>
      <c r="L237" s="301">
        <v>138000</v>
      </c>
      <c r="M237" s="176"/>
      <c r="N237" s="302"/>
      <c r="O237" s="293" t="e">
        <f>INDEX([1]告訴人!$D$15:$F$372,MATCH(C237,[1]告訴人!$F$15:$F$372,0),1)</f>
        <v>#N/A</v>
      </c>
    </row>
    <row r="238" spans="1:17" ht="47.25" customHeight="1">
      <c r="A238" s="210">
        <v>236</v>
      </c>
      <c r="B238" s="210" t="s">
        <v>580</v>
      </c>
      <c r="C238" s="210" t="s">
        <v>699</v>
      </c>
      <c r="D238" s="210"/>
      <c r="E238" s="299" t="s">
        <v>113</v>
      </c>
      <c r="F238" s="300">
        <v>5000</v>
      </c>
      <c r="G238" s="299">
        <v>69</v>
      </c>
      <c r="H238" s="300">
        <v>345000</v>
      </c>
      <c r="I238" s="206"/>
      <c r="J238" s="206" t="s">
        <v>2460</v>
      </c>
      <c r="K238" s="206"/>
      <c r="L238" s="301">
        <v>345000</v>
      </c>
      <c r="M238" s="176"/>
      <c r="N238" s="302"/>
      <c r="O238" s="293">
        <f>INDEX([1]告訴人!$D$15:$F$372,MATCH(C238,[1]告訴人!$F$15:$F$372,0),1)</f>
        <v>101</v>
      </c>
    </row>
    <row r="239" spans="1:17" ht="47.25" customHeight="1">
      <c r="A239" s="210">
        <v>237</v>
      </c>
      <c r="B239" s="210" t="s">
        <v>580</v>
      </c>
      <c r="C239" s="210" t="s">
        <v>3469</v>
      </c>
      <c r="D239" s="210"/>
      <c r="E239" s="299" t="s">
        <v>113</v>
      </c>
      <c r="F239" s="300">
        <v>10000</v>
      </c>
      <c r="G239" s="299">
        <v>69</v>
      </c>
      <c r="H239" s="300">
        <v>690000</v>
      </c>
      <c r="I239" s="206"/>
      <c r="J239" s="206" t="s">
        <v>2460</v>
      </c>
      <c r="K239" s="206" t="s">
        <v>3802</v>
      </c>
      <c r="L239" s="301">
        <v>690000</v>
      </c>
      <c r="M239" s="176"/>
      <c r="N239" s="302"/>
      <c r="O239" s="293" t="e">
        <f>INDEX([1]告訴人!$D$15:$F$372,MATCH(C239,[1]告訴人!$F$15:$F$372,0),1)</f>
        <v>#N/A</v>
      </c>
    </row>
    <row r="240" spans="1:17" ht="47.25" customHeight="1">
      <c r="A240" s="210">
        <v>238</v>
      </c>
      <c r="B240" s="210" t="s">
        <v>580</v>
      </c>
      <c r="C240" s="210" t="s">
        <v>3470</v>
      </c>
      <c r="D240" s="210"/>
      <c r="E240" s="299" t="s">
        <v>40</v>
      </c>
      <c r="F240" s="300">
        <v>10000</v>
      </c>
      <c r="G240" s="299">
        <v>69</v>
      </c>
      <c r="H240" s="300">
        <v>690000</v>
      </c>
      <c r="I240" s="206"/>
      <c r="J240" s="206" t="s">
        <v>2460</v>
      </c>
      <c r="K240" s="206" t="s">
        <v>3802</v>
      </c>
      <c r="L240" s="301">
        <v>690000</v>
      </c>
      <c r="M240" s="176"/>
      <c r="N240" s="302"/>
      <c r="O240" s="293">
        <f>INDEX([1]告訴人!$D$15:$F$372,MATCH(C240,[1]告訴人!$F$15:$F$372,0),1)</f>
        <v>72</v>
      </c>
    </row>
    <row r="241" spans="1:17" ht="47.25" customHeight="1">
      <c r="A241" s="210">
        <v>239</v>
      </c>
      <c r="B241" s="210" t="s">
        <v>580</v>
      </c>
      <c r="C241" s="210" t="s">
        <v>3471</v>
      </c>
      <c r="D241" s="210"/>
      <c r="E241" s="299" t="s">
        <v>41</v>
      </c>
      <c r="F241" s="300">
        <v>2000</v>
      </c>
      <c r="G241" s="299">
        <v>67</v>
      </c>
      <c r="H241" s="300">
        <v>134000</v>
      </c>
      <c r="I241" s="206"/>
      <c r="J241" s="206" t="s">
        <v>2460</v>
      </c>
      <c r="K241" s="206" t="s">
        <v>3818</v>
      </c>
      <c r="L241" s="301">
        <v>134000</v>
      </c>
      <c r="M241" s="176"/>
      <c r="N241" s="302"/>
      <c r="O241" s="293" t="e">
        <f>INDEX([1]告訴人!$D$15:$F$372,MATCH(C241,[1]告訴人!$F$15:$F$372,0),1)</f>
        <v>#N/A</v>
      </c>
    </row>
    <row r="242" spans="1:17" ht="47.25" customHeight="1">
      <c r="A242" s="210">
        <v>240</v>
      </c>
      <c r="B242" s="210" t="s">
        <v>580</v>
      </c>
      <c r="C242" s="210" t="s">
        <v>3472</v>
      </c>
      <c r="D242" s="210"/>
      <c r="E242" s="299" t="s">
        <v>41</v>
      </c>
      <c r="F242" s="300">
        <v>3000</v>
      </c>
      <c r="G242" s="299">
        <v>67</v>
      </c>
      <c r="H242" s="300">
        <v>201000</v>
      </c>
      <c r="I242" s="206"/>
      <c r="J242" s="206" t="s">
        <v>2460</v>
      </c>
      <c r="K242" s="206"/>
      <c r="L242" s="301">
        <v>201000</v>
      </c>
      <c r="M242" s="176"/>
      <c r="N242" s="302"/>
      <c r="O242" s="293" t="e">
        <f>INDEX([1]告訴人!$D$15:$F$372,MATCH(C242,[1]告訴人!$F$15:$F$372,0),1)</f>
        <v>#N/A</v>
      </c>
    </row>
    <row r="243" spans="1:17" ht="47.25" customHeight="1">
      <c r="A243" s="210">
        <v>241</v>
      </c>
      <c r="B243" s="210" t="s">
        <v>580</v>
      </c>
      <c r="C243" s="210" t="s">
        <v>3473</v>
      </c>
      <c r="D243" s="210"/>
      <c r="E243" s="299" t="s">
        <v>41</v>
      </c>
      <c r="F243" s="300">
        <v>3000</v>
      </c>
      <c r="G243" s="299">
        <v>69</v>
      </c>
      <c r="H243" s="300">
        <v>207000</v>
      </c>
      <c r="I243" s="206"/>
      <c r="J243" s="206" t="s">
        <v>2460</v>
      </c>
      <c r="K243" s="206"/>
      <c r="L243" s="301">
        <v>207000</v>
      </c>
      <c r="M243" s="176"/>
      <c r="N243" s="302"/>
      <c r="O243" s="293">
        <f>INDEX([1]告訴人!$D$15:$F$372,MATCH(C243,[1]告訴人!$F$15:$F$372,0),1)</f>
        <v>291</v>
      </c>
    </row>
    <row r="244" spans="1:17" ht="47.25" customHeight="1">
      <c r="A244" s="210">
        <v>242</v>
      </c>
      <c r="B244" s="210" t="s">
        <v>580</v>
      </c>
      <c r="C244" s="210" t="s">
        <v>3474</v>
      </c>
      <c r="D244" s="210"/>
      <c r="E244" s="299" t="s">
        <v>41</v>
      </c>
      <c r="F244" s="300">
        <v>1000</v>
      </c>
      <c r="G244" s="299">
        <v>69</v>
      </c>
      <c r="H244" s="300">
        <v>69000</v>
      </c>
      <c r="I244" s="206"/>
      <c r="J244" s="206" t="s">
        <v>2460</v>
      </c>
      <c r="K244" s="206"/>
      <c r="L244" s="301">
        <v>69000</v>
      </c>
      <c r="M244" s="176"/>
      <c r="N244" s="302"/>
      <c r="O244" s="293">
        <f>INDEX([1]告訴人!$D$15:$F$372,MATCH(C244,[1]告訴人!$F$15:$F$372,0),1)</f>
        <v>206</v>
      </c>
    </row>
    <row r="245" spans="1:17" ht="47.25" customHeight="1">
      <c r="A245" s="210">
        <v>243</v>
      </c>
      <c r="B245" s="210" t="s">
        <v>580</v>
      </c>
      <c r="C245" s="210" t="s">
        <v>3475</v>
      </c>
      <c r="D245" s="210"/>
      <c r="E245" s="299" t="s">
        <v>41</v>
      </c>
      <c r="F245" s="300">
        <v>2000</v>
      </c>
      <c r="G245" s="299">
        <v>69</v>
      </c>
      <c r="H245" s="300">
        <v>138000</v>
      </c>
      <c r="I245" s="206"/>
      <c r="J245" s="206" t="s">
        <v>2460</v>
      </c>
      <c r="K245" s="206"/>
      <c r="L245" s="301">
        <v>138000</v>
      </c>
      <c r="M245" s="176"/>
      <c r="N245" s="302"/>
      <c r="O245" s="293" t="e">
        <f>INDEX([1]告訴人!$D$15:$F$372,MATCH(C245,[1]告訴人!$F$15:$F$372,0),1)</f>
        <v>#N/A</v>
      </c>
    </row>
    <row r="246" spans="1:17" ht="47.25" customHeight="1">
      <c r="A246" s="210">
        <v>244</v>
      </c>
      <c r="B246" s="210" t="s">
        <v>580</v>
      </c>
      <c r="C246" s="210" t="s">
        <v>3476</v>
      </c>
      <c r="D246" s="210"/>
      <c r="E246" s="299" t="s">
        <v>89</v>
      </c>
      <c r="F246" s="300">
        <v>3000</v>
      </c>
      <c r="G246" s="299">
        <v>67</v>
      </c>
      <c r="H246" s="300">
        <v>201000</v>
      </c>
      <c r="I246" s="206"/>
      <c r="J246" s="206" t="s">
        <v>3236</v>
      </c>
      <c r="K246" s="206"/>
      <c r="L246" s="301"/>
      <c r="M246" s="176" t="s">
        <v>1832</v>
      </c>
      <c r="N246" s="302" t="str">
        <f>IF(L246&lt;&gt;0,"註3","")</f>
        <v/>
      </c>
      <c r="O246" s="293">
        <f>INDEX([1]告訴人!$D$15:$F$372,MATCH(C246,[1]告訴人!$F$15:$F$372,0),1)</f>
        <v>172</v>
      </c>
      <c r="P246" s="204" t="s">
        <v>2480</v>
      </c>
      <c r="Q246" s="293">
        <v>1</v>
      </c>
    </row>
    <row r="247" spans="1:17" ht="47.25" customHeight="1">
      <c r="A247" s="210">
        <v>245</v>
      </c>
      <c r="B247" s="210" t="s">
        <v>580</v>
      </c>
      <c r="C247" s="210" t="s">
        <v>632</v>
      </c>
      <c r="D247" s="210"/>
      <c r="E247" s="299" t="s">
        <v>89</v>
      </c>
      <c r="F247" s="300">
        <v>2000</v>
      </c>
      <c r="G247" s="299">
        <v>67</v>
      </c>
      <c r="H247" s="300">
        <v>134000</v>
      </c>
      <c r="I247" s="206"/>
      <c r="J247" s="206" t="s">
        <v>2460</v>
      </c>
      <c r="K247" s="206" t="s">
        <v>3804</v>
      </c>
      <c r="L247" s="301">
        <v>134000</v>
      </c>
      <c r="M247" s="176"/>
      <c r="N247" s="302"/>
      <c r="O247" s="293">
        <f>INDEX([1]告訴人!$D$15:$F$372,MATCH(C247,[1]告訴人!$F$15:$F$372,0),1)</f>
        <v>126</v>
      </c>
    </row>
    <row r="248" spans="1:17" ht="47.25" customHeight="1">
      <c r="A248" s="210">
        <v>246</v>
      </c>
      <c r="B248" s="210" t="s">
        <v>580</v>
      </c>
      <c r="C248" s="210" t="s">
        <v>663</v>
      </c>
      <c r="D248" s="210"/>
      <c r="E248" s="299" t="s">
        <v>89</v>
      </c>
      <c r="F248" s="300">
        <v>1000</v>
      </c>
      <c r="G248" s="299">
        <v>67</v>
      </c>
      <c r="H248" s="300">
        <v>67000</v>
      </c>
      <c r="I248" s="206"/>
      <c r="J248" s="206" t="s">
        <v>3236</v>
      </c>
      <c r="K248" s="206"/>
      <c r="L248" s="301"/>
      <c r="M248" s="176" t="s">
        <v>1832</v>
      </c>
      <c r="N248" s="302" t="str">
        <f>IF(L248&lt;&gt;0,"註3","")</f>
        <v/>
      </c>
      <c r="O248" s="293" t="e">
        <f>INDEX([1]告訴人!$D$15:$F$372,MATCH(C248,[1]告訴人!$F$15:$F$372,0),1)</f>
        <v>#N/A</v>
      </c>
      <c r="P248" s="204" t="s">
        <v>2480</v>
      </c>
      <c r="Q248" s="293">
        <v>1</v>
      </c>
    </row>
    <row r="249" spans="1:17" ht="47.25" customHeight="1">
      <c r="A249" s="210">
        <v>247</v>
      </c>
      <c r="B249" s="210" t="s">
        <v>580</v>
      </c>
      <c r="C249" s="210" t="s">
        <v>3477</v>
      </c>
      <c r="D249" s="210"/>
      <c r="E249" s="299" t="s">
        <v>89</v>
      </c>
      <c r="F249" s="300">
        <v>7000</v>
      </c>
      <c r="G249" s="299">
        <v>67</v>
      </c>
      <c r="H249" s="300">
        <v>469000</v>
      </c>
      <c r="I249" s="206"/>
      <c r="J249" s="206" t="s">
        <v>3236</v>
      </c>
      <c r="K249" s="206"/>
      <c r="L249" s="301"/>
      <c r="M249" s="176" t="s">
        <v>1832</v>
      </c>
      <c r="N249" s="302" t="str">
        <f>IF(L249&lt;&gt;0,"註3","")</f>
        <v/>
      </c>
      <c r="O249" s="293">
        <f>INDEX([1]告訴人!$D$15:$F$372,MATCH(C249,[1]告訴人!$F$15:$F$372,0),1)</f>
        <v>67</v>
      </c>
      <c r="P249" s="204" t="s">
        <v>2480</v>
      </c>
      <c r="Q249" s="293">
        <v>1</v>
      </c>
    </row>
    <row r="250" spans="1:17" ht="47.25" customHeight="1">
      <c r="A250" s="210">
        <v>248</v>
      </c>
      <c r="B250" s="210" t="s">
        <v>580</v>
      </c>
      <c r="C250" s="210" t="s">
        <v>3478</v>
      </c>
      <c r="D250" s="210"/>
      <c r="E250" s="299" t="s">
        <v>89</v>
      </c>
      <c r="F250" s="300">
        <v>1000</v>
      </c>
      <c r="G250" s="299">
        <v>69</v>
      </c>
      <c r="H250" s="300">
        <v>69000</v>
      </c>
      <c r="I250" s="206"/>
      <c r="J250" s="206" t="s">
        <v>2460</v>
      </c>
      <c r="K250" s="206" t="s">
        <v>3832</v>
      </c>
      <c r="L250" s="301">
        <v>69000</v>
      </c>
      <c r="M250" s="176"/>
      <c r="N250" s="302"/>
      <c r="O250" s="293" t="e">
        <f>INDEX([1]告訴人!$D$15:$F$372,MATCH(C250,[1]告訴人!$F$15:$F$372,0),1)</f>
        <v>#N/A</v>
      </c>
    </row>
    <row r="251" spans="1:17" ht="47.25" customHeight="1">
      <c r="A251" s="210">
        <v>249</v>
      </c>
      <c r="B251" s="210" t="s">
        <v>580</v>
      </c>
      <c r="C251" s="210" t="s">
        <v>156</v>
      </c>
      <c r="D251" s="210"/>
      <c r="E251" s="299" t="s">
        <v>42</v>
      </c>
      <c r="F251" s="300">
        <v>5000</v>
      </c>
      <c r="G251" s="299">
        <v>67</v>
      </c>
      <c r="H251" s="300">
        <v>335000</v>
      </c>
      <c r="I251" s="206"/>
      <c r="J251" s="206" t="s">
        <v>2460</v>
      </c>
      <c r="K251" s="206" t="s">
        <v>3817</v>
      </c>
      <c r="L251" s="301">
        <v>335000</v>
      </c>
      <c r="M251" s="176"/>
      <c r="N251" s="302"/>
      <c r="O251" s="293">
        <f>INDEX([1]告訴人!$D$15:$F$372,MATCH(C251,[1]告訴人!$F$15:$F$372,0),1)</f>
        <v>35</v>
      </c>
    </row>
    <row r="252" spans="1:17" ht="47.25" customHeight="1">
      <c r="A252" s="210">
        <v>250</v>
      </c>
      <c r="B252" s="210" t="s">
        <v>580</v>
      </c>
      <c r="C252" s="210" t="s">
        <v>3454</v>
      </c>
      <c r="D252" s="210"/>
      <c r="E252" s="299" t="s">
        <v>42</v>
      </c>
      <c r="F252" s="300">
        <v>1000</v>
      </c>
      <c r="G252" s="299">
        <v>67</v>
      </c>
      <c r="H252" s="300">
        <v>67000</v>
      </c>
      <c r="I252" s="206"/>
      <c r="J252" s="206" t="s">
        <v>2460</v>
      </c>
      <c r="K252" s="206"/>
      <c r="L252" s="301">
        <v>67000</v>
      </c>
      <c r="M252" s="176"/>
      <c r="N252" s="302"/>
      <c r="O252" s="293" t="e">
        <f>INDEX([1]告訴人!$D$15:$F$372,MATCH(C252,[1]告訴人!$F$15:$F$372,0),1)</f>
        <v>#N/A</v>
      </c>
    </row>
    <row r="253" spans="1:17" ht="47.25" customHeight="1">
      <c r="A253" s="210">
        <v>251</v>
      </c>
      <c r="B253" s="210" t="s">
        <v>580</v>
      </c>
      <c r="C253" s="210" t="s">
        <v>3455</v>
      </c>
      <c r="D253" s="210"/>
      <c r="E253" s="299" t="s">
        <v>42</v>
      </c>
      <c r="F253" s="300">
        <v>3000</v>
      </c>
      <c r="G253" s="299">
        <v>67</v>
      </c>
      <c r="H253" s="300">
        <v>201000</v>
      </c>
      <c r="I253" s="176" t="s">
        <v>3858</v>
      </c>
      <c r="J253" s="206" t="s">
        <v>2460</v>
      </c>
      <c r="K253" s="176"/>
      <c r="L253" s="301">
        <v>201000</v>
      </c>
      <c r="M253" s="176" t="s">
        <v>2880</v>
      </c>
      <c r="N253" s="302"/>
      <c r="O253" s="293">
        <f>INDEX([1]告訴人!$D$15:$F$372,MATCH(C253,[1]告訴人!$F$15:$F$372,0),1)</f>
        <v>317</v>
      </c>
    </row>
    <row r="254" spans="1:17" ht="47.25" customHeight="1">
      <c r="A254" s="210">
        <v>252</v>
      </c>
      <c r="B254" s="210" t="s">
        <v>580</v>
      </c>
      <c r="C254" s="210" t="s">
        <v>3456</v>
      </c>
      <c r="D254" s="210"/>
      <c r="E254" s="299" t="s">
        <v>42</v>
      </c>
      <c r="F254" s="300">
        <v>6000</v>
      </c>
      <c r="G254" s="299">
        <v>67</v>
      </c>
      <c r="H254" s="300">
        <v>402000</v>
      </c>
      <c r="I254" s="206"/>
      <c r="J254" s="206" t="s">
        <v>2460</v>
      </c>
      <c r="K254" s="206"/>
      <c r="L254" s="301">
        <v>402000</v>
      </c>
      <c r="M254" s="176"/>
      <c r="N254" s="302"/>
      <c r="O254" s="293">
        <f>INDEX([1]告訴人!$D$15:$F$372,MATCH(C254,[1]告訴人!$F$15:$F$372,0),1)</f>
        <v>136</v>
      </c>
    </row>
    <row r="255" spans="1:17" ht="47.25" customHeight="1">
      <c r="A255" s="210">
        <v>253</v>
      </c>
      <c r="B255" s="210" t="s">
        <v>580</v>
      </c>
      <c r="C255" s="210" t="s">
        <v>3457</v>
      </c>
      <c r="D255" s="210"/>
      <c r="E255" s="299" t="s">
        <v>42</v>
      </c>
      <c r="F255" s="300">
        <v>5000</v>
      </c>
      <c r="G255" s="299">
        <v>67</v>
      </c>
      <c r="H255" s="300">
        <v>335000</v>
      </c>
      <c r="I255" s="206"/>
      <c r="J255" s="176" t="s">
        <v>3240</v>
      </c>
      <c r="K255" s="206" t="s">
        <v>3836</v>
      </c>
      <c r="L255" s="301">
        <v>335000</v>
      </c>
      <c r="M255" s="176"/>
      <c r="N255" s="302"/>
      <c r="O255" s="293">
        <f>INDEX([1]告訴人!$D$15:$F$372,MATCH(C255,[1]告訴人!$F$15:$F$372,0),1)</f>
        <v>3</v>
      </c>
      <c r="Q255" s="293">
        <v>1</v>
      </c>
    </row>
    <row r="256" spans="1:17" ht="47.25" customHeight="1">
      <c r="A256" s="210">
        <v>254</v>
      </c>
      <c r="B256" s="210" t="s">
        <v>580</v>
      </c>
      <c r="C256" s="210" t="s">
        <v>2383</v>
      </c>
      <c r="D256" s="210"/>
      <c r="E256" s="299" t="s">
        <v>42</v>
      </c>
      <c r="F256" s="300">
        <v>3000</v>
      </c>
      <c r="G256" s="299">
        <v>67</v>
      </c>
      <c r="H256" s="300">
        <v>201000</v>
      </c>
      <c r="I256" s="206"/>
      <c r="J256" s="206" t="s">
        <v>3236</v>
      </c>
      <c r="K256" s="206"/>
      <c r="L256" s="301"/>
      <c r="M256" s="176" t="s">
        <v>1832</v>
      </c>
      <c r="N256" s="302" t="str">
        <f>IF(L256&lt;&gt;0,"註3","")</f>
        <v/>
      </c>
      <c r="O256" s="293">
        <f>INDEX([1]告訴人!$D$15:$F$372,MATCH(C256,[1]告訴人!$F$15:$F$372,0),1)</f>
        <v>170</v>
      </c>
      <c r="P256" s="204" t="s">
        <v>2480</v>
      </c>
      <c r="Q256" s="293">
        <v>1</v>
      </c>
    </row>
    <row r="257" spans="1:17" ht="47.25" customHeight="1">
      <c r="A257" s="210">
        <v>255</v>
      </c>
      <c r="B257" s="210" t="s">
        <v>580</v>
      </c>
      <c r="C257" s="210" t="s">
        <v>3479</v>
      </c>
      <c r="D257" s="210"/>
      <c r="E257" s="299" t="s">
        <v>42</v>
      </c>
      <c r="F257" s="300">
        <v>17000</v>
      </c>
      <c r="G257" s="299">
        <v>67</v>
      </c>
      <c r="H257" s="300">
        <v>1139000</v>
      </c>
      <c r="I257" s="176" t="s">
        <v>3859</v>
      </c>
      <c r="J257" s="206" t="s">
        <v>2460</v>
      </c>
      <c r="K257" s="176"/>
      <c r="L257" s="301">
        <v>1139000</v>
      </c>
      <c r="M257" s="176" t="s">
        <v>3839</v>
      </c>
      <c r="N257" s="302"/>
      <c r="O257" s="293" t="e">
        <f>INDEX([1]告訴人!$D$15:$F$372,MATCH(C257,[1]告訴人!$F$15:$F$372,0),1)</f>
        <v>#N/A</v>
      </c>
    </row>
    <row r="258" spans="1:17" ht="47.25" customHeight="1">
      <c r="A258" s="210">
        <v>256</v>
      </c>
      <c r="B258" s="210" t="s">
        <v>580</v>
      </c>
      <c r="C258" s="210" t="s">
        <v>3480</v>
      </c>
      <c r="D258" s="210"/>
      <c r="E258" s="299" t="s">
        <v>42</v>
      </c>
      <c r="F258" s="300">
        <v>10000</v>
      </c>
      <c r="G258" s="299">
        <v>67</v>
      </c>
      <c r="H258" s="300">
        <v>670000</v>
      </c>
      <c r="I258" s="208"/>
      <c r="J258" s="176" t="s">
        <v>3241</v>
      </c>
      <c r="K258" s="208" t="s">
        <v>3837</v>
      </c>
      <c r="L258" s="301">
        <v>670000</v>
      </c>
      <c r="M258" s="176"/>
      <c r="N258" s="302"/>
      <c r="O258" s="293">
        <f>INDEX([1]告訴人!$D$15:$F$372,MATCH(C258,[1]告訴人!$F$15:$F$372,0),1)</f>
        <v>93</v>
      </c>
      <c r="P258" s="293"/>
      <c r="Q258" s="293">
        <v>1</v>
      </c>
    </row>
    <row r="259" spans="1:17" ht="47.25" customHeight="1">
      <c r="A259" s="210">
        <v>257</v>
      </c>
      <c r="B259" s="210" t="s">
        <v>580</v>
      </c>
      <c r="C259" s="210" t="s">
        <v>3481</v>
      </c>
      <c r="D259" s="210"/>
      <c r="E259" s="299" t="s">
        <v>43</v>
      </c>
      <c r="F259" s="300">
        <v>6000</v>
      </c>
      <c r="G259" s="299">
        <v>67</v>
      </c>
      <c r="H259" s="300">
        <v>402000</v>
      </c>
      <c r="I259" s="209" t="s">
        <v>2464</v>
      </c>
      <c r="J259" s="206" t="s">
        <v>2460</v>
      </c>
      <c r="K259" s="209"/>
      <c r="L259" s="301">
        <v>402000</v>
      </c>
      <c r="M259" s="176" t="s">
        <v>2496</v>
      </c>
      <c r="N259" s="308" t="s">
        <v>2461</v>
      </c>
      <c r="O259" s="293">
        <f>INDEX([1]告訴人!$D$15:$F$372,MATCH(C259,[1]告訴人!$F$15:$F$372,0),1)</f>
        <v>286</v>
      </c>
    </row>
    <row r="260" spans="1:17" ht="47.25" customHeight="1">
      <c r="A260" s="210">
        <v>258</v>
      </c>
      <c r="B260" s="210" t="s">
        <v>580</v>
      </c>
      <c r="C260" s="210" t="s">
        <v>3482</v>
      </c>
      <c r="D260" s="210"/>
      <c r="E260" s="299" t="s">
        <v>43</v>
      </c>
      <c r="F260" s="300">
        <v>5000</v>
      </c>
      <c r="G260" s="299">
        <v>67</v>
      </c>
      <c r="H260" s="300">
        <v>335000</v>
      </c>
      <c r="I260" s="209" t="s">
        <v>2464</v>
      </c>
      <c r="J260" s="206" t="s">
        <v>2460</v>
      </c>
      <c r="K260" s="209"/>
      <c r="L260" s="301">
        <v>335000</v>
      </c>
      <c r="M260" s="176" t="s">
        <v>2496</v>
      </c>
      <c r="N260" s="308" t="s">
        <v>2461</v>
      </c>
      <c r="O260" s="293">
        <f>INDEX([1]告訴人!$D$15:$F$372,MATCH(C260,[1]告訴人!$F$15:$F$372,0),1)</f>
        <v>75</v>
      </c>
    </row>
    <row r="261" spans="1:17" ht="47.25" customHeight="1">
      <c r="A261" s="210">
        <v>259</v>
      </c>
      <c r="B261" s="210" t="s">
        <v>580</v>
      </c>
      <c r="C261" s="210" t="s">
        <v>3483</v>
      </c>
      <c r="D261" s="210"/>
      <c r="E261" s="299" t="s">
        <v>43</v>
      </c>
      <c r="F261" s="300">
        <v>1000</v>
      </c>
      <c r="G261" s="299">
        <v>67</v>
      </c>
      <c r="H261" s="300">
        <v>67000</v>
      </c>
      <c r="I261" s="209" t="s">
        <v>2464</v>
      </c>
      <c r="J261" s="206" t="s">
        <v>2460</v>
      </c>
      <c r="K261" s="209"/>
      <c r="L261" s="301">
        <v>67000</v>
      </c>
      <c r="M261" s="176" t="s">
        <v>2496</v>
      </c>
      <c r="N261" s="308" t="s">
        <v>2461</v>
      </c>
      <c r="O261" s="293">
        <f>INDEX([1]告訴人!$D$15:$F$372,MATCH(C261,[1]告訴人!$F$15:$F$372,0),1)</f>
        <v>139</v>
      </c>
    </row>
    <row r="262" spans="1:17" ht="47.25" customHeight="1">
      <c r="A262" s="210"/>
      <c r="B262" s="210"/>
      <c r="C262" s="210"/>
      <c r="D262" s="210"/>
      <c r="E262" s="299"/>
      <c r="F262" s="300">
        <f>SUBTOTAL(9,F3:F12)</f>
        <v>31000</v>
      </c>
      <c r="G262" s="320" t="s">
        <v>335</v>
      </c>
      <c r="H262" s="300">
        <f>SUBTOTAL(9,H3:H12)</f>
        <v>2015000</v>
      </c>
      <c r="I262" s="206"/>
      <c r="J262" s="206"/>
      <c r="K262" s="206"/>
      <c r="L262" s="301"/>
      <c r="M262" s="176" t="s">
        <v>1832</v>
      </c>
      <c r="N262" s="302" t="str">
        <f>IF(L262&lt;&gt;0,"註3","")</f>
        <v/>
      </c>
      <c r="O262" s="293" t="e">
        <f>INDEX([1]告訴人!$D$15:$F$372,MATCH(C262,[1]告訴人!$F$15:$F$372,0),1)</f>
        <v>#N/A</v>
      </c>
    </row>
    <row r="263" spans="1:17" ht="47.25" customHeight="1">
      <c r="A263" s="210"/>
      <c r="B263" s="210"/>
      <c r="C263" s="210"/>
      <c r="D263" s="210"/>
      <c r="E263" s="299"/>
      <c r="F263" s="300">
        <f>SUBTOTAL(9,F13:F54)</f>
        <v>145000</v>
      </c>
      <c r="G263" s="321" t="s">
        <v>615</v>
      </c>
      <c r="H263" s="300">
        <f>SUBTOTAL(9,H13:H54)</f>
        <v>9225000</v>
      </c>
      <c r="I263" s="206"/>
      <c r="J263" s="206"/>
      <c r="K263" s="206"/>
      <c r="L263" s="301"/>
      <c r="M263" s="176" t="s">
        <v>1832</v>
      </c>
      <c r="N263" s="302" t="str">
        <f>IF(L263&lt;&gt;0,"註3","")</f>
        <v/>
      </c>
      <c r="O263" s="293" t="e">
        <f>INDEX([1]告訴人!$D$15:$F$372,MATCH(C263,[1]告訴人!$F$15:$F$372,0),1)</f>
        <v>#N/A</v>
      </c>
    </row>
    <row r="264" spans="1:17" ht="47.25" customHeight="1">
      <c r="A264" s="210"/>
      <c r="B264" s="210"/>
      <c r="C264" s="210"/>
      <c r="D264" s="210"/>
      <c r="E264" s="299"/>
      <c r="F264" s="300">
        <f>SUBTOTAL(9,F55)</f>
        <v>3000</v>
      </c>
      <c r="G264" s="321" t="s">
        <v>617</v>
      </c>
      <c r="H264" s="300">
        <f>SUBTOTAL(9,H55)</f>
        <v>195000</v>
      </c>
      <c r="I264" s="206"/>
      <c r="J264" s="206"/>
      <c r="K264" s="206"/>
      <c r="L264" s="301"/>
      <c r="M264" s="176" t="s">
        <v>1832</v>
      </c>
      <c r="N264" s="302" t="str">
        <f>IF(L264&lt;&gt;0,"註3","")</f>
        <v/>
      </c>
      <c r="O264" s="293" t="e">
        <f>INDEX([1]告訴人!$D$15:$F$372,MATCH(C264,[1]告訴人!$F$15:$F$372,0),1)</f>
        <v>#N/A</v>
      </c>
    </row>
    <row r="265" spans="1:17" ht="47.25" customHeight="1">
      <c r="A265" s="210"/>
      <c r="B265" s="210"/>
      <c r="C265" s="210"/>
      <c r="D265" s="210"/>
      <c r="E265" s="299"/>
      <c r="F265" s="300">
        <f>SUBTOTAL(9,F56:F177)</f>
        <v>448000</v>
      </c>
      <c r="G265" s="321" t="s">
        <v>540</v>
      </c>
      <c r="H265" s="300">
        <f>SUBTOTAL(9,H56:H177)</f>
        <v>30104000</v>
      </c>
      <c r="I265" s="206"/>
      <c r="J265" s="206"/>
      <c r="K265" s="206"/>
      <c r="L265" s="301"/>
      <c r="M265" s="176">
        <v>0</v>
      </c>
      <c r="N265" s="302"/>
      <c r="O265" s="293" t="e">
        <f>INDEX([1]告訴人!$D$15:$F$372,MATCH(C265,[1]告訴人!$F$15:$F$372,0),1)</f>
        <v>#N/A</v>
      </c>
    </row>
    <row r="266" spans="1:17" ht="47.25" customHeight="1">
      <c r="A266" s="210"/>
      <c r="B266" s="210"/>
      <c r="C266" s="210"/>
      <c r="D266" s="210"/>
      <c r="E266" s="299"/>
      <c r="F266" s="300">
        <f>SUBTOTAL(9,F178:F185)</f>
        <v>54000</v>
      </c>
      <c r="G266" s="321" t="s">
        <v>546</v>
      </c>
      <c r="H266" s="300">
        <f>SUBTOTAL(9,H178:H185)</f>
        <v>3676000</v>
      </c>
      <c r="I266" s="206"/>
      <c r="J266" s="206"/>
      <c r="K266" s="206"/>
      <c r="L266" s="301"/>
      <c r="M266" s="176"/>
      <c r="N266" s="302"/>
      <c r="O266" s="293" t="e">
        <f>INDEX([1]告訴人!$D$15:$F$372,MATCH(C266,[1]告訴人!$F$15:$F$372,0),1)</f>
        <v>#N/A</v>
      </c>
    </row>
    <row r="267" spans="1:17" ht="47.25" customHeight="1">
      <c r="A267" s="210"/>
      <c r="B267" s="309"/>
      <c r="C267" s="309"/>
      <c r="D267" s="309"/>
      <c r="E267" s="310"/>
      <c r="F267" s="311">
        <f>SUBTOTAL(9,F186:F261)</f>
        <v>327000</v>
      </c>
      <c r="G267" s="322" t="s">
        <v>579</v>
      </c>
      <c r="H267" s="311">
        <f>SUBTOTAL(9,H186:H261)</f>
        <v>22150000</v>
      </c>
      <c r="I267" s="206"/>
      <c r="J267" s="206"/>
      <c r="K267" s="206"/>
      <c r="L267" s="312"/>
      <c r="M267" s="336"/>
      <c r="N267" s="302" t="str">
        <f t="shared" ref="N267" si="0">IF(L267&lt;&gt;0,"註3","")</f>
        <v/>
      </c>
    </row>
    <row r="268" spans="1:17" ht="47.25" customHeight="1">
      <c r="A268" s="210"/>
      <c r="B268" s="309" t="s">
        <v>2472</v>
      </c>
      <c r="C268" s="309"/>
      <c r="D268" s="309"/>
      <c r="E268" s="310"/>
      <c r="F268" s="311">
        <f>SUBTOTAL(9,F3:F261)</f>
        <v>1008000</v>
      </c>
      <c r="G268" s="322"/>
      <c r="H268" s="311">
        <f>SUBTOTAL(9,H3:H261)</f>
        <v>67365000</v>
      </c>
      <c r="I268" s="206"/>
      <c r="J268" s="206"/>
      <c r="K268" s="206"/>
      <c r="L268" s="313">
        <f>SUBTOTAL(9,L3:L261)</f>
        <v>58512000</v>
      </c>
      <c r="M268" s="314"/>
      <c r="N268" s="302"/>
    </row>
    <row r="269" spans="1:17" ht="47.25" customHeight="1">
      <c r="A269" s="210"/>
      <c r="B269" s="411" t="s">
        <v>3232</v>
      </c>
      <c r="C269" s="411"/>
      <c r="D269" s="411"/>
      <c r="E269" s="411"/>
      <c r="F269" s="315">
        <f>SUMIF($N$3:$N$261,"註3",F3:F261)</f>
        <v>12000</v>
      </c>
      <c r="G269" s="322"/>
      <c r="H269" s="315">
        <f>SUMIF($N$3:$N$261,"註3",L3:L261)</f>
        <v>804000</v>
      </c>
      <c r="I269" s="206"/>
      <c r="J269" s="206"/>
      <c r="K269" s="206"/>
      <c r="L269" s="311"/>
      <c r="M269" s="316" t="s">
        <v>2473</v>
      </c>
      <c r="N269" s="317" t="s">
        <v>2473</v>
      </c>
    </row>
    <row r="270" spans="1:17" ht="47.25" customHeight="1">
      <c r="A270" s="293"/>
      <c r="B270" s="318" t="s">
        <v>2474</v>
      </c>
      <c r="C270" s="413" t="s">
        <v>3766</v>
      </c>
      <c r="D270" s="413"/>
      <c r="E270" s="413"/>
      <c r="F270" s="413"/>
      <c r="G270" s="413"/>
      <c r="H270" s="413"/>
      <c r="I270" s="413"/>
      <c r="J270" s="413"/>
      <c r="K270" s="413"/>
      <c r="L270" s="413"/>
      <c r="M270" s="413"/>
      <c r="P270" s="293"/>
    </row>
    <row r="271" spans="1:17" ht="47.25" customHeight="1">
      <c r="A271" s="293"/>
      <c r="B271" s="319" t="s">
        <v>2475</v>
      </c>
      <c r="C271" s="412" t="s">
        <v>3084</v>
      </c>
      <c r="D271" s="412"/>
      <c r="E271" s="412"/>
      <c r="F271" s="412"/>
      <c r="G271" s="412"/>
      <c r="H271" s="412"/>
      <c r="I271" s="412"/>
      <c r="J271" s="412"/>
      <c r="K271" s="412"/>
      <c r="L271" s="412"/>
      <c r="M271" s="412"/>
      <c r="N271" s="204"/>
      <c r="P271" s="293"/>
    </row>
    <row r="272" spans="1:17" ht="47.25" customHeight="1">
      <c r="A272" s="293"/>
      <c r="B272" s="319" t="s">
        <v>2476</v>
      </c>
      <c r="C272" s="412" t="s">
        <v>3242</v>
      </c>
      <c r="D272" s="412"/>
      <c r="E272" s="412"/>
      <c r="F272" s="412"/>
      <c r="G272" s="412"/>
      <c r="H272" s="412"/>
      <c r="I272" s="412"/>
      <c r="J272" s="412"/>
      <c r="K272" s="412"/>
      <c r="L272" s="412"/>
      <c r="M272" s="412"/>
      <c r="P272" s="293"/>
    </row>
  </sheetData>
  <autoFilter ref="A2:AL269"/>
  <sortState ref="A5:AM263">
    <sortCondition ref="E5:E263"/>
  </sortState>
  <mergeCells count="4">
    <mergeCell ref="B269:E269"/>
    <mergeCell ref="C272:M272"/>
    <mergeCell ref="C271:M271"/>
    <mergeCell ref="C270:M270"/>
  </mergeCells>
  <phoneticPr fontId="1" type="noConversion"/>
  <pageMargins left="0.70866141732283472" right="0.39370078740157483" top="0.27559055118110237" bottom="0.11811023622047245" header="0.19685039370078741" footer="0.11811023622047245"/>
  <pageSetup paperSize="9" scale="62" fitToHeight="27" orientation="portrait" r:id="rId1"/>
  <headerFooter>
    <oddFooter>&amp;C&amp;P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0"/>
  <sheetViews>
    <sheetView topLeftCell="A91" zoomScale="80" zoomScaleNormal="80" workbookViewId="0"/>
  </sheetViews>
  <sheetFormatPr defaultRowHeight="17"/>
  <cols>
    <col min="1" max="1" width="6.90625" customWidth="1"/>
    <col min="2" max="2" width="10.453125" bestFit="1" customWidth="1"/>
    <col min="3" max="3" width="10.6328125" customWidth="1"/>
    <col min="4" max="4" width="8.36328125" bestFit="1" customWidth="1"/>
    <col min="5" max="5" width="10.453125" bestFit="1" customWidth="1"/>
    <col min="6" max="6" width="12.08984375" style="56" bestFit="1" customWidth="1"/>
    <col min="7" max="7" width="10.453125" bestFit="1" customWidth="1"/>
    <col min="8" max="8" width="13.1796875" style="56" bestFit="1" customWidth="1"/>
    <col min="9" max="9" width="19.90625" bestFit="1" customWidth="1"/>
  </cols>
  <sheetData>
    <row r="1" spans="1:9" ht="17.5" thickBot="1">
      <c r="A1" s="65" t="s">
        <v>3243</v>
      </c>
    </row>
    <row r="2" spans="1:9" s="62" customFormat="1" ht="17.5" thickBot="1">
      <c r="A2" s="22" t="s">
        <v>16</v>
      </c>
      <c r="B2" s="23" t="s">
        <v>1115</v>
      </c>
      <c r="C2" s="23" t="s">
        <v>19</v>
      </c>
      <c r="D2" s="23" t="s">
        <v>1078</v>
      </c>
      <c r="E2" s="23" t="s">
        <v>1116</v>
      </c>
      <c r="F2" s="66" t="s">
        <v>21</v>
      </c>
      <c r="G2" s="23" t="s">
        <v>22</v>
      </c>
      <c r="H2" s="66" t="s">
        <v>23</v>
      </c>
      <c r="I2" s="24" t="s">
        <v>1121</v>
      </c>
    </row>
    <row r="3" spans="1:9">
      <c r="A3" s="10">
        <v>1</v>
      </c>
      <c r="B3" s="70" t="s">
        <v>1122</v>
      </c>
      <c r="C3" s="70" t="s">
        <v>1190</v>
      </c>
      <c r="D3" s="70"/>
      <c r="E3" s="70" t="s">
        <v>1189</v>
      </c>
      <c r="F3" s="71">
        <v>1000</v>
      </c>
      <c r="G3" s="70">
        <v>65</v>
      </c>
      <c r="H3" s="71">
        <f t="shared" ref="H3:H34" si="0">F3*G3</f>
        <v>65000</v>
      </c>
      <c r="I3" s="61" t="s">
        <v>1191</v>
      </c>
    </row>
    <row r="4" spans="1:9">
      <c r="A4" s="3">
        <v>2</v>
      </c>
      <c r="B4" s="63" t="s">
        <v>1122</v>
      </c>
      <c r="C4" s="63" t="s">
        <v>1174</v>
      </c>
      <c r="D4" s="63" t="s">
        <v>1145</v>
      </c>
      <c r="E4" s="63" t="s">
        <v>3033</v>
      </c>
      <c r="F4" s="64">
        <v>2000</v>
      </c>
      <c r="G4" s="63">
        <v>65</v>
      </c>
      <c r="H4" s="64">
        <f t="shared" si="0"/>
        <v>130000</v>
      </c>
      <c r="I4" s="60" t="s">
        <v>1177</v>
      </c>
    </row>
    <row r="5" spans="1:9">
      <c r="A5" s="10">
        <v>3</v>
      </c>
      <c r="B5" s="63" t="s">
        <v>1122</v>
      </c>
      <c r="C5" s="63" t="s">
        <v>1178</v>
      </c>
      <c r="D5" s="63" t="s">
        <v>1181</v>
      </c>
      <c r="E5" s="63" t="s">
        <v>3034</v>
      </c>
      <c r="F5" s="64">
        <v>3000</v>
      </c>
      <c r="G5" s="63">
        <v>60</v>
      </c>
      <c r="H5" s="64">
        <f t="shared" si="0"/>
        <v>180000</v>
      </c>
      <c r="I5" s="60" t="s">
        <v>1177</v>
      </c>
    </row>
    <row r="6" spans="1:9">
      <c r="A6" s="3">
        <v>4</v>
      </c>
      <c r="B6" s="63" t="s">
        <v>1122</v>
      </c>
      <c r="C6" s="63" t="s">
        <v>1179</v>
      </c>
      <c r="D6" s="63" t="s">
        <v>1145</v>
      </c>
      <c r="E6" s="63" t="s">
        <v>3035</v>
      </c>
      <c r="F6" s="64">
        <v>1000</v>
      </c>
      <c r="G6" s="63">
        <v>65</v>
      </c>
      <c r="H6" s="64">
        <f t="shared" si="0"/>
        <v>65000</v>
      </c>
      <c r="I6" s="60" t="s">
        <v>1177</v>
      </c>
    </row>
    <row r="7" spans="1:9">
      <c r="A7" s="10">
        <v>5</v>
      </c>
      <c r="B7" s="63" t="s">
        <v>1122</v>
      </c>
      <c r="C7" s="63" t="s">
        <v>1180</v>
      </c>
      <c r="D7" s="63" t="s">
        <v>1181</v>
      </c>
      <c r="E7" s="63" t="s">
        <v>1182</v>
      </c>
      <c r="F7" s="64">
        <v>2000</v>
      </c>
      <c r="G7" s="63">
        <v>65</v>
      </c>
      <c r="H7" s="64">
        <f t="shared" si="0"/>
        <v>130000</v>
      </c>
      <c r="I7" s="60" t="s">
        <v>1177</v>
      </c>
    </row>
    <row r="8" spans="1:9">
      <c r="A8" s="3">
        <v>6</v>
      </c>
      <c r="B8" s="63" t="s">
        <v>1122</v>
      </c>
      <c r="C8" s="63" t="s">
        <v>1184</v>
      </c>
      <c r="D8" s="63"/>
      <c r="E8" s="63" t="s">
        <v>1183</v>
      </c>
      <c r="F8" s="64">
        <v>3000</v>
      </c>
      <c r="G8" s="63">
        <v>65</v>
      </c>
      <c r="H8" s="64">
        <f t="shared" si="0"/>
        <v>195000</v>
      </c>
      <c r="I8" s="60" t="s">
        <v>1177</v>
      </c>
    </row>
    <row r="9" spans="1:9">
      <c r="A9" s="10">
        <v>7</v>
      </c>
      <c r="B9" s="63" t="s">
        <v>1122</v>
      </c>
      <c r="C9" s="63" t="s">
        <v>1138</v>
      </c>
      <c r="D9" s="63"/>
      <c r="E9" s="63" t="s">
        <v>378</v>
      </c>
      <c r="F9" s="64">
        <v>4000</v>
      </c>
      <c r="G9" s="63">
        <v>65</v>
      </c>
      <c r="H9" s="64">
        <f t="shared" si="0"/>
        <v>260000</v>
      </c>
      <c r="I9" s="60" t="s">
        <v>1177</v>
      </c>
    </row>
    <row r="10" spans="1:9">
      <c r="A10" s="3">
        <v>8</v>
      </c>
      <c r="B10" s="63" t="s">
        <v>1122</v>
      </c>
      <c r="C10" s="63" t="s">
        <v>1138</v>
      </c>
      <c r="D10" s="63"/>
      <c r="E10" s="63" t="s">
        <v>378</v>
      </c>
      <c r="F10" s="64">
        <v>1000</v>
      </c>
      <c r="G10" s="63">
        <v>35</v>
      </c>
      <c r="H10" s="64">
        <f t="shared" si="0"/>
        <v>35000</v>
      </c>
      <c r="I10" s="60" t="s">
        <v>1177</v>
      </c>
    </row>
    <row r="11" spans="1:9">
      <c r="A11" s="10">
        <v>9</v>
      </c>
      <c r="B11" s="63" t="s">
        <v>1122</v>
      </c>
      <c r="C11" s="63" t="s">
        <v>1185</v>
      </c>
      <c r="D11" s="63"/>
      <c r="E11" s="63" t="s">
        <v>378</v>
      </c>
      <c r="F11" s="64">
        <v>1000</v>
      </c>
      <c r="G11" s="63">
        <v>65</v>
      </c>
      <c r="H11" s="64">
        <f t="shared" si="0"/>
        <v>65000</v>
      </c>
      <c r="I11" s="60" t="s">
        <v>1177</v>
      </c>
    </row>
    <row r="12" spans="1:9">
      <c r="A12" s="3">
        <v>10</v>
      </c>
      <c r="B12" s="63" t="s">
        <v>1122</v>
      </c>
      <c r="C12" s="63" t="s">
        <v>1186</v>
      </c>
      <c r="D12" s="63" t="s">
        <v>1145</v>
      </c>
      <c r="E12" s="63" t="s">
        <v>378</v>
      </c>
      <c r="F12" s="64">
        <v>5000</v>
      </c>
      <c r="G12" s="63">
        <v>65</v>
      </c>
      <c r="H12" s="64">
        <f t="shared" si="0"/>
        <v>325000</v>
      </c>
      <c r="I12" s="60" t="s">
        <v>1177</v>
      </c>
    </row>
    <row r="13" spans="1:9">
      <c r="A13" s="10">
        <v>11</v>
      </c>
      <c r="B13" s="63" t="s">
        <v>1122</v>
      </c>
      <c r="C13" s="63" t="s">
        <v>1186</v>
      </c>
      <c r="D13" s="63" t="s">
        <v>1145</v>
      </c>
      <c r="E13" s="63" t="s">
        <v>378</v>
      </c>
      <c r="F13" s="64">
        <v>1000</v>
      </c>
      <c r="G13" s="63">
        <v>35</v>
      </c>
      <c r="H13" s="64">
        <f t="shared" si="0"/>
        <v>35000</v>
      </c>
      <c r="I13" s="60" t="s">
        <v>1177</v>
      </c>
    </row>
    <row r="14" spans="1:9">
      <c r="A14" s="3">
        <v>12</v>
      </c>
      <c r="B14" s="63" t="s">
        <v>1122</v>
      </c>
      <c r="C14" s="63" t="s">
        <v>1188</v>
      </c>
      <c r="D14" s="63"/>
      <c r="E14" s="63" t="s">
        <v>1187</v>
      </c>
      <c r="F14" s="64">
        <v>3000</v>
      </c>
      <c r="G14" s="63">
        <v>65</v>
      </c>
      <c r="H14" s="64">
        <f t="shared" si="0"/>
        <v>195000</v>
      </c>
      <c r="I14" s="60" t="s">
        <v>1177</v>
      </c>
    </row>
    <row r="15" spans="1:9">
      <c r="A15" s="10">
        <v>13</v>
      </c>
      <c r="B15" s="63" t="s">
        <v>1122</v>
      </c>
      <c r="C15" s="63" t="s">
        <v>1179</v>
      </c>
      <c r="D15" s="63" t="s">
        <v>1145</v>
      </c>
      <c r="E15" s="63" t="s">
        <v>3036</v>
      </c>
      <c r="F15" s="64">
        <v>1000</v>
      </c>
      <c r="G15" s="63">
        <v>45</v>
      </c>
      <c r="H15" s="64">
        <f t="shared" si="0"/>
        <v>45000</v>
      </c>
      <c r="I15" s="60" t="s">
        <v>1177</v>
      </c>
    </row>
    <row r="16" spans="1:9">
      <c r="A16" s="3">
        <v>14</v>
      </c>
      <c r="B16" s="63" t="s">
        <v>1122</v>
      </c>
      <c r="C16" s="63" t="s">
        <v>1168</v>
      </c>
      <c r="D16" s="63"/>
      <c r="E16" s="63" t="s">
        <v>3037</v>
      </c>
      <c r="F16" s="64">
        <v>10000</v>
      </c>
      <c r="G16" s="63">
        <v>65</v>
      </c>
      <c r="H16" s="64">
        <f t="shared" si="0"/>
        <v>650000</v>
      </c>
      <c r="I16" s="60" t="s">
        <v>1175</v>
      </c>
    </row>
    <row r="17" spans="1:9">
      <c r="A17" s="10">
        <v>15</v>
      </c>
      <c r="B17" s="63" t="s">
        <v>1122</v>
      </c>
      <c r="C17" s="63" t="s">
        <v>1168</v>
      </c>
      <c r="D17" s="63"/>
      <c r="E17" s="63" t="s">
        <v>3037</v>
      </c>
      <c r="F17" s="64">
        <v>2000</v>
      </c>
      <c r="G17" s="63">
        <v>35</v>
      </c>
      <c r="H17" s="64">
        <f t="shared" si="0"/>
        <v>70000</v>
      </c>
      <c r="I17" s="60" t="s">
        <v>1175</v>
      </c>
    </row>
    <row r="18" spans="1:9">
      <c r="A18" s="3">
        <v>16</v>
      </c>
      <c r="B18" s="63" t="s">
        <v>1122</v>
      </c>
      <c r="C18" s="63" t="s">
        <v>1169</v>
      </c>
      <c r="D18" s="63"/>
      <c r="E18" s="63" t="s">
        <v>3037</v>
      </c>
      <c r="F18" s="64">
        <v>5000</v>
      </c>
      <c r="G18" s="63">
        <v>65</v>
      </c>
      <c r="H18" s="64">
        <f t="shared" si="0"/>
        <v>325000</v>
      </c>
      <c r="I18" s="60" t="s">
        <v>1175</v>
      </c>
    </row>
    <row r="19" spans="1:9">
      <c r="A19" s="10">
        <v>17</v>
      </c>
      <c r="B19" s="63" t="s">
        <v>1122</v>
      </c>
      <c r="C19" s="63" t="s">
        <v>1169</v>
      </c>
      <c r="D19" s="63"/>
      <c r="E19" s="63" t="s">
        <v>3037</v>
      </c>
      <c r="F19" s="64">
        <v>1000</v>
      </c>
      <c r="G19" s="63">
        <v>35</v>
      </c>
      <c r="H19" s="64">
        <f t="shared" si="0"/>
        <v>35000</v>
      </c>
      <c r="I19" s="60" t="s">
        <v>1175</v>
      </c>
    </row>
    <row r="20" spans="1:9">
      <c r="A20" s="3">
        <v>18</v>
      </c>
      <c r="B20" s="63" t="s">
        <v>1122</v>
      </c>
      <c r="C20" s="63" t="s">
        <v>1170</v>
      </c>
      <c r="D20" s="63"/>
      <c r="E20" s="63" t="s">
        <v>3037</v>
      </c>
      <c r="F20" s="64">
        <v>5000</v>
      </c>
      <c r="G20" s="63">
        <v>65</v>
      </c>
      <c r="H20" s="64">
        <f t="shared" si="0"/>
        <v>325000</v>
      </c>
      <c r="I20" s="60" t="s">
        <v>1175</v>
      </c>
    </row>
    <row r="21" spans="1:9">
      <c r="A21" s="10">
        <v>19</v>
      </c>
      <c r="B21" s="63" t="s">
        <v>1122</v>
      </c>
      <c r="C21" s="63" t="s">
        <v>1170</v>
      </c>
      <c r="D21" s="63"/>
      <c r="E21" s="63" t="s">
        <v>3037</v>
      </c>
      <c r="F21" s="64">
        <v>1000</v>
      </c>
      <c r="G21" s="63">
        <v>35</v>
      </c>
      <c r="H21" s="64">
        <f t="shared" si="0"/>
        <v>35000</v>
      </c>
      <c r="I21" s="60" t="s">
        <v>1175</v>
      </c>
    </row>
    <row r="22" spans="1:9">
      <c r="A22" s="3">
        <v>20</v>
      </c>
      <c r="B22" s="63" t="s">
        <v>1122</v>
      </c>
      <c r="C22" s="63" t="s">
        <v>1171</v>
      </c>
      <c r="D22" s="63"/>
      <c r="E22" s="63" t="s">
        <v>3038</v>
      </c>
      <c r="F22" s="64">
        <v>5000</v>
      </c>
      <c r="G22" s="63">
        <v>65</v>
      </c>
      <c r="H22" s="64">
        <f t="shared" si="0"/>
        <v>325000</v>
      </c>
      <c r="I22" s="60" t="s">
        <v>1175</v>
      </c>
    </row>
    <row r="23" spans="1:9">
      <c r="A23" s="10">
        <v>21</v>
      </c>
      <c r="B23" s="63" t="s">
        <v>1122</v>
      </c>
      <c r="C23" s="63" t="s">
        <v>1171</v>
      </c>
      <c r="D23" s="63"/>
      <c r="E23" s="63" t="s">
        <v>3038</v>
      </c>
      <c r="F23" s="64">
        <v>1000</v>
      </c>
      <c r="G23" s="63">
        <v>35</v>
      </c>
      <c r="H23" s="64">
        <f t="shared" si="0"/>
        <v>35000</v>
      </c>
      <c r="I23" s="60" t="s">
        <v>1175</v>
      </c>
    </row>
    <row r="24" spans="1:9">
      <c r="A24" s="3">
        <v>22</v>
      </c>
      <c r="B24" s="63" t="s">
        <v>1122</v>
      </c>
      <c r="C24" s="63" t="s">
        <v>1172</v>
      </c>
      <c r="D24" s="63"/>
      <c r="E24" s="63" t="s">
        <v>3039</v>
      </c>
      <c r="F24" s="64">
        <v>2000</v>
      </c>
      <c r="G24" s="63">
        <v>65</v>
      </c>
      <c r="H24" s="64">
        <f t="shared" si="0"/>
        <v>130000</v>
      </c>
      <c r="I24" s="60" t="s">
        <v>1175</v>
      </c>
    </row>
    <row r="25" spans="1:9">
      <c r="A25" s="10">
        <v>23</v>
      </c>
      <c r="B25" s="63" t="s">
        <v>1122</v>
      </c>
      <c r="C25" s="63" t="s">
        <v>1173</v>
      </c>
      <c r="D25" s="63"/>
      <c r="E25" s="63" t="s">
        <v>3040</v>
      </c>
      <c r="F25" s="64">
        <v>5000</v>
      </c>
      <c r="G25" s="63">
        <v>65</v>
      </c>
      <c r="H25" s="64">
        <f t="shared" si="0"/>
        <v>325000</v>
      </c>
      <c r="I25" s="60" t="s">
        <v>1175</v>
      </c>
    </row>
    <row r="26" spans="1:9">
      <c r="A26" s="3">
        <v>24</v>
      </c>
      <c r="B26" s="63" t="s">
        <v>1122</v>
      </c>
      <c r="C26" s="63" t="s">
        <v>1173</v>
      </c>
      <c r="D26" s="63"/>
      <c r="E26" s="63" t="s">
        <v>3040</v>
      </c>
      <c r="F26" s="64">
        <v>1000</v>
      </c>
      <c r="G26" s="63">
        <v>35</v>
      </c>
      <c r="H26" s="64">
        <f t="shared" si="0"/>
        <v>35000</v>
      </c>
      <c r="I26" s="60" t="s">
        <v>1175</v>
      </c>
    </row>
    <row r="27" spans="1:9">
      <c r="A27" s="10">
        <v>25</v>
      </c>
      <c r="B27" s="63" t="s">
        <v>1122</v>
      </c>
      <c r="C27" s="63" t="s">
        <v>1174</v>
      </c>
      <c r="D27" s="63" t="s">
        <v>1145</v>
      </c>
      <c r="E27" s="63" t="s">
        <v>3040</v>
      </c>
      <c r="F27" s="64">
        <v>8000</v>
      </c>
      <c r="G27" s="63">
        <v>65</v>
      </c>
      <c r="H27" s="64">
        <f t="shared" si="0"/>
        <v>520000</v>
      </c>
      <c r="I27" s="60" t="s">
        <v>1175</v>
      </c>
    </row>
    <row r="28" spans="1:9">
      <c r="A28" s="3">
        <v>26</v>
      </c>
      <c r="B28" s="63" t="s">
        <v>1122</v>
      </c>
      <c r="C28" s="63" t="s">
        <v>1174</v>
      </c>
      <c r="D28" s="63" t="s">
        <v>1145</v>
      </c>
      <c r="E28" s="63" t="s">
        <v>3040</v>
      </c>
      <c r="F28" s="64">
        <v>2000</v>
      </c>
      <c r="G28" s="63">
        <v>35</v>
      </c>
      <c r="H28" s="64">
        <f t="shared" si="0"/>
        <v>70000</v>
      </c>
      <c r="I28" s="60" t="s">
        <v>1175</v>
      </c>
    </row>
    <row r="29" spans="1:9">
      <c r="A29" s="10">
        <v>27</v>
      </c>
      <c r="B29" s="63" t="s">
        <v>1122</v>
      </c>
      <c r="C29" s="63" t="s">
        <v>1163</v>
      </c>
      <c r="D29" s="63" t="s">
        <v>1145</v>
      </c>
      <c r="E29" s="63" t="s">
        <v>3041</v>
      </c>
      <c r="F29" s="64">
        <v>5000</v>
      </c>
      <c r="G29" s="63">
        <v>65</v>
      </c>
      <c r="H29" s="64">
        <f t="shared" si="0"/>
        <v>325000</v>
      </c>
      <c r="I29" s="60" t="s">
        <v>1175</v>
      </c>
    </row>
    <row r="30" spans="1:9">
      <c r="A30" s="3">
        <v>28</v>
      </c>
      <c r="B30" s="63" t="s">
        <v>1122</v>
      </c>
      <c r="C30" s="63" t="s">
        <v>1163</v>
      </c>
      <c r="D30" s="63" t="s">
        <v>1145</v>
      </c>
      <c r="E30" s="63" t="s">
        <v>3041</v>
      </c>
      <c r="F30" s="64">
        <v>1000</v>
      </c>
      <c r="G30" s="63">
        <v>35</v>
      </c>
      <c r="H30" s="64">
        <f t="shared" si="0"/>
        <v>35000</v>
      </c>
      <c r="I30" s="60" t="s">
        <v>1175</v>
      </c>
    </row>
    <row r="31" spans="1:9">
      <c r="A31" s="10">
        <v>29</v>
      </c>
      <c r="B31" s="63" t="s">
        <v>1122</v>
      </c>
      <c r="C31" s="63" t="s">
        <v>1166</v>
      </c>
      <c r="D31" s="63" t="s">
        <v>1145</v>
      </c>
      <c r="E31" s="63" t="s">
        <v>1176</v>
      </c>
      <c r="F31" s="64">
        <v>3000</v>
      </c>
      <c r="G31" s="63">
        <v>65</v>
      </c>
      <c r="H31" s="64">
        <f t="shared" si="0"/>
        <v>195000</v>
      </c>
      <c r="I31" s="60" t="s">
        <v>1175</v>
      </c>
    </row>
    <row r="32" spans="1:9">
      <c r="A32" s="3">
        <v>30</v>
      </c>
      <c r="B32" s="63" t="s">
        <v>1122</v>
      </c>
      <c r="C32" s="63" t="s">
        <v>1157</v>
      </c>
      <c r="D32" s="63"/>
      <c r="E32" s="63" t="s">
        <v>3042</v>
      </c>
      <c r="F32" s="64">
        <v>1000</v>
      </c>
      <c r="G32" s="63">
        <v>65</v>
      </c>
      <c r="H32" s="64">
        <f t="shared" si="0"/>
        <v>65000</v>
      </c>
      <c r="I32" s="60" t="s">
        <v>1162</v>
      </c>
    </row>
    <row r="33" spans="1:9">
      <c r="A33" s="10">
        <v>31</v>
      </c>
      <c r="B33" s="63" t="s">
        <v>1122</v>
      </c>
      <c r="C33" s="63" t="s">
        <v>1163</v>
      </c>
      <c r="D33" s="63" t="s">
        <v>1145</v>
      </c>
      <c r="E33" s="63" t="s">
        <v>3043</v>
      </c>
      <c r="F33" s="64">
        <v>10000</v>
      </c>
      <c r="G33" s="63">
        <v>65</v>
      </c>
      <c r="H33" s="64">
        <f t="shared" si="0"/>
        <v>650000</v>
      </c>
      <c r="I33" s="60" t="s">
        <v>1167</v>
      </c>
    </row>
    <row r="34" spans="1:9">
      <c r="A34" s="3">
        <v>32</v>
      </c>
      <c r="B34" s="63" t="s">
        <v>1122</v>
      </c>
      <c r="C34" s="63" t="s">
        <v>1163</v>
      </c>
      <c r="D34" s="63" t="s">
        <v>1145</v>
      </c>
      <c r="E34" s="63" t="s">
        <v>3043</v>
      </c>
      <c r="F34" s="64">
        <v>2000</v>
      </c>
      <c r="G34" s="63">
        <v>35</v>
      </c>
      <c r="H34" s="64">
        <f t="shared" si="0"/>
        <v>70000</v>
      </c>
      <c r="I34" s="60" t="s">
        <v>1167</v>
      </c>
    </row>
    <row r="35" spans="1:9">
      <c r="A35" s="10">
        <v>33</v>
      </c>
      <c r="B35" s="63" t="s">
        <v>1122</v>
      </c>
      <c r="C35" s="63" t="s">
        <v>1164</v>
      </c>
      <c r="D35" s="63" t="s">
        <v>1145</v>
      </c>
      <c r="E35" s="63" t="s">
        <v>3043</v>
      </c>
      <c r="F35" s="64">
        <v>10000</v>
      </c>
      <c r="G35" s="63">
        <v>65</v>
      </c>
      <c r="H35" s="64">
        <f t="shared" ref="H35:H66" si="1">F35*G35</f>
        <v>650000</v>
      </c>
      <c r="I35" s="60" t="s">
        <v>1167</v>
      </c>
    </row>
    <row r="36" spans="1:9">
      <c r="A36" s="3">
        <v>34</v>
      </c>
      <c r="B36" s="63" t="s">
        <v>1122</v>
      </c>
      <c r="C36" s="63" t="s">
        <v>1164</v>
      </c>
      <c r="D36" s="63" t="s">
        <v>1145</v>
      </c>
      <c r="E36" s="63" t="s">
        <v>3043</v>
      </c>
      <c r="F36" s="64">
        <v>2000</v>
      </c>
      <c r="G36" s="63">
        <v>35</v>
      </c>
      <c r="H36" s="64">
        <f t="shared" si="1"/>
        <v>70000</v>
      </c>
      <c r="I36" s="60" t="s">
        <v>1167</v>
      </c>
    </row>
    <row r="37" spans="1:9">
      <c r="A37" s="10">
        <v>35</v>
      </c>
      <c r="B37" s="63" t="s">
        <v>1122</v>
      </c>
      <c r="C37" s="63" t="s">
        <v>1165</v>
      </c>
      <c r="D37" s="63"/>
      <c r="E37" s="63" t="s">
        <v>3044</v>
      </c>
      <c r="F37" s="64">
        <v>2000</v>
      </c>
      <c r="G37" s="63">
        <v>65</v>
      </c>
      <c r="H37" s="64">
        <f t="shared" si="1"/>
        <v>130000</v>
      </c>
      <c r="I37" s="60" t="s">
        <v>1167</v>
      </c>
    </row>
    <row r="38" spans="1:9">
      <c r="A38" s="3">
        <v>36</v>
      </c>
      <c r="B38" s="63" t="s">
        <v>1122</v>
      </c>
      <c r="C38" s="63" t="s">
        <v>1166</v>
      </c>
      <c r="D38" s="63" t="s">
        <v>1145</v>
      </c>
      <c r="E38" s="63" t="s">
        <v>3044</v>
      </c>
      <c r="F38" s="64">
        <v>1000</v>
      </c>
      <c r="G38" s="63">
        <v>65</v>
      </c>
      <c r="H38" s="64">
        <f t="shared" si="1"/>
        <v>65000</v>
      </c>
      <c r="I38" s="60" t="s">
        <v>1167</v>
      </c>
    </row>
    <row r="39" spans="1:9">
      <c r="A39" s="10">
        <v>37</v>
      </c>
      <c r="B39" s="63" t="s">
        <v>1122</v>
      </c>
      <c r="C39" s="63" t="s">
        <v>1156</v>
      </c>
      <c r="D39" s="63" t="s">
        <v>1132</v>
      </c>
      <c r="E39" s="63" t="s">
        <v>3049</v>
      </c>
      <c r="F39" s="64">
        <v>1000</v>
      </c>
      <c r="G39" s="63">
        <v>65</v>
      </c>
      <c r="H39" s="64">
        <f t="shared" si="1"/>
        <v>65000</v>
      </c>
      <c r="I39" s="60" t="s">
        <v>1161</v>
      </c>
    </row>
    <row r="40" spans="1:9">
      <c r="A40" s="3">
        <v>38</v>
      </c>
      <c r="B40" s="63" t="s">
        <v>1122</v>
      </c>
      <c r="C40" s="63" t="s">
        <v>1157</v>
      </c>
      <c r="D40" s="63"/>
      <c r="E40" s="63" t="s">
        <v>3045</v>
      </c>
      <c r="F40" s="64">
        <v>4000</v>
      </c>
      <c r="G40" s="63">
        <v>65</v>
      </c>
      <c r="H40" s="64">
        <f t="shared" si="1"/>
        <v>260000</v>
      </c>
      <c r="I40" s="60" t="s">
        <v>1161</v>
      </c>
    </row>
    <row r="41" spans="1:9">
      <c r="A41" s="10">
        <v>39</v>
      </c>
      <c r="B41" s="63" t="s">
        <v>1122</v>
      </c>
      <c r="C41" s="63" t="s">
        <v>1157</v>
      </c>
      <c r="D41" s="63"/>
      <c r="E41" s="63" t="s">
        <v>3045</v>
      </c>
      <c r="F41" s="64">
        <v>1000</v>
      </c>
      <c r="G41" s="63">
        <v>35</v>
      </c>
      <c r="H41" s="64">
        <f t="shared" si="1"/>
        <v>35000</v>
      </c>
      <c r="I41" s="60" t="s">
        <v>1161</v>
      </c>
    </row>
    <row r="42" spans="1:9">
      <c r="A42" s="3">
        <v>40</v>
      </c>
      <c r="B42" s="63" t="s">
        <v>1122</v>
      </c>
      <c r="C42" s="63" t="s">
        <v>1158</v>
      </c>
      <c r="D42" s="63"/>
      <c r="E42" s="63" t="s">
        <v>3046</v>
      </c>
      <c r="F42" s="64">
        <v>1000</v>
      </c>
      <c r="G42" s="63">
        <v>65</v>
      </c>
      <c r="H42" s="64">
        <f t="shared" si="1"/>
        <v>65000</v>
      </c>
      <c r="I42" s="60" t="s">
        <v>1161</v>
      </c>
    </row>
    <row r="43" spans="1:9">
      <c r="A43" s="10">
        <v>41</v>
      </c>
      <c r="B43" s="63" t="s">
        <v>1122</v>
      </c>
      <c r="C43" s="63" t="s">
        <v>1126</v>
      </c>
      <c r="D43" s="63"/>
      <c r="E43" s="63" t="s">
        <v>3046</v>
      </c>
      <c r="F43" s="64">
        <v>5000</v>
      </c>
      <c r="G43" s="63">
        <v>65</v>
      </c>
      <c r="H43" s="64">
        <f t="shared" si="1"/>
        <v>325000</v>
      </c>
      <c r="I43" s="60" t="s">
        <v>1161</v>
      </c>
    </row>
    <row r="44" spans="1:9">
      <c r="A44" s="3">
        <v>42</v>
      </c>
      <c r="B44" s="63" t="s">
        <v>1122</v>
      </c>
      <c r="C44" s="63" t="s">
        <v>1126</v>
      </c>
      <c r="D44" s="63"/>
      <c r="E44" s="63" t="s">
        <v>3046</v>
      </c>
      <c r="F44" s="64">
        <v>1000</v>
      </c>
      <c r="G44" s="63">
        <v>35</v>
      </c>
      <c r="H44" s="64">
        <f t="shared" si="1"/>
        <v>35000</v>
      </c>
      <c r="I44" s="60" t="s">
        <v>1161</v>
      </c>
    </row>
    <row r="45" spans="1:9">
      <c r="A45" s="10">
        <v>43</v>
      </c>
      <c r="B45" s="63" t="s">
        <v>1122</v>
      </c>
      <c r="C45" s="63" t="s">
        <v>1156</v>
      </c>
      <c r="D45" s="63" t="s">
        <v>1132</v>
      </c>
      <c r="E45" s="63" t="s">
        <v>3046</v>
      </c>
      <c r="F45" s="64">
        <v>9000</v>
      </c>
      <c r="G45" s="63">
        <v>65</v>
      </c>
      <c r="H45" s="64">
        <f t="shared" si="1"/>
        <v>585000</v>
      </c>
      <c r="I45" s="60" t="s">
        <v>1161</v>
      </c>
    </row>
    <row r="46" spans="1:9">
      <c r="A46" s="3">
        <v>44</v>
      </c>
      <c r="B46" s="63" t="s">
        <v>1122</v>
      </c>
      <c r="C46" s="63" t="s">
        <v>1156</v>
      </c>
      <c r="D46" s="63" t="s">
        <v>1132</v>
      </c>
      <c r="E46" s="63" t="s">
        <v>3046</v>
      </c>
      <c r="F46" s="64">
        <v>2000</v>
      </c>
      <c r="G46" s="63">
        <v>35</v>
      </c>
      <c r="H46" s="64">
        <f t="shared" si="1"/>
        <v>70000</v>
      </c>
      <c r="I46" s="60" t="s">
        <v>1161</v>
      </c>
    </row>
    <row r="47" spans="1:9">
      <c r="A47" s="10">
        <v>45</v>
      </c>
      <c r="B47" s="63" t="s">
        <v>1122</v>
      </c>
      <c r="C47" s="63" t="s">
        <v>1159</v>
      </c>
      <c r="D47" s="63"/>
      <c r="E47" s="63" t="s">
        <v>3047</v>
      </c>
      <c r="F47" s="64">
        <v>2000</v>
      </c>
      <c r="G47" s="63">
        <v>65</v>
      </c>
      <c r="H47" s="64">
        <f t="shared" si="1"/>
        <v>130000</v>
      </c>
      <c r="I47" s="60" t="s">
        <v>1161</v>
      </c>
    </row>
    <row r="48" spans="1:9">
      <c r="A48" s="3">
        <v>46</v>
      </c>
      <c r="B48" s="63" t="s">
        <v>1125</v>
      </c>
      <c r="C48" s="63" t="s">
        <v>1160</v>
      </c>
      <c r="D48" s="63"/>
      <c r="E48" s="63" t="s">
        <v>3048</v>
      </c>
      <c r="F48" s="64">
        <v>3000</v>
      </c>
      <c r="G48" s="63">
        <v>67</v>
      </c>
      <c r="H48" s="64">
        <f t="shared" si="1"/>
        <v>201000</v>
      </c>
      <c r="I48" s="60" t="s">
        <v>1161</v>
      </c>
    </row>
    <row r="49" spans="1:9">
      <c r="A49" s="10">
        <v>47</v>
      </c>
      <c r="B49" s="72" t="s">
        <v>1125</v>
      </c>
      <c r="C49" s="72" t="s">
        <v>1160</v>
      </c>
      <c r="D49" s="72"/>
      <c r="E49" s="72" t="s">
        <v>3048</v>
      </c>
      <c r="F49" s="73">
        <v>1000</v>
      </c>
      <c r="G49" s="72">
        <v>35</v>
      </c>
      <c r="H49" s="73">
        <f t="shared" si="1"/>
        <v>35000</v>
      </c>
      <c r="I49" s="74" t="s">
        <v>1161</v>
      </c>
    </row>
    <row r="50" spans="1:9">
      <c r="A50" s="3">
        <v>48</v>
      </c>
      <c r="B50" s="63" t="s">
        <v>1122</v>
      </c>
      <c r="C50" s="63" t="s">
        <v>1147</v>
      </c>
      <c r="D50" s="63"/>
      <c r="E50" s="63" t="s">
        <v>3050</v>
      </c>
      <c r="F50" s="64">
        <v>1000</v>
      </c>
      <c r="G50" s="63">
        <v>68</v>
      </c>
      <c r="H50" s="64">
        <f t="shared" si="1"/>
        <v>68000</v>
      </c>
      <c r="I50" s="60" t="s">
        <v>1148</v>
      </c>
    </row>
    <row r="51" spans="1:9">
      <c r="A51" s="10">
        <v>49</v>
      </c>
      <c r="B51" s="70" t="s">
        <v>1125</v>
      </c>
      <c r="C51" s="70" t="s">
        <v>1126</v>
      </c>
      <c r="D51" s="70"/>
      <c r="E51" s="70" t="s">
        <v>3050</v>
      </c>
      <c r="F51" s="71">
        <v>3000</v>
      </c>
      <c r="G51" s="70">
        <v>67</v>
      </c>
      <c r="H51" s="71">
        <f t="shared" si="1"/>
        <v>201000</v>
      </c>
      <c r="I51" s="61" t="s">
        <v>1148</v>
      </c>
    </row>
    <row r="52" spans="1:9">
      <c r="A52" s="3">
        <v>50</v>
      </c>
      <c r="B52" s="63" t="s">
        <v>1125</v>
      </c>
      <c r="C52" s="63" t="s">
        <v>1126</v>
      </c>
      <c r="D52" s="63"/>
      <c r="E52" s="63" t="s">
        <v>3050</v>
      </c>
      <c r="F52" s="64">
        <v>1000</v>
      </c>
      <c r="G52" s="63">
        <v>35</v>
      </c>
      <c r="H52" s="64">
        <f t="shared" si="1"/>
        <v>35000</v>
      </c>
      <c r="I52" s="60" t="s">
        <v>1148</v>
      </c>
    </row>
    <row r="53" spans="1:9">
      <c r="A53" s="10">
        <v>51</v>
      </c>
      <c r="B53" s="63" t="s">
        <v>1125</v>
      </c>
      <c r="C53" s="63" t="s">
        <v>1149</v>
      </c>
      <c r="D53" s="63"/>
      <c r="E53" s="63" t="s">
        <v>3051</v>
      </c>
      <c r="F53" s="64">
        <v>1000</v>
      </c>
      <c r="G53" s="63">
        <v>67</v>
      </c>
      <c r="H53" s="64">
        <f t="shared" si="1"/>
        <v>67000</v>
      </c>
      <c r="I53" s="60" t="s">
        <v>1148</v>
      </c>
    </row>
    <row r="54" spans="1:9">
      <c r="A54" s="3">
        <v>52</v>
      </c>
      <c r="B54" s="63" t="s">
        <v>1122</v>
      </c>
      <c r="C54" s="63" t="s">
        <v>1150</v>
      </c>
      <c r="D54" s="63"/>
      <c r="E54" s="63" t="s">
        <v>3057</v>
      </c>
      <c r="F54" s="64">
        <v>2000</v>
      </c>
      <c r="G54" s="63">
        <v>68</v>
      </c>
      <c r="H54" s="64">
        <f t="shared" si="1"/>
        <v>136000</v>
      </c>
      <c r="I54" s="60" t="s">
        <v>1148</v>
      </c>
    </row>
    <row r="55" spans="1:9">
      <c r="A55" s="10">
        <v>53</v>
      </c>
      <c r="B55" s="63" t="s">
        <v>1122</v>
      </c>
      <c r="C55" s="63" t="s">
        <v>1151</v>
      </c>
      <c r="D55" s="63" t="s">
        <v>1145</v>
      </c>
      <c r="E55" s="63" t="s">
        <v>3052</v>
      </c>
      <c r="F55" s="64">
        <v>1000</v>
      </c>
      <c r="G55" s="63">
        <v>68</v>
      </c>
      <c r="H55" s="64">
        <f t="shared" si="1"/>
        <v>68000</v>
      </c>
      <c r="I55" s="60" t="s">
        <v>1148</v>
      </c>
    </row>
    <row r="56" spans="1:9">
      <c r="A56" s="3">
        <v>54</v>
      </c>
      <c r="B56" s="63" t="s">
        <v>1125</v>
      </c>
      <c r="C56" s="63" t="s">
        <v>1136</v>
      </c>
      <c r="D56" s="63"/>
      <c r="E56" s="63" t="s">
        <v>3053</v>
      </c>
      <c r="F56" s="64">
        <v>2000</v>
      </c>
      <c r="G56" s="63">
        <v>67</v>
      </c>
      <c r="H56" s="64">
        <f t="shared" si="1"/>
        <v>134000</v>
      </c>
      <c r="I56" s="60" t="s">
        <v>1148</v>
      </c>
    </row>
    <row r="57" spans="1:9">
      <c r="A57" s="10">
        <v>55</v>
      </c>
      <c r="B57" s="63" t="s">
        <v>1125</v>
      </c>
      <c r="C57" s="63" t="s">
        <v>1152</v>
      </c>
      <c r="D57" s="63"/>
      <c r="E57" s="63" t="s">
        <v>3053</v>
      </c>
      <c r="F57" s="64">
        <v>3000</v>
      </c>
      <c r="G57" s="63">
        <v>67</v>
      </c>
      <c r="H57" s="64">
        <f t="shared" si="1"/>
        <v>201000</v>
      </c>
      <c r="I57" s="60" t="s">
        <v>1148</v>
      </c>
    </row>
    <row r="58" spans="1:9">
      <c r="A58" s="3">
        <v>56</v>
      </c>
      <c r="B58" s="63" t="s">
        <v>1125</v>
      </c>
      <c r="C58" s="63" t="s">
        <v>1152</v>
      </c>
      <c r="D58" s="63"/>
      <c r="E58" s="63" t="s">
        <v>3053</v>
      </c>
      <c r="F58" s="64">
        <v>1000</v>
      </c>
      <c r="G58" s="63">
        <v>35</v>
      </c>
      <c r="H58" s="64">
        <f t="shared" si="1"/>
        <v>35000</v>
      </c>
      <c r="I58" s="60" t="s">
        <v>1148</v>
      </c>
    </row>
    <row r="59" spans="1:9">
      <c r="A59" s="10">
        <v>57</v>
      </c>
      <c r="B59" s="63" t="s">
        <v>1125</v>
      </c>
      <c r="C59" s="63" t="s">
        <v>1153</v>
      </c>
      <c r="D59" s="63"/>
      <c r="E59" s="63" t="s">
        <v>3054</v>
      </c>
      <c r="F59" s="64">
        <v>2000</v>
      </c>
      <c r="G59" s="63">
        <v>67</v>
      </c>
      <c r="H59" s="64">
        <f t="shared" si="1"/>
        <v>134000</v>
      </c>
      <c r="I59" s="60" t="s">
        <v>1148</v>
      </c>
    </row>
    <row r="60" spans="1:9">
      <c r="A60" s="3">
        <v>58</v>
      </c>
      <c r="B60" s="63" t="s">
        <v>1125</v>
      </c>
      <c r="C60" s="63" t="s">
        <v>1154</v>
      </c>
      <c r="D60" s="63" t="s">
        <v>1132</v>
      </c>
      <c r="E60" s="63" t="s">
        <v>3055</v>
      </c>
      <c r="F60" s="64">
        <v>3000</v>
      </c>
      <c r="G60" s="63">
        <v>67</v>
      </c>
      <c r="H60" s="64">
        <f t="shared" si="1"/>
        <v>201000</v>
      </c>
      <c r="I60" s="60" t="s">
        <v>1148</v>
      </c>
    </row>
    <row r="61" spans="1:9">
      <c r="A61" s="10">
        <v>59</v>
      </c>
      <c r="B61" s="63" t="s">
        <v>1125</v>
      </c>
      <c r="C61" s="63" t="s">
        <v>1154</v>
      </c>
      <c r="D61" s="63" t="s">
        <v>1132</v>
      </c>
      <c r="E61" s="63" t="s">
        <v>3055</v>
      </c>
      <c r="F61" s="64">
        <v>1000</v>
      </c>
      <c r="G61" s="63">
        <v>35</v>
      </c>
      <c r="H61" s="64">
        <f t="shared" si="1"/>
        <v>35000</v>
      </c>
      <c r="I61" s="60" t="s">
        <v>1148</v>
      </c>
    </row>
    <row r="62" spans="1:9">
      <c r="A62" s="3">
        <v>60</v>
      </c>
      <c r="B62" s="63" t="s">
        <v>1125</v>
      </c>
      <c r="C62" s="63" t="s">
        <v>1155</v>
      </c>
      <c r="D62" s="63"/>
      <c r="E62" s="63" t="s">
        <v>3056</v>
      </c>
      <c r="F62" s="64">
        <v>1000</v>
      </c>
      <c r="G62" s="63">
        <v>67</v>
      </c>
      <c r="H62" s="64">
        <f t="shared" si="1"/>
        <v>67000</v>
      </c>
      <c r="I62" s="60" t="s">
        <v>1148</v>
      </c>
    </row>
    <row r="63" spans="1:9">
      <c r="A63" s="10">
        <v>61</v>
      </c>
      <c r="B63" s="63" t="s">
        <v>1125</v>
      </c>
      <c r="C63" s="63" t="s">
        <v>1135</v>
      </c>
      <c r="D63" s="63"/>
      <c r="E63" s="63" t="s">
        <v>3056</v>
      </c>
      <c r="F63" s="64">
        <v>3000</v>
      </c>
      <c r="G63" s="63">
        <v>67</v>
      </c>
      <c r="H63" s="64">
        <f t="shared" si="1"/>
        <v>201000</v>
      </c>
      <c r="I63" s="60" t="s">
        <v>1148</v>
      </c>
    </row>
    <row r="64" spans="1:9">
      <c r="A64" s="3">
        <v>62</v>
      </c>
      <c r="B64" s="63" t="s">
        <v>1125</v>
      </c>
      <c r="C64" s="63" t="s">
        <v>1135</v>
      </c>
      <c r="D64" s="63"/>
      <c r="E64" s="63" t="s">
        <v>3056</v>
      </c>
      <c r="F64" s="64">
        <v>1000</v>
      </c>
      <c r="G64" s="63">
        <v>35</v>
      </c>
      <c r="H64" s="64">
        <f t="shared" si="1"/>
        <v>35000</v>
      </c>
      <c r="I64" s="60" t="s">
        <v>1148</v>
      </c>
    </row>
    <row r="65" spans="1:9">
      <c r="A65" s="10">
        <v>63</v>
      </c>
      <c r="B65" s="63" t="s">
        <v>1125</v>
      </c>
      <c r="C65" s="63" t="s">
        <v>1135</v>
      </c>
      <c r="D65" s="63"/>
      <c r="E65" s="63" t="s">
        <v>3058</v>
      </c>
      <c r="F65" s="64">
        <v>2000</v>
      </c>
      <c r="G65" s="63">
        <v>67</v>
      </c>
      <c r="H65" s="64">
        <f t="shared" si="1"/>
        <v>134000</v>
      </c>
      <c r="I65" s="60" t="s">
        <v>1141</v>
      </c>
    </row>
    <row r="66" spans="1:9">
      <c r="A66" s="3">
        <v>64</v>
      </c>
      <c r="B66" s="63" t="s">
        <v>1125</v>
      </c>
      <c r="C66" s="63" t="s">
        <v>1142</v>
      </c>
      <c r="D66" s="63"/>
      <c r="E66" s="63" t="s">
        <v>3059</v>
      </c>
      <c r="F66" s="64">
        <v>1000</v>
      </c>
      <c r="G66" s="63">
        <v>67</v>
      </c>
      <c r="H66" s="64">
        <f t="shared" si="1"/>
        <v>67000</v>
      </c>
      <c r="I66" s="60" t="s">
        <v>1141</v>
      </c>
    </row>
    <row r="67" spans="1:9">
      <c r="A67" s="10">
        <v>65</v>
      </c>
      <c r="B67" s="63" t="s">
        <v>1125</v>
      </c>
      <c r="C67" s="63" t="s">
        <v>1143</v>
      </c>
      <c r="D67" s="63"/>
      <c r="E67" s="63" t="s">
        <v>3060</v>
      </c>
      <c r="F67" s="64">
        <v>3000</v>
      </c>
      <c r="G67" s="63">
        <v>67</v>
      </c>
      <c r="H67" s="64">
        <f t="shared" ref="H67:H91" si="2">F67*G67</f>
        <v>201000</v>
      </c>
      <c r="I67" s="60" t="s">
        <v>1141</v>
      </c>
    </row>
    <row r="68" spans="1:9">
      <c r="A68" s="3">
        <v>66</v>
      </c>
      <c r="B68" s="63" t="s">
        <v>1125</v>
      </c>
      <c r="C68" s="63" t="s">
        <v>1143</v>
      </c>
      <c r="D68" s="63"/>
      <c r="E68" s="63" t="s">
        <v>3060</v>
      </c>
      <c r="F68" s="64">
        <v>1000</v>
      </c>
      <c r="G68" s="63">
        <v>35</v>
      </c>
      <c r="H68" s="64">
        <f t="shared" si="2"/>
        <v>35000</v>
      </c>
      <c r="I68" s="60" t="s">
        <v>1141</v>
      </c>
    </row>
    <row r="69" spans="1:9">
      <c r="A69" s="10">
        <v>67</v>
      </c>
      <c r="B69" s="63" t="s">
        <v>1125</v>
      </c>
      <c r="C69" s="63" t="s">
        <v>1144</v>
      </c>
      <c r="D69" s="63" t="s">
        <v>1146</v>
      </c>
      <c r="E69" s="63" t="s">
        <v>3061</v>
      </c>
      <c r="F69" s="64">
        <v>3000</v>
      </c>
      <c r="G69" s="63">
        <v>67</v>
      </c>
      <c r="H69" s="64">
        <f t="shared" si="2"/>
        <v>201000</v>
      </c>
      <c r="I69" s="60" t="s">
        <v>1141</v>
      </c>
    </row>
    <row r="70" spans="1:9">
      <c r="A70" s="3">
        <v>68</v>
      </c>
      <c r="B70" s="63" t="s">
        <v>1125</v>
      </c>
      <c r="C70" s="63" t="s">
        <v>1144</v>
      </c>
      <c r="D70" s="63" t="s">
        <v>1146</v>
      </c>
      <c r="E70" s="63" t="s">
        <v>3061</v>
      </c>
      <c r="F70" s="64">
        <v>1000</v>
      </c>
      <c r="G70" s="63">
        <v>35</v>
      </c>
      <c r="H70" s="64">
        <f t="shared" si="2"/>
        <v>35000</v>
      </c>
      <c r="I70" s="60" t="s">
        <v>1141</v>
      </c>
    </row>
    <row r="71" spans="1:9">
      <c r="A71" s="10">
        <v>69</v>
      </c>
      <c r="B71" s="63" t="s">
        <v>1125</v>
      </c>
      <c r="C71" s="63" t="s">
        <v>1137</v>
      </c>
      <c r="D71" s="63"/>
      <c r="E71" s="63" t="s">
        <v>3062</v>
      </c>
      <c r="F71" s="64">
        <v>1000</v>
      </c>
      <c r="G71" s="63">
        <v>67</v>
      </c>
      <c r="H71" s="64">
        <f t="shared" si="2"/>
        <v>67000</v>
      </c>
      <c r="I71" s="60" t="s">
        <v>1140</v>
      </c>
    </row>
    <row r="72" spans="1:9">
      <c r="A72" s="3">
        <v>70</v>
      </c>
      <c r="B72" s="63" t="s">
        <v>1125</v>
      </c>
      <c r="C72" s="63" t="s">
        <v>1126</v>
      </c>
      <c r="D72" s="63"/>
      <c r="E72" s="63" t="s">
        <v>3062</v>
      </c>
      <c r="F72" s="64">
        <v>3000</v>
      </c>
      <c r="G72" s="63">
        <v>67</v>
      </c>
      <c r="H72" s="64">
        <f t="shared" si="2"/>
        <v>201000</v>
      </c>
      <c r="I72" s="60" t="s">
        <v>1140</v>
      </c>
    </row>
    <row r="73" spans="1:9">
      <c r="A73" s="10">
        <v>71</v>
      </c>
      <c r="B73" s="63" t="s">
        <v>1125</v>
      </c>
      <c r="C73" s="63" t="s">
        <v>1126</v>
      </c>
      <c r="D73" s="63"/>
      <c r="E73" s="63" t="s">
        <v>3062</v>
      </c>
      <c r="F73" s="64">
        <v>1000</v>
      </c>
      <c r="G73" s="63">
        <v>35</v>
      </c>
      <c r="H73" s="64">
        <f t="shared" si="2"/>
        <v>35000</v>
      </c>
      <c r="I73" s="60" t="s">
        <v>1140</v>
      </c>
    </row>
    <row r="74" spans="1:9">
      <c r="A74" s="3">
        <v>72</v>
      </c>
      <c r="B74" s="63" t="s">
        <v>1125</v>
      </c>
      <c r="C74" s="63" t="s">
        <v>1138</v>
      </c>
      <c r="D74" s="63"/>
      <c r="E74" s="63" t="s">
        <v>3064</v>
      </c>
      <c r="F74" s="64">
        <v>2000</v>
      </c>
      <c r="G74" s="63">
        <v>67</v>
      </c>
      <c r="H74" s="64">
        <f t="shared" si="2"/>
        <v>134000</v>
      </c>
      <c r="I74" s="60" t="s">
        <v>1140</v>
      </c>
    </row>
    <row r="75" spans="1:9">
      <c r="A75" s="10">
        <v>73</v>
      </c>
      <c r="B75" s="63" t="s">
        <v>1125</v>
      </c>
      <c r="C75" s="63" t="s">
        <v>1139</v>
      </c>
      <c r="D75" s="63"/>
      <c r="E75" s="63" t="s">
        <v>3063</v>
      </c>
      <c r="F75" s="64">
        <v>2000</v>
      </c>
      <c r="G75" s="63">
        <v>67</v>
      </c>
      <c r="H75" s="64">
        <f t="shared" si="2"/>
        <v>134000</v>
      </c>
      <c r="I75" s="60" t="s">
        <v>1140</v>
      </c>
    </row>
    <row r="76" spans="1:9">
      <c r="A76" s="3">
        <v>74</v>
      </c>
      <c r="B76" s="63" t="s">
        <v>1125</v>
      </c>
      <c r="C76" s="63" t="s">
        <v>1133</v>
      </c>
      <c r="D76" s="63" t="s">
        <v>1132</v>
      </c>
      <c r="E76" s="63" t="s">
        <v>3065</v>
      </c>
      <c r="F76" s="64">
        <v>3000</v>
      </c>
      <c r="G76" s="63">
        <v>67</v>
      </c>
      <c r="H76" s="64">
        <f t="shared" si="2"/>
        <v>201000</v>
      </c>
      <c r="I76" s="60" t="s">
        <v>1134</v>
      </c>
    </row>
    <row r="77" spans="1:9">
      <c r="A77" s="10">
        <v>75</v>
      </c>
      <c r="B77" s="63" t="s">
        <v>1125</v>
      </c>
      <c r="C77" s="63" t="s">
        <v>1133</v>
      </c>
      <c r="D77" s="63" t="s">
        <v>1132</v>
      </c>
      <c r="E77" s="63" t="s">
        <v>3065</v>
      </c>
      <c r="F77" s="64">
        <v>1000</v>
      </c>
      <c r="G77" s="63">
        <v>35</v>
      </c>
      <c r="H77" s="64">
        <f t="shared" si="2"/>
        <v>35000</v>
      </c>
      <c r="I77" s="60" t="s">
        <v>1134</v>
      </c>
    </row>
    <row r="78" spans="1:9">
      <c r="A78" s="3">
        <v>76</v>
      </c>
      <c r="B78" s="63" t="s">
        <v>1125</v>
      </c>
      <c r="C78" s="63" t="s">
        <v>1128</v>
      </c>
      <c r="D78" s="63"/>
      <c r="E78" s="63" t="s">
        <v>3065</v>
      </c>
      <c r="F78" s="64">
        <v>1000</v>
      </c>
      <c r="G78" s="63">
        <v>67</v>
      </c>
      <c r="H78" s="64">
        <f t="shared" si="2"/>
        <v>67000</v>
      </c>
      <c r="I78" s="60" t="s">
        <v>1134</v>
      </c>
    </row>
    <row r="79" spans="1:9">
      <c r="A79" s="10">
        <v>77</v>
      </c>
      <c r="B79" s="63" t="s">
        <v>1125</v>
      </c>
      <c r="C79" s="63" t="s">
        <v>1135</v>
      </c>
      <c r="D79" s="63"/>
      <c r="E79" s="63" t="s">
        <v>3066</v>
      </c>
      <c r="F79" s="64">
        <v>1000</v>
      </c>
      <c r="G79" s="63">
        <v>67</v>
      </c>
      <c r="H79" s="64">
        <f t="shared" si="2"/>
        <v>67000</v>
      </c>
      <c r="I79" s="60" t="s">
        <v>1134</v>
      </c>
    </row>
    <row r="80" spans="1:9">
      <c r="A80" s="3">
        <v>78</v>
      </c>
      <c r="B80" s="63" t="s">
        <v>1125</v>
      </c>
      <c r="C80" s="63" t="s">
        <v>1135</v>
      </c>
      <c r="D80" s="63"/>
      <c r="E80" s="63" t="s">
        <v>3066</v>
      </c>
      <c r="F80" s="64">
        <v>1000</v>
      </c>
      <c r="G80" s="63">
        <v>35</v>
      </c>
      <c r="H80" s="64">
        <f t="shared" si="2"/>
        <v>35000</v>
      </c>
      <c r="I80" s="60" t="s">
        <v>1134</v>
      </c>
    </row>
    <row r="81" spans="1:9">
      <c r="A81" s="10">
        <v>79</v>
      </c>
      <c r="B81" s="63" t="s">
        <v>1125</v>
      </c>
      <c r="C81" s="63" t="s">
        <v>1136</v>
      </c>
      <c r="D81" s="63"/>
      <c r="E81" s="63" t="s">
        <v>3067</v>
      </c>
      <c r="F81" s="64">
        <v>1000</v>
      </c>
      <c r="G81" s="63">
        <v>67</v>
      </c>
      <c r="H81" s="64">
        <f t="shared" si="2"/>
        <v>67000</v>
      </c>
      <c r="I81" s="60" t="s">
        <v>1134</v>
      </c>
    </row>
    <row r="82" spans="1:9">
      <c r="A82" s="3">
        <v>80</v>
      </c>
      <c r="B82" s="63" t="s">
        <v>1125</v>
      </c>
      <c r="C82" s="63" t="s">
        <v>1136</v>
      </c>
      <c r="D82" s="63"/>
      <c r="E82" s="63" t="s">
        <v>3067</v>
      </c>
      <c r="F82" s="64">
        <v>1000</v>
      </c>
      <c r="G82" s="63">
        <v>35</v>
      </c>
      <c r="H82" s="64">
        <f t="shared" si="2"/>
        <v>35000</v>
      </c>
      <c r="I82" s="60" t="s">
        <v>1134</v>
      </c>
    </row>
    <row r="83" spans="1:9">
      <c r="A83" s="10">
        <v>81</v>
      </c>
      <c r="B83" s="63" t="s">
        <v>1125</v>
      </c>
      <c r="C83" s="63" t="s">
        <v>1126</v>
      </c>
      <c r="D83" s="63"/>
      <c r="E83" s="63" t="s">
        <v>3072</v>
      </c>
      <c r="F83" s="64">
        <v>3000</v>
      </c>
      <c r="G83" s="63">
        <v>67</v>
      </c>
      <c r="H83" s="64">
        <f t="shared" si="2"/>
        <v>201000</v>
      </c>
      <c r="I83" s="60" t="s">
        <v>1127</v>
      </c>
    </row>
    <row r="84" spans="1:9">
      <c r="A84" s="3">
        <v>82</v>
      </c>
      <c r="B84" s="63" t="s">
        <v>1125</v>
      </c>
      <c r="C84" s="63" t="s">
        <v>1126</v>
      </c>
      <c r="D84" s="63"/>
      <c r="E84" s="63" t="s">
        <v>3072</v>
      </c>
      <c r="F84" s="64">
        <v>1000</v>
      </c>
      <c r="G84" s="63">
        <v>35</v>
      </c>
      <c r="H84" s="64">
        <f t="shared" si="2"/>
        <v>35000</v>
      </c>
      <c r="I84" s="60" t="s">
        <v>1127</v>
      </c>
    </row>
    <row r="85" spans="1:9">
      <c r="A85" s="10">
        <v>83</v>
      </c>
      <c r="B85" s="63" t="s">
        <v>1125</v>
      </c>
      <c r="C85" s="63" t="s">
        <v>1128</v>
      </c>
      <c r="D85" s="63"/>
      <c r="E85" s="63" t="s">
        <v>3068</v>
      </c>
      <c r="F85" s="64">
        <v>5000</v>
      </c>
      <c r="G85" s="63">
        <v>67</v>
      </c>
      <c r="H85" s="64">
        <f t="shared" si="2"/>
        <v>335000</v>
      </c>
      <c r="I85" s="60" t="s">
        <v>1127</v>
      </c>
    </row>
    <row r="86" spans="1:9">
      <c r="A86" s="3">
        <v>84</v>
      </c>
      <c r="B86" s="63" t="s">
        <v>1125</v>
      </c>
      <c r="C86" s="63" t="s">
        <v>1128</v>
      </c>
      <c r="D86" s="63"/>
      <c r="E86" s="63" t="s">
        <v>3068</v>
      </c>
      <c r="F86" s="64">
        <v>2000</v>
      </c>
      <c r="G86" s="63">
        <v>35</v>
      </c>
      <c r="H86" s="64">
        <f t="shared" si="2"/>
        <v>70000</v>
      </c>
      <c r="I86" s="60" t="s">
        <v>1127</v>
      </c>
    </row>
    <row r="87" spans="1:9">
      <c r="A87" s="10">
        <v>85</v>
      </c>
      <c r="B87" s="63" t="s">
        <v>1125</v>
      </c>
      <c r="C87" s="63" t="s">
        <v>1129</v>
      </c>
      <c r="D87" s="63"/>
      <c r="E87" s="63" t="s">
        <v>3069</v>
      </c>
      <c r="F87" s="64">
        <v>1000</v>
      </c>
      <c r="G87" s="63">
        <v>67</v>
      </c>
      <c r="H87" s="64">
        <f t="shared" si="2"/>
        <v>67000</v>
      </c>
      <c r="I87" s="60" t="s">
        <v>1127</v>
      </c>
    </row>
    <row r="88" spans="1:9">
      <c r="A88" s="3">
        <v>86</v>
      </c>
      <c r="B88" s="63" t="s">
        <v>1125</v>
      </c>
      <c r="C88" s="63" t="s">
        <v>1130</v>
      </c>
      <c r="D88" s="63" t="s">
        <v>1132</v>
      </c>
      <c r="E88" s="63" t="s">
        <v>3070</v>
      </c>
      <c r="F88" s="64">
        <v>3000</v>
      </c>
      <c r="G88" s="63">
        <v>67</v>
      </c>
      <c r="H88" s="64">
        <f t="shared" si="2"/>
        <v>201000</v>
      </c>
      <c r="I88" s="60" t="s">
        <v>1127</v>
      </c>
    </row>
    <row r="89" spans="1:9">
      <c r="A89" s="10">
        <v>87</v>
      </c>
      <c r="B89" s="63" t="s">
        <v>1125</v>
      </c>
      <c r="C89" s="63" t="s">
        <v>1130</v>
      </c>
      <c r="D89" s="63" t="s">
        <v>1132</v>
      </c>
      <c r="E89" s="63" t="s">
        <v>3070</v>
      </c>
      <c r="F89" s="64">
        <v>1000</v>
      </c>
      <c r="G89" s="63">
        <v>35</v>
      </c>
      <c r="H89" s="64">
        <f t="shared" si="2"/>
        <v>35000</v>
      </c>
      <c r="I89" s="60" t="s">
        <v>1127</v>
      </c>
    </row>
    <row r="90" spans="1:9">
      <c r="A90" s="3">
        <v>88</v>
      </c>
      <c r="B90" s="63" t="s">
        <v>1125</v>
      </c>
      <c r="C90" s="63" t="s">
        <v>1131</v>
      </c>
      <c r="D90" s="63"/>
      <c r="E90" s="63" t="s">
        <v>3071</v>
      </c>
      <c r="F90" s="64">
        <v>3000</v>
      </c>
      <c r="G90" s="63">
        <v>67</v>
      </c>
      <c r="H90" s="64">
        <f t="shared" si="2"/>
        <v>201000</v>
      </c>
      <c r="I90" s="60" t="s">
        <v>1127</v>
      </c>
    </row>
    <row r="91" spans="1:9" ht="17.5" thickBot="1">
      <c r="A91" s="10">
        <v>89</v>
      </c>
      <c r="B91" s="63" t="s">
        <v>1125</v>
      </c>
      <c r="C91" s="63" t="s">
        <v>1131</v>
      </c>
      <c r="D91" s="63"/>
      <c r="E91" s="63" t="s">
        <v>3071</v>
      </c>
      <c r="F91" s="64">
        <v>1000</v>
      </c>
      <c r="G91" s="63">
        <v>35</v>
      </c>
      <c r="H91" s="64">
        <f t="shared" si="2"/>
        <v>35000</v>
      </c>
      <c r="I91" s="60" t="s">
        <v>1127</v>
      </c>
    </row>
    <row r="92" spans="1:9" ht="17.5" thickBot="1">
      <c r="A92" s="14"/>
      <c r="B92" s="417" t="s">
        <v>3032</v>
      </c>
      <c r="C92" s="418"/>
      <c r="D92" s="419"/>
      <c r="E92" s="15"/>
      <c r="F92" s="67">
        <f>SUM(F51:F91)</f>
        <v>74000</v>
      </c>
      <c r="G92" s="15"/>
      <c r="H92" s="67">
        <f>SUM(H51:H91)</f>
        <v>4481000</v>
      </c>
      <c r="I92" s="68"/>
    </row>
    <row r="93" spans="1:9" ht="17.5" thickBot="1">
      <c r="A93" s="14"/>
      <c r="B93" s="417" t="s">
        <v>3031</v>
      </c>
      <c r="C93" s="418"/>
      <c r="D93" s="419"/>
      <c r="E93" s="15"/>
      <c r="F93" s="67">
        <f>SUM(F3:F50)</f>
        <v>144000</v>
      </c>
      <c r="G93" s="15"/>
      <c r="H93" s="67">
        <f>SUM(H3:H50)</f>
        <v>8734000</v>
      </c>
      <c r="I93" s="68"/>
    </row>
    <row r="94" spans="1:9" ht="17.5" thickBot="1">
      <c r="A94" s="30"/>
      <c r="B94" s="423" t="s">
        <v>1193</v>
      </c>
      <c r="C94" s="424"/>
      <c r="D94" s="425"/>
      <c r="E94" s="76"/>
      <c r="F94" s="67">
        <f>F93+F92</f>
        <v>218000</v>
      </c>
      <c r="G94" s="77"/>
      <c r="H94" s="67">
        <f>H93+H92</f>
        <v>13215000</v>
      </c>
      <c r="I94" s="78"/>
    </row>
    <row r="95" spans="1:9">
      <c r="A95" s="81"/>
      <c r="B95" s="420" t="s">
        <v>1192</v>
      </c>
      <c r="C95" s="420"/>
      <c r="D95" s="420"/>
      <c r="E95" s="76"/>
      <c r="F95" s="79">
        <v>218000</v>
      </c>
      <c r="G95" s="77">
        <v>24</v>
      </c>
      <c r="H95" s="69">
        <f>F95*G95</f>
        <v>5232000</v>
      </c>
      <c r="I95" s="78"/>
    </row>
    <row r="96" spans="1:9">
      <c r="A96" s="3"/>
      <c r="B96" s="421" t="s">
        <v>1117</v>
      </c>
      <c r="C96" s="421"/>
      <c r="D96" s="421"/>
      <c r="E96" s="63"/>
      <c r="F96" s="64"/>
      <c r="G96" s="63"/>
      <c r="H96" s="64">
        <f>H94-H95</f>
        <v>7983000</v>
      </c>
      <c r="I96" s="60"/>
    </row>
    <row r="97" spans="1:9">
      <c r="A97" s="10"/>
      <c r="B97" s="422" t="s">
        <v>1118</v>
      </c>
      <c r="C97" s="422"/>
      <c r="D97" s="422"/>
      <c r="E97" s="70"/>
      <c r="F97" s="71"/>
      <c r="G97" s="70"/>
      <c r="H97" s="71">
        <f>H94*0.003</f>
        <v>39645</v>
      </c>
      <c r="I97" s="61"/>
    </row>
    <row r="98" spans="1:9" ht="17.5" thickBot="1">
      <c r="A98" s="5"/>
      <c r="B98" s="415" t="s">
        <v>1119</v>
      </c>
      <c r="C98" s="415"/>
      <c r="D98" s="415"/>
      <c r="E98" s="82"/>
      <c r="F98" s="80"/>
      <c r="G98" s="83"/>
      <c r="H98" s="84">
        <f>(H96-H97)*0.15</f>
        <v>1191503.25</v>
      </c>
      <c r="I98" s="85"/>
    </row>
    <row r="99" spans="1:9" ht="17.5" thickBot="1">
      <c r="A99" s="75"/>
      <c r="B99" s="416" t="s">
        <v>1120</v>
      </c>
      <c r="C99" s="416"/>
      <c r="D99" s="416"/>
      <c r="E99" s="416"/>
      <c r="F99" s="416"/>
      <c r="G99" s="416"/>
      <c r="H99" s="67">
        <f>H96-H97-H98</f>
        <v>6751851.75</v>
      </c>
      <c r="I99" s="68"/>
    </row>
    <row r="100" spans="1:9" ht="34.25" customHeight="1">
      <c r="A100" s="86" t="s">
        <v>727</v>
      </c>
      <c r="B100" s="414" t="s">
        <v>3244</v>
      </c>
      <c r="C100" s="414"/>
      <c r="D100" s="414"/>
      <c r="E100" s="414"/>
      <c r="F100" s="414"/>
      <c r="G100" s="414"/>
      <c r="H100" s="414"/>
      <c r="I100" s="414"/>
    </row>
  </sheetData>
  <sortState ref="A3:I91">
    <sortCondition ref="E3:E91"/>
  </sortState>
  <mergeCells count="10">
    <mergeCell ref="B100:I100"/>
    <mergeCell ref="B98:D98"/>
    <mergeCell ref="B99:D99"/>
    <mergeCell ref="B93:D93"/>
    <mergeCell ref="B92:D92"/>
    <mergeCell ref="B95:D95"/>
    <mergeCell ref="B96:D96"/>
    <mergeCell ref="B97:D97"/>
    <mergeCell ref="E99:G99"/>
    <mergeCell ref="B94:D94"/>
  </mergeCells>
  <phoneticPr fontId="1" type="noConversion"/>
  <pageMargins left="0.55118110236220474" right="0.47244094488188981" top="0.74803149606299213" bottom="0.74803149606299213" header="0.31496062992125984" footer="0.31496062992125984"/>
  <pageSetup paperSize="9" scale="85" fitToHeight="100" orientation="portrait" r:id="rId1"/>
  <headerFooter>
    <oddFooter>&amp;C&amp;P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47"/>
  <sheetViews>
    <sheetView topLeftCell="A145" zoomScale="80" zoomScaleNormal="80" workbookViewId="0">
      <selection activeCell="B147" sqref="B147:H147"/>
    </sheetView>
  </sheetViews>
  <sheetFormatPr defaultRowHeight="17"/>
  <cols>
    <col min="2" max="2" width="11" style="31" customWidth="1"/>
    <col min="3" max="3" width="10.6328125" style="31" customWidth="1"/>
    <col min="4" max="4" width="12.6328125" customWidth="1"/>
    <col min="5" max="5" width="10.453125" bestFit="1" customWidth="1"/>
    <col min="6" max="7" width="13.6328125" customWidth="1"/>
    <col min="8" max="8" width="23.90625" style="323" customWidth="1"/>
  </cols>
  <sheetData>
    <row r="1" spans="1:8" ht="21.5" customHeight="1" thickBot="1">
      <c r="A1" t="s">
        <v>3906</v>
      </c>
    </row>
    <row r="2" spans="1:8" ht="24.15" customHeight="1" thickBot="1">
      <c r="A2" s="22" t="s">
        <v>16</v>
      </c>
      <c r="B2" s="23" t="s">
        <v>18</v>
      </c>
      <c r="C2" s="23" t="s">
        <v>19</v>
      </c>
      <c r="D2" s="23" t="s">
        <v>20</v>
      </c>
      <c r="E2" s="23" t="s">
        <v>21</v>
      </c>
      <c r="F2" s="23" t="s">
        <v>22</v>
      </c>
      <c r="G2" s="23" t="s">
        <v>23</v>
      </c>
      <c r="H2" s="324" t="s">
        <v>726</v>
      </c>
    </row>
    <row r="3" spans="1:8" ht="24.15" customHeight="1">
      <c r="A3" s="10">
        <v>1</v>
      </c>
      <c r="B3" s="19" t="s">
        <v>106</v>
      </c>
      <c r="C3" s="19" t="s">
        <v>3487</v>
      </c>
      <c r="D3" s="11" t="s">
        <v>107</v>
      </c>
      <c r="E3" s="12">
        <v>10000</v>
      </c>
      <c r="F3" s="11">
        <v>67</v>
      </c>
      <c r="G3" s="12">
        <v>670000</v>
      </c>
      <c r="H3" s="325" t="s">
        <v>3862</v>
      </c>
    </row>
    <row r="4" spans="1:8" ht="24.15" customHeight="1">
      <c r="A4" s="3">
        <v>2</v>
      </c>
      <c r="B4" s="21" t="s">
        <v>106</v>
      </c>
      <c r="C4" s="21" t="s">
        <v>3488</v>
      </c>
      <c r="D4" s="1" t="s">
        <v>67</v>
      </c>
      <c r="E4" s="2">
        <v>5000</v>
      </c>
      <c r="F4" s="1">
        <v>67</v>
      </c>
      <c r="G4" s="2">
        <v>335000</v>
      </c>
      <c r="H4" s="326" t="s">
        <v>3863</v>
      </c>
    </row>
    <row r="5" spans="1:8" ht="24.15" customHeight="1">
      <c r="A5" s="10">
        <v>3</v>
      </c>
      <c r="B5" s="21" t="s">
        <v>106</v>
      </c>
      <c r="C5" s="21" t="s">
        <v>3489</v>
      </c>
      <c r="D5" s="1" t="s">
        <v>108</v>
      </c>
      <c r="E5" s="2">
        <v>2000</v>
      </c>
      <c r="F5" s="1">
        <v>67</v>
      </c>
      <c r="G5" s="2">
        <v>134000</v>
      </c>
      <c r="H5" s="326" t="s">
        <v>3864</v>
      </c>
    </row>
    <row r="6" spans="1:8" ht="24.15" customHeight="1">
      <c r="A6" s="3">
        <v>4</v>
      </c>
      <c r="B6" s="21" t="s">
        <v>106</v>
      </c>
      <c r="C6" s="21" t="s">
        <v>3490</v>
      </c>
      <c r="D6" s="1" t="s">
        <v>108</v>
      </c>
      <c r="E6" s="2">
        <v>2000</v>
      </c>
      <c r="F6" s="1">
        <v>67</v>
      </c>
      <c r="G6" s="2">
        <v>134000</v>
      </c>
      <c r="H6" s="326" t="s">
        <v>3865</v>
      </c>
    </row>
    <row r="7" spans="1:8" ht="24.15" customHeight="1">
      <c r="A7" s="10">
        <v>5</v>
      </c>
      <c r="B7" s="21" t="s">
        <v>106</v>
      </c>
      <c r="C7" s="21" t="s">
        <v>3491</v>
      </c>
      <c r="D7" s="1" t="s">
        <v>108</v>
      </c>
      <c r="E7" s="2">
        <v>2000</v>
      </c>
      <c r="F7" s="1">
        <v>67</v>
      </c>
      <c r="G7" s="2">
        <v>134000</v>
      </c>
      <c r="H7" s="326" t="s">
        <v>3865</v>
      </c>
    </row>
    <row r="8" spans="1:8" ht="24.15" customHeight="1">
      <c r="A8" s="3">
        <v>6</v>
      </c>
      <c r="B8" s="21" t="s">
        <v>106</v>
      </c>
      <c r="C8" s="21" t="s">
        <v>3492</v>
      </c>
      <c r="D8" s="1" t="s">
        <v>70</v>
      </c>
      <c r="E8" s="2">
        <v>1000</v>
      </c>
      <c r="F8" s="1">
        <v>67</v>
      </c>
      <c r="G8" s="2">
        <v>67000</v>
      </c>
      <c r="H8" s="326" t="s">
        <v>3866</v>
      </c>
    </row>
    <row r="9" spans="1:8" ht="24.15" customHeight="1">
      <c r="A9" s="10">
        <v>7</v>
      </c>
      <c r="B9" s="21" t="s">
        <v>106</v>
      </c>
      <c r="C9" s="21" t="s">
        <v>3493</v>
      </c>
      <c r="D9" s="1" t="s">
        <v>70</v>
      </c>
      <c r="E9" s="2">
        <v>1000</v>
      </c>
      <c r="F9" s="1">
        <v>67</v>
      </c>
      <c r="G9" s="2">
        <v>67000</v>
      </c>
      <c r="H9" s="326" t="s">
        <v>3867</v>
      </c>
    </row>
    <row r="10" spans="1:8" ht="24.15" customHeight="1">
      <c r="A10" s="3">
        <v>8</v>
      </c>
      <c r="B10" s="21" t="s">
        <v>106</v>
      </c>
      <c r="C10" s="21" t="s">
        <v>3494</v>
      </c>
      <c r="D10" s="1" t="s">
        <v>70</v>
      </c>
      <c r="E10" s="2">
        <v>1000</v>
      </c>
      <c r="F10" s="1">
        <v>67</v>
      </c>
      <c r="G10" s="2">
        <v>67000</v>
      </c>
      <c r="H10" s="326" t="s">
        <v>3867</v>
      </c>
    </row>
    <row r="11" spans="1:8" ht="24.15" customHeight="1">
      <c r="A11" s="10">
        <v>9</v>
      </c>
      <c r="B11" s="21" t="s">
        <v>106</v>
      </c>
      <c r="C11" s="21" t="s">
        <v>3495</v>
      </c>
      <c r="D11" s="1" t="s">
        <v>70</v>
      </c>
      <c r="E11" s="2">
        <v>1000</v>
      </c>
      <c r="F11" s="1">
        <v>67</v>
      </c>
      <c r="G11" s="2">
        <v>67000</v>
      </c>
      <c r="H11" s="326" t="s">
        <v>3864</v>
      </c>
    </row>
    <row r="12" spans="1:8" ht="24.15" customHeight="1">
      <c r="A12" s="3">
        <v>10</v>
      </c>
      <c r="B12" s="21" t="s">
        <v>106</v>
      </c>
      <c r="C12" s="21" t="s">
        <v>3497</v>
      </c>
      <c r="D12" s="1" t="s">
        <v>3496</v>
      </c>
      <c r="E12" s="2">
        <v>3000</v>
      </c>
      <c r="F12" s="1">
        <v>67</v>
      </c>
      <c r="G12" s="2">
        <v>201000</v>
      </c>
      <c r="H12" s="326" t="s">
        <v>3868</v>
      </c>
    </row>
    <row r="13" spans="1:8" ht="24.15" customHeight="1">
      <c r="A13" s="10">
        <v>11</v>
      </c>
      <c r="B13" s="21" t="s">
        <v>106</v>
      </c>
      <c r="C13" s="21" t="s">
        <v>3498</v>
      </c>
      <c r="D13" s="1" t="s">
        <v>70</v>
      </c>
      <c r="E13" s="2">
        <v>1000</v>
      </c>
      <c r="F13" s="1">
        <v>67</v>
      </c>
      <c r="G13" s="2">
        <v>67000</v>
      </c>
      <c r="H13" s="326" t="s">
        <v>3868</v>
      </c>
    </row>
    <row r="14" spans="1:8" ht="24.15" customHeight="1">
      <c r="A14" s="3">
        <v>12</v>
      </c>
      <c r="B14" s="21" t="s">
        <v>106</v>
      </c>
      <c r="C14" s="21" t="s">
        <v>3499</v>
      </c>
      <c r="D14" s="1" t="s">
        <v>70</v>
      </c>
      <c r="E14" s="2">
        <v>10000</v>
      </c>
      <c r="F14" s="1">
        <v>67</v>
      </c>
      <c r="G14" s="2">
        <v>670000</v>
      </c>
      <c r="H14" s="326" t="s">
        <v>3869</v>
      </c>
    </row>
    <row r="15" spans="1:8" ht="24.15" customHeight="1">
      <c r="A15" s="10">
        <v>13</v>
      </c>
      <c r="B15" s="21" t="s">
        <v>106</v>
      </c>
      <c r="C15" s="21" t="s">
        <v>3500</v>
      </c>
      <c r="D15" s="1" t="s">
        <v>70</v>
      </c>
      <c r="E15" s="2">
        <v>2000</v>
      </c>
      <c r="F15" s="1">
        <v>67</v>
      </c>
      <c r="G15" s="2">
        <v>134000</v>
      </c>
      <c r="H15" s="326" t="s">
        <v>3869</v>
      </c>
    </row>
    <row r="16" spans="1:8" ht="24.15" customHeight="1">
      <c r="A16" s="3">
        <v>14</v>
      </c>
      <c r="B16" s="21" t="s">
        <v>106</v>
      </c>
      <c r="C16" s="21" t="s">
        <v>3501</v>
      </c>
      <c r="D16" s="1" t="s">
        <v>70</v>
      </c>
      <c r="E16" s="2">
        <v>2000</v>
      </c>
      <c r="F16" s="1">
        <v>67</v>
      </c>
      <c r="G16" s="2">
        <v>134000</v>
      </c>
      <c r="H16" s="326" t="s">
        <v>3870</v>
      </c>
    </row>
    <row r="17" spans="1:8" ht="24.15" customHeight="1">
      <c r="A17" s="10">
        <v>15</v>
      </c>
      <c r="B17" s="21" t="s">
        <v>106</v>
      </c>
      <c r="C17" s="21" t="s">
        <v>3502</v>
      </c>
      <c r="D17" s="1" t="s">
        <v>70</v>
      </c>
      <c r="E17" s="2">
        <v>5000</v>
      </c>
      <c r="F17" s="1">
        <v>67</v>
      </c>
      <c r="G17" s="2">
        <v>335000</v>
      </c>
      <c r="H17" s="326" t="s">
        <v>3871</v>
      </c>
    </row>
    <row r="18" spans="1:8" s="86" customFormat="1" ht="24.15" customHeight="1">
      <c r="A18" s="3">
        <v>16</v>
      </c>
      <c r="B18" s="21" t="s">
        <v>106</v>
      </c>
      <c r="C18" s="21" t="s">
        <v>3503</v>
      </c>
      <c r="D18" s="1" t="s">
        <v>70</v>
      </c>
      <c r="E18" s="2">
        <v>5000</v>
      </c>
      <c r="F18" s="1">
        <v>67</v>
      </c>
      <c r="G18" s="2">
        <v>335000</v>
      </c>
      <c r="H18" s="326" t="s">
        <v>3872</v>
      </c>
    </row>
    <row r="19" spans="1:8" ht="24.15" customHeight="1">
      <c r="A19" s="10">
        <v>17</v>
      </c>
      <c r="B19" s="21" t="s">
        <v>106</v>
      </c>
      <c r="C19" s="21" t="s">
        <v>3504</v>
      </c>
      <c r="D19" s="1" t="s">
        <v>70</v>
      </c>
      <c r="E19" s="2">
        <v>1000</v>
      </c>
      <c r="F19" s="1">
        <v>67</v>
      </c>
      <c r="G19" s="2">
        <v>67000</v>
      </c>
      <c r="H19" s="326" t="s">
        <v>3873</v>
      </c>
    </row>
    <row r="20" spans="1:8" ht="24.15" customHeight="1">
      <c r="A20" s="3">
        <v>18</v>
      </c>
      <c r="B20" s="21" t="s">
        <v>106</v>
      </c>
      <c r="C20" s="21" t="s">
        <v>3505</v>
      </c>
      <c r="D20" s="1" t="s">
        <v>70</v>
      </c>
      <c r="E20" s="2">
        <v>5000</v>
      </c>
      <c r="F20" s="1">
        <v>67</v>
      </c>
      <c r="G20" s="2">
        <v>335000</v>
      </c>
      <c r="H20" s="326" t="s">
        <v>3873</v>
      </c>
    </row>
    <row r="21" spans="1:8" ht="24.15" customHeight="1">
      <c r="A21" s="10">
        <v>19</v>
      </c>
      <c r="B21" s="21" t="s">
        <v>106</v>
      </c>
      <c r="C21" s="21" t="s">
        <v>3506</v>
      </c>
      <c r="D21" s="1" t="s">
        <v>70</v>
      </c>
      <c r="E21" s="2">
        <v>2000</v>
      </c>
      <c r="F21" s="1">
        <v>67</v>
      </c>
      <c r="G21" s="2">
        <v>134000</v>
      </c>
      <c r="H21" s="326" t="s">
        <v>3873</v>
      </c>
    </row>
    <row r="22" spans="1:8" ht="24.15" customHeight="1">
      <c r="A22" s="3">
        <v>20</v>
      </c>
      <c r="B22" s="21" t="s">
        <v>106</v>
      </c>
      <c r="C22" s="21" t="s">
        <v>3507</v>
      </c>
      <c r="D22" s="1" t="s">
        <v>71</v>
      </c>
      <c r="E22" s="2">
        <v>1000</v>
      </c>
      <c r="F22" s="1">
        <v>67</v>
      </c>
      <c r="G22" s="2">
        <v>67000</v>
      </c>
      <c r="H22" s="326" t="s">
        <v>3874</v>
      </c>
    </row>
    <row r="23" spans="1:8" ht="24.15" customHeight="1">
      <c r="A23" s="10">
        <v>21</v>
      </c>
      <c r="B23" s="21" t="s">
        <v>106</v>
      </c>
      <c r="C23" s="21" t="s">
        <v>3508</v>
      </c>
      <c r="D23" s="1" t="s">
        <v>136</v>
      </c>
      <c r="E23" s="2">
        <v>3000</v>
      </c>
      <c r="F23" s="1">
        <v>67</v>
      </c>
      <c r="G23" s="2">
        <v>201000</v>
      </c>
      <c r="H23" s="326" t="s">
        <v>3875</v>
      </c>
    </row>
    <row r="24" spans="1:8" ht="24.15" customHeight="1">
      <c r="A24" s="3">
        <v>22</v>
      </c>
      <c r="B24" s="21" t="s">
        <v>106</v>
      </c>
      <c r="C24" s="21" t="s">
        <v>3509</v>
      </c>
      <c r="D24" s="1" t="s">
        <v>136</v>
      </c>
      <c r="E24" s="2">
        <v>5000</v>
      </c>
      <c r="F24" s="1">
        <v>67</v>
      </c>
      <c r="G24" s="2">
        <v>335000</v>
      </c>
      <c r="H24" s="326" t="s">
        <v>3864</v>
      </c>
    </row>
    <row r="25" spans="1:8" ht="24.15" customHeight="1">
      <c r="A25" s="10">
        <v>23</v>
      </c>
      <c r="B25" s="21" t="s">
        <v>106</v>
      </c>
      <c r="C25" s="21" t="s">
        <v>3510</v>
      </c>
      <c r="D25" s="1" t="s">
        <v>136</v>
      </c>
      <c r="E25" s="2">
        <v>3000</v>
      </c>
      <c r="F25" s="1">
        <v>67</v>
      </c>
      <c r="G25" s="2">
        <v>201000</v>
      </c>
      <c r="H25" s="326" t="s">
        <v>3865</v>
      </c>
    </row>
    <row r="26" spans="1:8" ht="24.15" customHeight="1">
      <c r="A26" s="3">
        <v>24</v>
      </c>
      <c r="B26" s="21" t="s">
        <v>106</v>
      </c>
      <c r="C26" s="21" t="s">
        <v>3511</v>
      </c>
      <c r="D26" s="1" t="s">
        <v>136</v>
      </c>
      <c r="E26" s="2">
        <v>2000</v>
      </c>
      <c r="F26" s="1">
        <v>67</v>
      </c>
      <c r="G26" s="2">
        <v>134000</v>
      </c>
      <c r="H26" s="326" t="s">
        <v>3871</v>
      </c>
    </row>
    <row r="27" spans="1:8" ht="24.15" customHeight="1">
      <c r="A27" s="10">
        <v>25</v>
      </c>
      <c r="B27" s="21" t="s">
        <v>106</v>
      </c>
      <c r="C27" s="21" t="s">
        <v>3512</v>
      </c>
      <c r="D27" s="1" t="s">
        <v>136</v>
      </c>
      <c r="E27" s="2">
        <v>3000</v>
      </c>
      <c r="F27" s="1">
        <v>67</v>
      </c>
      <c r="G27" s="2">
        <v>201000</v>
      </c>
      <c r="H27" s="326" t="s">
        <v>3862</v>
      </c>
    </row>
    <row r="28" spans="1:8" ht="24.15" customHeight="1">
      <c r="A28" s="3">
        <v>26</v>
      </c>
      <c r="B28" s="21" t="s">
        <v>106</v>
      </c>
      <c r="C28" s="21" t="s">
        <v>3513</v>
      </c>
      <c r="D28" s="1" t="s">
        <v>136</v>
      </c>
      <c r="E28" s="2">
        <v>5000</v>
      </c>
      <c r="F28" s="1">
        <v>67</v>
      </c>
      <c r="G28" s="2">
        <v>335000</v>
      </c>
      <c r="H28" s="326" t="s">
        <v>3872</v>
      </c>
    </row>
    <row r="29" spans="1:8" ht="24.15" customHeight="1">
      <c r="A29" s="10">
        <v>27</v>
      </c>
      <c r="B29" s="21" t="s">
        <v>106</v>
      </c>
      <c r="C29" s="21" t="s">
        <v>3514</v>
      </c>
      <c r="D29" s="1" t="s">
        <v>202</v>
      </c>
      <c r="E29" s="2">
        <v>2000</v>
      </c>
      <c r="F29" s="1">
        <v>67</v>
      </c>
      <c r="G29" s="2">
        <v>134000</v>
      </c>
      <c r="H29" s="326" t="s">
        <v>3876</v>
      </c>
    </row>
    <row r="30" spans="1:8" ht="24.15" customHeight="1">
      <c r="A30" s="3">
        <v>28</v>
      </c>
      <c r="B30" s="21" t="s">
        <v>106</v>
      </c>
      <c r="C30" s="21" t="s">
        <v>738</v>
      </c>
      <c r="D30" s="1" t="s">
        <v>75</v>
      </c>
      <c r="E30" s="2">
        <v>7000</v>
      </c>
      <c r="F30" s="1">
        <v>67</v>
      </c>
      <c r="G30" s="2">
        <v>469000</v>
      </c>
      <c r="H30" s="326" t="s">
        <v>3875</v>
      </c>
    </row>
    <row r="31" spans="1:8" ht="24.15" customHeight="1">
      <c r="A31" s="10">
        <v>29</v>
      </c>
      <c r="B31" s="21" t="s">
        <v>106</v>
      </c>
      <c r="C31" s="21" t="s">
        <v>3515</v>
      </c>
      <c r="D31" s="1" t="s">
        <v>75</v>
      </c>
      <c r="E31" s="2">
        <v>1000</v>
      </c>
      <c r="F31" s="1">
        <v>67</v>
      </c>
      <c r="G31" s="2">
        <v>67000</v>
      </c>
      <c r="H31" s="326" t="s">
        <v>3868</v>
      </c>
    </row>
    <row r="32" spans="1:8" ht="24.15" customHeight="1">
      <c r="A32" s="3">
        <v>30</v>
      </c>
      <c r="B32" s="21" t="s">
        <v>106</v>
      </c>
      <c r="C32" s="21" t="s">
        <v>3516</v>
      </c>
      <c r="D32" s="1" t="s">
        <v>377</v>
      </c>
      <c r="E32" s="2">
        <v>5000</v>
      </c>
      <c r="F32" s="1">
        <v>67</v>
      </c>
      <c r="G32" s="2">
        <v>335000</v>
      </c>
      <c r="H32" s="326" t="s">
        <v>3877</v>
      </c>
    </row>
    <row r="33" spans="1:8" ht="24.15" customHeight="1">
      <c r="A33" s="10">
        <v>31</v>
      </c>
      <c r="B33" s="21" t="s">
        <v>106</v>
      </c>
      <c r="C33" s="21" t="s">
        <v>3517</v>
      </c>
      <c r="D33" s="1" t="s">
        <v>377</v>
      </c>
      <c r="E33" s="2">
        <v>1000</v>
      </c>
      <c r="F33" s="1">
        <v>67</v>
      </c>
      <c r="G33" s="2">
        <v>67000</v>
      </c>
      <c r="H33" s="326" t="s">
        <v>3862</v>
      </c>
    </row>
    <row r="34" spans="1:8" ht="24.15" customHeight="1">
      <c r="A34" s="3">
        <v>32</v>
      </c>
      <c r="B34" s="21" t="s">
        <v>106</v>
      </c>
      <c r="C34" s="21" t="s">
        <v>3979</v>
      </c>
      <c r="D34" s="1" t="s">
        <v>377</v>
      </c>
      <c r="E34" s="2">
        <v>3000</v>
      </c>
      <c r="F34" s="1">
        <v>67</v>
      </c>
      <c r="G34" s="2">
        <v>201000</v>
      </c>
      <c r="H34" s="326" t="s">
        <v>3878</v>
      </c>
    </row>
    <row r="35" spans="1:8" ht="24.15" customHeight="1">
      <c r="A35" s="10">
        <v>33</v>
      </c>
      <c r="B35" s="21" t="s">
        <v>106</v>
      </c>
      <c r="C35" s="21" t="s">
        <v>774</v>
      </c>
      <c r="D35" s="1" t="s">
        <v>77</v>
      </c>
      <c r="E35" s="2">
        <v>2000</v>
      </c>
      <c r="F35" s="1">
        <v>67</v>
      </c>
      <c r="G35" s="2">
        <v>134000</v>
      </c>
      <c r="H35" s="326" t="s">
        <v>3864</v>
      </c>
    </row>
    <row r="36" spans="1:8" ht="24.15" customHeight="1">
      <c r="A36" s="3">
        <v>34</v>
      </c>
      <c r="B36" s="21" t="s">
        <v>106</v>
      </c>
      <c r="C36" s="21" t="s">
        <v>762</v>
      </c>
      <c r="D36" s="1" t="s">
        <v>77</v>
      </c>
      <c r="E36" s="2">
        <v>2000</v>
      </c>
      <c r="F36" s="1">
        <v>67</v>
      </c>
      <c r="G36" s="2">
        <v>134000</v>
      </c>
      <c r="H36" s="326" t="s">
        <v>3871</v>
      </c>
    </row>
    <row r="37" spans="1:8" ht="24.15" customHeight="1">
      <c r="A37" s="10">
        <v>35</v>
      </c>
      <c r="B37" s="21" t="s">
        <v>106</v>
      </c>
      <c r="C37" s="21" t="s">
        <v>3518</v>
      </c>
      <c r="D37" s="1" t="s">
        <v>77</v>
      </c>
      <c r="E37" s="2">
        <v>2000</v>
      </c>
      <c r="F37" s="1">
        <v>67</v>
      </c>
      <c r="G37" s="2">
        <v>134000</v>
      </c>
      <c r="H37" s="326" t="s">
        <v>3871</v>
      </c>
    </row>
    <row r="38" spans="1:8" ht="24.15" customHeight="1">
      <c r="A38" s="3">
        <v>36</v>
      </c>
      <c r="B38" s="21" t="s">
        <v>106</v>
      </c>
      <c r="C38" s="21" t="s">
        <v>3519</v>
      </c>
      <c r="D38" s="1" t="s">
        <v>110</v>
      </c>
      <c r="E38" s="2">
        <v>20000</v>
      </c>
      <c r="F38" s="1">
        <v>67</v>
      </c>
      <c r="G38" s="2">
        <v>1340000</v>
      </c>
      <c r="H38" s="326" t="s">
        <v>3879</v>
      </c>
    </row>
    <row r="39" spans="1:8" ht="24.15" customHeight="1">
      <c r="A39" s="10">
        <v>37</v>
      </c>
      <c r="B39" s="21" t="s">
        <v>106</v>
      </c>
      <c r="C39" s="21" t="s">
        <v>3520</v>
      </c>
      <c r="D39" s="1" t="s">
        <v>11</v>
      </c>
      <c r="E39" s="2">
        <v>10000</v>
      </c>
      <c r="F39" s="1">
        <v>67</v>
      </c>
      <c r="G39" s="2">
        <v>670000</v>
      </c>
      <c r="H39" s="326" t="s">
        <v>3880</v>
      </c>
    </row>
    <row r="40" spans="1:8" ht="24.15" customHeight="1">
      <c r="A40" s="3">
        <v>38</v>
      </c>
      <c r="B40" s="21" t="s">
        <v>106</v>
      </c>
      <c r="C40" s="21" t="s">
        <v>3521</v>
      </c>
      <c r="D40" s="1" t="s">
        <v>11</v>
      </c>
      <c r="E40" s="2">
        <v>1000</v>
      </c>
      <c r="F40" s="1">
        <v>67</v>
      </c>
      <c r="G40" s="2">
        <v>67000</v>
      </c>
      <c r="H40" s="326" t="s">
        <v>3872</v>
      </c>
    </row>
    <row r="41" spans="1:8" ht="24.15" customHeight="1">
      <c r="A41" s="10">
        <v>39</v>
      </c>
      <c r="B41" s="21" t="s">
        <v>106</v>
      </c>
      <c r="C41" s="21" t="s">
        <v>3522</v>
      </c>
      <c r="D41" s="1" t="s">
        <v>251</v>
      </c>
      <c r="E41" s="2">
        <v>1000</v>
      </c>
      <c r="F41" s="1">
        <v>67</v>
      </c>
      <c r="G41" s="2">
        <v>67000</v>
      </c>
      <c r="H41" s="326" t="s">
        <v>3881</v>
      </c>
    </row>
    <row r="42" spans="1:8" ht="24.15" customHeight="1">
      <c r="A42" s="3">
        <v>40</v>
      </c>
      <c r="B42" s="21" t="s">
        <v>106</v>
      </c>
      <c r="C42" s="21" t="s">
        <v>3523</v>
      </c>
      <c r="D42" s="1" t="s">
        <v>251</v>
      </c>
      <c r="E42" s="2">
        <v>10000</v>
      </c>
      <c r="F42" s="1">
        <v>67</v>
      </c>
      <c r="G42" s="2">
        <v>670000</v>
      </c>
      <c r="H42" s="326" t="s">
        <v>3862</v>
      </c>
    </row>
    <row r="43" spans="1:8" ht="24.15" customHeight="1">
      <c r="A43" s="10">
        <v>41</v>
      </c>
      <c r="B43" s="21" t="s">
        <v>106</v>
      </c>
      <c r="C43" s="21" t="s">
        <v>770</v>
      </c>
      <c r="D43" s="1" t="s">
        <v>253</v>
      </c>
      <c r="E43" s="2">
        <v>1000</v>
      </c>
      <c r="F43" s="1">
        <v>25</v>
      </c>
      <c r="G43" s="2">
        <v>25000</v>
      </c>
      <c r="H43" s="326" t="s">
        <v>3872</v>
      </c>
    </row>
    <row r="44" spans="1:8" ht="24.15" customHeight="1">
      <c r="A44" s="3">
        <v>42</v>
      </c>
      <c r="B44" s="21" t="s">
        <v>106</v>
      </c>
      <c r="C44" s="21" t="s">
        <v>3524</v>
      </c>
      <c r="D44" s="1" t="s">
        <v>253</v>
      </c>
      <c r="E44" s="2">
        <v>1000</v>
      </c>
      <c r="F44" s="1">
        <v>67</v>
      </c>
      <c r="G44" s="2">
        <v>67000</v>
      </c>
      <c r="H44" s="326" t="s">
        <v>3865</v>
      </c>
    </row>
    <row r="45" spans="1:8" ht="24.15" customHeight="1">
      <c r="A45" s="10">
        <v>43</v>
      </c>
      <c r="B45" s="21" t="s">
        <v>106</v>
      </c>
      <c r="C45" s="21" t="s">
        <v>3525</v>
      </c>
      <c r="D45" s="1" t="s">
        <v>253</v>
      </c>
      <c r="E45" s="2">
        <v>4000</v>
      </c>
      <c r="F45" s="1">
        <v>67</v>
      </c>
      <c r="G45" s="2">
        <v>268000</v>
      </c>
      <c r="H45" s="326" t="s">
        <v>3862</v>
      </c>
    </row>
    <row r="46" spans="1:8" ht="24.15" customHeight="1">
      <c r="A46" s="3">
        <v>44</v>
      </c>
      <c r="B46" s="21" t="s">
        <v>106</v>
      </c>
      <c r="C46" s="21" t="s">
        <v>3526</v>
      </c>
      <c r="D46" s="1" t="s">
        <v>199</v>
      </c>
      <c r="E46" s="2">
        <v>3000</v>
      </c>
      <c r="F46" s="1">
        <v>25</v>
      </c>
      <c r="G46" s="2">
        <v>75000</v>
      </c>
      <c r="H46" s="326" t="s">
        <v>3882</v>
      </c>
    </row>
    <row r="47" spans="1:8" ht="24.15" customHeight="1">
      <c r="A47" s="10">
        <v>45</v>
      </c>
      <c r="B47" s="21" t="s">
        <v>106</v>
      </c>
      <c r="C47" s="21" t="s">
        <v>740</v>
      </c>
      <c r="D47" s="1" t="s">
        <v>199</v>
      </c>
      <c r="E47" s="2">
        <v>3000</v>
      </c>
      <c r="F47" s="1">
        <v>67</v>
      </c>
      <c r="G47" s="2">
        <v>201000</v>
      </c>
      <c r="H47" s="326" t="s">
        <v>3882</v>
      </c>
    </row>
    <row r="48" spans="1:8" ht="24.15" customHeight="1">
      <c r="A48" s="3">
        <v>46</v>
      </c>
      <c r="B48" s="21" t="s">
        <v>729</v>
      </c>
      <c r="C48" s="21" t="s">
        <v>3527</v>
      </c>
      <c r="D48" s="1" t="s">
        <v>79</v>
      </c>
      <c r="E48" s="2">
        <v>1000</v>
      </c>
      <c r="F48" s="1">
        <v>25</v>
      </c>
      <c r="G48" s="2">
        <v>25000</v>
      </c>
      <c r="H48" s="326" t="s">
        <v>3866</v>
      </c>
    </row>
    <row r="49" spans="1:8" ht="24.15" customHeight="1">
      <c r="A49" s="10">
        <v>47</v>
      </c>
      <c r="B49" s="21" t="s">
        <v>106</v>
      </c>
      <c r="C49" s="21" t="s">
        <v>3528</v>
      </c>
      <c r="D49" s="1" t="s">
        <v>79</v>
      </c>
      <c r="E49" s="2">
        <v>1000</v>
      </c>
      <c r="F49" s="1">
        <v>25</v>
      </c>
      <c r="G49" s="2">
        <v>25000</v>
      </c>
      <c r="H49" s="326" t="s">
        <v>3881</v>
      </c>
    </row>
    <row r="50" spans="1:8" ht="24.15" customHeight="1">
      <c r="A50" s="3">
        <v>48</v>
      </c>
      <c r="B50" s="21" t="s">
        <v>106</v>
      </c>
      <c r="C50" s="21" t="s">
        <v>3529</v>
      </c>
      <c r="D50" s="1" t="s">
        <v>79</v>
      </c>
      <c r="E50" s="2">
        <v>1000</v>
      </c>
      <c r="F50" s="1">
        <v>25</v>
      </c>
      <c r="G50" s="2">
        <v>25000</v>
      </c>
      <c r="H50" s="326" t="s">
        <v>3871</v>
      </c>
    </row>
    <row r="51" spans="1:8" ht="24.15" customHeight="1">
      <c r="A51" s="10">
        <v>49</v>
      </c>
      <c r="B51" s="21" t="s">
        <v>106</v>
      </c>
      <c r="C51" s="21" t="s">
        <v>764</v>
      </c>
      <c r="D51" s="1" t="s">
        <v>79</v>
      </c>
      <c r="E51" s="2">
        <v>2000</v>
      </c>
      <c r="F51" s="1">
        <v>25</v>
      </c>
      <c r="G51" s="2">
        <v>50000</v>
      </c>
      <c r="H51" s="326" t="s">
        <v>3871</v>
      </c>
    </row>
    <row r="52" spans="1:8" ht="24.15" customHeight="1">
      <c r="A52" s="3">
        <v>50</v>
      </c>
      <c r="B52" s="21" t="s">
        <v>106</v>
      </c>
      <c r="C52" s="21" t="s">
        <v>3530</v>
      </c>
      <c r="D52" s="1" t="s">
        <v>79</v>
      </c>
      <c r="E52" s="2">
        <v>1000</v>
      </c>
      <c r="F52" s="1">
        <v>25</v>
      </c>
      <c r="G52" s="2">
        <v>25000</v>
      </c>
      <c r="H52" s="326" t="s">
        <v>3872</v>
      </c>
    </row>
    <row r="53" spans="1:8" ht="24.15" customHeight="1">
      <c r="A53" s="10">
        <v>51</v>
      </c>
      <c r="B53" s="21" t="s">
        <v>106</v>
      </c>
      <c r="C53" s="21" t="s">
        <v>738</v>
      </c>
      <c r="D53" s="1" t="s">
        <v>79</v>
      </c>
      <c r="E53" s="2">
        <v>5000</v>
      </c>
      <c r="F53" s="1">
        <v>67</v>
      </c>
      <c r="G53" s="2">
        <v>335000</v>
      </c>
      <c r="H53" s="327" t="s">
        <v>3875</v>
      </c>
    </row>
    <row r="54" spans="1:8" ht="24.15" customHeight="1">
      <c r="A54" s="3">
        <v>52</v>
      </c>
      <c r="B54" s="21" t="s">
        <v>106</v>
      </c>
      <c r="C54" s="21" t="s">
        <v>3531</v>
      </c>
      <c r="D54" s="1" t="s">
        <v>79</v>
      </c>
      <c r="E54" s="2">
        <v>5000</v>
      </c>
      <c r="F54" s="1">
        <v>67</v>
      </c>
      <c r="G54" s="2">
        <v>335000</v>
      </c>
      <c r="H54" s="327" t="s">
        <v>3883</v>
      </c>
    </row>
    <row r="55" spans="1:8" ht="24.15" customHeight="1">
      <c r="A55" s="10">
        <v>53</v>
      </c>
      <c r="B55" s="21" t="s">
        <v>106</v>
      </c>
      <c r="C55" s="21" t="s">
        <v>728</v>
      </c>
      <c r="D55" s="1" t="s">
        <v>111</v>
      </c>
      <c r="E55" s="2">
        <v>1000</v>
      </c>
      <c r="F55" s="1">
        <v>25</v>
      </c>
      <c r="G55" s="2">
        <v>25000</v>
      </c>
      <c r="H55" s="327" t="s">
        <v>3866</v>
      </c>
    </row>
    <row r="56" spans="1:8" ht="24.15" customHeight="1">
      <c r="A56" s="63">
        <v>54</v>
      </c>
      <c r="B56" s="21" t="s">
        <v>106</v>
      </c>
      <c r="C56" s="21" t="s">
        <v>736</v>
      </c>
      <c r="D56" s="1" t="s">
        <v>111</v>
      </c>
      <c r="E56" s="2">
        <v>20000</v>
      </c>
      <c r="F56" s="1">
        <v>25</v>
      </c>
      <c r="G56" s="2">
        <v>500000</v>
      </c>
      <c r="H56" s="327" t="s">
        <v>3879</v>
      </c>
    </row>
    <row r="57" spans="1:8" ht="24.15" customHeight="1">
      <c r="A57" s="63">
        <v>55</v>
      </c>
      <c r="B57" s="21" t="s">
        <v>106</v>
      </c>
      <c r="C57" s="21" t="s">
        <v>739</v>
      </c>
      <c r="D57" s="1" t="s">
        <v>111</v>
      </c>
      <c r="E57" s="2">
        <v>5000</v>
      </c>
      <c r="F57" s="1">
        <v>25</v>
      </c>
      <c r="G57" s="2">
        <v>125000</v>
      </c>
      <c r="H57" s="327" t="s">
        <v>3864</v>
      </c>
    </row>
    <row r="58" spans="1:8" ht="24.15" customHeight="1">
      <c r="A58" s="3">
        <v>56</v>
      </c>
      <c r="B58" s="21" t="s">
        <v>106</v>
      </c>
      <c r="C58" s="21" t="s">
        <v>3532</v>
      </c>
      <c r="D58" s="1" t="s">
        <v>111</v>
      </c>
      <c r="E58" s="2">
        <v>15000</v>
      </c>
      <c r="F58" s="1">
        <v>25</v>
      </c>
      <c r="G58" s="2">
        <v>375000</v>
      </c>
      <c r="H58" s="327" t="s">
        <v>3877</v>
      </c>
    </row>
    <row r="59" spans="1:8" ht="24.15" customHeight="1">
      <c r="A59" s="10">
        <v>57</v>
      </c>
      <c r="B59" s="21" t="s">
        <v>106</v>
      </c>
      <c r="C59" s="21" t="s">
        <v>459</v>
      </c>
      <c r="D59" s="1" t="s">
        <v>111</v>
      </c>
      <c r="E59" s="2">
        <v>8000</v>
      </c>
      <c r="F59" s="1">
        <v>25</v>
      </c>
      <c r="G59" s="2">
        <v>200000</v>
      </c>
      <c r="H59" s="326" t="s">
        <v>3877</v>
      </c>
    </row>
    <row r="60" spans="1:8" ht="24.15" customHeight="1">
      <c r="A60" s="3">
        <v>58</v>
      </c>
      <c r="B60" s="21" t="s">
        <v>106</v>
      </c>
      <c r="C60" s="21" t="s">
        <v>756</v>
      </c>
      <c r="D60" s="1" t="s">
        <v>111</v>
      </c>
      <c r="E60" s="2">
        <v>1000</v>
      </c>
      <c r="F60" s="1">
        <v>25</v>
      </c>
      <c r="G60" s="2">
        <v>25000</v>
      </c>
      <c r="H60" s="326" t="s">
        <v>3874</v>
      </c>
    </row>
    <row r="61" spans="1:8" ht="24.15" customHeight="1">
      <c r="A61" s="10">
        <v>59</v>
      </c>
      <c r="B61" s="21" t="s">
        <v>106</v>
      </c>
      <c r="C61" s="21" t="s">
        <v>771</v>
      </c>
      <c r="D61" s="1" t="s">
        <v>111</v>
      </c>
      <c r="E61" s="2">
        <v>5000</v>
      </c>
      <c r="F61" s="1">
        <v>25</v>
      </c>
      <c r="G61" s="2">
        <v>125000</v>
      </c>
      <c r="H61" s="326" t="s">
        <v>3872</v>
      </c>
    </row>
    <row r="62" spans="1:8" ht="24.15" customHeight="1">
      <c r="A62" s="3">
        <v>60</v>
      </c>
      <c r="B62" s="21" t="s">
        <v>106</v>
      </c>
      <c r="C62" s="21" t="s">
        <v>772</v>
      </c>
      <c r="D62" s="1" t="s">
        <v>111</v>
      </c>
      <c r="E62" s="2">
        <v>5000</v>
      </c>
      <c r="F62" s="1">
        <v>25</v>
      </c>
      <c r="G62" s="2">
        <v>125000</v>
      </c>
      <c r="H62" s="326" t="s">
        <v>3872</v>
      </c>
    </row>
    <row r="63" spans="1:8" ht="24.15" customHeight="1">
      <c r="A63" s="10">
        <v>61</v>
      </c>
      <c r="B63" s="21" t="s">
        <v>106</v>
      </c>
      <c r="C63" s="21" t="s">
        <v>3533</v>
      </c>
      <c r="D63" s="1" t="s">
        <v>111</v>
      </c>
      <c r="E63" s="2">
        <v>2000</v>
      </c>
      <c r="F63" s="1">
        <v>67</v>
      </c>
      <c r="G63" s="2">
        <v>134000</v>
      </c>
      <c r="H63" s="326" t="s">
        <v>3884</v>
      </c>
    </row>
    <row r="64" spans="1:8" ht="24.15" customHeight="1">
      <c r="A64" s="3">
        <v>62</v>
      </c>
      <c r="B64" s="21" t="s">
        <v>106</v>
      </c>
      <c r="C64" s="21" t="s">
        <v>3534</v>
      </c>
      <c r="D64" s="1" t="s">
        <v>111</v>
      </c>
      <c r="E64" s="2">
        <v>2000</v>
      </c>
      <c r="F64" s="1">
        <v>67</v>
      </c>
      <c r="G64" s="2">
        <v>134000</v>
      </c>
      <c r="H64" s="326" t="s">
        <v>3883</v>
      </c>
    </row>
    <row r="65" spans="1:8" ht="24.15" customHeight="1">
      <c r="A65" s="10">
        <v>63</v>
      </c>
      <c r="B65" s="21" t="s">
        <v>106</v>
      </c>
      <c r="C65" s="21" t="s">
        <v>459</v>
      </c>
      <c r="D65" s="1" t="s">
        <v>111</v>
      </c>
      <c r="E65" s="2">
        <v>2000</v>
      </c>
      <c r="F65" s="1">
        <v>67</v>
      </c>
      <c r="G65" s="2">
        <v>134000</v>
      </c>
      <c r="H65" s="326" t="s">
        <v>3877</v>
      </c>
    </row>
    <row r="66" spans="1:8" ht="24.15" customHeight="1">
      <c r="A66" s="3">
        <v>64</v>
      </c>
      <c r="B66" s="21" t="s">
        <v>106</v>
      </c>
      <c r="C66" s="21" t="s">
        <v>3535</v>
      </c>
      <c r="D66" s="1" t="s">
        <v>111</v>
      </c>
      <c r="E66" s="2">
        <v>1000</v>
      </c>
      <c r="F66" s="1">
        <v>67</v>
      </c>
      <c r="G66" s="2">
        <v>67000</v>
      </c>
      <c r="H66" s="326" t="s">
        <v>3869</v>
      </c>
    </row>
    <row r="67" spans="1:8" ht="24.15" customHeight="1">
      <c r="A67" s="10">
        <v>65</v>
      </c>
      <c r="B67" s="241" t="s">
        <v>106</v>
      </c>
      <c r="C67" s="241" t="s">
        <v>1565</v>
      </c>
      <c r="D67" s="242" t="s">
        <v>274</v>
      </c>
      <c r="E67" s="243">
        <v>3000</v>
      </c>
      <c r="F67" s="242">
        <v>25</v>
      </c>
      <c r="G67" s="243">
        <v>75000</v>
      </c>
      <c r="H67" s="328" t="s">
        <v>3885</v>
      </c>
    </row>
    <row r="68" spans="1:8" ht="24.15" customHeight="1">
      <c r="A68" s="3">
        <v>66</v>
      </c>
      <c r="B68" s="21" t="s">
        <v>106</v>
      </c>
      <c r="C68" s="21" t="s">
        <v>3536</v>
      </c>
      <c r="D68" s="1" t="s">
        <v>274</v>
      </c>
      <c r="E68" s="2">
        <v>2000</v>
      </c>
      <c r="F68" s="1">
        <v>25</v>
      </c>
      <c r="G68" s="2">
        <v>50000</v>
      </c>
      <c r="H68" s="326" t="s">
        <v>3868</v>
      </c>
    </row>
    <row r="69" spans="1:8" ht="24.15" customHeight="1">
      <c r="A69" s="10">
        <v>67</v>
      </c>
      <c r="B69" s="21" t="s">
        <v>106</v>
      </c>
      <c r="C69" s="21" t="s">
        <v>3537</v>
      </c>
      <c r="D69" s="1" t="s">
        <v>274</v>
      </c>
      <c r="E69" s="2">
        <v>6000</v>
      </c>
      <c r="F69" s="1">
        <v>67</v>
      </c>
      <c r="G69" s="2">
        <v>402000</v>
      </c>
      <c r="H69" s="326" t="s">
        <v>3863</v>
      </c>
    </row>
    <row r="70" spans="1:8" ht="24.15" customHeight="1">
      <c r="A70" s="3">
        <v>68</v>
      </c>
      <c r="B70" s="241" t="s">
        <v>106</v>
      </c>
      <c r="C70" s="241" t="s">
        <v>741</v>
      </c>
      <c r="D70" s="242" t="s">
        <v>274</v>
      </c>
      <c r="E70" s="243">
        <v>3000</v>
      </c>
      <c r="F70" s="242">
        <v>67</v>
      </c>
      <c r="G70" s="243">
        <v>201000</v>
      </c>
      <c r="H70" s="328" t="s">
        <v>3885</v>
      </c>
    </row>
    <row r="71" spans="1:8" ht="24.15" customHeight="1">
      <c r="A71" s="10">
        <v>69</v>
      </c>
      <c r="B71" s="21" t="s">
        <v>106</v>
      </c>
      <c r="C71" s="21" t="s">
        <v>750</v>
      </c>
      <c r="D71" s="1" t="s">
        <v>274</v>
      </c>
      <c r="E71" s="2">
        <v>2000</v>
      </c>
      <c r="F71" s="1">
        <v>67</v>
      </c>
      <c r="G71" s="2">
        <v>134000</v>
      </c>
      <c r="H71" s="326" t="s">
        <v>3868</v>
      </c>
    </row>
    <row r="72" spans="1:8" ht="24.15" customHeight="1">
      <c r="A72" s="3">
        <v>70</v>
      </c>
      <c r="B72" s="21" t="s">
        <v>106</v>
      </c>
      <c r="C72" s="21" t="s">
        <v>3538</v>
      </c>
      <c r="D72" s="1" t="s">
        <v>129</v>
      </c>
      <c r="E72" s="2">
        <v>3000</v>
      </c>
      <c r="F72" s="1">
        <v>25</v>
      </c>
      <c r="G72" s="2">
        <v>75000</v>
      </c>
      <c r="H72" s="326" t="s">
        <v>3867</v>
      </c>
    </row>
    <row r="73" spans="1:8" ht="24.15" customHeight="1">
      <c r="A73" s="10">
        <v>71</v>
      </c>
      <c r="B73" s="21" t="s">
        <v>106</v>
      </c>
      <c r="C73" s="21" t="s">
        <v>3539</v>
      </c>
      <c r="D73" s="1" t="s">
        <v>129</v>
      </c>
      <c r="E73" s="2">
        <v>1000</v>
      </c>
      <c r="F73" s="1">
        <v>25</v>
      </c>
      <c r="G73" s="2">
        <v>25000</v>
      </c>
      <c r="H73" s="326" t="s">
        <v>3886</v>
      </c>
    </row>
    <row r="74" spans="1:8" ht="24.15" customHeight="1">
      <c r="A74" s="3">
        <v>72</v>
      </c>
      <c r="B74" s="21" t="s">
        <v>106</v>
      </c>
      <c r="C74" s="21" t="s">
        <v>765</v>
      </c>
      <c r="D74" s="1" t="s">
        <v>129</v>
      </c>
      <c r="E74" s="2">
        <v>5000</v>
      </c>
      <c r="F74" s="1">
        <v>25</v>
      </c>
      <c r="G74" s="2">
        <v>125000</v>
      </c>
      <c r="H74" s="326" t="s">
        <v>3871</v>
      </c>
    </row>
    <row r="75" spans="1:8" ht="24.15" customHeight="1">
      <c r="A75" s="10">
        <v>73</v>
      </c>
      <c r="B75" s="21" t="s">
        <v>106</v>
      </c>
      <c r="C75" s="21" t="s">
        <v>767</v>
      </c>
      <c r="D75" s="1" t="s">
        <v>129</v>
      </c>
      <c r="E75" s="2">
        <v>3000</v>
      </c>
      <c r="F75" s="1">
        <v>25</v>
      </c>
      <c r="G75" s="2">
        <v>75000</v>
      </c>
      <c r="H75" s="326" t="s">
        <v>3862</v>
      </c>
    </row>
    <row r="76" spans="1:8" ht="24.15" customHeight="1">
      <c r="A76" s="3">
        <v>74</v>
      </c>
      <c r="B76" s="21" t="s">
        <v>106</v>
      </c>
      <c r="C76" s="21" t="s">
        <v>731</v>
      </c>
      <c r="D76" s="1" t="s">
        <v>129</v>
      </c>
      <c r="E76" s="2">
        <v>3000</v>
      </c>
      <c r="F76" s="1">
        <v>67</v>
      </c>
      <c r="G76" s="2">
        <v>201000</v>
      </c>
      <c r="H76" s="326" t="s">
        <v>3867</v>
      </c>
    </row>
    <row r="77" spans="1:8" ht="24.15" customHeight="1">
      <c r="A77" s="10">
        <v>75</v>
      </c>
      <c r="B77" s="21" t="s">
        <v>106</v>
      </c>
      <c r="C77" s="21" t="s">
        <v>3540</v>
      </c>
      <c r="D77" s="1" t="s">
        <v>129</v>
      </c>
      <c r="E77" s="2">
        <v>2000</v>
      </c>
      <c r="F77" s="1">
        <v>67</v>
      </c>
      <c r="G77" s="2">
        <v>134000</v>
      </c>
      <c r="H77" s="326" t="s">
        <v>3886</v>
      </c>
    </row>
    <row r="78" spans="1:8" ht="24.15" customHeight="1">
      <c r="A78" s="3">
        <v>76</v>
      </c>
      <c r="B78" s="21" t="s">
        <v>106</v>
      </c>
      <c r="C78" s="21" t="s">
        <v>743</v>
      </c>
      <c r="D78" s="1" t="s">
        <v>129</v>
      </c>
      <c r="E78" s="2">
        <v>1000</v>
      </c>
      <c r="F78" s="1">
        <v>67</v>
      </c>
      <c r="G78" s="2">
        <v>67000</v>
      </c>
      <c r="H78" s="326" t="s">
        <v>3886</v>
      </c>
    </row>
    <row r="79" spans="1:8" ht="24.15" customHeight="1">
      <c r="A79" s="10">
        <v>77</v>
      </c>
      <c r="B79" s="21" t="s">
        <v>106</v>
      </c>
      <c r="C79" s="21" t="s">
        <v>3541</v>
      </c>
      <c r="D79" s="1" t="s">
        <v>129</v>
      </c>
      <c r="E79" s="2">
        <v>2000</v>
      </c>
      <c r="F79" s="1">
        <v>67</v>
      </c>
      <c r="G79" s="2">
        <v>134000</v>
      </c>
      <c r="H79" s="326" t="s">
        <v>3877</v>
      </c>
    </row>
    <row r="80" spans="1:8" ht="24.15" customHeight="1">
      <c r="A80" s="3">
        <v>78</v>
      </c>
      <c r="B80" s="21" t="s">
        <v>106</v>
      </c>
      <c r="C80" s="21" t="s">
        <v>3542</v>
      </c>
      <c r="D80" s="1" t="s">
        <v>223</v>
      </c>
      <c r="E80" s="2">
        <v>2000</v>
      </c>
      <c r="F80" s="1">
        <v>25</v>
      </c>
      <c r="G80" s="2">
        <v>50000</v>
      </c>
      <c r="H80" s="326" t="s">
        <v>3862</v>
      </c>
    </row>
    <row r="81" spans="1:8" ht="24.15" customHeight="1">
      <c r="A81" s="10">
        <v>79</v>
      </c>
      <c r="B81" s="21" t="s">
        <v>106</v>
      </c>
      <c r="C81" s="21" t="s">
        <v>766</v>
      </c>
      <c r="D81" s="1" t="s">
        <v>223</v>
      </c>
      <c r="E81" s="2">
        <v>2000</v>
      </c>
      <c r="F81" s="1">
        <v>67</v>
      </c>
      <c r="G81" s="2">
        <v>134000</v>
      </c>
      <c r="H81" s="326" t="s">
        <v>3862</v>
      </c>
    </row>
    <row r="82" spans="1:8" ht="24.15" customHeight="1">
      <c r="A82" s="3">
        <v>80</v>
      </c>
      <c r="B82" s="21" t="s">
        <v>106</v>
      </c>
      <c r="C82" s="21" t="s">
        <v>755</v>
      </c>
      <c r="D82" s="1" t="s">
        <v>140</v>
      </c>
      <c r="E82" s="2">
        <v>2000</v>
      </c>
      <c r="F82" s="1">
        <v>25</v>
      </c>
      <c r="G82" s="2">
        <v>50000</v>
      </c>
      <c r="H82" s="326" t="s">
        <v>3874</v>
      </c>
    </row>
    <row r="83" spans="1:8" ht="24.15" customHeight="1">
      <c r="A83" s="10">
        <v>81</v>
      </c>
      <c r="B83" s="21" t="s">
        <v>106</v>
      </c>
      <c r="C83" s="21" t="s">
        <v>762</v>
      </c>
      <c r="D83" s="1" t="s">
        <v>140</v>
      </c>
      <c r="E83" s="2">
        <v>4000</v>
      </c>
      <c r="F83" s="1">
        <v>25</v>
      </c>
      <c r="G83" s="2">
        <v>100000</v>
      </c>
      <c r="H83" s="326" t="s">
        <v>3871</v>
      </c>
    </row>
    <row r="84" spans="1:8" ht="24.15" customHeight="1">
      <c r="A84" s="3">
        <v>82</v>
      </c>
      <c r="B84" s="21" t="s">
        <v>106</v>
      </c>
      <c r="C84" s="21" t="s">
        <v>733</v>
      </c>
      <c r="D84" s="1" t="s">
        <v>125</v>
      </c>
      <c r="E84" s="2">
        <v>6000</v>
      </c>
      <c r="F84" s="1">
        <v>25</v>
      </c>
      <c r="G84" s="2">
        <v>150000</v>
      </c>
      <c r="H84" s="326" t="s">
        <v>3863</v>
      </c>
    </row>
    <row r="85" spans="1:8" ht="24.15" customHeight="1">
      <c r="A85" s="10">
        <v>83</v>
      </c>
      <c r="B85" s="21" t="s">
        <v>106</v>
      </c>
      <c r="C85" s="21" t="s">
        <v>3543</v>
      </c>
      <c r="D85" s="1" t="s">
        <v>125</v>
      </c>
      <c r="E85" s="2">
        <v>6000</v>
      </c>
      <c r="F85" s="1">
        <v>67</v>
      </c>
      <c r="G85" s="2">
        <v>402000</v>
      </c>
      <c r="H85" s="326" t="s">
        <v>3866</v>
      </c>
    </row>
    <row r="86" spans="1:8" ht="24.15" customHeight="1">
      <c r="A86" s="3">
        <v>84</v>
      </c>
      <c r="B86" s="21" t="s">
        <v>106</v>
      </c>
      <c r="C86" s="21" t="s">
        <v>3544</v>
      </c>
      <c r="D86" s="1" t="s">
        <v>125</v>
      </c>
      <c r="E86" s="2">
        <v>2000</v>
      </c>
      <c r="F86" s="1">
        <v>67</v>
      </c>
      <c r="G86" s="2">
        <v>134000</v>
      </c>
      <c r="H86" s="326" t="s">
        <v>3884</v>
      </c>
    </row>
    <row r="87" spans="1:8" ht="24.15" customHeight="1">
      <c r="A87" s="10">
        <v>85</v>
      </c>
      <c r="B87" s="21" t="s">
        <v>106</v>
      </c>
      <c r="C87" s="21" t="s">
        <v>742</v>
      </c>
      <c r="D87" s="1" t="s">
        <v>195</v>
      </c>
      <c r="E87" s="2">
        <v>2000</v>
      </c>
      <c r="F87" s="1">
        <v>25</v>
      </c>
      <c r="G87" s="2">
        <v>50000</v>
      </c>
      <c r="H87" s="326" t="s">
        <v>3886</v>
      </c>
    </row>
    <row r="88" spans="1:8" ht="24.15" customHeight="1">
      <c r="A88" s="3">
        <v>86</v>
      </c>
      <c r="B88" s="21" t="s">
        <v>106</v>
      </c>
      <c r="C88" s="21" t="s">
        <v>754</v>
      </c>
      <c r="D88" s="1" t="s">
        <v>195</v>
      </c>
      <c r="E88" s="2">
        <v>1000</v>
      </c>
      <c r="F88" s="1">
        <v>25</v>
      </c>
      <c r="G88" s="2">
        <v>25000</v>
      </c>
      <c r="H88" s="326" t="s">
        <v>3869</v>
      </c>
    </row>
    <row r="89" spans="1:8" ht="24.15" customHeight="1">
      <c r="A89" s="10">
        <v>87</v>
      </c>
      <c r="B89" s="21" t="s">
        <v>106</v>
      </c>
      <c r="C89" s="21" t="s">
        <v>768</v>
      </c>
      <c r="D89" s="1" t="s">
        <v>195</v>
      </c>
      <c r="E89" s="2">
        <v>4000</v>
      </c>
      <c r="F89" s="1">
        <v>25</v>
      </c>
      <c r="G89" s="2">
        <v>100000</v>
      </c>
      <c r="H89" s="326" t="s">
        <v>3862</v>
      </c>
    </row>
    <row r="90" spans="1:8" ht="24.15" customHeight="1">
      <c r="A90" s="3">
        <v>88</v>
      </c>
      <c r="B90" s="21" t="s">
        <v>106</v>
      </c>
      <c r="C90" s="21" t="s">
        <v>754</v>
      </c>
      <c r="D90" s="1" t="s">
        <v>195</v>
      </c>
      <c r="E90" s="2">
        <v>1000</v>
      </c>
      <c r="F90" s="1">
        <v>67</v>
      </c>
      <c r="G90" s="2">
        <v>67000</v>
      </c>
      <c r="H90" s="326" t="s">
        <v>3869</v>
      </c>
    </row>
    <row r="91" spans="1:8" ht="24.15" customHeight="1">
      <c r="A91" s="10">
        <v>89</v>
      </c>
      <c r="B91" s="21" t="s">
        <v>106</v>
      </c>
      <c r="C91" s="21" t="s">
        <v>3545</v>
      </c>
      <c r="D91" s="1" t="s">
        <v>80</v>
      </c>
      <c r="E91" s="2">
        <v>10000</v>
      </c>
      <c r="F91" s="1">
        <v>25</v>
      </c>
      <c r="G91" s="2">
        <v>250000</v>
      </c>
      <c r="H91" s="326" t="s">
        <v>3883</v>
      </c>
    </row>
    <row r="92" spans="1:8" ht="24.15" customHeight="1">
      <c r="A92" s="3">
        <v>90</v>
      </c>
      <c r="B92" s="21" t="s">
        <v>106</v>
      </c>
      <c r="C92" s="21" t="s">
        <v>748</v>
      </c>
      <c r="D92" s="1" t="s">
        <v>80</v>
      </c>
      <c r="E92" s="2">
        <v>10000</v>
      </c>
      <c r="F92" s="1">
        <v>67</v>
      </c>
      <c r="G92" s="2">
        <v>670000</v>
      </c>
      <c r="H92" s="326" t="s">
        <v>3883</v>
      </c>
    </row>
    <row r="93" spans="1:8" ht="24.15" customHeight="1">
      <c r="A93" s="10">
        <v>91</v>
      </c>
      <c r="B93" s="21" t="s">
        <v>106</v>
      </c>
      <c r="C93" s="21" t="s">
        <v>3546</v>
      </c>
      <c r="D93" s="1" t="s">
        <v>388</v>
      </c>
      <c r="E93" s="2">
        <v>2000</v>
      </c>
      <c r="F93" s="1">
        <v>25</v>
      </c>
      <c r="G93" s="2">
        <v>50000</v>
      </c>
      <c r="H93" s="326" t="s">
        <v>3875</v>
      </c>
    </row>
    <row r="94" spans="1:8" ht="24.15" customHeight="1">
      <c r="A94" s="3">
        <v>92</v>
      </c>
      <c r="B94" s="21" t="s">
        <v>106</v>
      </c>
      <c r="C94" s="21" t="s">
        <v>3547</v>
      </c>
      <c r="D94" s="1" t="s">
        <v>388</v>
      </c>
      <c r="E94" s="2">
        <v>1000</v>
      </c>
      <c r="F94" s="1">
        <v>25</v>
      </c>
      <c r="G94" s="2">
        <v>25000</v>
      </c>
      <c r="H94" s="326" t="s">
        <v>3870</v>
      </c>
    </row>
    <row r="95" spans="1:8" ht="24.15" customHeight="1">
      <c r="A95" s="10">
        <v>93</v>
      </c>
      <c r="B95" s="21" t="s">
        <v>106</v>
      </c>
      <c r="C95" s="21" t="s">
        <v>3548</v>
      </c>
      <c r="D95" s="1" t="s">
        <v>388</v>
      </c>
      <c r="E95" s="2">
        <v>5000</v>
      </c>
      <c r="F95" s="1">
        <v>25</v>
      </c>
      <c r="G95" s="2">
        <v>125000</v>
      </c>
      <c r="H95" s="326" t="s">
        <v>3870</v>
      </c>
    </row>
    <row r="96" spans="1:8" ht="24.15" customHeight="1">
      <c r="A96" s="3">
        <v>94</v>
      </c>
      <c r="B96" s="21" t="s">
        <v>106</v>
      </c>
      <c r="C96" s="21" t="s">
        <v>737</v>
      </c>
      <c r="D96" s="1" t="s">
        <v>388</v>
      </c>
      <c r="E96" s="2">
        <v>2000</v>
      </c>
      <c r="F96" s="1">
        <v>67</v>
      </c>
      <c r="G96" s="2">
        <v>134000</v>
      </c>
      <c r="H96" s="326" t="s">
        <v>3875</v>
      </c>
    </row>
    <row r="97" spans="1:8" ht="24.15" customHeight="1">
      <c r="A97" s="10">
        <v>95</v>
      </c>
      <c r="B97" s="21" t="s">
        <v>106</v>
      </c>
      <c r="C97" s="21" t="s">
        <v>757</v>
      </c>
      <c r="D97" s="1" t="s">
        <v>388</v>
      </c>
      <c r="E97" s="2">
        <v>1000</v>
      </c>
      <c r="F97" s="1">
        <v>67</v>
      </c>
      <c r="G97" s="2">
        <v>67000</v>
      </c>
      <c r="H97" s="326" t="s">
        <v>3870</v>
      </c>
    </row>
    <row r="98" spans="1:8" ht="24.15" customHeight="1">
      <c r="A98" s="3">
        <v>96</v>
      </c>
      <c r="B98" s="21" t="s">
        <v>106</v>
      </c>
      <c r="C98" s="21" t="s">
        <v>761</v>
      </c>
      <c r="D98" s="1" t="s">
        <v>388</v>
      </c>
      <c r="E98" s="2">
        <v>5000</v>
      </c>
      <c r="F98" s="1">
        <v>67</v>
      </c>
      <c r="G98" s="2">
        <v>335000</v>
      </c>
      <c r="H98" s="326" t="s">
        <v>3870</v>
      </c>
    </row>
    <row r="99" spans="1:8" ht="24.15" customHeight="1">
      <c r="A99" s="10">
        <v>97</v>
      </c>
      <c r="B99" s="21" t="s">
        <v>106</v>
      </c>
      <c r="C99" s="21" t="s">
        <v>737</v>
      </c>
      <c r="D99" s="1" t="s">
        <v>185</v>
      </c>
      <c r="E99" s="2">
        <v>2000</v>
      </c>
      <c r="F99" s="1">
        <v>25</v>
      </c>
      <c r="G99" s="2">
        <v>50000</v>
      </c>
      <c r="H99" s="326" t="s">
        <v>3875</v>
      </c>
    </row>
    <row r="100" spans="1:8" ht="24.15" customHeight="1">
      <c r="A100" s="3">
        <v>98</v>
      </c>
      <c r="B100" s="21" t="s">
        <v>106</v>
      </c>
      <c r="C100" s="21" t="s">
        <v>737</v>
      </c>
      <c r="D100" s="1" t="s">
        <v>185</v>
      </c>
      <c r="E100" s="2">
        <v>2000</v>
      </c>
      <c r="F100" s="1">
        <v>67</v>
      </c>
      <c r="G100" s="2">
        <v>134000</v>
      </c>
      <c r="H100" s="326" t="s">
        <v>3875</v>
      </c>
    </row>
    <row r="101" spans="1:8" ht="24.15" customHeight="1">
      <c r="A101" s="10">
        <v>99</v>
      </c>
      <c r="B101" s="21" t="s">
        <v>106</v>
      </c>
      <c r="C101" s="21" t="s">
        <v>3549</v>
      </c>
      <c r="D101" s="1" t="s">
        <v>220</v>
      </c>
      <c r="E101" s="2">
        <v>1000</v>
      </c>
      <c r="F101" s="1">
        <v>25</v>
      </c>
      <c r="G101" s="2">
        <v>25000</v>
      </c>
      <c r="H101" s="326" t="s">
        <v>3868</v>
      </c>
    </row>
    <row r="102" spans="1:8" ht="24.15" customHeight="1">
      <c r="A102" s="3">
        <v>100</v>
      </c>
      <c r="B102" s="21" t="s">
        <v>106</v>
      </c>
      <c r="C102" s="21" t="s">
        <v>749</v>
      </c>
      <c r="D102" s="1" t="s">
        <v>220</v>
      </c>
      <c r="E102" s="2">
        <v>1000</v>
      </c>
      <c r="F102" s="1">
        <v>67</v>
      </c>
      <c r="G102" s="2">
        <v>67000</v>
      </c>
      <c r="H102" s="326" t="s">
        <v>3868</v>
      </c>
    </row>
    <row r="103" spans="1:8" ht="24.15" customHeight="1">
      <c r="A103" s="10">
        <v>101</v>
      </c>
      <c r="B103" s="21" t="s">
        <v>106</v>
      </c>
      <c r="C103" s="21" t="s">
        <v>3550</v>
      </c>
      <c r="D103" s="1" t="s">
        <v>220</v>
      </c>
      <c r="E103" s="2">
        <v>10000</v>
      </c>
      <c r="F103" s="1">
        <v>67</v>
      </c>
      <c r="G103" s="2">
        <v>670000</v>
      </c>
      <c r="H103" s="326" t="s">
        <v>3870</v>
      </c>
    </row>
    <row r="104" spans="1:8" ht="24.15" customHeight="1">
      <c r="A104" s="3">
        <v>102</v>
      </c>
      <c r="B104" s="21" t="s">
        <v>106</v>
      </c>
      <c r="C104" s="21" t="s">
        <v>3551</v>
      </c>
      <c r="D104" s="1" t="s">
        <v>364</v>
      </c>
      <c r="E104" s="2">
        <v>1000</v>
      </c>
      <c r="F104" s="1">
        <v>25</v>
      </c>
      <c r="G104" s="2">
        <v>25000</v>
      </c>
      <c r="H104" s="326" t="s">
        <v>3866</v>
      </c>
    </row>
    <row r="105" spans="1:8" ht="24.15" customHeight="1">
      <c r="A105" s="10">
        <v>103</v>
      </c>
      <c r="B105" s="21" t="s">
        <v>106</v>
      </c>
      <c r="C105" s="21" t="s">
        <v>3552</v>
      </c>
      <c r="D105" s="1" t="s">
        <v>364</v>
      </c>
      <c r="E105" s="2">
        <v>2000</v>
      </c>
      <c r="F105" s="1">
        <v>25</v>
      </c>
      <c r="G105" s="2">
        <v>50000</v>
      </c>
      <c r="H105" s="326" t="s">
        <v>3870</v>
      </c>
    </row>
    <row r="106" spans="1:8" ht="24.15" customHeight="1">
      <c r="A106" s="3">
        <v>104</v>
      </c>
      <c r="B106" s="21" t="s">
        <v>106</v>
      </c>
      <c r="C106" s="21" t="s">
        <v>730</v>
      </c>
      <c r="D106" s="1" t="s">
        <v>364</v>
      </c>
      <c r="E106" s="2">
        <v>2000</v>
      </c>
      <c r="F106" s="1">
        <v>67</v>
      </c>
      <c r="G106" s="2">
        <v>134000</v>
      </c>
      <c r="H106" s="326" t="s">
        <v>3866</v>
      </c>
    </row>
    <row r="107" spans="1:8" s="86" customFormat="1" ht="24.15" customHeight="1">
      <c r="A107" s="285">
        <v>105</v>
      </c>
      <c r="B107" s="241" t="s">
        <v>106</v>
      </c>
      <c r="C107" s="241" t="s">
        <v>3553</v>
      </c>
      <c r="D107" s="242" t="s">
        <v>364</v>
      </c>
      <c r="E107" s="243">
        <v>1000</v>
      </c>
      <c r="F107" s="242">
        <v>67</v>
      </c>
      <c r="G107" s="243">
        <v>67000</v>
      </c>
      <c r="H107" s="328" t="s">
        <v>3884</v>
      </c>
    </row>
    <row r="108" spans="1:8" ht="24.15" customHeight="1">
      <c r="A108" s="3">
        <v>106</v>
      </c>
      <c r="B108" s="21" t="s">
        <v>106</v>
      </c>
      <c r="C108" s="21" t="s">
        <v>3554</v>
      </c>
      <c r="D108" s="1" t="s">
        <v>364</v>
      </c>
      <c r="E108" s="2">
        <v>1000</v>
      </c>
      <c r="F108" s="1">
        <v>67</v>
      </c>
      <c r="G108" s="2">
        <v>67000</v>
      </c>
      <c r="H108" s="326" t="s">
        <v>3881</v>
      </c>
    </row>
    <row r="109" spans="1:8" ht="24.15" customHeight="1">
      <c r="A109" s="10">
        <v>107</v>
      </c>
      <c r="B109" s="21" t="s">
        <v>106</v>
      </c>
      <c r="C109" s="21" t="s">
        <v>271</v>
      </c>
      <c r="D109" s="1" t="s">
        <v>364</v>
      </c>
      <c r="E109" s="2">
        <v>2000</v>
      </c>
      <c r="F109" s="1">
        <v>67</v>
      </c>
      <c r="G109" s="2">
        <v>134000</v>
      </c>
      <c r="H109" s="326" t="s">
        <v>3870</v>
      </c>
    </row>
    <row r="110" spans="1:8" ht="24.15" customHeight="1">
      <c r="A110" s="3">
        <v>108</v>
      </c>
      <c r="B110" s="21" t="s">
        <v>106</v>
      </c>
      <c r="C110" s="21" t="s">
        <v>3555</v>
      </c>
      <c r="D110" s="1" t="s">
        <v>12</v>
      </c>
      <c r="E110" s="2">
        <v>5000</v>
      </c>
      <c r="F110" s="1">
        <v>25</v>
      </c>
      <c r="G110" s="2">
        <v>125000</v>
      </c>
      <c r="H110" s="326" t="s">
        <v>3887</v>
      </c>
    </row>
    <row r="111" spans="1:8" ht="24.15" customHeight="1">
      <c r="A111" s="10">
        <v>109</v>
      </c>
      <c r="B111" s="21" t="s">
        <v>106</v>
      </c>
      <c r="C111" s="21" t="s">
        <v>744</v>
      </c>
      <c r="D111" s="1" t="s">
        <v>12</v>
      </c>
      <c r="E111" s="2">
        <v>5000</v>
      </c>
      <c r="F111" s="1">
        <v>67</v>
      </c>
      <c r="G111" s="2">
        <v>335000</v>
      </c>
      <c r="H111" s="326" t="s">
        <v>3887</v>
      </c>
    </row>
    <row r="112" spans="1:8" ht="24.15" customHeight="1">
      <c r="A112" s="3">
        <v>110</v>
      </c>
      <c r="B112" s="21" t="s">
        <v>106</v>
      </c>
      <c r="C112" s="21" t="s">
        <v>3556</v>
      </c>
      <c r="D112" s="1" t="s">
        <v>190</v>
      </c>
      <c r="E112" s="2">
        <v>5000</v>
      </c>
      <c r="F112" s="1">
        <v>25</v>
      </c>
      <c r="G112" s="2">
        <v>125000</v>
      </c>
      <c r="H112" s="326" t="s">
        <v>3881</v>
      </c>
    </row>
    <row r="113" spans="1:8" ht="24.15" customHeight="1">
      <c r="A113" s="10">
        <v>111</v>
      </c>
      <c r="B113" s="21" t="s">
        <v>106</v>
      </c>
      <c r="C113" s="21" t="s">
        <v>749</v>
      </c>
      <c r="D113" s="1" t="s">
        <v>190</v>
      </c>
      <c r="E113" s="2">
        <v>1000</v>
      </c>
      <c r="F113" s="1">
        <v>25</v>
      </c>
      <c r="G113" s="2">
        <v>25000</v>
      </c>
      <c r="H113" s="326" t="s">
        <v>3868</v>
      </c>
    </row>
    <row r="114" spans="1:8" ht="24.15" customHeight="1">
      <c r="A114" s="3">
        <v>112</v>
      </c>
      <c r="B114" s="21" t="s">
        <v>106</v>
      </c>
      <c r="C114" s="21" t="s">
        <v>3557</v>
      </c>
      <c r="D114" s="1" t="s">
        <v>190</v>
      </c>
      <c r="E114" s="2">
        <v>1000</v>
      </c>
      <c r="F114" s="1">
        <v>25</v>
      </c>
      <c r="G114" s="2">
        <v>25000</v>
      </c>
      <c r="H114" s="326" t="s">
        <v>3868</v>
      </c>
    </row>
    <row r="115" spans="1:8" ht="24.15" customHeight="1">
      <c r="A115" s="10">
        <v>113</v>
      </c>
      <c r="B115" s="21" t="s">
        <v>106</v>
      </c>
      <c r="C115" s="21" t="s">
        <v>747</v>
      </c>
      <c r="D115" s="1" t="s">
        <v>190</v>
      </c>
      <c r="E115" s="2">
        <v>5000</v>
      </c>
      <c r="F115" s="1">
        <v>67</v>
      </c>
      <c r="G115" s="2">
        <v>335000</v>
      </c>
      <c r="H115" s="326" t="s">
        <v>3881</v>
      </c>
    </row>
    <row r="116" spans="1:8" ht="24.15" customHeight="1">
      <c r="A116" s="3">
        <v>114</v>
      </c>
      <c r="B116" s="21" t="s">
        <v>106</v>
      </c>
      <c r="C116" s="21" t="s">
        <v>749</v>
      </c>
      <c r="D116" s="1" t="s">
        <v>190</v>
      </c>
      <c r="E116" s="2">
        <v>1000</v>
      </c>
      <c r="F116" s="1">
        <v>67</v>
      </c>
      <c r="G116" s="2">
        <v>67000</v>
      </c>
      <c r="H116" s="326" t="s">
        <v>3868</v>
      </c>
    </row>
    <row r="117" spans="1:8" ht="24.15" customHeight="1">
      <c r="A117" s="10">
        <v>115</v>
      </c>
      <c r="B117" s="21" t="s">
        <v>106</v>
      </c>
      <c r="C117" s="21" t="s">
        <v>751</v>
      </c>
      <c r="D117" s="1" t="s">
        <v>190</v>
      </c>
      <c r="E117" s="2">
        <v>1000</v>
      </c>
      <c r="F117" s="1">
        <v>67</v>
      </c>
      <c r="G117" s="2">
        <v>67000</v>
      </c>
      <c r="H117" s="326" t="s">
        <v>3868</v>
      </c>
    </row>
    <row r="118" spans="1:8" ht="24.15" customHeight="1">
      <c r="A118" s="3">
        <v>116</v>
      </c>
      <c r="B118" s="21" t="s">
        <v>106</v>
      </c>
      <c r="C118" s="21" t="s">
        <v>3558</v>
      </c>
      <c r="D118" s="1" t="s">
        <v>190</v>
      </c>
      <c r="E118" s="2">
        <v>1000</v>
      </c>
      <c r="F118" s="1">
        <v>67</v>
      </c>
      <c r="G118" s="2">
        <v>67000</v>
      </c>
      <c r="H118" s="326" t="s">
        <v>3876</v>
      </c>
    </row>
    <row r="119" spans="1:8" ht="24.15" customHeight="1">
      <c r="A119" s="10">
        <v>117</v>
      </c>
      <c r="B119" s="21" t="s">
        <v>106</v>
      </c>
      <c r="C119" s="21" t="s">
        <v>3559</v>
      </c>
      <c r="D119" s="1" t="s">
        <v>190</v>
      </c>
      <c r="E119" s="2">
        <v>10000</v>
      </c>
      <c r="F119" s="1">
        <v>67</v>
      </c>
      <c r="G119" s="2">
        <v>670000</v>
      </c>
      <c r="H119" s="326" t="s">
        <v>3560</v>
      </c>
    </row>
    <row r="120" spans="1:8" ht="24.15" customHeight="1">
      <c r="A120" s="3">
        <v>118</v>
      </c>
      <c r="B120" s="21" t="s">
        <v>106</v>
      </c>
      <c r="C120" s="21" t="s">
        <v>3561</v>
      </c>
      <c r="D120" s="1" t="s">
        <v>82</v>
      </c>
      <c r="E120" s="2">
        <v>1000</v>
      </c>
      <c r="F120" s="1">
        <v>25</v>
      </c>
      <c r="G120" s="2">
        <v>25000</v>
      </c>
      <c r="H120" s="326" t="s">
        <v>3867</v>
      </c>
    </row>
    <row r="121" spans="1:8" ht="24.15" customHeight="1">
      <c r="A121" s="10">
        <v>119</v>
      </c>
      <c r="B121" s="21" t="s">
        <v>106</v>
      </c>
      <c r="C121" s="21" t="s">
        <v>3563</v>
      </c>
      <c r="D121" s="1" t="s">
        <v>82</v>
      </c>
      <c r="E121" s="2">
        <v>1000</v>
      </c>
      <c r="F121" s="1">
        <v>25</v>
      </c>
      <c r="G121" s="2">
        <v>25000</v>
      </c>
      <c r="H121" s="326" t="s">
        <v>3881</v>
      </c>
    </row>
    <row r="122" spans="1:8" ht="138.65" customHeight="1">
      <c r="A122" s="286">
        <v>120</v>
      </c>
      <c r="B122" s="241" t="s">
        <v>106</v>
      </c>
      <c r="C122" s="241" t="s">
        <v>3562</v>
      </c>
      <c r="D122" s="242" t="s">
        <v>82</v>
      </c>
      <c r="E122" s="243">
        <v>20000</v>
      </c>
      <c r="F122" s="242">
        <v>25</v>
      </c>
      <c r="G122" s="243">
        <v>500000</v>
      </c>
      <c r="H122" s="328" t="s">
        <v>3888</v>
      </c>
    </row>
    <row r="123" spans="1:8" ht="24.15" customHeight="1">
      <c r="A123" s="10">
        <v>121</v>
      </c>
      <c r="B123" s="21" t="s">
        <v>106</v>
      </c>
      <c r="C123" s="21" t="s">
        <v>3564</v>
      </c>
      <c r="D123" s="1" t="s">
        <v>82</v>
      </c>
      <c r="E123" s="2">
        <v>1000</v>
      </c>
      <c r="F123" s="1">
        <v>25</v>
      </c>
      <c r="G123" s="2">
        <v>25000</v>
      </c>
      <c r="H123" s="326" t="s">
        <v>3869</v>
      </c>
    </row>
    <row r="124" spans="1:8" ht="24.15" customHeight="1">
      <c r="A124" s="3">
        <v>122</v>
      </c>
      <c r="B124" s="21" t="s">
        <v>106</v>
      </c>
      <c r="C124" s="21" t="s">
        <v>3565</v>
      </c>
      <c r="D124" s="1" t="s">
        <v>82</v>
      </c>
      <c r="E124" s="2">
        <v>2000</v>
      </c>
      <c r="F124" s="1">
        <v>25</v>
      </c>
      <c r="G124" s="2">
        <v>50000</v>
      </c>
      <c r="H124" s="326" t="s">
        <v>3870</v>
      </c>
    </row>
    <row r="125" spans="1:8" ht="24.15" customHeight="1">
      <c r="A125" s="10">
        <v>123</v>
      </c>
      <c r="B125" s="21" t="s">
        <v>106</v>
      </c>
      <c r="C125" s="21" t="s">
        <v>732</v>
      </c>
      <c r="D125" s="1" t="s">
        <v>82</v>
      </c>
      <c r="E125" s="2">
        <v>1000</v>
      </c>
      <c r="F125" s="1">
        <v>67</v>
      </c>
      <c r="G125" s="2">
        <v>67000</v>
      </c>
      <c r="H125" s="326" t="s">
        <v>3867</v>
      </c>
    </row>
    <row r="126" spans="1:8" ht="24.15" customHeight="1">
      <c r="A126" s="3">
        <v>124</v>
      </c>
      <c r="B126" s="21" t="s">
        <v>106</v>
      </c>
      <c r="C126" s="21" t="s">
        <v>745</v>
      </c>
      <c r="D126" s="1" t="s">
        <v>82</v>
      </c>
      <c r="E126" s="2">
        <v>1000</v>
      </c>
      <c r="F126" s="1">
        <v>67</v>
      </c>
      <c r="G126" s="2">
        <v>67000</v>
      </c>
      <c r="H126" s="326" t="s">
        <v>3865</v>
      </c>
    </row>
    <row r="127" spans="1:8" ht="136.5" customHeight="1">
      <c r="A127" s="285">
        <v>125</v>
      </c>
      <c r="B127" s="241" t="s">
        <v>106</v>
      </c>
      <c r="C127" s="241" t="s">
        <v>3566</v>
      </c>
      <c r="D127" s="242" t="s">
        <v>82</v>
      </c>
      <c r="E127" s="243">
        <v>20000</v>
      </c>
      <c r="F127" s="242">
        <v>67</v>
      </c>
      <c r="G127" s="243">
        <v>1340000</v>
      </c>
      <c r="H127" s="328" t="s">
        <v>3889</v>
      </c>
    </row>
    <row r="128" spans="1:8" ht="24.15" customHeight="1">
      <c r="A128" s="3">
        <v>126</v>
      </c>
      <c r="B128" s="21" t="s">
        <v>106</v>
      </c>
      <c r="C128" s="21" t="s">
        <v>753</v>
      </c>
      <c r="D128" s="1" t="s">
        <v>82</v>
      </c>
      <c r="E128" s="2">
        <v>1000</v>
      </c>
      <c r="F128" s="1">
        <v>67</v>
      </c>
      <c r="G128" s="2">
        <v>67000</v>
      </c>
      <c r="H128" s="326" t="s">
        <v>3869</v>
      </c>
    </row>
    <row r="129" spans="1:8" ht="24.15" customHeight="1">
      <c r="A129" s="10">
        <v>127</v>
      </c>
      <c r="B129" s="21" t="s">
        <v>106</v>
      </c>
      <c r="C129" s="21" t="s">
        <v>759</v>
      </c>
      <c r="D129" s="1" t="s">
        <v>82</v>
      </c>
      <c r="E129" s="2">
        <v>2000</v>
      </c>
      <c r="F129" s="1">
        <v>67</v>
      </c>
      <c r="G129" s="2">
        <v>134000</v>
      </c>
      <c r="H129" s="326" t="s">
        <v>3870</v>
      </c>
    </row>
    <row r="130" spans="1:8" ht="24.15" customHeight="1">
      <c r="A130" s="3">
        <v>128</v>
      </c>
      <c r="B130" s="21" t="s">
        <v>106</v>
      </c>
      <c r="C130" s="21" t="s">
        <v>3567</v>
      </c>
      <c r="D130" s="1" t="s">
        <v>13</v>
      </c>
      <c r="E130" s="2">
        <v>3000</v>
      </c>
      <c r="F130" s="1">
        <v>25</v>
      </c>
      <c r="G130" s="2">
        <v>75000</v>
      </c>
      <c r="H130" s="326" t="s">
        <v>3884</v>
      </c>
    </row>
    <row r="131" spans="1:8" ht="24.15" customHeight="1">
      <c r="A131" s="10">
        <v>129</v>
      </c>
      <c r="B131" s="21" t="s">
        <v>106</v>
      </c>
      <c r="C131" s="21" t="s">
        <v>735</v>
      </c>
      <c r="D131" s="1" t="s">
        <v>13</v>
      </c>
      <c r="E131" s="2">
        <v>2000</v>
      </c>
      <c r="F131" s="1">
        <v>25</v>
      </c>
      <c r="G131" s="2">
        <v>50000</v>
      </c>
      <c r="H131" s="326" t="s">
        <v>3884</v>
      </c>
    </row>
    <row r="132" spans="1:8" ht="24.15" customHeight="1">
      <c r="A132" s="3">
        <v>130</v>
      </c>
      <c r="B132" s="21" t="s">
        <v>106</v>
      </c>
      <c r="C132" s="21" t="s">
        <v>3568</v>
      </c>
      <c r="D132" s="1" t="s">
        <v>13</v>
      </c>
      <c r="E132" s="2">
        <v>3000</v>
      </c>
      <c r="F132" s="1">
        <v>25</v>
      </c>
      <c r="G132" s="2">
        <v>75000</v>
      </c>
      <c r="H132" s="326" t="s">
        <v>3862</v>
      </c>
    </row>
    <row r="133" spans="1:8" ht="24.15" customHeight="1">
      <c r="A133" s="10">
        <v>131</v>
      </c>
      <c r="B133" s="21" t="s">
        <v>106</v>
      </c>
      <c r="C133" s="21" t="s">
        <v>734</v>
      </c>
      <c r="D133" s="1" t="s">
        <v>13</v>
      </c>
      <c r="E133" s="2">
        <v>3000</v>
      </c>
      <c r="F133" s="1">
        <v>67</v>
      </c>
      <c r="G133" s="2">
        <v>201000</v>
      </c>
      <c r="H133" s="326" t="s">
        <v>3884</v>
      </c>
    </row>
    <row r="134" spans="1:8" ht="24.15" customHeight="1">
      <c r="A134" s="3">
        <v>132</v>
      </c>
      <c r="B134" s="21" t="s">
        <v>106</v>
      </c>
      <c r="C134" s="21" t="s">
        <v>769</v>
      </c>
      <c r="D134" s="1" t="s">
        <v>13</v>
      </c>
      <c r="E134" s="2">
        <v>3000</v>
      </c>
      <c r="F134" s="1">
        <v>67</v>
      </c>
      <c r="G134" s="2">
        <v>201000</v>
      </c>
      <c r="H134" s="326" t="s">
        <v>3862</v>
      </c>
    </row>
    <row r="135" spans="1:8" ht="24.15" customHeight="1">
      <c r="A135" s="10">
        <v>133</v>
      </c>
      <c r="B135" s="21" t="s">
        <v>106</v>
      </c>
      <c r="C135" s="21" t="s">
        <v>738</v>
      </c>
      <c r="D135" s="1" t="s">
        <v>272</v>
      </c>
      <c r="E135" s="2">
        <v>10000</v>
      </c>
      <c r="F135" s="1">
        <v>25</v>
      </c>
      <c r="G135" s="2">
        <v>250000</v>
      </c>
      <c r="H135" s="326" t="s">
        <v>3875</v>
      </c>
    </row>
    <row r="136" spans="1:8" ht="24.15" customHeight="1">
      <c r="A136" s="3">
        <v>134</v>
      </c>
      <c r="B136" s="21" t="s">
        <v>106</v>
      </c>
      <c r="C136" s="21" t="s">
        <v>748</v>
      </c>
      <c r="D136" s="1" t="s">
        <v>272</v>
      </c>
      <c r="E136" s="2">
        <v>10000</v>
      </c>
      <c r="F136" s="1">
        <v>25</v>
      </c>
      <c r="G136" s="2">
        <v>250000</v>
      </c>
      <c r="H136" s="326" t="s">
        <v>3883</v>
      </c>
    </row>
    <row r="137" spans="1:8" ht="24.15" customHeight="1">
      <c r="A137" s="10">
        <v>135</v>
      </c>
      <c r="B137" s="21" t="s">
        <v>106</v>
      </c>
      <c r="C137" s="21" t="s">
        <v>3566</v>
      </c>
      <c r="D137" s="1" t="s">
        <v>272</v>
      </c>
      <c r="E137" s="2">
        <v>20000</v>
      </c>
      <c r="F137" s="1">
        <v>25</v>
      </c>
      <c r="G137" s="2">
        <v>500000</v>
      </c>
      <c r="H137" s="326" t="s">
        <v>3869</v>
      </c>
    </row>
    <row r="138" spans="1:8" ht="24.15" customHeight="1">
      <c r="A138" s="3">
        <v>136</v>
      </c>
      <c r="B138" s="21" t="s">
        <v>106</v>
      </c>
      <c r="C138" s="21" t="s">
        <v>3569</v>
      </c>
      <c r="D138" s="1" t="s">
        <v>272</v>
      </c>
      <c r="E138" s="2">
        <v>20000</v>
      </c>
      <c r="F138" s="1">
        <v>25</v>
      </c>
      <c r="G138" s="2">
        <v>500000</v>
      </c>
      <c r="H138" s="326" t="s">
        <v>3870</v>
      </c>
    </row>
    <row r="139" spans="1:8" ht="24.15" customHeight="1">
      <c r="A139" s="10">
        <v>137</v>
      </c>
      <c r="B139" s="21" t="s">
        <v>106</v>
      </c>
      <c r="C139" s="21" t="s">
        <v>760</v>
      </c>
      <c r="D139" s="1" t="s">
        <v>272</v>
      </c>
      <c r="E139" s="2">
        <v>10000</v>
      </c>
      <c r="F139" s="1">
        <v>25</v>
      </c>
      <c r="G139" s="2">
        <v>250000</v>
      </c>
      <c r="H139" s="326" t="s">
        <v>3870</v>
      </c>
    </row>
    <row r="140" spans="1:8" ht="24.15" customHeight="1">
      <c r="A140" s="3">
        <v>138</v>
      </c>
      <c r="B140" s="21" t="s">
        <v>106</v>
      </c>
      <c r="C140" s="21" t="s">
        <v>3570</v>
      </c>
      <c r="D140" s="1" t="s">
        <v>272</v>
      </c>
      <c r="E140" s="2">
        <v>1000</v>
      </c>
      <c r="F140" s="1">
        <v>67</v>
      </c>
      <c r="G140" s="2">
        <v>67000</v>
      </c>
      <c r="H140" s="326" t="s">
        <v>3890</v>
      </c>
    </row>
    <row r="141" spans="1:8" ht="24.15" customHeight="1">
      <c r="A141" s="10">
        <v>139</v>
      </c>
      <c r="B141" s="21" t="s">
        <v>106</v>
      </c>
      <c r="C141" s="21" t="s">
        <v>748</v>
      </c>
      <c r="D141" s="1" t="s">
        <v>272</v>
      </c>
      <c r="E141" s="2">
        <v>10000</v>
      </c>
      <c r="F141" s="1">
        <v>67</v>
      </c>
      <c r="G141" s="2">
        <v>670000</v>
      </c>
      <c r="H141" s="326" t="s">
        <v>3883</v>
      </c>
    </row>
    <row r="142" spans="1:8" ht="24.15" customHeight="1">
      <c r="A142" s="3">
        <v>140</v>
      </c>
      <c r="B142" s="21" t="s">
        <v>106</v>
      </c>
      <c r="C142" s="21" t="s">
        <v>3562</v>
      </c>
      <c r="D142" s="1" t="s">
        <v>272</v>
      </c>
      <c r="E142" s="2">
        <v>20000</v>
      </c>
      <c r="F142" s="1">
        <v>67</v>
      </c>
      <c r="G142" s="2">
        <v>1340000</v>
      </c>
      <c r="H142" s="326" t="s">
        <v>3869</v>
      </c>
    </row>
    <row r="143" spans="1:8" ht="24.15" customHeight="1">
      <c r="A143" s="10">
        <v>141</v>
      </c>
      <c r="B143" s="21" t="s">
        <v>106</v>
      </c>
      <c r="C143" s="21" t="s">
        <v>758</v>
      </c>
      <c r="D143" s="1" t="s">
        <v>272</v>
      </c>
      <c r="E143" s="2">
        <v>20000</v>
      </c>
      <c r="F143" s="1">
        <v>67</v>
      </c>
      <c r="G143" s="2">
        <v>1340000</v>
      </c>
      <c r="H143" s="326" t="s">
        <v>3870</v>
      </c>
    </row>
    <row r="144" spans="1:8" ht="24.15" customHeight="1">
      <c r="A144" s="3">
        <v>142</v>
      </c>
      <c r="B144" s="21" t="s">
        <v>729</v>
      </c>
      <c r="C144" s="21" t="s">
        <v>773</v>
      </c>
      <c r="D144" s="1" t="s">
        <v>15</v>
      </c>
      <c r="E144" s="2">
        <v>4000</v>
      </c>
      <c r="F144" s="1">
        <v>25</v>
      </c>
      <c r="G144" s="2">
        <v>100000</v>
      </c>
      <c r="H144" s="326" t="s">
        <v>3891</v>
      </c>
    </row>
    <row r="145" spans="1:8" ht="24.15" customHeight="1" thickBot="1">
      <c r="A145" s="10">
        <v>143</v>
      </c>
      <c r="B145" s="32" t="s">
        <v>729</v>
      </c>
      <c r="C145" s="32" t="s">
        <v>773</v>
      </c>
      <c r="D145" s="25" t="s">
        <v>15</v>
      </c>
      <c r="E145" s="26">
        <v>6000</v>
      </c>
      <c r="F145" s="25">
        <v>67</v>
      </c>
      <c r="G145" s="26">
        <v>402000</v>
      </c>
      <c r="H145" s="326" t="s">
        <v>3891</v>
      </c>
    </row>
    <row r="146" spans="1:8" ht="24.15" customHeight="1" thickBot="1">
      <c r="A146" s="14"/>
      <c r="B146" s="29"/>
      <c r="C146" s="29"/>
      <c r="D146" s="27"/>
      <c r="E146" s="28">
        <f>SUBTOTAL(9,E3:E145)</f>
        <v>604000</v>
      </c>
      <c r="F146" s="33" t="s">
        <v>3905</v>
      </c>
      <c r="G146" s="28">
        <f>SUBTOTAL(9,G3:G145)</f>
        <v>29926000</v>
      </c>
      <c r="H146" s="329"/>
    </row>
    <row r="147" spans="1:8" ht="31.65" customHeight="1">
      <c r="A147" s="34" t="s">
        <v>3907</v>
      </c>
      <c r="B147" s="414" t="s">
        <v>3908</v>
      </c>
      <c r="C147" s="414"/>
      <c r="D147" s="414"/>
      <c r="E147" s="414"/>
      <c r="F147" s="414"/>
      <c r="G147" s="414"/>
      <c r="H147" s="414"/>
    </row>
  </sheetData>
  <autoFilter ref="A2:H147"/>
  <sortState ref="A3:H145">
    <sortCondition ref="D3:D145"/>
  </sortState>
  <mergeCells count="1">
    <mergeCell ref="B147:H147"/>
  </mergeCells>
  <phoneticPr fontId="1" type="noConversion"/>
  <printOptions horizontalCentered="1"/>
  <pageMargins left="0.70866141732283472" right="0.70866141732283472" top="0.74803149606299213" bottom="0.55118110236220474" header="0.31496062992125984" footer="0.31496062992125984"/>
  <pageSetup paperSize="9" scale="83" fitToHeight="4" orientation="portrait" r:id="rId1"/>
  <headerFooter>
    <oddFooter>&amp;C&amp;P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8"/>
  <sheetViews>
    <sheetView topLeftCell="A94" zoomScale="80" zoomScaleNormal="80" workbookViewId="0">
      <selection activeCell="J19" sqref="J19"/>
    </sheetView>
  </sheetViews>
  <sheetFormatPr defaultRowHeight="17"/>
  <cols>
    <col min="1" max="1" width="17" customWidth="1"/>
    <col min="2" max="2" width="19.1796875" style="56" bestFit="1" customWidth="1"/>
    <col min="3" max="3" width="14.453125" style="58" customWidth="1"/>
    <col min="4" max="4" width="18.1796875" customWidth="1"/>
    <col min="5" max="5" width="19.81640625" customWidth="1"/>
  </cols>
  <sheetData>
    <row r="1" spans="1:5" ht="17.5" thickBot="1">
      <c r="A1" t="s">
        <v>3107</v>
      </c>
    </row>
    <row r="2" spans="1:5" ht="17.5" thickBot="1">
      <c r="A2" s="22" t="s">
        <v>1238</v>
      </c>
      <c r="B2" s="66" t="s">
        <v>1219</v>
      </c>
      <c r="C2" s="59" t="s">
        <v>1218</v>
      </c>
      <c r="D2" s="430" t="s">
        <v>726</v>
      </c>
      <c r="E2" s="431"/>
    </row>
    <row r="3" spans="1:5">
      <c r="A3" s="10" t="s">
        <v>1217</v>
      </c>
      <c r="B3" s="71">
        <v>0</v>
      </c>
      <c r="C3" s="104"/>
      <c r="D3" s="432"/>
      <c r="E3" s="433"/>
    </row>
    <row r="4" spans="1:5">
      <c r="A4" s="3" t="s">
        <v>1216</v>
      </c>
      <c r="B4" s="64">
        <v>0</v>
      </c>
      <c r="C4" s="89"/>
      <c r="D4" s="426"/>
      <c r="E4" s="427"/>
    </row>
    <row r="5" spans="1:5">
      <c r="A5" s="3" t="s">
        <v>1215</v>
      </c>
      <c r="B5" s="64">
        <v>0</v>
      </c>
      <c r="C5" s="89"/>
      <c r="D5" s="426"/>
      <c r="E5" s="427"/>
    </row>
    <row r="6" spans="1:5">
      <c r="A6" s="3" t="s">
        <v>1214</v>
      </c>
      <c r="B6" s="64">
        <v>0</v>
      </c>
      <c r="C6" s="89"/>
      <c r="D6" s="426"/>
      <c r="E6" s="427"/>
    </row>
    <row r="7" spans="1:5">
      <c r="A7" s="3" t="s">
        <v>1213</v>
      </c>
      <c r="B7" s="64">
        <v>0</v>
      </c>
      <c r="C7" s="89"/>
      <c r="D7" s="426"/>
      <c r="E7" s="427"/>
    </row>
    <row r="8" spans="1:5">
      <c r="A8" s="3" t="s">
        <v>1212</v>
      </c>
      <c r="B8" s="64">
        <v>0</v>
      </c>
      <c r="C8" s="89"/>
      <c r="D8" s="426"/>
      <c r="E8" s="427"/>
    </row>
    <row r="9" spans="1:5">
      <c r="A9" s="3" t="s">
        <v>1211</v>
      </c>
      <c r="B9" s="64">
        <v>0</v>
      </c>
      <c r="C9" s="89"/>
      <c r="D9" s="426"/>
      <c r="E9" s="427"/>
    </row>
    <row r="10" spans="1:5">
      <c r="A10" s="3" t="s">
        <v>1210</v>
      </c>
      <c r="B10" s="64">
        <v>61905</v>
      </c>
      <c r="C10" s="89"/>
      <c r="D10" s="426"/>
      <c r="E10" s="427"/>
    </row>
    <row r="11" spans="1:5">
      <c r="A11" s="3" t="s">
        <v>1209</v>
      </c>
      <c r="B11" s="64">
        <v>0</v>
      </c>
      <c r="C11" s="89"/>
      <c r="D11" s="426"/>
      <c r="E11" s="427"/>
    </row>
    <row r="12" spans="1:5">
      <c r="A12" s="3" t="s">
        <v>1208</v>
      </c>
      <c r="B12" s="64">
        <v>0</v>
      </c>
      <c r="C12" s="89"/>
      <c r="D12" s="426"/>
      <c r="E12" s="427"/>
    </row>
    <row r="13" spans="1:5">
      <c r="A13" s="3" t="s">
        <v>1207</v>
      </c>
      <c r="B13" s="64">
        <v>0</v>
      </c>
      <c r="C13" s="89"/>
      <c r="D13" s="426"/>
      <c r="E13" s="427"/>
    </row>
    <row r="14" spans="1:5">
      <c r="A14" s="3" t="s">
        <v>1206</v>
      </c>
      <c r="B14" s="64">
        <v>0</v>
      </c>
      <c r="C14" s="89"/>
      <c r="D14" s="426"/>
      <c r="E14" s="427"/>
    </row>
    <row r="15" spans="1:5">
      <c r="A15" s="3" t="s">
        <v>1205</v>
      </c>
      <c r="B15" s="64">
        <v>0</v>
      </c>
      <c r="C15" s="89"/>
      <c r="D15" s="426"/>
      <c r="E15" s="427"/>
    </row>
    <row r="16" spans="1:5" ht="59.4" customHeight="1">
      <c r="A16" s="3" t="s">
        <v>1204</v>
      </c>
      <c r="B16" s="64">
        <v>10357143</v>
      </c>
      <c r="C16" s="89"/>
      <c r="D16" s="426" t="s">
        <v>1240</v>
      </c>
      <c r="E16" s="427"/>
    </row>
    <row r="17" spans="1:5" ht="59.4" customHeight="1">
      <c r="A17" s="3" t="s">
        <v>1203</v>
      </c>
      <c r="B17" s="64">
        <v>9619048</v>
      </c>
      <c r="C17" s="89"/>
      <c r="D17" s="426" t="s">
        <v>1241</v>
      </c>
      <c r="E17" s="427"/>
    </row>
    <row r="18" spans="1:5" ht="59.4" customHeight="1">
      <c r="A18" s="3" t="s">
        <v>1202</v>
      </c>
      <c r="B18" s="64">
        <v>12380953</v>
      </c>
      <c r="C18" s="89"/>
      <c r="D18" s="426" t="s">
        <v>1242</v>
      </c>
      <c r="E18" s="427"/>
    </row>
    <row r="19" spans="1:5" ht="59.4" customHeight="1">
      <c r="A19" s="3" t="s">
        <v>1201</v>
      </c>
      <c r="B19" s="64">
        <v>17619047</v>
      </c>
      <c r="C19" s="89"/>
      <c r="D19" s="426" t="s">
        <v>1243</v>
      </c>
      <c r="E19" s="427"/>
    </row>
    <row r="20" spans="1:5" ht="59.4" customHeight="1">
      <c r="A20" s="3" t="s">
        <v>1200</v>
      </c>
      <c r="B20" s="64">
        <v>8448781</v>
      </c>
      <c r="C20" s="89"/>
      <c r="D20" s="426" t="s">
        <v>1244</v>
      </c>
      <c r="E20" s="427"/>
    </row>
    <row r="21" spans="1:5">
      <c r="A21" s="3" t="s">
        <v>1199</v>
      </c>
      <c r="B21" s="64">
        <v>145238</v>
      </c>
      <c r="C21" s="89"/>
      <c r="D21" s="426"/>
      <c r="E21" s="427"/>
    </row>
    <row r="22" spans="1:5">
      <c r="A22" s="3" t="s">
        <v>1198</v>
      </c>
      <c r="B22" s="64">
        <v>702500</v>
      </c>
      <c r="C22" s="89">
        <v>-6482691</v>
      </c>
      <c r="D22" s="426"/>
      <c r="E22" s="427"/>
    </row>
    <row r="23" spans="1:5">
      <c r="A23" s="3" t="s">
        <v>1197</v>
      </c>
      <c r="B23" s="64">
        <v>0</v>
      </c>
      <c r="C23" s="89">
        <v>-43367001</v>
      </c>
      <c r="D23" s="426"/>
      <c r="E23" s="427"/>
    </row>
    <row r="24" spans="1:5" ht="17.5" thickBot="1">
      <c r="A24" s="5" t="s">
        <v>1196</v>
      </c>
      <c r="B24" s="84">
        <v>1460008</v>
      </c>
      <c r="C24" s="103"/>
      <c r="D24" s="428"/>
      <c r="E24" s="429"/>
    </row>
    <row r="25" spans="1:5">
      <c r="A25" t="s">
        <v>1236</v>
      </c>
    </row>
    <row r="26" spans="1:5">
      <c r="A26" t="s">
        <v>1245</v>
      </c>
    </row>
    <row r="27" spans="1:5">
      <c r="A27" s="63" t="s">
        <v>1238</v>
      </c>
      <c r="B27" s="63" t="s">
        <v>1237</v>
      </c>
      <c r="C27" s="64" t="s">
        <v>1219</v>
      </c>
      <c r="D27" s="91" t="s">
        <v>1235</v>
      </c>
      <c r="E27" s="64" t="s">
        <v>1234</v>
      </c>
    </row>
    <row r="28" spans="1:5">
      <c r="A28" s="63" t="s">
        <v>1233</v>
      </c>
      <c r="B28" s="87" t="s">
        <v>1232</v>
      </c>
      <c r="C28" s="64">
        <v>2000000</v>
      </c>
      <c r="D28" s="91">
        <v>100000</v>
      </c>
      <c r="E28" s="64">
        <f>C28+D28</f>
        <v>2100000</v>
      </c>
    </row>
    <row r="29" spans="1:5">
      <c r="A29" s="63" t="s">
        <v>1233</v>
      </c>
      <c r="B29" s="87" t="s">
        <v>1232</v>
      </c>
      <c r="C29" s="64">
        <v>2000000</v>
      </c>
      <c r="D29" s="91">
        <v>100000</v>
      </c>
      <c r="E29" s="64">
        <f>C29+D29</f>
        <v>2100000</v>
      </c>
    </row>
    <row r="30" spans="1:5">
      <c r="A30" s="63" t="s">
        <v>1233</v>
      </c>
      <c r="B30" s="87" t="s">
        <v>1232</v>
      </c>
      <c r="C30" s="64">
        <v>2500000</v>
      </c>
      <c r="D30" s="91">
        <v>125000</v>
      </c>
      <c r="E30" s="64">
        <f>C30+D30</f>
        <v>2625000</v>
      </c>
    </row>
    <row r="31" spans="1:5">
      <c r="A31" s="63" t="s">
        <v>1231</v>
      </c>
      <c r="B31" s="90" t="s">
        <v>1224</v>
      </c>
      <c r="C31" s="64">
        <v>2857143</v>
      </c>
      <c r="D31" s="91">
        <v>142857</v>
      </c>
      <c r="E31" s="64">
        <f>C31+D31</f>
        <v>3000000</v>
      </c>
    </row>
    <row r="32" spans="1:5" ht="17.5" thickBot="1">
      <c r="A32" s="92" t="s">
        <v>1124</v>
      </c>
      <c r="B32" s="93"/>
      <c r="C32" s="94">
        <f>SUM(C28:C31)</f>
        <v>9357143</v>
      </c>
      <c r="D32" s="94">
        <f>SUM(D28:D31)</f>
        <v>467857</v>
      </c>
      <c r="E32" s="94">
        <f>SUM(E28:E31)</f>
        <v>9825000</v>
      </c>
    </row>
    <row r="33" spans="1:5" ht="18" thickTop="1" thickBot="1">
      <c r="A33" s="95" t="s">
        <v>1239</v>
      </c>
      <c r="B33" s="96"/>
      <c r="C33" s="97">
        <f>C32/B16</f>
        <v>0.90344827719381682</v>
      </c>
      <c r="D33" s="98"/>
      <c r="E33" s="98"/>
    </row>
    <row r="34" spans="1:5" ht="17.5" thickTop="1">
      <c r="A34" t="s">
        <v>1246</v>
      </c>
    </row>
    <row r="35" spans="1:5">
      <c r="A35" s="63" t="s">
        <v>1238</v>
      </c>
      <c r="B35" s="63" t="s">
        <v>1237</v>
      </c>
      <c r="C35" s="64" t="s">
        <v>1219</v>
      </c>
      <c r="D35" s="91" t="s">
        <v>1235</v>
      </c>
      <c r="E35" s="64" t="s">
        <v>1234</v>
      </c>
    </row>
    <row r="36" spans="1:5">
      <c r="A36" s="63" t="s">
        <v>1230</v>
      </c>
      <c r="B36" s="64" t="s">
        <v>1224</v>
      </c>
      <c r="C36" s="64">
        <v>2857143</v>
      </c>
      <c r="D36" s="64">
        <v>142857</v>
      </c>
      <c r="E36" s="64">
        <f>C36+D36</f>
        <v>3000000</v>
      </c>
    </row>
    <row r="37" spans="1:5">
      <c r="A37" s="63" t="s">
        <v>1229</v>
      </c>
      <c r="B37" s="64" t="s">
        <v>1224</v>
      </c>
      <c r="C37" s="64">
        <v>2952381</v>
      </c>
      <c r="D37" s="64">
        <v>147619</v>
      </c>
      <c r="E37" s="64">
        <f>C37+D37</f>
        <v>3100000</v>
      </c>
    </row>
    <row r="38" spans="1:5">
      <c r="A38" s="63" t="s">
        <v>1229</v>
      </c>
      <c r="B38" s="64" t="s">
        <v>1224</v>
      </c>
      <c r="C38" s="64">
        <v>3809524</v>
      </c>
      <c r="D38" s="64">
        <v>190476</v>
      </c>
      <c r="E38" s="64">
        <f>C38+D38</f>
        <v>4000000</v>
      </c>
    </row>
    <row r="39" spans="1:5" ht="17.5" thickBot="1">
      <c r="A39" s="92" t="s">
        <v>1124</v>
      </c>
      <c r="B39" s="93"/>
      <c r="C39" s="94">
        <f>SUM(C36:C38)</f>
        <v>9619048</v>
      </c>
      <c r="D39" s="94">
        <f>SUM(D35:D38)</f>
        <v>480952</v>
      </c>
      <c r="E39" s="94">
        <f>SUM(E35:E38)</f>
        <v>10100000</v>
      </c>
    </row>
    <row r="40" spans="1:5" ht="18" thickTop="1" thickBot="1">
      <c r="A40" s="99" t="s">
        <v>1239</v>
      </c>
      <c r="B40" s="100"/>
      <c r="C40" s="101">
        <f>C39/B17</f>
        <v>1</v>
      </c>
      <c r="D40" s="102"/>
      <c r="E40" s="102"/>
    </row>
    <row r="41" spans="1:5" ht="17.5" thickTop="1">
      <c r="A41" t="s">
        <v>1247</v>
      </c>
    </row>
    <row r="42" spans="1:5">
      <c r="A42" s="63" t="s">
        <v>1238</v>
      </c>
      <c r="B42" s="63" t="s">
        <v>1237</v>
      </c>
      <c r="C42" s="64" t="s">
        <v>1219</v>
      </c>
      <c r="D42" s="91" t="s">
        <v>1235</v>
      </c>
      <c r="E42" s="64" t="s">
        <v>1234</v>
      </c>
    </row>
    <row r="43" spans="1:5">
      <c r="A43" s="63" t="s">
        <v>1228</v>
      </c>
      <c r="B43" s="64" t="s">
        <v>1224</v>
      </c>
      <c r="C43" s="64">
        <v>3809524</v>
      </c>
      <c r="D43" s="64">
        <v>190476</v>
      </c>
      <c r="E43" s="64">
        <f>C43+D43</f>
        <v>4000000</v>
      </c>
    </row>
    <row r="44" spans="1:5">
      <c r="A44" s="63" t="s">
        <v>1227</v>
      </c>
      <c r="B44" s="64" t="s">
        <v>1224</v>
      </c>
      <c r="C44" s="64">
        <v>3809524</v>
      </c>
      <c r="D44" s="64">
        <v>190476</v>
      </c>
      <c r="E44" s="64">
        <f>C44+D44</f>
        <v>4000000</v>
      </c>
    </row>
    <row r="45" spans="1:5">
      <c r="A45" s="63" t="s">
        <v>1227</v>
      </c>
      <c r="B45" s="64" t="s">
        <v>1224</v>
      </c>
      <c r="C45" s="64">
        <v>4761905</v>
      </c>
      <c r="D45" s="64">
        <v>238095</v>
      </c>
      <c r="E45" s="64">
        <f>C45+D45</f>
        <v>5000000</v>
      </c>
    </row>
    <row r="46" spans="1:5" ht="17.5" thickBot="1">
      <c r="A46" s="92" t="s">
        <v>1124</v>
      </c>
      <c r="B46" s="93"/>
      <c r="C46" s="94">
        <f>SUM(C43:C45)</f>
        <v>12380953</v>
      </c>
      <c r="D46" s="94">
        <f>SUM(D42:D45)</f>
        <v>619047</v>
      </c>
      <c r="E46" s="94">
        <f>SUM(E42:E45)</f>
        <v>13000000</v>
      </c>
    </row>
    <row r="47" spans="1:5" ht="18" thickTop="1" thickBot="1">
      <c r="A47" s="99" t="s">
        <v>1239</v>
      </c>
      <c r="B47" s="100"/>
      <c r="C47" s="101">
        <f>C46/B18</f>
        <v>1</v>
      </c>
      <c r="D47" s="102"/>
      <c r="E47" s="102"/>
    </row>
    <row r="48" spans="1:5" ht="17.5" thickTop="1">
      <c r="A48" s="105" t="s">
        <v>3030</v>
      </c>
    </row>
    <row r="49" spans="1:5">
      <c r="A49" s="63" t="s">
        <v>1238</v>
      </c>
      <c r="B49" s="63" t="s">
        <v>1237</v>
      </c>
      <c r="C49" s="64" t="s">
        <v>1219</v>
      </c>
      <c r="D49" s="91" t="s">
        <v>1235</v>
      </c>
      <c r="E49" s="64" t="s">
        <v>1234</v>
      </c>
    </row>
    <row r="50" spans="1:5">
      <c r="A50" s="63" t="s">
        <v>1226</v>
      </c>
      <c r="B50" s="64" t="s">
        <v>1224</v>
      </c>
      <c r="C50" s="64">
        <v>1142857</v>
      </c>
      <c r="D50" s="64">
        <v>57143</v>
      </c>
      <c r="E50" s="64">
        <f t="shared" ref="E50:E61" si="0">C50+D50</f>
        <v>1200000</v>
      </c>
    </row>
    <row r="51" spans="1:5">
      <c r="A51" s="63" t="s">
        <v>1226</v>
      </c>
      <c r="B51" s="64" t="s">
        <v>1224</v>
      </c>
      <c r="C51" s="64">
        <v>1428571</v>
      </c>
      <c r="D51" s="64">
        <v>71429</v>
      </c>
      <c r="E51" s="64">
        <f t="shared" si="0"/>
        <v>1500000</v>
      </c>
    </row>
    <row r="52" spans="1:5">
      <c r="A52" s="63" t="s">
        <v>1226</v>
      </c>
      <c r="B52" s="64" t="s">
        <v>1224</v>
      </c>
      <c r="C52" s="64">
        <v>952381</v>
      </c>
      <c r="D52" s="64">
        <v>47619</v>
      </c>
      <c r="E52" s="64">
        <f t="shared" si="0"/>
        <v>1000000</v>
      </c>
    </row>
    <row r="53" spans="1:5">
      <c r="A53" s="63" t="s">
        <v>1226</v>
      </c>
      <c r="B53" s="64" t="s">
        <v>1224</v>
      </c>
      <c r="C53" s="64">
        <v>1857143</v>
      </c>
      <c r="D53" s="64">
        <v>92857</v>
      </c>
      <c r="E53" s="64">
        <f t="shared" si="0"/>
        <v>1950000</v>
      </c>
    </row>
    <row r="54" spans="1:5">
      <c r="A54" s="63" t="s">
        <v>1226</v>
      </c>
      <c r="B54" s="64" t="s">
        <v>1224</v>
      </c>
      <c r="C54" s="64">
        <v>1285714</v>
      </c>
      <c r="D54" s="64">
        <v>64286</v>
      </c>
      <c r="E54" s="64">
        <f t="shared" si="0"/>
        <v>1350000</v>
      </c>
    </row>
    <row r="55" spans="1:5">
      <c r="A55" s="63" t="s">
        <v>1225</v>
      </c>
      <c r="B55" s="64" t="s">
        <v>1224</v>
      </c>
      <c r="C55" s="64">
        <v>1809524</v>
      </c>
      <c r="D55" s="64">
        <v>90476</v>
      </c>
      <c r="E55" s="64">
        <f t="shared" si="0"/>
        <v>1900000</v>
      </c>
    </row>
    <row r="56" spans="1:5">
      <c r="A56" s="63" t="s">
        <v>1225</v>
      </c>
      <c r="B56" s="64" t="s">
        <v>1224</v>
      </c>
      <c r="C56" s="64">
        <v>1523810</v>
      </c>
      <c r="D56" s="64">
        <v>76190</v>
      </c>
      <c r="E56" s="64">
        <f t="shared" si="0"/>
        <v>1600000</v>
      </c>
    </row>
    <row r="57" spans="1:5">
      <c r="A57" s="63" t="s">
        <v>1223</v>
      </c>
      <c r="B57" s="64" t="s">
        <v>1221</v>
      </c>
      <c r="C57" s="64">
        <v>1523810</v>
      </c>
      <c r="D57" s="64">
        <v>76190</v>
      </c>
      <c r="E57" s="64">
        <f t="shared" si="0"/>
        <v>1600000</v>
      </c>
    </row>
    <row r="58" spans="1:5">
      <c r="A58" s="63" t="s">
        <v>1223</v>
      </c>
      <c r="B58" s="64" t="s">
        <v>1221</v>
      </c>
      <c r="C58" s="64">
        <v>1742857</v>
      </c>
      <c r="D58" s="64">
        <v>87143</v>
      </c>
      <c r="E58" s="64">
        <f t="shared" si="0"/>
        <v>1830000</v>
      </c>
    </row>
    <row r="59" spans="1:5">
      <c r="A59" s="63" t="s">
        <v>1223</v>
      </c>
      <c r="B59" s="64" t="s">
        <v>1221</v>
      </c>
      <c r="C59" s="64">
        <v>1638095</v>
      </c>
      <c r="D59" s="64">
        <v>81905</v>
      </c>
      <c r="E59" s="64">
        <f t="shared" si="0"/>
        <v>1720000</v>
      </c>
    </row>
    <row r="60" spans="1:5">
      <c r="A60" s="63" t="s">
        <v>1223</v>
      </c>
      <c r="B60" s="64" t="s">
        <v>1221</v>
      </c>
      <c r="C60" s="64">
        <v>1285714</v>
      </c>
      <c r="D60" s="64">
        <v>64286</v>
      </c>
      <c r="E60" s="64">
        <f t="shared" si="0"/>
        <v>1350000</v>
      </c>
    </row>
    <row r="61" spans="1:5">
      <c r="A61" s="63" t="s">
        <v>1223</v>
      </c>
      <c r="B61" s="64" t="s">
        <v>1221</v>
      </c>
      <c r="C61" s="64">
        <v>1428571</v>
      </c>
      <c r="D61" s="64">
        <v>71429</v>
      </c>
      <c r="E61" s="64">
        <f t="shared" si="0"/>
        <v>1500000</v>
      </c>
    </row>
    <row r="62" spans="1:5" ht="17.5" thickBot="1">
      <c r="A62" s="92" t="s">
        <v>1124</v>
      </c>
      <c r="B62" s="93"/>
      <c r="C62" s="94">
        <f>SUM(C50:C61)</f>
        <v>17619047</v>
      </c>
      <c r="D62" s="94">
        <f>SUM(D58:D61)</f>
        <v>304763</v>
      </c>
      <c r="E62" s="94">
        <f>SUM(E58:E61)</f>
        <v>6400000</v>
      </c>
    </row>
    <row r="63" spans="1:5" ht="18" thickTop="1" thickBot="1">
      <c r="A63" s="99" t="s">
        <v>1239</v>
      </c>
      <c r="B63" s="100"/>
      <c r="C63" s="101">
        <f>C62/B19</f>
        <v>1</v>
      </c>
      <c r="D63" s="102"/>
      <c r="E63" s="102"/>
    </row>
    <row r="64" spans="1:5" ht="17.5" thickTop="1">
      <c r="A64" t="s">
        <v>1248</v>
      </c>
    </row>
    <row r="65" spans="1:5">
      <c r="A65" s="63" t="s">
        <v>1238</v>
      </c>
      <c r="B65" s="63" t="s">
        <v>1237</v>
      </c>
      <c r="C65" s="64" t="s">
        <v>1219</v>
      </c>
      <c r="D65" s="91" t="s">
        <v>1235</v>
      </c>
      <c r="E65" s="64" t="s">
        <v>1234</v>
      </c>
    </row>
    <row r="66" spans="1:5">
      <c r="A66" s="63" t="s">
        <v>1222</v>
      </c>
      <c r="B66" s="64" t="s">
        <v>1221</v>
      </c>
      <c r="C66" s="64">
        <v>763070</v>
      </c>
      <c r="D66" s="64">
        <v>38153</v>
      </c>
      <c r="E66" s="64">
        <f t="shared" ref="E66:E75" si="1">C66+D66</f>
        <v>801223</v>
      </c>
    </row>
    <row r="67" spans="1:5">
      <c r="A67" s="63" t="s">
        <v>1222</v>
      </c>
      <c r="B67" s="64" t="s">
        <v>1221</v>
      </c>
      <c r="C67" s="64">
        <v>741565</v>
      </c>
      <c r="D67" s="64">
        <v>37078</v>
      </c>
      <c r="E67" s="64">
        <f t="shared" si="1"/>
        <v>778643</v>
      </c>
    </row>
    <row r="68" spans="1:5">
      <c r="A68" s="63" t="s">
        <v>1222</v>
      </c>
      <c r="B68" s="64" t="s">
        <v>1221</v>
      </c>
      <c r="C68" s="64">
        <v>1050963</v>
      </c>
      <c r="D68" s="64">
        <v>52548</v>
      </c>
      <c r="E68" s="64">
        <f t="shared" si="1"/>
        <v>1103511</v>
      </c>
    </row>
    <row r="69" spans="1:5">
      <c r="A69" s="63" t="s">
        <v>1222</v>
      </c>
      <c r="B69" s="64" t="s">
        <v>1221</v>
      </c>
      <c r="C69" s="64">
        <v>821707</v>
      </c>
      <c r="D69" s="64">
        <v>41085</v>
      </c>
      <c r="E69" s="64">
        <f t="shared" si="1"/>
        <v>862792</v>
      </c>
    </row>
    <row r="70" spans="1:5">
      <c r="A70" s="63" t="s">
        <v>1222</v>
      </c>
      <c r="B70" s="64" t="s">
        <v>1221</v>
      </c>
      <c r="C70" s="64">
        <v>761325</v>
      </c>
      <c r="D70" s="64">
        <v>38066</v>
      </c>
      <c r="E70" s="64">
        <f t="shared" si="1"/>
        <v>799391</v>
      </c>
    </row>
    <row r="71" spans="1:5">
      <c r="A71" s="63" t="s">
        <v>1220</v>
      </c>
      <c r="B71" s="64" t="s">
        <v>1221</v>
      </c>
      <c r="C71" s="64">
        <v>769185</v>
      </c>
      <c r="D71" s="64">
        <v>38459</v>
      </c>
      <c r="E71" s="64">
        <f t="shared" si="1"/>
        <v>807644</v>
      </c>
    </row>
    <row r="72" spans="1:5">
      <c r="A72" s="63" t="s">
        <v>1220</v>
      </c>
      <c r="B72" s="64" t="s">
        <v>1221</v>
      </c>
      <c r="C72" s="64">
        <v>782932</v>
      </c>
      <c r="D72" s="64">
        <v>39147</v>
      </c>
      <c r="E72" s="64">
        <f t="shared" si="1"/>
        <v>822079</v>
      </c>
    </row>
    <row r="73" spans="1:5">
      <c r="A73" s="63" t="s">
        <v>1220</v>
      </c>
      <c r="B73" s="64" t="s">
        <v>1221</v>
      </c>
      <c r="C73" s="64">
        <v>857155</v>
      </c>
      <c r="D73" s="64">
        <v>42858</v>
      </c>
      <c r="E73" s="64">
        <f t="shared" si="1"/>
        <v>900013</v>
      </c>
    </row>
    <row r="74" spans="1:5">
      <c r="A74" s="63" t="s">
        <v>1220</v>
      </c>
      <c r="B74" s="64" t="s">
        <v>1221</v>
      </c>
      <c r="C74" s="64">
        <v>934803</v>
      </c>
      <c r="D74" s="64">
        <v>46740</v>
      </c>
      <c r="E74" s="64">
        <f t="shared" si="1"/>
        <v>981543</v>
      </c>
    </row>
    <row r="75" spans="1:5">
      <c r="A75" s="63" t="s">
        <v>1220</v>
      </c>
      <c r="B75" s="64" t="s">
        <v>1221</v>
      </c>
      <c r="C75" s="64">
        <v>825599</v>
      </c>
      <c r="D75" s="64">
        <v>41280</v>
      </c>
      <c r="E75" s="64">
        <f t="shared" si="1"/>
        <v>866879</v>
      </c>
    </row>
    <row r="76" spans="1:5" ht="17.5" thickBot="1">
      <c r="A76" s="92" t="s">
        <v>1124</v>
      </c>
      <c r="B76" s="93"/>
      <c r="C76" s="94">
        <f>SUM(C66:C75)</f>
        <v>8308304</v>
      </c>
      <c r="D76" s="94">
        <f>SUM(D72:D75)</f>
        <v>170025</v>
      </c>
      <c r="E76" s="94">
        <f>SUM(E72:E75)</f>
        <v>3570514</v>
      </c>
    </row>
    <row r="77" spans="1:5" ht="18" thickTop="1" thickBot="1">
      <c r="A77" s="99" t="s">
        <v>1239</v>
      </c>
      <c r="B77" s="100"/>
      <c r="C77" s="101">
        <f>C76/B20</f>
        <v>0.98337310435671133</v>
      </c>
      <c r="D77" s="102"/>
      <c r="E77" s="102"/>
    </row>
    <row r="78" spans="1:5" ht="17.5" thickTop="1"/>
  </sheetData>
  <mergeCells count="23">
    <mergeCell ref="D16:E16"/>
    <mergeCell ref="D2:E2"/>
    <mergeCell ref="D3:E3"/>
    <mergeCell ref="D4:E4"/>
    <mergeCell ref="D5:E5"/>
    <mergeCell ref="D6:E6"/>
    <mergeCell ref="D7:E7"/>
    <mergeCell ref="D8:E8"/>
    <mergeCell ref="D9:E9"/>
    <mergeCell ref="D10:E10"/>
    <mergeCell ref="D11:E11"/>
    <mergeCell ref="D12:E12"/>
    <mergeCell ref="D13:E13"/>
    <mergeCell ref="D14:E14"/>
    <mergeCell ref="D15:E15"/>
    <mergeCell ref="D23:E23"/>
    <mergeCell ref="D24:E24"/>
    <mergeCell ref="D17:E17"/>
    <mergeCell ref="D18:E18"/>
    <mergeCell ref="D19:E19"/>
    <mergeCell ref="D20:E20"/>
    <mergeCell ref="D21:E21"/>
    <mergeCell ref="D22:E22"/>
  </mergeCells>
  <phoneticPr fontId="1" type="noConversion"/>
  <pageMargins left="0.59055118110236227" right="0.35433070866141736" top="0.74803149606299213" bottom="0.74803149606299213" header="0.31496062992125984" footer="0.43307086614173229"/>
  <pageSetup paperSize="9" orientation="portrait" r:id="rId1"/>
  <headerFooter>
    <oddFooter>&amp;C&amp;P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64"/>
  <sheetViews>
    <sheetView view="pageBreakPreview" topLeftCell="A52" zoomScale="85" zoomScaleNormal="85" zoomScaleSheetLayoutView="85" zoomScalePageLayoutView="125" workbookViewId="0">
      <selection activeCell="O11" sqref="O11"/>
    </sheetView>
  </sheetViews>
  <sheetFormatPr defaultColWidth="8.90625" defaultRowHeight="17"/>
  <cols>
    <col min="1" max="1" width="8.90625" style="154"/>
    <col min="2" max="3" width="8.36328125" style="156" bestFit="1" customWidth="1"/>
    <col min="4" max="4" width="10.453125" style="156" bestFit="1" customWidth="1"/>
    <col min="5" max="5" width="8.453125" style="212" customWidth="1"/>
    <col min="6" max="6" width="6.36328125" style="156" customWidth="1"/>
    <col min="7" max="7" width="10.90625" style="212" customWidth="1"/>
    <col min="8" max="8" width="20.08984375" style="113" customWidth="1"/>
    <col min="9" max="9" width="18.36328125" style="213" customWidth="1"/>
    <col min="10" max="10" width="11.453125" style="213" customWidth="1"/>
    <col min="11" max="11" width="0.81640625" style="113" customWidth="1"/>
    <col min="12" max="18" width="8.90625" style="113"/>
    <col min="19" max="21" width="0" style="113" hidden="1" customWidth="1"/>
    <col min="22" max="253" width="8.90625" style="113"/>
    <col min="254" max="255" width="8.36328125" style="113" bestFit="1" customWidth="1"/>
    <col min="256" max="256" width="10.453125" style="113" bestFit="1" customWidth="1"/>
    <col min="257" max="257" width="8.453125" style="113" customWidth="1"/>
    <col min="258" max="258" width="6.36328125" style="113" customWidth="1"/>
    <col min="259" max="259" width="10.90625" style="113" customWidth="1"/>
    <col min="260" max="260" width="0" style="113" hidden="1" customWidth="1"/>
    <col min="261" max="261" width="18.36328125" style="113" customWidth="1"/>
    <col min="262" max="262" width="17.08984375" style="113" customWidth="1"/>
    <col min="263" max="264" width="0" style="113" hidden="1" customWidth="1"/>
    <col min="265" max="265" width="8.90625" style="113" customWidth="1"/>
    <col min="266" max="509" width="8.90625" style="113"/>
    <col min="510" max="511" width="8.36328125" style="113" bestFit="1" customWidth="1"/>
    <col min="512" max="512" width="10.453125" style="113" bestFit="1" customWidth="1"/>
    <col min="513" max="513" width="8.453125" style="113" customWidth="1"/>
    <col min="514" max="514" width="6.36328125" style="113" customWidth="1"/>
    <col min="515" max="515" width="10.90625" style="113" customWidth="1"/>
    <col min="516" max="516" width="0" style="113" hidden="1" customWidth="1"/>
    <col min="517" max="517" width="18.36328125" style="113" customWidth="1"/>
    <col min="518" max="518" width="17.08984375" style="113" customWidth="1"/>
    <col min="519" max="520" width="0" style="113" hidden="1" customWidth="1"/>
    <col min="521" max="521" width="8.90625" style="113" customWidth="1"/>
    <col min="522" max="765" width="8.90625" style="113"/>
    <col min="766" max="767" width="8.36328125" style="113" bestFit="1" customWidth="1"/>
    <col min="768" max="768" width="10.453125" style="113" bestFit="1" customWidth="1"/>
    <col min="769" max="769" width="8.453125" style="113" customWidth="1"/>
    <col min="770" max="770" width="6.36328125" style="113" customWidth="1"/>
    <col min="771" max="771" width="10.90625" style="113" customWidth="1"/>
    <col min="772" max="772" width="0" style="113" hidden="1" customWidth="1"/>
    <col min="773" max="773" width="18.36328125" style="113" customWidth="1"/>
    <col min="774" max="774" width="17.08984375" style="113" customWidth="1"/>
    <col min="775" max="776" width="0" style="113" hidden="1" customWidth="1"/>
    <col min="777" max="777" width="8.90625" style="113" customWidth="1"/>
    <col min="778" max="1021" width="8.90625" style="113"/>
    <col min="1022" max="1023" width="8.36328125" style="113" bestFit="1" customWidth="1"/>
    <col min="1024" max="1024" width="10.453125" style="113" bestFit="1" customWidth="1"/>
    <col min="1025" max="1025" width="8.453125" style="113" customWidth="1"/>
    <col min="1026" max="1026" width="6.36328125" style="113" customWidth="1"/>
    <col min="1027" max="1027" width="10.90625" style="113" customWidth="1"/>
    <col min="1028" max="1028" width="0" style="113" hidden="1" customWidth="1"/>
    <col min="1029" max="1029" width="18.36328125" style="113" customWidth="1"/>
    <col min="1030" max="1030" width="17.08984375" style="113" customWidth="1"/>
    <col min="1031" max="1032" width="0" style="113" hidden="1" customWidth="1"/>
    <col min="1033" max="1033" width="8.90625" style="113" customWidth="1"/>
    <col min="1034" max="1277" width="8.90625" style="113"/>
    <col min="1278" max="1279" width="8.36328125" style="113" bestFit="1" customWidth="1"/>
    <col min="1280" max="1280" width="10.453125" style="113" bestFit="1" customWidth="1"/>
    <col min="1281" max="1281" width="8.453125" style="113" customWidth="1"/>
    <col min="1282" max="1282" width="6.36328125" style="113" customWidth="1"/>
    <col min="1283" max="1283" width="10.90625" style="113" customWidth="1"/>
    <col min="1284" max="1284" width="0" style="113" hidden="1" customWidth="1"/>
    <col min="1285" max="1285" width="18.36328125" style="113" customWidth="1"/>
    <col min="1286" max="1286" width="17.08984375" style="113" customWidth="1"/>
    <col min="1287" max="1288" width="0" style="113" hidden="1" customWidth="1"/>
    <col min="1289" max="1289" width="8.90625" style="113" customWidth="1"/>
    <col min="1290" max="1533" width="8.90625" style="113"/>
    <col min="1534" max="1535" width="8.36328125" style="113" bestFit="1" customWidth="1"/>
    <col min="1536" max="1536" width="10.453125" style="113" bestFit="1" customWidth="1"/>
    <col min="1537" max="1537" width="8.453125" style="113" customWidth="1"/>
    <col min="1538" max="1538" width="6.36328125" style="113" customWidth="1"/>
    <col min="1539" max="1539" width="10.90625" style="113" customWidth="1"/>
    <col min="1540" max="1540" width="0" style="113" hidden="1" customWidth="1"/>
    <col min="1541" max="1541" width="18.36328125" style="113" customWidth="1"/>
    <col min="1542" max="1542" width="17.08984375" style="113" customWidth="1"/>
    <col min="1543" max="1544" width="0" style="113" hidden="1" customWidth="1"/>
    <col min="1545" max="1545" width="8.90625" style="113" customWidth="1"/>
    <col min="1546" max="1789" width="8.90625" style="113"/>
    <col min="1790" max="1791" width="8.36328125" style="113" bestFit="1" customWidth="1"/>
    <col min="1792" max="1792" width="10.453125" style="113" bestFit="1" customWidth="1"/>
    <col min="1793" max="1793" width="8.453125" style="113" customWidth="1"/>
    <col min="1794" max="1794" width="6.36328125" style="113" customWidth="1"/>
    <col min="1795" max="1795" width="10.90625" style="113" customWidth="1"/>
    <col min="1796" max="1796" width="0" style="113" hidden="1" customWidth="1"/>
    <col min="1797" max="1797" width="18.36328125" style="113" customWidth="1"/>
    <col min="1798" max="1798" width="17.08984375" style="113" customWidth="1"/>
    <col min="1799" max="1800" width="0" style="113" hidden="1" customWidth="1"/>
    <col min="1801" max="1801" width="8.90625" style="113" customWidth="1"/>
    <col min="1802" max="2045" width="8.90625" style="113"/>
    <col min="2046" max="2047" width="8.36328125" style="113" bestFit="1" customWidth="1"/>
    <col min="2048" max="2048" width="10.453125" style="113" bestFit="1" customWidth="1"/>
    <col min="2049" max="2049" width="8.453125" style="113" customWidth="1"/>
    <col min="2050" max="2050" width="6.36328125" style="113" customWidth="1"/>
    <col min="2051" max="2051" width="10.90625" style="113" customWidth="1"/>
    <col min="2052" max="2052" width="0" style="113" hidden="1" customWidth="1"/>
    <col min="2053" max="2053" width="18.36328125" style="113" customWidth="1"/>
    <col min="2054" max="2054" width="17.08984375" style="113" customWidth="1"/>
    <col min="2055" max="2056" width="0" style="113" hidden="1" customWidth="1"/>
    <col min="2057" max="2057" width="8.90625" style="113" customWidth="1"/>
    <col min="2058" max="2301" width="8.90625" style="113"/>
    <col min="2302" max="2303" width="8.36328125" style="113" bestFit="1" customWidth="1"/>
    <col min="2304" max="2304" width="10.453125" style="113" bestFit="1" customWidth="1"/>
    <col min="2305" max="2305" width="8.453125" style="113" customWidth="1"/>
    <col min="2306" max="2306" width="6.36328125" style="113" customWidth="1"/>
    <col min="2307" max="2307" width="10.90625" style="113" customWidth="1"/>
    <col min="2308" max="2308" width="0" style="113" hidden="1" customWidth="1"/>
    <col min="2309" max="2309" width="18.36328125" style="113" customWidth="1"/>
    <col min="2310" max="2310" width="17.08984375" style="113" customWidth="1"/>
    <col min="2311" max="2312" width="0" style="113" hidden="1" customWidth="1"/>
    <col min="2313" max="2313" width="8.90625" style="113" customWidth="1"/>
    <col min="2314" max="2557" width="8.90625" style="113"/>
    <col min="2558" max="2559" width="8.36328125" style="113" bestFit="1" customWidth="1"/>
    <col min="2560" max="2560" width="10.453125" style="113" bestFit="1" customWidth="1"/>
    <col min="2561" max="2561" width="8.453125" style="113" customWidth="1"/>
    <col min="2562" max="2562" width="6.36328125" style="113" customWidth="1"/>
    <col min="2563" max="2563" width="10.90625" style="113" customWidth="1"/>
    <col min="2564" max="2564" width="0" style="113" hidden="1" customWidth="1"/>
    <col min="2565" max="2565" width="18.36328125" style="113" customWidth="1"/>
    <col min="2566" max="2566" width="17.08984375" style="113" customWidth="1"/>
    <col min="2567" max="2568" width="0" style="113" hidden="1" customWidth="1"/>
    <col min="2569" max="2569" width="8.90625" style="113" customWidth="1"/>
    <col min="2570" max="2813" width="8.90625" style="113"/>
    <col min="2814" max="2815" width="8.36328125" style="113" bestFit="1" customWidth="1"/>
    <col min="2816" max="2816" width="10.453125" style="113" bestFit="1" customWidth="1"/>
    <col min="2817" max="2817" width="8.453125" style="113" customWidth="1"/>
    <col min="2818" max="2818" width="6.36328125" style="113" customWidth="1"/>
    <col min="2819" max="2819" width="10.90625" style="113" customWidth="1"/>
    <col min="2820" max="2820" width="0" style="113" hidden="1" customWidth="1"/>
    <col min="2821" max="2821" width="18.36328125" style="113" customWidth="1"/>
    <col min="2822" max="2822" width="17.08984375" style="113" customWidth="1"/>
    <col min="2823" max="2824" width="0" style="113" hidden="1" customWidth="1"/>
    <col min="2825" max="2825" width="8.90625" style="113" customWidth="1"/>
    <col min="2826" max="3069" width="8.90625" style="113"/>
    <col min="3070" max="3071" width="8.36328125" style="113" bestFit="1" customWidth="1"/>
    <col min="3072" max="3072" width="10.453125" style="113" bestFit="1" customWidth="1"/>
    <col min="3073" max="3073" width="8.453125" style="113" customWidth="1"/>
    <col min="3074" max="3074" width="6.36328125" style="113" customWidth="1"/>
    <col min="3075" max="3075" width="10.90625" style="113" customWidth="1"/>
    <col min="3076" max="3076" width="0" style="113" hidden="1" customWidth="1"/>
    <col min="3077" max="3077" width="18.36328125" style="113" customWidth="1"/>
    <col min="3078" max="3078" width="17.08984375" style="113" customWidth="1"/>
    <col min="3079" max="3080" width="0" style="113" hidden="1" customWidth="1"/>
    <col min="3081" max="3081" width="8.90625" style="113" customWidth="1"/>
    <col min="3082" max="3325" width="8.90625" style="113"/>
    <col min="3326" max="3327" width="8.36328125" style="113" bestFit="1" customWidth="1"/>
    <col min="3328" max="3328" width="10.453125" style="113" bestFit="1" customWidth="1"/>
    <col min="3329" max="3329" width="8.453125" style="113" customWidth="1"/>
    <col min="3330" max="3330" width="6.36328125" style="113" customWidth="1"/>
    <col min="3331" max="3331" width="10.90625" style="113" customWidth="1"/>
    <col min="3332" max="3332" width="0" style="113" hidden="1" customWidth="1"/>
    <col min="3333" max="3333" width="18.36328125" style="113" customWidth="1"/>
    <col min="3334" max="3334" width="17.08984375" style="113" customWidth="1"/>
    <col min="3335" max="3336" width="0" style="113" hidden="1" customWidth="1"/>
    <col min="3337" max="3337" width="8.90625" style="113" customWidth="1"/>
    <col min="3338" max="3581" width="8.90625" style="113"/>
    <col min="3582" max="3583" width="8.36328125" style="113" bestFit="1" customWidth="1"/>
    <col min="3584" max="3584" width="10.453125" style="113" bestFit="1" customWidth="1"/>
    <col min="3585" max="3585" width="8.453125" style="113" customWidth="1"/>
    <col min="3586" max="3586" width="6.36328125" style="113" customWidth="1"/>
    <col min="3587" max="3587" width="10.90625" style="113" customWidth="1"/>
    <col min="3588" max="3588" width="0" style="113" hidden="1" customWidth="1"/>
    <col min="3589" max="3589" width="18.36328125" style="113" customWidth="1"/>
    <col min="3590" max="3590" width="17.08984375" style="113" customWidth="1"/>
    <col min="3591" max="3592" width="0" style="113" hidden="1" customWidth="1"/>
    <col min="3593" max="3593" width="8.90625" style="113" customWidth="1"/>
    <col min="3594" max="3837" width="8.90625" style="113"/>
    <col min="3838" max="3839" width="8.36328125" style="113" bestFit="1" customWidth="1"/>
    <col min="3840" max="3840" width="10.453125" style="113" bestFit="1" customWidth="1"/>
    <col min="3841" max="3841" width="8.453125" style="113" customWidth="1"/>
    <col min="3842" max="3842" width="6.36328125" style="113" customWidth="1"/>
    <col min="3843" max="3843" width="10.90625" style="113" customWidth="1"/>
    <col min="3844" max="3844" width="0" style="113" hidden="1" customWidth="1"/>
    <col min="3845" max="3845" width="18.36328125" style="113" customWidth="1"/>
    <col min="3846" max="3846" width="17.08984375" style="113" customWidth="1"/>
    <col min="3847" max="3848" width="0" style="113" hidden="1" customWidth="1"/>
    <col min="3849" max="3849" width="8.90625" style="113" customWidth="1"/>
    <col min="3850" max="4093" width="8.90625" style="113"/>
    <col min="4094" max="4095" width="8.36328125" style="113" bestFit="1" customWidth="1"/>
    <col min="4096" max="4096" width="10.453125" style="113" bestFit="1" customWidth="1"/>
    <col min="4097" max="4097" width="8.453125" style="113" customWidth="1"/>
    <col min="4098" max="4098" width="6.36328125" style="113" customWidth="1"/>
    <col min="4099" max="4099" width="10.90625" style="113" customWidth="1"/>
    <col min="4100" max="4100" width="0" style="113" hidden="1" customWidth="1"/>
    <col min="4101" max="4101" width="18.36328125" style="113" customWidth="1"/>
    <col min="4102" max="4102" width="17.08984375" style="113" customWidth="1"/>
    <col min="4103" max="4104" width="0" style="113" hidden="1" customWidth="1"/>
    <col min="4105" max="4105" width="8.90625" style="113" customWidth="1"/>
    <col min="4106" max="4349" width="8.90625" style="113"/>
    <col min="4350" max="4351" width="8.36328125" style="113" bestFit="1" customWidth="1"/>
    <col min="4352" max="4352" width="10.453125" style="113" bestFit="1" customWidth="1"/>
    <col min="4353" max="4353" width="8.453125" style="113" customWidth="1"/>
    <col min="4354" max="4354" width="6.36328125" style="113" customWidth="1"/>
    <col min="4355" max="4355" width="10.90625" style="113" customWidth="1"/>
    <col min="4356" max="4356" width="0" style="113" hidden="1" customWidth="1"/>
    <col min="4357" max="4357" width="18.36328125" style="113" customWidth="1"/>
    <col min="4358" max="4358" width="17.08984375" style="113" customWidth="1"/>
    <col min="4359" max="4360" width="0" style="113" hidden="1" customWidth="1"/>
    <col min="4361" max="4361" width="8.90625" style="113" customWidth="1"/>
    <col min="4362" max="4605" width="8.90625" style="113"/>
    <col min="4606" max="4607" width="8.36328125" style="113" bestFit="1" customWidth="1"/>
    <col min="4608" max="4608" width="10.453125" style="113" bestFit="1" customWidth="1"/>
    <col min="4609" max="4609" width="8.453125" style="113" customWidth="1"/>
    <col min="4610" max="4610" width="6.36328125" style="113" customWidth="1"/>
    <col min="4611" max="4611" width="10.90625" style="113" customWidth="1"/>
    <col min="4612" max="4612" width="0" style="113" hidden="1" customWidth="1"/>
    <col min="4613" max="4613" width="18.36328125" style="113" customWidth="1"/>
    <col min="4614" max="4614" width="17.08984375" style="113" customWidth="1"/>
    <col min="4615" max="4616" width="0" style="113" hidden="1" customWidth="1"/>
    <col min="4617" max="4617" width="8.90625" style="113" customWidth="1"/>
    <col min="4618" max="4861" width="8.90625" style="113"/>
    <col min="4862" max="4863" width="8.36328125" style="113" bestFit="1" customWidth="1"/>
    <col min="4864" max="4864" width="10.453125" style="113" bestFit="1" customWidth="1"/>
    <col min="4865" max="4865" width="8.453125" style="113" customWidth="1"/>
    <col min="4866" max="4866" width="6.36328125" style="113" customWidth="1"/>
    <col min="4867" max="4867" width="10.90625" style="113" customWidth="1"/>
    <col min="4868" max="4868" width="0" style="113" hidden="1" customWidth="1"/>
    <col min="4869" max="4869" width="18.36328125" style="113" customWidth="1"/>
    <col min="4870" max="4870" width="17.08984375" style="113" customWidth="1"/>
    <col min="4871" max="4872" width="0" style="113" hidden="1" customWidth="1"/>
    <col min="4873" max="4873" width="8.90625" style="113" customWidth="1"/>
    <col min="4874" max="5117" width="8.90625" style="113"/>
    <col min="5118" max="5119" width="8.36328125" style="113" bestFit="1" customWidth="1"/>
    <col min="5120" max="5120" width="10.453125" style="113" bestFit="1" customWidth="1"/>
    <col min="5121" max="5121" width="8.453125" style="113" customWidth="1"/>
    <col min="5122" max="5122" width="6.36328125" style="113" customWidth="1"/>
    <col min="5123" max="5123" width="10.90625" style="113" customWidth="1"/>
    <col min="5124" max="5124" width="0" style="113" hidden="1" customWidth="1"/>
    <col min="5125" max="5125" width="18.36328125" style="113" customWidth="1"/>
    <col min="5126" max="5126" width="17.08984375" style="113" customWidth="1"/>
    <col min="5127" max="5128" width="0" style="113" hidden="1" customWidth="1"/>
    <col min="5129" max="5129" width="8.90625" style="113" customWidth="1"/>
    <col min="5130" max="5373" width="8.90625" style="113"/>
    <col min="5374" max="5375" width="8.36328125" style="113" bestFit="1" customWidth="1"/>
    <col min="5376" max="5376" width="10.453125" style="113" bestFit="1" customWidth="1"/>
    <col min="5377" max="5377" width="8.453125" style="113" customWidth="1"/>
    <col min="5378" max="5378" width="6.36328125" style="113" customWidth="1"/>
    <col min="5379" max="5379" width="10.90625" style="113" customWidth="1"/>
    <col min="5380" max="5380" width="0" style="113" hidden="1" customWidth="1"/>
    <col min="5381" max="5381" width="18.36328125" style="113" customWidth="1"/>
    <col min="5382" max="5382" width="17.08984375" style="113" customWidth="1"/>
    <col min="5383" max="5384" width="0" style="113" hidden="1" customWidth="1"/>
    <col min="5385" max="5385" width="8.90625" style="113" customWidth="1"/>
    <col min="5386" max="5629" width="8.90625" style="113"/>
    <col min="5630" max="5631" width="8.36328125" style="113" bestFit="1" customWidth="1"/>
    <col min="5632" max="5632" width="10.453125" style="113" bestFit="1" customWidth="1"/>
    <col min="5633" max="5633" width="8.453125" style="113" customWidth="1"/>
    <col min="5634" max="5634" width="6.36328125" style="113" customWidth="1"/>
    <col min="5635" max="5635" width="10.90625" style="113" customWidth="1"/>
    <col min="5636" max="5636" width="0" style="113" hidden="1" customWidth="1"/>
    <col min="5637" max="5637" width="18.36328125" style="113" customWidth="1"/>
    <col min="5638" max="5638" width="17.08984375" style="113" customWidth="1"/>
    <col min="5639" max="5640" width="0" style="113" hidden="1" customWidth="1"/>
    <col min="5641" max="5641" width="8.90625" style="113" customWidth="1"/>
    <col min="5642" max="5885" width="8.90625" style="113"/>
    <col min="5886" max="5887" width="8.36328125" style="113" bestFit="1" customWidth="1"/>
    <col min="5888" max="5888" width="10.453125" style="113" bestFit="1" customWidth="1"/>
    <col min="5889" max="5889" width="8.453125" style="113" customWidth="1"/>
    <col min="5890" max="5890" width="6.36328125" style="113" customWidth="1"/>
    <col min="5891" max="5891" width="10.90625" style="113" customWidth="1"/>
    <col min="5892" max="5892" width="0" style="113" hidden="1" customWidth="1"/>
    <col min="5893" max="5893" width="18.36328125" style="113" customWidth="1"/>
    <col min="5894" max="5894" width="17.08984375" style="113" customWidth="1"/>
    <col min="5895" max="5896" width="0" style="113" hidden="1" customWidth="1"/>
    <col min="5897" max="5897" width="8.90625" style="113" customWidth="1"/>
    <col min="5898" max="6141" width="8.90625" style="113"/>
    <col min="6142" max="6143" width="8.36328125" style="113" bestFit="1" customWidth="1"/>
    <col min="6144" max="6144" width="10.453125" style="113" bestFit="1" customWidth="1"/>
    <col min="6145" max="6145" width="8.453125" style="113" customWidth="1"/>
    <col min="6146" max="6146" width="6.36328125" style="113" customWidth="1"/>
    <col min="6147" max="6147" width="10.90625" style="113" customWidth="1"/>
    <col min="6148" max="6148" width="0" style="113" hidden="1" customWidth="1"/>
    <col min="6149" max="6149" width="18.36328125" style="113" customWidth="1"/>
    <col min="6150" max="6150" width="17.08984375" style="113" customWidth="1"/>
    <col min="6151" max="6152" width="0" style="113" hidden="1" customWidth="1"/>
    <col min="6153" max="6153" width="8.90625" style="113" customWidth="1"/>
    <col min="6154" max="6397" width="8.90625" style="113"/>
    <col min="6398" max="6399" width="8.36328125" style="113" bestFit="1" customWidth="1"/>
    <col min="6400" max="6400" width="10.453125" style="113" bestFit="1" customWidth="1"/>
    <col min="6401" max="6401" width="8.453125" style="113" customWidth="1"/>
    <col min="6402" max="6402" width="6.36328125" style="113" customWidth="1"/>
    <col min="6403" max="6403" width="10.90625" style="113" customWidth="1"/>
    <col min="6404" max="6404" width="0" style="113" hidden="1" customWidth="1"/>
    <col min="6405" max="6405" width="18.36328125" style="113" customWidth="1"/>
    <col min="6406" max="6406" width="17.08984375" style="113" customWidth="1"/>
    <col min="6407" max="6408" width="0" style="113" hidden="1" customWidth="1"/>
    <col min="6409" max="6409" width="8.90625" style="113" customWidth="1"/>
    <col min="6410" max="6653" width="8.90625" style="113"/>
    <col min="6654" max="6655" width="8.36328125" style="113" bestFit="1" customWidth="1"/>
    <col min="6656" max="6656" width="10.453125" style="113" bestFit="1" customWidth="1"/>
    <col min="6657" max="6657" width="8.453125" style="113" customWidth="1"/>
    <col min="6658" max="6658" width="6.36328125" style="113" customWidth="1"/>
    <col min="6659" max="6659" width="10.90625" style="113" customWidth="1"/>
    <col min="6660" max="6660" width="0" style="113" hidden="1" customWidth="1"/>
    <col min="6661" max="6661" width="18.36328125" style="113" customWidth="1"/>
    <col min="6662" max="6662" width="17.08984375" style="113" customWidth="1"/>
    <col min="6663" max="6664" width="0" style="113" hidden="1" customWidth="1"/>
    <col min="6665" max="6665" width="8.90625" style="113" customWidth="1"/>
    <col min="6666" max="6909" width="8.90625" style="113"/>
    <col min="6910" max="6911" width="8.36328125" style="113" bestFit="1" customWidth="1"/>
    <col min="6912" max="6912" width="10.453125" style="113" bestFit="1" customWidth="1"/>
    <col min="6913" max="6913" width="8.453125" style="113" customWidth="1"/>
    <col min="6914" max="6914" width="6.36328125" style="113" customWidth="1"/>
    <col min="6915" max="6915" width="10.90625" style="113" customWidth="1"/>
    <col min="6916" max="6916" width="0" style="113" hidden="1" customWidth="1"/>
    <col min="6917" max="6917" width="18.36328125" style="113" customWidth="1"/>
    <col min="6918" max="6918" width="17.08984375" style="113" customWidth="1"/>
    <col min="6919" max="6920" width="0" style="113" hidden="1" customWidth="1"/>
    <col min="6921" max="6921" width="8.90625" style="113" customWidth="1"/>
    <col min="6922" max="7165" width="8.90625" style="113"/>
    <col min="7166" max="7167" width="8.36328125" style="113" bestFit="1" customWidth="1"/>
    <col min="7168" max="7168" width="10.453125" style="113" bestFit="1" customWidth="1"/>
    <col min="7169" max="7169" width="8.453125" style="113" customWidth="1"/>
    <col min="7170" max="7170" width="6.36328125" style="113" customWidth="1"/>
    <col min="7171" max="7171" width="10.90625" style="113" customWidth="1"/>
    <col min="7172" max="7172" width="0" style="113" hidden="1" customWidth="1"/>
    <col min="7173" max="7173" width="18.36328125" style="113" customWidth="1"/>
    <col min="7174" max="7174" width="17.08984375" style="113" customWidth="1"/>
    <col min="7175" max="7176" width="0" style="113" hidden="1" customWidth="1"/>
    <col min="7177" max="7177" width="8.90625" style="113" customWidth="1"/>
    <col min="7178" max="7421" width="8.90625" style="113"/>
    <col min="7422" max="7423" width="8.36328125" style="113" bestFit="1" customWidth="1"/>
    <col min="7424" max="7424" width="10.453125" style="113" bestFit="1" customWidth="1"/>
    <col min="7425" max="7425" width="8.453125" style="113" customWidth="1"/>
    <col min="7426" max="7426" width="6.36328125" style="113" customWidth="1"/>
    <col min="7427" max="7427" width="10.90625" style="113" customWidth="1"/>
    <col min="7428" max="7428" width="0" style="113" hidden="1" customWidth="1"/>
    <col min="7429" max="7429" width="18.36328125" style="113" customWidth="1"/>
    <col min="7430" max="7430" width="17.08984375" style="113" customWidth="1"/>
    <col min="7431" max="7432" width="0" style="113" hidden="1" customWidth="1"/>
    <col min="7433" max="7433" width="8.90625" style="113" customWidth="1"/>
    <col min="7434" max="7677" width="8.90625" style="113"/>
    <col min="7678" max="7679" width="8.36328125" style="113" bestFit="1" customWidth="1"/>
    <col min="7680" max="7680" width="10.453125" style="113" bestFit="1" customWidth="1"/>
    <col min="7681" max="7681" width="8.453125" style="113" customWidth="1"/>
    <col min="7682" max="7682" width="6.36328125" style="113" customWidth="1"/>
    <col min="7683" max="7683" width="10.90625" style="113" customWidth="1"/>
    <col min="7684" max="7684" width="0" style="113" hidden="1" customWidth="1"/>
    <col min="7685" max="7685" width="18.36328125" style="113" customWidth="1"/>
    <col min="7686" max="7686" width="17.08984375" style="113" customWidth="1"/>
    <col min="7687" max="7688" width="0" style="113" hidden="1" customWidth="1"/>
    <col min="7689" max="7689" width="8.90625" style="113" customWidth="1"/>
    <col min="7690" max="7933" width="8.90625" style="113"/>
    <col min="7934" max="7935" width="8.36328125" style="113" bestFit="1" customWidth="1"/>
    <col min="7936" max="7936" width="10.453125" style="113" bestFit="1" customWidth="1"/>
    <col min="7937" max="7937" width="8.453125" style="113" customWidth="1"/>
    <col min="7938" max="7938" width="6.36328125" style="113" customWidth="1"/>
    <col min="7939" max="7939" width="10.90625" style="113" customWidth="1"/>
    <col min="7940" max="7940" width="0" style="113" hidden="1" customWidth="1"/>
    <col min="7941" max="7941" width="18.36328125" style="113" customWidth="1"/>
    <col min="7942" max="7942" width="17.08984375" style="113" customWidth="1"/>
    <col min="7943" max="7944" width="0" style="113" hidden="1" customWidth="1"/>
    <col min="7945" max="7945" width="8.90625" style="113" customWidth="1"/>
    <col min="7946" max="8189" width="8.90625" style="113"/>
    <col min="8190" max="8191" width="8.36328125" style="113" bestFit="1" customWidth="1"/>
    <col min="8192" max="8192" width="10.453125" style="113" bestFit="1" customWidth="1"/>
    <col min="8193" max="8193" width="8.453125" style="113" customWidth="1"/>
    <col min="8194" max="8194" width="6.36328125" style="113" customWidth="1"/>
    <col min="8195" max="8195" width="10.90625" style="113" customWidth="1"/>
    <col min="8196" max="8196" width="0" style="113" hidden="1" customWidth="1"/>
    <col min="8197" max="8197" width="18.36328125" style="113" customWidth="1"/>
    <col min="8198" max="8198" width="17.08984375" style="113" customWidth="1"/>
    <col min="8199" max="8200" width="0" style="113" hidden="1" customWidth="1"/>
    <col min="8201" max="8201" width="8.90625" style="113" customWidth="1"/>
    <col min="8202" max="8445" width="8.90625" style="113"/>
    <col min="8446" max="8447" width="8.36328125" style="113" bestFit="1" customWidth="1"/>
    <col min="8448" max="8448" width="10.453125" style="113" bestFit="1" customWidth="1"/>
    <col min="8449" max="8449" width="8.453125" style="113" customWidth="1"/>
    <col min="8450" max="8450" width="6.36328125" style="113" customWidth="1"/>
    <col min="8451" max="8451" width="10.90625" style="113" customWidth="1"/>
    <col min="8452" max="8452" width="0" style="113" hidden="1" customWidth="1"/>
    <col min="8453" max="8453" width="18.36328125" style="113" customWidth="1"/>
    <col min="8454" max="8454" width="17.08984375" style="113" customWidth="1"/>
    <col min="8455" max="8456" width="0" style="113" hidden="1" customWidth="1"/>
    <col min="8457" max="8457" width="8.90625" style="113" customWidth="1"/>
    <col min="8458" max="8701" width="8.90625" style="113"/>
    <col min="8702" max="8703" width="8.36328125" style="113" bestFit="1" customWidth="1"/>
    <col min="8704" max="8704" width="10.453125" style="113" bestFit="1" customWidth="1"/>
    <col min="8705" max="8705" width="8.453125" style="113" customWidth="1"/>
    <col min="8706" max="8706" width="6.36328125" style="113" customWidth="1"/>
    <col min="8707" max="8707" width="10.90625" style="113" customWidth="1"/>
    <col min="8708" max="8708" width="0" style="113" hidden="1" customWidth="1"/>
    <col min="8709" max="8709" width="18.36328125" style="113" customWidth="1"/>
    <col min="8710" max="8710" width="17.08984375" style="113" customWidth="1"/>
    <col min="8711" max="8712" width="0" style="113" hidden="1" customWidth="1"/>
    <col min="8713" max="8713" width="8.90625" style="113" customWidth="1"/>
    <col min="8714" max="8957" width="8.90625" style="113"/>
    <col min="8958" max="8959" width="8.36328125" style="113" bestFit="1" customWidth="1"/>
    <col min="8960" max="8960" width="10.453125" style="113" bestFit="1" customWidth="1"/>
    <col min="8961" max="8961" width="8.453125" style="113" customWidth="1"/>
    <col min="8962" max="8962" width="6.36328125" style="113" customWidth="1"/>
    <col min="8963" max="8963" width="10.90625" style="113" customWidth="1"/>
    <col min="8964" max="8964" width="0" style="113" hidden="1" customWidth="1"/>
    <col min="8965" max="8965" width="18.36328125" style="113" customWidth="1"/>
    <col min="8966" max="8966" width="17.08984375" style="113" customWidth="1"/>
    <col min="8967" max="8968" width="0" style="113" hidden="1" customWidth="1"/>
    <col min="8969" max="8969" width="8.90625" style="113" customWidth="1"/>
    <col min="8970" max="9213" width="8.90625" style="113"/>
    <col min="9214" max="9215" width="8.36328125" style="113" bestFit="1" customWidth="1"/>
    <col min="9216" max="9216" width="10.453125" style="113" bestFit="1" customWidth="1"/>
    <col min="9217" max="9217" width="8.453125" style="113" customWidth="1"/>
    <col min="9218" max="9218" width="6.36328125" style="113" customWidth="1"/>
    <col min="9219" max="9219" width="10.90625" style="113" customWidth="1"/>
    <col min="9220" max="9220" width="0" style="113" hidden="1" customWidth="1"/>
    <col min="9221" max="9221" width="18.36328125" style="113" customWidth="1"/>
    <col min="9222" max="9222" width="17.08984375" style="113" customWidth="1"/>
    <col min="9223" max="9224" width="0" style="113" hidden="1" customWidth="1"/>
    <col min="9225" max="9225" width="8.90625" style="113" customWidth="1"/>
    <col min="9226" max="9469" width="8.90625" style="113"/>
    <col min="9470" max="9471" width="8.36328125" style="113" bestFit="1" customWidth="1"/>
    <col min="9472" max="9472" width="10.453125" style="113" bestFit="1" customWidth="1"/>
    <col min="9473" max="9473" width="8.453125" style="113" customWidth="1"/>
    <col min="9474" max="9474" width="6.36328125" style="113" customWidth="1"/>
    <col min="9475" max="9475" width="10.90625" style="113" customWidth="1"/>
    <col min="9476" max="9476" width="0" style="113" hidden="1" customWidth="1"/>
    <col min="9477" max="9477" width="18.36328125" style="113" customWidth="1"/>
    <col min="9478" max="9478" width="17.08984375" style="113" customWidth="1"/>
    <col min="9479" max="9480" width="0" style="113" hidden="1" customWidth="1"/>
    <col min="9481" max="9481" width="8.90625" style="113" customWidth="1"/>
    <col min="9482" max="9725" width="8.90625" style="113"/>
    <col min="9726" max="9727" width="8.36328125" style="113" bestFit="1" customWidth="1"/>
    <col min="9728" max="9728" width="10.453125" style="113" bestFit="1" customWidth="1"/>
    <col min="9729" max="9729" width="8.453125" style="113" customWidth="1"/>
    <col min="9730" max="9730" width="6.36328125" style="113" customWidth="1"/>
    <col min="9731" max="9731" width="10.90625" style="113" customWidth="1"/>
    <col min="9732" max="9732" width="0" style="113" hidden="1" customWidth="1"/>
    <col min="9733" max="9733" width="18.36328125" style="113" customWidth="1"/>
    <col min="9734" max="9734" width="17.08984375" style="113" customWidth="1"/>
    <col min="9735" max="9736" width="0" style="113" hidden="1" customWidth="1"/>
    <col min="9737" max="9737" width="8.90625" style="113" customWidth="1"/>
    <col min="9738" max="9981" width="8.90625" style="113"/>
    <col min="9982" max="9983" width="8.36328125" style="113" bestFit="1" customWidth="1"/>
    <col min="9984" max="9984" width="10.453125" style="113" bestFit="1" customWidth="1"/>
    <col min="9985" max="9985" width="8.453125" style="113" customWidth="1"/>
    <col min="9986" max="9986" width="6.36328125" style="113" customWidth="1"/>
    <col min="9987" max="9987" width="10.90625" style="113" customWidth="1"/>
    <col min="9988" max="9988" width="0" style="113" hidden="1" customWidth="1"/>
    <col min="9989" max="9989" width="18.36328125" style="113" customWidth="1"/>
    <col min="9990" max="9990" width="17.08984375" style="113" customWidth="1"/>
    <col min="9991" max="9992" width="0" style="113" hidden="1" customWidth="1"/>
    <col min="9993" max="9993" width="8.90625" style="113" customWidth="1"/>
    <col min="9994" max="10237" width="8.90625" style="113"/>
    <col min="10238" max="10239" width="8.36328125" style="113" bestFit="1" customWidth="1"/>
    <col min="10240" max="10240" width="10.453125" style="113" bestFit="1" customWidth="1"/>
    <col min="10241" max="10241" width="8.453125" style="113" customWidth="1"/>
    <col min="10242" max="10242" width="6.36328125" style="113" customWidth="1"/>
    <col min="10243" max="10243" width="10.90625" style="113" customWidth="1"/>
    <col min="10244" max="10244" width="0" style="113" hidden="1" customWidth="1"/>
    <col min="10245" max="10245" width="18.36328125" style="113" customWidth="1"/>
    <col min="10246" max="10246" width="17.08984375" style="113" customWidth="1"/>
    <col min="10247" max="10248" width="0" style="113" hidden="1" customWidth="1"/>
    <col min="10249" max="10249" width="8.90625" style="113" customWidth="1"/>
    <col min="10250" max="10493" width="8.90625" style="113"/>
    <col min="10494" max="10495" width="8.36328125" style="113" bestFit="1" customWidth="1"/>
    <col min="10496" max="10496" width="10.453125" style="113" bestFit="1" customWidth="1"/>
    <col min="10497" max="10497" width="8.453125" style="113" customWidth="1"/>
    <col min="10498" max="10498" width="6.36328125" style="113" customWidth="1"/>
    <col min="10499" max="10499" width="10.90625" style="113" customWidth="1"/>
    <col min="10500" max="10500" width="0" style="113" hidden="1" customWidth="1"/>
    <col min="10501" max="10501" width="18.36328125" style="113" customWidth="1"/>
    <col min="10502" max="10502" width="17.08984375" style="113" customWidth="1"/>
    <col min="10503" max="10504" width="0" style="113" hidden="1" customWidth="1"/>
    <col min="10505" max="10505" width="8.90625" style="113" customWidth="1"/>
    <col min="10506" max="10749" width="8.90625" style="113"/>
    <col min="10750" max="10751" width="8.36328125" style="113" bestFit="1" customWidth="1"/>
    <col min="10752" max="10752" width="10.453125" style="113" bestFit="1" customWidth="1"/>
    <col min="10753" max="10753" width="8.453125" style="113" customWidth="1"/>
    <col min="10754" max="10754" width="6.36328125" style="113" customWidth="1"/>
    <col min="10755" max="10755" width="10.90625" style="113" customWidth="1"/>
    <col min="10756" max="10756" width="0" style="113" hidden="1" customWidth="1"/>
    <col min="10757" max="10757" width="18.36328125" style="113" customWidth="1"/>
    <col min="10758" max="10758" width="17.08984375" style="113" customWidth="1"/>
    <col min="10759" max="10760" width="0" style="113" hidden="1" customWidth="1"/>
    <col min="10761" max="10761" width="8.90625" style="113" customWidth="1"/>
    <col min="10762" max="11005" width="8.90625" style="113"/>
    <col min="11006" max="11007" width="8.36328125" style="113" bestFit="1" customWidth="1"/>
    <col min="11008" max="11008" width="10.453125" style="113" bestFit="1" customWidth="1"/>
    <col min="11009" max="11009" width="8.453125" style="113" customWidth="1"/>
    <col min="11010" max="11010" width="6.36328125" style="113" customWidth="1"/>
    <col min="11011" max="11011" width="10.90625" style="113" customWidth="1"/>
    <col min="11012" max="11012" width="0" style="113" hidden="1" customWidth="1"/>
    <col min="11013" max="11013" width="18.36328125" style="113" customWidth="1"/>
    <col min="11014" max="11014" width="17.08984375" style="113" customWidth="1"/>
    <col min="11015" max="11016" width="0" style="113" hidden="1" customWidth="1"/>
    <col min="11017" max="11017" width="8.90625" style="113" customWidth="1"/>
    <col min="11018" max="11261" width="8.90625" style="113"/>
    <col min="11262" max="11263" width="8.36328125" style="113" bestFit="1" customWidth="1"/>
    <col min="11264" max="11264" width="10.453125" style="113" bestFit="1" customWidth="1"/>
    <col min="11265" max="11265" width="8.453125" style="113" customWidth="1"/>
    <col min="11266" max="11266" width="6.36328125" style="113" customWidth="1"/>
    <col min="11267" max="11267" width="10.90625" style="113" customWidth="1"/>
    <col min="11268" max="11268" width="0" style="113" hidden="1" customWidth="1"/>
    <col min="11269" max="11269" width="18.36328125" style="113" customWidth="1"/>
    <col min="11270" max="11270" width="17.08984375" style="113" customWidth="1"/>
    <col min="11271" max="11272" width="0" style="113" hidden="1" customWidth="1"/>
    <col min="11273" max="11273" width="8.90625" style="113" customWidth="1"/>
    <col min="11274" max="11517" width="8.90625" style="113"/>
    <col min="11518" max="11519" width="8.36328125" style="113" bestFit="1" customWidth="1"/>
    <col min="11520" max="11520" width="10.453125" style="113" bestFit="1" customWidth="1"/>
    <col min="11521" max="11521" width="8.453125" style="113" customWidth="1"/>
    <col min="11522" max="11522" width="6.36328125" style="113" customWidth="1"/>
    <col min="11523" max="11523" width="10.90625" style="113" customWidth="1"/>
    <col min="11524" max="11524" width="0" style="113" hidden="1" customWidth="1"/>
    <col min="11525" max="11525" width="18.36328125" style="113" customWidth="1"/>
    <col min="11526" max="11526" width="17.08984375" style="113" customWidth="1"/>
    <col min="11527" max="11528" width="0" style="113" hidden="1" customWidth="1"/>
    <col min="11529" max="11529" width="8.90625" style="113" customWidth="1"/>
    <col min="11530" max="11773" width="8.90625" style="113"/>
    <col min="11774" max="11775" width="8.36328125" style="113" bestFit="1" customWidth="1"/>
    <col min="11776" max="11776" width="10.453125" style="113" bestFit="1" customWidth="1"/>
    <col min="11777" max="11777" width="8.453125" style="113" customWidth="1"/>
    <col min="11778" max="11778" width="6.36328125" style="113" customWidth="1"/>
    <col min="11779" max="11779" width="10.90625" style="113" customWidth="1"/>
    <col min="11780" max="11780" width="0" style="113" hidden="1" customWidth="1"/>
    <col min="11781" max="11781" width="18.36328125" style="113" customWidth="1"/>
    <col min="11782" max="11782" width="17.08984375" style="113" customWidth="1"/>
    <col min="11783" max="11784" width="0" style="113" hidden="1" customWidth="1"/>
    <col min="11785" max="11785" width="8.90625" style="113" customWidth="1"/>
    <col min="11786" max="12029" width="8.90625" style="113"/>
    <col min="12030" max="12031" width="8.36328125" style="113" bestFit="1" customWidth="1"/>
    <col min="12032" max="12032" width="10.453125" style="113" bestFit="1" customWidth="1"/>
    <col min="12033" max="12033" width="8.453125" style="113" customWidth="1"/>
    <col min="12034" max="12034" width="6.36328125" style="113" customWidth="1"/>
    <col min="12035" max="12035" width="10.90625" style="113" customWidth="1"/>
    <col min="12036" max="12036" width="0" style="113" hidden="1" customWidth="1"/>
    <col min="12037" max="12037" width="18.36328125" style="113" customWidth="1"/>
    <col min="12038" max="12038" width="17.08984375" style="113" customWidth="1"/>
    <col min="12039" max="12040" width="0" style="113" hidden="1" customWidth="1"/>
    <col min="12041" max="12041" width="8.90625" style="113" customWidth="1"/>
    <col min="12042" max="12285" width="8.90625" style="113"/>
    <col min="12286" max="12287" width="8.36328125" style="113" bestFit="1" customWidth="1"/>
    <col min="12288" max="12288" width="10.453125" style="113" bestFit="1" customWidth="1"/>
    <col min="12289" max="12289" width="8.453125" style="113" customWidth="1"/>
    <col min="12290" max="12290" width="6.36328125" style="113" customWidth="1"/>
    <col min="12291" max="12291" width="10.90625" style="113" customWidth="1"/>
    <col min="12292" max="12292" width="0" style="113" hidden="1" customWidth="1"/>
    <col min="12293" max="12293" width="18.36328125" style="113" customWidth="1"/>
    <col min="12294" max="12294" width="17.08984375" style="113" customWidth="1"/>
    <col min="12295" max="12296" width="0" style="113" hidden="1" customWidth="1"/>
    <col min="12297" max="12297" width="8.90625" style="113" customWidth="1"/>
    <col min="12298" max="12541" width="8.90625" style="113"/>
    <col min="12542" max="12543" width="8.36328125" style="113" bestFit="1" customWidth="1"/>
    <col min="12544" max="12544" width="10.453125" style="113" bestFit="1" customWidth="1"/>
    <col min="12545" max="12545" width="8.453125" style="113" customWidth="1"/>
    <col min="12546" max="12546" width="6.36328125" style="113" customWidth="1"/>
    <col min="12547" max="12547" width="10.90625" style="113" customWidth="1"/>
    <col min="12548" max="12548" width="0" style="113" hidden="1" customWidth="1"/>
    <col min="12549" max="12549" width="18.36328125" style="113" customWidth="1"/>
    <col min="12550" max="12550" width="17.08984375" style="113" customWidth="1"/>
    <col min="12551" max="12552" width="0" style="113" hidden="1" customWidth="1"/>
    <col min="12553" max="12553" width="8.90625" style="113" customWidth="1"/>
    <col min="12554" max="12797" width="8.90625" style="113"/>
    <col min="12798" max="12799" width="8.36328125" style="113" bestFit="1" customWidth="1"/>
    <col min="12800" max="12800" width="10.453125" style="113" bestFit="1" customWidth="1"/>
    <col min="12801" max="12801" width="8.453125" style="113" customWidth="1"/>
    <col min="12802" max="12802" width="6.36328125" style="113" customWidth="1"/>
    <col min="12803" max="12803" width="10.90625" style="113" customWidth="1"/>
    <col min="12804" max="12804" width="0" style="113" hidden="1" customWidth="1"/>
    <col min="12805" max="12805" width="18.36328125" style="113" customWidth="1"/>
    <col min="12806" max="12806" width="17.08984375" style="113" customWidth="1"/>
    <col min="12807" max="12808" width="0" style="113" hidden="1" customWidth="1"/>
    <col min="12809" max="12809" width="8.90625" style="113" customWidth="1"/>
    <col min="12810" max="13053" width="8.90625" style="113"/>
    <col min="13054" max="13055" width="8.36328125" style="113" bestFit="1" customWidth="1"/>
    <col min="13056" max="13056" width="10.453125" style="113" bestFit="1" customWidth="1"/>
    <col min="13057" max="13057" width="8.453125" style="113" customWidth="1"/>
    <col min="13058" max="13058" width="6.36328125" style="113" customWidth="1"/>
    <col min="13059" max="13059" width="10.90625" style="113" customWidth="1"/>
    <col min="13060" max="13060" width="0" style="113" hidden="1" customWidth="1"/>
    <col min="13061" max="13061" width="18.36328125" style="113" customWidth="1"/>
    <col min="13062" max="13062" width="17.08984375" style="113" customWidth="1"/>
    <col min="13063" max="13064" width="0" style="113" hidden="1" customWidth="1"/>
    <col min="13065" max="13065" width="8.90625" style="113" customWidth="1"/>
    <col min="13066" max="13309" width="8.90625" style="113"/>
    <col min="13310" max="13311" width="8.36328125" style="113" bestFit="1" customWidth="1"/>
    <col min="13312" max="13312" width="10.453125" style="113" bestFit="1" customWidth="1"/>
    <col min="13313" max="13313" width="8.453125" style="113" customWidth="1"/>
    <col min="13314" max="13314" width="6.36328125" style="113" customWidth="1"/>
    <col min="13315" max="13315" width="10.90625" style="113" customWidth="1"/>
    <col min="13316" max="13316" width="0" style="113" hidden="1" customWidth="1"/>
    <col min="13317" max="13317" width="18.36328125" style="113" customWidth="1"/>
    <col min="13318" max="13318" width="17.08984375" style="113" customWidth="1"/>
    <col min="13319" max="13320" width="0" style="113" hidden="1" customWidth="1"/>
    <col min="13321" max="13321" width="8.90625" style="113" customWidth="1"/>
    <col min="13322" max="13565" width="8.90625" style="113"/>
    <col min="13566" max="13567" width="8.36328125" style="113" bestFit="1" customWidth="1"/>
    <col min="13568" max="13568" width="10.453125" style="113" bestFit="1" customWidth="1"/>
    <col min="13569" max="13569" width="8.453125" style="113" customWidth="1"/>
    <col min="13570" max="13570" width="6.36328125" style="113" customWidth="1"/>
    <col min="13571" max="13571" width="10.90625" style="113" customWidth="1"/>
    <col min="13572" max="13572" width="0" style="113" hidden="1" customWidth="1"/>
    <col min="13573" max="13573" width="18.36328125" style="113" customWidth="1"/>
    <col min="13574" max="13574" width="17.08984375" style="113" customWidth="1"/>
    <col min="13575" max="13576" width="0" style="113" hidden="1" customWidth="1"/>
    <col min="13577" max="13577" width="8.90625" style="113" customWidth="1"/>
    <col min="13578" max="13821" width="8.90625" style="113"/>
    <col min="13822" max="13823" width="8.36328125" style="113" bestFit="1" customWidth="1"/>
    <col min="13824" max="13824" width="10.453125" style="113" bestFit="1" customWidth="1"/>
    <col min="13825" max="13825" width="8.453125" style="113" customWidth="1"/>
    <col min="13826" max="13826" width="6.36328125" style="113" customWidth="1"/>
    <col min="13827" max="13827" width="10.90625" style="113" customWidth="1"/>
    <col min="13828" max="13828" width="0" style="113" hidden="1" customWidth="1"/>
    <col min="13829" max="13829" width="18.36328125" style="113" customWidth="1"/>
    <col min="13830" max="13830" width="17.08984375" style="113" customWidth="1"/>
    <col min="13831" max="13832" width="0" style="113" hidden="1" customWidth="1"/>
    <col min="13833" max="13833" width="8.90625" style="113" customWidth="1"/>
    <col min="13834" max="14077" width="8.90625" style="113"/>
    <col min="14078" max="14079" width="8.36328125" style="113" bestFit="1" customWidth="1"/>
    <col min="14080" max="14080" width="10.453125" style="113" bestFit="1" customWidth="1"/>
    <col min="14081" max="14081" width="8.453125" style="113" customWidth="1"/>
    <col min="14082" max="14082" width="6.36328125" style="113" customWidth="1"/>
    <col min="14083" max="14083" width="10.90625" style="113" customWidth="1"/>
    <col min="14084" max="14084" width="0" style="113" hidden="1" customWidth="1"/>
    <col min="14085" max="14085" width="18.36328125" style="113" customWidth="1"/>
    <col min="14086" max="14086" width="17.08984375" style="113" customWidth="1"/>
    <col min="14087" max="14088" width="0" style="113" hidden="1" customWidth="1"/>
    <col min="14089" max="14089" width="8.90625" style="113" customWidth="1"/>
    <col min="14090" max="14333" width="8.90625" style="113"/>
    <col min="14334" max="14335" width="8.36328125" style="113" bestFit="1" customWidth="1"/>
    <col min="14336" max="14336" width="10.453125" style="113" bestFit="1" customWidth="1"/>
    <col min="14337" max="14337" width="8.453125" style="113" customWidth="1"/>
    <col min="14338" max="14338" width="6.36328125" style="113" customWidth="1"/>
    <col min="14339" max="14339" width="10.90625" style="113" customWidth="1"/>
    <col min="14340" max="14340" width="0" style="113" hidden="1" customWidth="1"/>
    <col min="14341" max="14341" width="18.36328125" style="113" customWidth="1"/>
    <col min="14342" max="14342" width="17.08984375" style="113" customWidth="1"/>
    <col min="14343" max="14344" width="0" style="113" hidden="1" customWidth="1"/>
    <col min="14345" max="14345" width="8.90625" style="113" customWidth="1"/>
    <col min="14346" max="14589" width="8.90625" style="113"/>
    <col min="14590" max="14591" width="8.36328125" style="113" bestFit="1" customWidth="1"/>
    <col min="14592" max="14592" width="10.453125" style="113" bestFit="1" customWidth="1"/>
    <col min="14593" max="14593" width="8.453125" style="113" customWidth="1"/>
    <col min="14594" max="14594" width="6.36328125" style="113" customWidth="1"/>
    <col min="14595" max="14595" width="10.90625" style="113" customWidth="1"/>
    <col min="14596" max="14596" width="0" style="113" hidden="1" customWidth="1"/>
    <col min="14597" max="14597" width="18.36328125" style="113" customWidth="1"/>
    <col min="14598" max="14598" width="17.08984375" style="113" customWidth="1"/>
    <col min="14599" max="14600" width="0" style="113" hidden="1" customWidth="1"/>
    <col min="14601" max="14601" width="8.90625" style="113" customWidth="1"/>
    <col min="14602" max="14845" width="8.90625" style="113"/>
    <col min="14846" max="14847" width="8.36328125" style="113" bestFit="1" customWidth="1"/>
    <col min="14848" max="14848" width="10.453125" style="113" bestFit="1" customWidth="1"/>
    <col min="14849" max="14849" width="8.453125" style="113" customWidth="1"/>
    <col min="14850" max="14850" width="6.36328125" style="113" customWidth="1"/>
    <col min="14851" max="14851" width="10.90625" style="113" customWidth="1"/>
    <col min="14852" max="14852" width="0" style="113" hidden="1" customWidth="1"/>
    <col min="14853" max="14853" width="18.36328125" style="113" customWidth="1"/>
    <col min="14854" max="14854" width="17.08984375" style="113" customWidth="1"/>
    <col min="14855" max="14856" width="0" style="113" hidden="1" customWidth="1"/>
    <col min="14857" max="14857" width="8.90625" style="113" customWidth="1"/>
    <col min="14858" max="15101" width="8.90625" style="113"/>
    <col min="15102" max="15103" width="8.36328125" style="113" bestFit="1" customWidth="1"/>
    <col min="15104" max="15104" width="10.453125" style="113" bestFit="1" customWidth="1"/>
    <col min="15105" max="15105" width="8.453125" style="113" customWidth="1"/>
    <col min="15106" max="15106" width="6.36328125" style="113" customWidth="1"/>
    <col min="15107" max="15107" width="10.90625" style="113" customWidth="1"/>
    <col min="15108" max="15108" width="0" style="113" hidden="1" customWidth="1"/>
    <col min="15109" max="15109" width="18.36328125" style="113" customWidth="1"/>
    <col min="15110" max="15110" width="17.08984375" style="113" customWidth="1"/>
    <col min="15111" max="15112" width="0" style="113" hidden="1" customWidth="1"/>
    <col min="15113" max="15113" width="8.90625" style="113" customWidth="1"/>
    <col min="15114" max="15357" width="8.90625" style="113"/>
    <col min="15358" max="15359" width="8.36328125" style="113" bestFit="1" customWidth="1"/>
    <col min="15360" max="15360" width="10.453125" style="113" bestFit="1" customWidth="1"/>
    <col min="15361" max="15361" width="8.453125" style="113" customWidth="1"/>
    <col min="15362" max="15362" width="6.36328125" style="113" customWidth="1"/>
    <col min="15363" max="15363" width="10.90625" style="113" customWidth="1"/>
    <col min="15364" max="15364" width="0" style="113" hidden="1" customWidth="1"/>
    <col min="15365" max="15365" width="18.36328125" style="113" customWidth="1"/>
    <col min="15366" max="15366" width="17.08984375" style="113" customWidth="1"/>
    <col min="15367" max="15368" width="0" style="113" hidden="1" customWidth="1"/>
    <col min="15369" max="15369" width="8.90625" style="113" customWidth="1"/>
    <col min="15370" max="15613" width="8.90625" style="113"/>
    <col min="15614" max="15615" width="8.36328125" style="113" bestFit="1" customWidth="1"/>
    <col min="15616" max="15616" width="10.453125" style="113" bestFit="1" customWidth="1"/>
    <col min="15617" max="15617" width="8.453125" style="113" customWidth="1"/>
    <col min="15618" max="15618" width="6.36328125" style="113" customWidth="1"/>
    <col min="15619" max="15619" width="10.90625" style="113" customWidth="1"/>
    <col min="15620" max="15620" width="0" style="113" hidden="1" customWidth="1"/>
    <col min="15621" max="15621" width="18.36328125" style="113" customWidth="1"/>
    <col min="15622" max="15622" width="17.08984375" style="113" customWidth="1"/>
    <col min="15623" max="15624" width="0" style="113" hidden="1" customWidth="1"/>
    <col min="15625" max="15625" width="8.90625" style="113" customWidth="1"/>
    <col min="15626" max="15869" width="8.90625" style="113"/>
    <col min="15870" max="15871" width="8.36328125" style="113" bestFit="1" customWidth="1"/>
    <col min="15872" max="15872" width="10.453125" style="113" bestFit="1" customWidth="1"/>
    <col min="15873" max="15873" width="8.453125" style="113" customWidth="1"/>
    <col min="15874" max="15874" width="6.36328125" style="113" customWidth="1"/>
    <col min="15875" max="15875" width="10.90625" style="113" customWidth="1"/>
    <col min="15876" max="15876" width="0" style="113" hidden="1" customWidth="1"/>
    <col min="15877" max="15877" width="18.36328125" style="113" customWidth="1"/>
    <col min="15878" max="15878" width="17.08984375" style="113" customWidth="1"/>
    <col min="15879" max="15880" width="0" style="113" hidden="1" customWidth="1"/>
    <col min="15881" max="15881" width="8.90625" style="113" customWidth="1"/>
    <col min="15882" max="16125" width="8.90625" style="113"/>
    <col min="16126" max="16127" width="8.36328125" style="113" bestFit="1" customWidth="1"/>
    <col min="16128" max="16128" width="10.453125" style="113" bestFit="1" customWidth="1"/>
    <col min="16129" max="16129" width="8.453125" style="113" customWidth="1"/>
    <col min="16130" max="16130" width="6.36328125" style="113" customWidth="1"/>
    <col min="16131" max="16131" width="10.90625" style="113" customWidth="1"/>
    <col min="16132" max="16132" width="0" style="113" hidden="1" customWidth="1"/>
    <col min="16133" max="16133" width="18.36328125" style="113" customWidth="1"/>
    <col min="16134" max="16134" width="17.08984375" style="113" customWidth="1"/>
    <col min="16135" max="16136" width="0" style="113" hidden="1" customWidth="1"/>
    <col min="16137" max="16137" width="8.90625" style="113" customWidth="1"/>
    <col min="16138" max="16384" width="8.90625" style="113"/>
  </cols>
  <sheetData>
    <row r="1" spans="1:21" ht="22.75" customHeight="1">
      <c r="A1" s="261" t="s">
        <v>3106</v>
      </c>
    </row>
    <row r="2" spans="1:21" s="116" customFormat="1" ht="49.65" customHeight="1">
      <c r="A2" s="162" t="s">
        <v>776</v>
      </c>
      <c r="B2" s="162" t="s">
        <v>1594</v>
      </c>
      <c r="C2" s="162" t="s">
        <v>2451</v>
      </c>
      <c r="D2" s="162" t="s">
        <v>2452</v>
      </c>
      <c r="E2" s="200" t="s">
        <v>2453</v>
      </c>
      <c r="F2" s="162" t="s">
        <v>2454</v>
      </c>
      <c r="G2" s="200" t="s">
        <v>2455</v>
      </c>
      <c r="H2" s="163" t="s">
        <v>2456</v>
      </c>
      <c r="I2" s="163" t="s">
        <v>2457</v>
      </c>
      <c r="J2" s="163" t="s">
        <v>785</v>
      </c>
      <c r="S2" s="200" t="s">
        <v>2458</v>
      </c>
      <c r="U2" s="200" t="s">
        <v>3152</v>
      </c>
    </row>
    <row r="3" spans="1:21">
      <c r="A3" s="166">
        <v>1</v>
      </c>
      <c r="B3" s="168" t="s">
        <v>101</v>
      </c>
      <c r="C3" s="168" t="s">
        <v>1086</v>
      </c>
      <c r="D3" s="168" t="s">
        <v>102</v>
      </c>
      <c r="E3" s="214">
        <v>5000</v>
      </c>
      <c r="F3" s="168">
        <v>25</v>
      </c>
      <c r="G3" s="214">
        <v>125000</v>
      </c>
      <c r="H3" s="215"/>
      <c r="I3" s="215"/>
      <c r="J3" s="200" t="str">
        <f t="shared" ref="J3:J34" si="0">IF(S3&lt;&gt;0,"註2",IF(U3&lt;&gt;0,"註3",""))</f>
        <v/>
      </c>
      <c r="S3" s="214"/>
      <c r="U3" s="214"/>
    </row>
    <row r="4" spans="1:21">
      <c r="A4" s="166">
        <v>2</v>
      </c>
      <c r="B4" s="168" t="s">
        <v>101</v>
      </c>
      <c r="C4" s="168" t="s">
        <v>1091</v>
      </c>
      <c r="D4" s="168" t="s">
        <v>102</v>
      </c>
      <c r="E4" s="214">
        <v>5000</v>
      </c>
      <c r="F4" s="168">
        <v>25</v>
      </c>
      <c r="G4" s="214">
        <v>125000</v>
      </c>
      <c r="H4" s="215"/>
      <c r="I4" s="215"/>
      <c r="J4" s="200" t="str">
        <f t="shared" si="0"/>
        <v/>
      </c>
      <c r="S4" s="214"/>
      <c r="U4" s="214"/>
    </row>
    <row r="5" spans="1:21">
      <c r="A5" s="166">
        <v>3</v>
      </c>
      <c r="B5" s="168" t="s">
        <v>101</v>
      </c>
      <c r="C5" s="168" t="s">
        <v>1093</v>
      </c>
      <c r="D5" s="168" t="s">
        <v>652</v>
      </c>
      <c r="E5" s="216">
        <v>1000</v>
      </c>
      <c r="F5" s="168">
        <v>68</v>
      </c>
      <c r="G5" s="214">
        <v>68000</v>
      </c>
      <c r="H5" s="215"/>
      <c r="I5" s="215"/>
      <c r="J5" s="200" t="str">
        <f t="shared" si="0"/>
        <v/>
      </c>
      <c r="S5" s="214"/>
      <c r="U5" s="214"/>
    </row>
    <row r="6" spans="1:21">
      <c r="A6" s="166">
        <v>4</v>
      </c>
      <c r="B6" s="168" t="s">
        <v>101</v>
      </c>
      <c r="C6" s="168" t="s">
        <v>1096</v>
      </c>
      <c r="D6" s="168" t="s">
        <v>116</v>
      </c>
      <c r="E6" s="214">
        <v>5000</v>
      </c>
      <c r="F6" s="168">
        <v>68</v>
      </c>
      <c r="G6" s="214">
        <v>340000</v>
      </c>
      <c r="H6" s="215"/>
      <c r="I6" s="215"/>
      <c r="J6" s="200" t="str">
        <f t="shared" si="0"/>
        <v/>
      </c>
      <c r="S6" s="214"/>
      <c r="U6" s="214"/>
    </row>
    <row r="7" spans="1:21">
      <c r="A7" s="166">
        <v>5</v>
      </c>
      <c r="B7" s="168" t="s">
        <v>101</v>
      </c>
      <c r="C7" s="168" t="s">
        <v>1098</v>
      </c>
      <c r="D7" s="168" t="s">
        <v>653</v>
      </c>
      <c r="E7" s="214">
        <v>5000</v>
      </c>
      <c r="F7" s="168">
        <v>68</v>
      </c>
      <c r="G7" s="214">
        <v>340000</v>
      </c>
      <c r="H7" s="215"/>
      <c r="I7" s="215"/>
      <c r="J7" s="200" t="str">
        <f t="shared" si="0"/>
        <v/>
      </c>
      <c r="S7" s="214"/>
      <c r="U7" s="214"/>
    </row>
    <row r="8" spans="1:21">
      <c r="A8" s="166">
        <v>6</v>
      </c>
      <c r="B8" s="168" t="s">
        <v>101</v>
      </c>
      <c r="C8" s="168" t="s">
        <v>198</v>
      </c>
      <c r="D8" s="168" t="s">
        <v>117</v>
      </c>
      <c r="E8" s="214">
        <v>2000</v>
      </c>
      <c r="F8" s="168">
        <v>67</v>
      </c>
      <c r="G8" s="214">
        <v>134000</v>
      </c>
      <c r="H8" s="215"/>
      <c r="I8" s="215"/>
      <c r="J8" s="200" t="str">
        <f t="shared" si="0"/>
        <v/>
      </c>
      <c r="S8" s="214"/>
      <c r="U8" s="214"/>
    </row>
    <row r="9" spans="1:21" ht="85.75" customHeight="1">
      <c r="A9" s="166">
        <v>7</v>
      </c>
      <c r="B9" s="168" t="s">
        <v>101</v>
      </c>
      <c r="C9" s="168" t="s">
        <v>1101</v>
      </c>
      <c r="D9" s="168" t="s">
        <v>118</v>
      </c>
      <c r="E9" s="214">
        <v>4000</v>
      </c>
      <c r="F9" s="168">
        <v>67</v>
      </c>
      <c r="G9" s="214">
        <v>268000</v>
      </c>
      <c r="H9" s="215" t="s">
        <v>3245</v>
      </c>
      <c r="I9" s="215" t="s">
        <v>3895</v>
      </c>
      <c r="J9" s="200" t="str">
        <f t="shared" si="0"/>
        <v>註2</v>
      </c>
      <c r="S9" s="214">
        <v>268000</v>
      </c>
      <c r="U9" s="214"/>
    </row>
    <row r="10" spans="1:21">
      <c r="A10" s="166">
        <v>8</v>
      </c>
      <c r="B10" s="168" t="s">
        <v>101</v>
      </c>
      <c r="C10" s="168" t="s">
        <v>1085</v>
      </c>
      <c r="D10" s="168" t="s">
        <v>95</v>
      </c>
      <c r="E10" s="214">
        <v>1000</v>
      </c>
      <c r="F10" s="168">
        <v>68</v>
      </c>
      <c r="G10" s="214">
        <v>68000</v>
      </c>
      <c r="H10" s="215"/>
      <c r="I10" s="215"/>
      <c r="J10" s="200" t="str">
        <f t="shared" si="0"/>
        <v/>
      </c>
      <c r="S10" s="214"/>
      <c r="U10" s="214"/>
    </row>
    <row r="11" spans="1:21" ht="89.5" customHeight="1">
      <c r="A11" s="166">
        <v>9</v>
      </c>
      <c r="B11" s="168" t="s">
        <v>101</v>
      </c>
      <c r="C11" s="168" t="s">
        <v>2506</v>
      </c>
      <c r="D11" s="168" t="s">
        <v>673</v>
      </c>
      <c r="E11" s="214">
        <v>5000</v>
      </c>
      <c r="F11" s="168">
        <v>67</v>
      </c>
      <c r="G11" s="214">
        <v>335000</v>
      </c>
      <c r="H11" s="215" t="s">
        <v>3246</v>
      </c>
      <c r="I11" s="215" t="s">
        <v>3896</v>
      </c>
      <c r="J11" s="200" t="str">
        <f t="shared" si="0"/>
        <v>註2</v>
      </c>
      <c r="S11" s="214">
        <v>335000</v>
      </c>
      <c r="U11" s="214"/>
    </row>
    <row r="12" spans="1:21">
      <c r="A12" s="166">
        <v>10</v>
      </c>
      <c r="B12" s="168" t="s">
        <v>1086</v>
      </c>
      <c r="C12" s="168" t="s">
        <v>101</v>
      </c>
      <c r="D12" s="168" t="s">
        <v>2</v>
      </c>
      <c r="E12" s="214">
        <v>-5000</v>
      </c>
      <c r="F12" s="168">
        <v>25</v>
      </c>
      <c r="G12" s="214">
        <v>-125000</v>
      </c>
      <c r="H12" s="215"/>
      <c r="I12" s="215"/>
      <c r="J12" s="200" t="str">
        <f t="shared" si="0"/>
        <v/>
      </c>
      <c r="S12" s="214"/>
      <c r="U12" s="214"/>
    </row>
    <row r="13" spans="1:21" ht="85.25" customHeight="1">
      <c r="A13" s="166">
        <v>11</v>
      </c>
      <c r="B13" s="168" t="s">
        <v>101</v>
      </c>
      <c r="C13" s="168" t="s">
        <v>1090</v>
      </c>
      <c r="D13" s="168" t="s">
        <v>2</v>
      </c>
      <c r="E13" s="214">
        <v>5000</v>
      </c>
      <c r="F13" s="168">
        <v>67</v>
      </c>
      <c r="G13" s="214">
        <v>335000</v>
      </c>
      <c r="H13" s="215" t="s">
        <v>3246</v>
      </c>
      <c r="I13" s="215" t="s">
        <v>3897</v>
      </c>
      <c r="J13" s="200" t="str">
        <f t="shared" si="0"/>
        <v>註2</v>
      </c>
      <c r="S13" s="214">
        <v>335000</v>
      </c>
      <c r="U13" s="214"/>
    </row>
    <row r="14" spans="1:21">
      <c r="A14" s="166">
        <v>12</v>
      </c>
      <c r="B14" s="168" t="s">
        <v>101</v>
      </c>
      <c r="C14" s="168" t="s">
        <v>1091</v>
      </c>
      <c r="D14" s="168" t="s">
        <v>35</v>
      </c>
      <c r="E14" s="214">
        <v>3000</v>
      </c>
      <c r="F14" s="168">
        <v>25</v>
      </c>
      <c r="G14" s="214">
        <v>75000</v>
      </c>
      <c r="H14" s="215"/>
      <c r="I14" s="215"/>
      <c r="J14" s="200" t="str">
        <f t="shared" si="0"/>
        <v/>
      </c>
      <c r="S14" s="214"/>
      <c r="U14" s="214"/>
    </row>
    <row r="15" spans="1:21" ht="111.75" customHeight="1">
      <c r="A15" s="166">
        <v>13</v>
      </c>
      <c r="B15" s="168" t="s">
        <v>1107</v>
      </c>
      <c r="C15" s="168" t="s">
        <v>1106</v>
      </c>
      <c r="D15" s="168" t="s">
        <v>37</v>
      </c>
      <c r="E15" s="214">
        <v>2000</v>
      </c>
      <c r="F15" s="168">
        <v>67</v>
      </c>
      <c r="G15" s="214">
        <v>134000</v>
      </c>
      <c r="H15" s="215" t="s">
        <v>3246</v>
      </c>
      <c r="I15" s="215" t="s">
        <v>3898</v>
      </c>
      <c r="J15" s="200" t="str">
        <f t="shared" si="0"/>
        <v>註2</v>
      </c>
      <c r="S15" s="214">
        <v>134000</v>
      </c>
      <c r="U15" s="214"/>
    </row>
    <row r="16" spans="1:21">
      <c r="A16" s="166">
        <v>14</v>
      </c>
      <c r="B16" s="168" t="s">
        <v>101</v>
      </c>
      <c r="C16" s="168" t="s">
        <v>1094</v>
      </c>
      <c r="D16" s="168" t="s">
        <v>98</v>
      </c>
      <c r="E16" s="214">
        <v>1000</v>
      </c>
      <c r="F16" s="168">
        <v>67</v>
      </c>
      <c r="G16" s="214">
        <v>67000</v>
      </c>
      <c r="H16" s="215"/>
      <c r="I16" s="215"/>
      <c r="J16" s="200" t="str">
        <f t="shared" si="0"/>
        <v/>
      </c>
      <c r="S16" s="214"/>
      <c r="U16" s="214"/>
    </row>
    <row r="17" spans="1:21">
      <c r="A17" s="166">
        <v>15</v>
      </c>
      <c r="B17" s="168" t="s">
        <v>1086</v>
      </c>
      <c r="C17" s="168" t="s">
        <v>1113</v>
      </c>
      <c r="D17" s="168" t="s">
        <v>100</v>
      </c>
      <c r="E17" s="214">
        <v>1000</v>
      </c>
      <c r="F17" s="168">
        <v>67</v>
      </c>
      <c r="G17" s="214">
        <v>67000</v>
      </c>
      <c r="H17" s="215"/>
      <c r="I17" s="215"/>
      <c r="J17" s="200" t="str">
        <f t="shared" si="0"/>
        <v/>
      </c>
      <c r="S17" s="214"/>
      <c r="U17" s="214"/>
    </row>
    <row r="18" spans="1:21" ht="46.5" customHeight="1">
      <c r="A18" s="166">
        <v>16</v>
      </c>
      <c r="B18" s="168" t="s">
        <v>101</v>
      </c>
      <c r="C18" s="168" t="s">
        <v>1087</v>
      </c>
      <c r="D18" s="168" t="s">
        <v>103</v>
      </c>
      <c r="E18" s="214">
        <v>3000</v>
      </c>
      <c r="F18" s="168">
        <v>67</v>
      </c>
      <c r="G18" s="214">
        <v>201000</v>
      </c>
      <c r="H18" s="219"/>
      <c r="I18" s="215"/>
      <c r="J18" s="200" t="str">
        <f t="shared" si="0"/>
        <v/>
      </c>
      <c r="S18" s="214"/>
      <c r="U18" s="214"/>
    </row>
    <row r="19" spans="1:21">
      <c r="A19" s="166">
        <v>17</v>
      </c>
      <c r="B19" s="168" t="s">
        <v>101</v>
      </c>
      <c r="C19" s="168" t="s">
        <v>1091</v>
      </c>
      <c r="D19" s="168" t="s">
        <v>88</v>
      </c>
      <c r="E19" s="214">
        <v>5000</v>
      </c>
      <c r="F19" s="168">
        <v>25</v>
      </c>
      <c r="G19" s="214">
        <v>125000</v>
      </c>
      <c r="H19" s="215"/>
      <c r="I19" s="215"/>
      <c r="J19" s="200" t="str">
        <f t="shared" si="0"/>
        <v/>
      </c>
      <c r="S19" s="214"/>
      <c r="U19" s="214"/>
    </row>
    <row r="20" spans="1:21" ht="87.65" customHeight="1">
      <c r="A20" s="166">
        <v>18</v>
      </c>
      <c r="B20" s="168" t="s">
        <v>101</v>
      </c>
      <c r="C20" s="168" t="s">
        <v>1095</v>
      </c>
      <c r="D20" s="168" t="s">
        <v>89</v>
      </c>
      <c r="E20" s="214">
        <v>5000</v>
      </c>
      <c r="F20" s="168">
        <v>67</v>
      </c>
      <c r="G20" s="214">
        <v>335000</v>
      </c>
      <c r="H20" s="215" t="s">
        <v>3247</v>
      </c>
      <c r="I20" s="215" t="s">
        <v>3899</v>
      </c>
      <c r="J20" s="200" t="str">
        <f t="shared" si="0"/>
        <v>註2</v>
      </c>
      <c r="S20" s="214">
        <v>335000</v>
      </c>
      <c r="U20" s="214"/>
    </row>
    <row r="21" spans="1:21" ht="86.4" customHeight="1">
      <c r="A21" s="166">
        <v>19</v>
      </c>
      <c r="B21" s="168" t="s">
        <v>101</v>
      </c>
      <c r="C21" s="168" t="s">
        <v>1099</v>
      </c>
      <c r="D21" s="168" t="s">
        <v>43</v>
      </c>
      <c r="E21" s="214">
        <v>3000</v>
      </c>
      <c r="F21" s="168">
        <v>67</v>
      </c>
      <c r="G21" s="214">
        <v>201000</v>
      </c>
      <c r="H21" s="215" t="s">
        <v>3246</v>
      </c>
      <c r="I21" s="215" t="s">
        <v>3900</v>
      </c>
      <c r="J21" s="200" t="str">
        <f t="shared" si="0"/>
        <v>註2</v>
      </c>
      <c r="S21" s="214">
        <v>201000</v>
      </c>
      <c r="U21" s="214"/>
    </row>
    <row r="22" spans="1:21">
      <c r="A22" s="166">
        <v>20</v>
      </c>
      <c r="B22" s="168" t="s">
        <v>101</v>
      </c>
      <c r="C22" s="168" t="s">
        <v>248</v>
      </c>
      <c r="D22" s="168" t="s">
        <v>43</v>
      </c>
      <c r="E22" s="214">
        <v>2000</v>
      </c>
      <c r="F22" s="168">
        <v>67</v>
      </c>
      <c r="G22" s="214">
        <v>134000</v>
      </c>
      <c r="H22" s="215"/>
      <c r="I22" s="215"/>
      <c r="J22" s="200" t="str">
        <f t="shared" si="0"/>
        <v/>
      </c>
      <c r="S22" s="214"/>
      <c r="U22" s="214"/>
    </row>
    <row r="23" spans="1:21">
      <c r="A23" s="166">
        <v>21</v>
      </c>
      <c r="B23" s="168" t="s">
        <v>101</v>
      </c>
      <c r="C23" s="168" t="s">
        <v>1104</v>
      </c>
      <c r="D23" s="168" t="s">
        <v>43</v>
      </c>
      <c r="E23" s="214">
        <v>2000</v>
      </c>
      <c r="F23" s="168">
        <v>67</v>
      </c>
      <c r="G23" s="214">
        <v>134000</v>
      </c>
      <c r="H23" s="215"/>
      <c r="I23" s="215"/>
      <c r="J23" s="200" t="str">
        <f t="shared" si="0"/>
        <v/>
      </c>
      <c r="S23" s="214"/>
      <c r="U23" s="214"/>
    </row>
    <row r="24" spans="1:21" ht="15.65" customHeight="1">
      <c r="A24" s="166">
        <v>22</v>
      </c>
      <c r="B24" s="168" t="s">
        <v>101</v>
      </c>
      <c r="C24" s="168" t="s">
        <v>1100</v>
      </c>
      <c r="D24" s="168" t="s">
        <v>44</v>
      </c>
      <c r="E24" s="214">
        <v>5000</v>
      </c>
      <c r="F24" s="168">
        <v>67</v>
      </c>
      <c r="G24" s="214">
        <v>335000</v>
      </c>
      <c r="H24" s="215"/>
      <c r="I24" s="215"/>
      <c r="J24" s="200" t="str">
        <f t="shared" si="0"/>
        <v/>
      </c>
      <c r="S24" s="214"/>
      <c r="U24" s="214"/>
    </row>
    <row r="25" spans="1:21" ht="16.75" customHeight="1">
      <c r="A25" s="166">
        <v>23</v>
      </c>
      <c r="B25" s="168" t="s">
        <v>101</v>
      </c>
      <c r="C25" s="168" t="s">
        <v>248</v>
      </c>
      <c r="D25" s="168" t="s">
        <v>44</v>
      </c>
      <c r="E25" s="214">
        <v>3000</v>
      </c>
      <c r="F25" s="168">
        <v>67</v>
      </c>
      <c r="G25" s="214">
        <v>201000</v>
      </c>
      <c r="H25" s="215"/>
      <c r="I25" s="215"/>
      <c r="J25" s="200" t="str">
        <f t="shared" si="0"/>
        <v/>
      </c>
      <c r="S25" s="214"/>
      <c r="U25" s="214"/>
    </row>
    <row r="26" spans="1:21" ht="16.75" customHeight="1">
      <c r="A26" s="166">
        <v>24</v>
      </c>
      <c r="B26" s="168" t="s">
        <v>101</v>
      </c>
      <c r="C26" s="168" t="s">
        <v>192</v>
      </c>
      <c r="D26" s="168" t="s">
        <v>104</v>
      </c>
      <c r="E26" s="214">
        <v>2000</v>
      </c>
      <c r="F26" s="168">
        <v>67</v>
      </c>
      <c r="G26" s="214">
        <v>134000</v>
      </c>
      <c r="H26" s="215"/>
      <c r="I26" s="215" t="s">
        <v>2745</v>
      </c>
      <c r="J26" s="200" t="str">
        <f t="shared" si="0"/>
        <v/>
      </c>
      <c r="S26" s="214"/>
      <c r="U26" s="214"/>
    </row>
    <row r="27" spans="1:21">
      <c r="A27" s="166">
        <v>25</v>
      </c>
      <c r="B27" s="168" t="s">
        <v>101</v>
      </c>
      <c r="C27" s="168" t="s">
        <v>1104</v>
      </c>
      <c r="D27" s="168" t="s">
        <v>104</v>
      </c>
      <c r="E27" s="214">
        <v>2000</v>
      </c>
      <c r="F27" s="168">
        <v>67</v>
      </c>
      <c r="G27" s="214">
        <v>134000</v>
      </c>
      <c r="H27" s="215"/>
      <c r="I27" s="215"/>
      <c r="J27" s="200" t="str">
        <f t="shared" si="0"/>
        <v/>
      </c>
      <c r="S27" s="214"/>
      <c r="U27" s="214"/>
    </row>
    <row r="28" spans="1:21" ht="99" customHeight="1">
      <c r="A28" s="166">
        <v>26</v>
      </c>
      <c r="B28" s="168" t="s">
        <v>101</v>
      </c>
      <c r="C28" s="168" t="s">
        <v>1105</v>
      </c>
      <c r="D28" s="168" t="s">
        <v>45</v>
      </c>
      <c r="E28" s="214">
        <v>10000</v>
      </c>
      <c r="F28" s="168">
        <v>67</v>
      </c>
      <c r="G28" s="214">
        <v>670000</v>
      </c>
      <c r="H28" s="215" t="s">
        <v>3246</v>
      </c>
      <c r="I28" s="215" t="s">
        <v>3896</v>
      </c>
      <c r="J28" s="200" t="str">
        <f t="shared" si="0"/>
        <v>註2</v>
      </c>
      <c r="S28" s="214">
        <v>670000</v>
      </c>
      <c r="U28" s="214"/>
    </row>
    <row r="29" spans="1:21">
      <c r="A29" s="166">
        <v>27</v>
      </c>
      <c r="B29" s="168" t="s">
        <v>101</v>
      </c>
      <c r="C29" s="168" t="s">
        <v>775</v>
      </c>
      <c r="D29" s="168" t="s">
        <v>45</v>
      </c>
      <c r="E29" s="214">
        <v>3000</v>
      </c>
      <c r="F29" s="168">
        <v>68</v>
      </c>
      <c r="G29" s="214">
        <v>204000</v>
      </c>
      <c r="H29" s="215"/>
      <c r="I29" s="215"/>
      <c r="J29" s="200" t="str">
        <f t="shared" si="0"/>
        <v/>
      </c>
      <c r="S29" s="214"/>
      <c r="U29" s="214"/>
    </row>
    <row r="30" spans="1:21">
      <c r="A30" s="166">
        <v>28</v>
      </c>
      <c r="B30" s="168" t="s">
        <v>101</v>
      </c>
      <c r="C30" s="168" t="s">
        <v>1091</v>
      </c>
      <c r="D30" s="168" t="s">
        <v>105</v>
      </c>
      <c r="E30" s="214">
        <v>4000</v>
      </c>
      <c r="F30" s="168">
        <v>25</v>
      </c>
      <c r="G30" s="214">
        <v>100000</v>
      </c>
      <c r="H30" s="215"/>
      <c r="I30" s="215"/>
      <c r="J30" s="200" t="str">
        <f t="shared" si="0"/>
        <v/>
      </c>
      <c r="S30" s="214"/>
      <c r="U30" s="214"/>
    </row>
    <row r="31" spans="1:21" ht="32.25" customHeight="1">
      <c r="A31" s="166">
        <v>29</v>
      </c>
      <c r="B31" s="168" t="s">
        <v>1086</v>
      </c>
      <c r="C31" s="168" t="s">
        <v>1109</v>
      </c>
      <c r="D31" s="168" t="s">
        <v>105</v>
      </c>
      <c r="E31" s="214">
        <v>5000</v>
      </c>
      <c r="F31" s="168">
        <v>69</v>
      </c>
      <c r="G31" s="214">
        <v>345000</v>
      </c>
      <c r="H31" s="215" t="s">
        <v>3248</v>
      </c>
      <c r="I31" s="215" t="s">
        <v>3901</v>
      </c>
      <c r="J31" s="200" t="str">
        <f t="shared" si="0"/>
        <v>註3</v>
      </c>
      <c r="S31" s="214"/>
      <c r="U31" s="214">
        <v>345000</v>
      </c>
    </row>
    <row r="32" spans="1:21" ht="32.25" customHeight="1">
      <c r="A32" s="166">
        <v>30</v>
      </c>
      <c r="B32" s="168" t="s">
        <v>1086</v>
      </c>
      <c r="C32" s="168" t="s">
        <v>1110</v>
      </c>
      <c r="D32" s="168" t="s">
        <v>105</v>
      </c>
      <c r="E32" s="214">
        <v>4000</v>
      </c>
      <c r="F32" s="168">
        <v>69</v>
      </c>
      <c r="G32" s="214">
        <v>276000</v>
      </c>
      <c r="H32" s="215" t="s">
        <v>3248</v>
      </c>
      <c r="I32" s="215" t="s">
        <v>3901</v>
      </c>
      <c r="J32" s="200" t="str">
        <f t="shared" si="0"/>
        <v>註3</v>
      </c>
      <c r="S32" s="214"/>
      <c r="U32" s="214">
        <v>276000</v>
      </c>
    </row>
    <row r="33" spans="1:21" ht="32.25" customHeight="1">
      <c r="A33" s="166">
        <v>31</v>
      </c>
      <c r="B33" s="168" t="s">
        <v>1086</v>
      </c>
      <c r="C33" s="168" t="s">
        <v>1111</v>
      </c>
      <c r="D33" s="168" t="s">
        <v>105</v>
      </c>
      <c r="E33" s="214">
        <v>7000</v>
      </c>
      <c r="F33" s="168">
        <v>69</v>
      </c>
      <c r="G33" s="214">
        <v>483000</v>
      </c>
      <c r="H33" s="215" t="s">
        <v>3248</v>
      </c>
      <c r="I33" s="215" t="s">
        <v>3901</v>
      </c>
      <c r="J33" s="200" t="str">
        <f t="shared" si="0"/>
        <v>註3</v>
      </c>
      <c r="S33" s="214"/>
      <c r="U33" s="214">
        <v>483000</v>
      </c>
    </row>
    <row r="34" spans="1:21" ht="32.25" customHeight="1">
      <c r="A34" s="166">
        <v>32</v>
      </c>
      <c r="B34" s="168" t="s">
        <v>1086</v>
      </c>
      <c r="C34" s="168" t="s">
        <v>1112</v>
      </c>
      <c r="D34" s="168" t="s">
        <v>105</v>
      </c>
      <c r="E34" s="214">
        <v>5000</v>
      </c>
      <c r="F34" s="168">
        <v>69</v>
      </c>
      <c r="G34" s="214">
        <v>345000</v>
      </c>
      <c r="H34" s="215" t="s">
        <v>3248</v>
      </c>
      <c r="I34" s="215" t="s">
        <v>3901</v>
      </c>
      <c r="J34" s="200" t="str">
        <f t="shared" si="0"/>
        <v>註3</v>
      </c>
      <c r="S34" s="214"/>
      <c r="U34" s="214">
        <v>345000</v>
      </c>
    </row>
    <row r="35" spans="1:21" ht="32.25" customHeight="1">
      <c r="A35" s="166">
        <v>33</v>
      </c>
      <c r="B35" s="168" t="s">
        <v>1086</v>
      </c>
      <c r="C35" s="168" t="s">
        <v>1114</v>
      </c>
      <c r="D35" s="168" t="s">
        <v>105</v>
      </c>
      <c r="E35" s="214">
        <v>2000</v>
      </c>
      <c r="F35" s="168">
        <v>69</v>
      </c>
      <c r="G35" s="214">
        <v>138000</v>
      </c>
      <c r="H35" s="215" t="s">
        <v>3248</v>
      </c>
      <c r="I35" s="215" t="s">
        <v>3901</v>
      </c>
      <c r="J35" s="200" t="str">
        <f t="shared" ref="J35:J52" si="1">IF(S35&lt;&gt;0,"註2",IF(U35&lt;&gt;0,"註3",""))</f>
        <v>註3</v>
      </c>
      <c r="S35" s="214"/>
      <c r="U35" s="214">
        <v>138000</v>
      </c>
    </row>
    <row r="36" spans="1:21">
      <c r="A36" s="166">
        <v>34</v>
      </c>
      <c r="B36" s="168" t="s">
        <v>101</v>
      </c>
      <c r="C36" s="168" t="s">
        <v>198</v>
      </c>
      <c r="D36" s="168" t="s">
        <v>4</v>
      </c>
      <c r="E36" s="214">
        <v>3000</v>
      </c>
      <c r="F36" s="168">
        <v>67</v>
      </c>
      <c r="G36" s="214">
        <v>201000</v>
      </c>
      <c r="H36" s="215"/>
      <c r="I36" s="215"/>
      <c r="J36" s="200" t="str">
        <f t="shared" si="1"/>
        <v/>
      </c>
      <c r="S36" s="214"/>
      <c r="U36" s="214"/>
    </row>
    <row r="37" spans="1:21" ht="105" customHeight="1">
      <c r="A37" s="166">
        <v>35</v>
      </c>
      <c r="B37" s="168" t="s">
        <v>101</v>
      </c>
      <c r="C37" s="168" t="s">
        <v>248</v>
      </c>
      <c r="D37" s="168" t="s">
        <v>47</v>
      </c>
      <c r="E37" s="214">
        <v>3000</v>
      </c>
      <c r="F37" s="168">
        <v>67</v>
      </c>
      <c r="G37" s="214">
        <v>201000</v>
      </c>
      <c r="H37" s="215"/>
      <c r="I37" s="215"/>
      <c r="J37" s="200" t="str">
        <f t="shared" si="1"/>
        <v/>
      </c>
      <c r="S37" s="214"/>
      <c r="U37" s="214"/>
    </row>
    <row r="38" spans="1:21" ht="112.65" customHeight="1">
      <c r="A38" s="166">
        <v>36</v>
      </c>
      <c r="B38" s="168" t="s">
        <v>101</v>
      </c>
      <c r="C38" s="168" t="s">
        <v>1103</v>
      </c>
      <c r="D38" s="168" t="s">
        <v>56</v>
      </c>
      <c r="E38" s="214">
        <v>5000</v>
      </c>
      <c r="F38" s="168">
        <v>67</v>
      </c>
      <c r="G38" s="214">
        <v>335000</v>
      </c>
      <c r="H38" s="215"/>
      <c r="I38" s="215"/>
      <c r="J38" s="200" t="str">
        <f t="shared" si="1"/>
        <v/>
      </c>
      <c r="S38" s="214"/>
      <c r="U38" s="214"/>
    </row>
    <row r="39" spans="1:21">
      <c r="A39" s="166">
        <v>37</v>
      </c>
      <c r="B39" s="168" t="s">
        <v>101</v>
      </c>
      <c r="C39" s="168" t="s">
        <v>511</v>
      </c>
      <c r="D39" s="168" t="s">
        <v>56</v>
      </c>
      <c r="E39" s="214">
        <v>1000</v>
      </c>
      <c r="F39" s="168">
        <v>67</v>
      </c>
      <c r="G39" s="214">
        <v>67000</v>
      </c>
      <c r="H39" s="215"/>
      <c r="I39" s="215"/>
      <c r="J39" s="200" t="str">
        <f t="shared" si="1"/>
        <v/>
      </c>
      <c r="S39" s="214"/>
      <c r="U39" s="214"/>
    </row>
    <row r="40" spans="1:21">
      <c r="A40" s="166">
        <v>38</v>
      </c>
      <c r="B40" s="168" t="s">
        <v>101</v>
      </c>
      <c r="C40" s="168" t="s">
        <v>728</v>
      </c>
      <c r="D40" s="168" t="s">
        <v>58</v>
      </c>
      <c r="E40" s="214">
        <v>2000</v>
      </c>
      <c r="F40" s="168">
        <v>67</v>
      </c>
      <c r="G40" s="214">
        <v>134000</v>
      </c>
      <c r="H40" s="215"/>
      <c r="I40" s="215"/>
      <c r="J40" s="200" t="str">
        <f t="shared" si="1"/>
        <v/>
      </c>
      <c r="S40" s="214"/>
      <c r="U40" s="214"/>
    </row>
    <row r="41" spans="1:21" ht="102.75" customHeight="1">
      <c r="A41" s="166">
        <v>39</v>
      </c>
      <c r="B41" s="168" t="s">
        <v>101</v>
      </c>
      <c r="C41" s="168" t="s">
        <v>763</v>
      </c>
      <c r="D41" s="168" t="s">
        <v>58</v>
      </c>
      <c r="E41" s="214">
        <v>1000</v>
      </c>
      <c r="F41" s="168">
        <v>67</v>
      </c>
      <c r="G41" s="214">
        <v>67000</v>
      </c>
      <c r="H41" s="215"/>
      <c r="I41" s="215"/>
      <c r="J41" s="200" t="str">
        <f t="shared" si="1"/>
        <v/>
      </c>
      <c r="S41" s="214"/>
      <c r="U41" s="214"/>
    </row>
    <row r="42" spans="1:21">
      <c r="A42" s="166">
        <v>40</v>
      </c>
      <c r="B42" s="168" t="s">
        <v>101</v>
      </c>
      <c r="C42" s="168" t="s">
        <v>1088</v>
      </c>
      <c r="D42" s="168" t="s">
        <v>59</v>
      </c>
      <c r="E42" s="214">
        <v>1000</v>
      </c>
      <c r="F42" s="168">
        <v>67</v>
      </c>
      <c r="G42" s="214">
        <v>67000</v>
      </c>
      <c r="H42" s="215"/>
      <c r="I42" s="215"/>
      <c r="J42" s="200" t="str">
        <f t="shared" si="1"/>
        <v/>
      </c>
      <c r="S42" s="214"/>
      <c r="U42" s="214"/>
    </row>
    <row r="43" spans="1:21">
      <c r="A43" s="166">
        <v>41</v>
      </c>
      <c r="B43" s="168" t="s">
        <v>101</v>
      </c>
      <c r="C43" s="168" t="s">
        <v>1102</v>
      </c>
      <c r="D43" s="168" t="s">
        <v>59</v>
      </c>
      <c r="E43" s="214">
        <v>3000</v>
      </c>
      <c r="F43" s="168">
        <v>67</v>
      </c>
      <c r="G43" s="214">
        <v>201000</v>
      </c>
      <c r="H43" s="215"/>
      <c r="I43" s="215"/>
      <c r="J43" s="200" t="str">
        <f t="shared" si="1"/>
        <v/>
      </c>
      <c r="S43" s="214"/>
      <c r="U43" s="214"/>
    </row>
    <row r="44" spans="1:21">
      <c r="A44" s="166">
        <v>42</v>
      </c>
      <c r="B44" s="168" t="s">
        <v>101</v>
      </c>
      <c r="C44" s="168" t="s">
        <v>1089</v>
      </c>
      <c r="D44" s="168" t="s">
        <v>380</v>
      </c>
      <c r="E44" s="214">
        <v>2000</v>
      </c>
      <c r="F44" s="168">
        <v>67</v>
      </c>
      <c r="G44" s="214">
        <v>134000</v>
      </c>
      <c r="H44" s="215"/>
      <c r="I44" s="215"/>
      <c r="J44" s="200" t="str">
        <f t="shared" si="1"/>
        <v/>
      </c>
      <c r="S44" s="214"/>
      <c r="U44" s="214"/>
    </row>
    <row r="45" spans="1:21">
      <c r="A45" s="166">
        <v>43</v>
      </c>
      <c r="B45" s="168" t="s">
        <v>101</v>
      </c>
      <c r="C45" s="168" t="s">
        <v>1092</v>
      </c>
      <c r="D45" s="168" t="s">
        <v>61</v>
      </c>
      <c r="E45" s="214">
        <v>1000</v>
      </c>
      <c r="F45" s="168">
        <v>67</v>
      </c>
      <c r="G45" s="214">
        <v>67000</v>
      </c>
      <c r="H45" s="215"/>
      <c r="I45" s="215"/>
      <c r="J45" s="200" t="str">
        <f t="shared" si="1"/>
        <v/>
      </c>
      <c r="S45" s="214"/>
      <c r="U45" s="214"/>
    </row>
    <row r="46" spans="1:21">
      <c r="A46" s="166">
        <v>44</v>
      </c>
      <c r="B46" s="168" t="s">
        <v>101</v>
      </c>
      <c r="C46" s="168" t="s">
        <v>1108</v>
      </c>
      <c r="D46" s="168" t="s">
        <v>63</v>
      </c>
      <c r="E46" s="214">
        <v>1000</v>
      </c>
      <c r="F46" s="168">
        <v>67</v>
      </c>
      <c r="G46" s="214">
        <v>67000</v>
      </c>
      <c r="H46" s="215"/>
      <c r="I46" s="215"/>
      <c r="J46" s="200" t="str">
        <f t="shared" si="1"/>
        <v/>
      </c>
      <c r="S46" s="214"/>
      <c r="U46" s="214"/>
    </row>
    <row r="47" spans="1:21">
      <c r="A47" s="166">
        <v>45</v>
      </c>
      <c r="B47" s="168" t="s">
        <v>101</v>
      </c>
      <c r="C47" s="168" t="s">
        <v>746</v>
      </c>
      <c r="D47" s="168" t="s">
        <v>64</v>
      </c>
      <c r="E47" s="214">
        <v>1000</v>
      </c>
      <c r="F47" s="168">
        <v>67</v>
      </c>
      <c r="G47" s="214">
        <v>67000</v>
      </c>
      <c r="H47" s="215"/>
      <c r="I47" s="215"/>
      <c r="J47" s="200" t="str">
        <f t="shared" si="1"/>
        <v/>
      </c>
      <c r="S47" s="214"/>
      <c r="U47" s="214"/>
    </row>
    <row r="48" spans="1:21" ht="41.25" customHeight="1">
      <c r="A48" s="166">
        <v>46</v>
      </c>
      <c r="B48" s="168" t="s">
        <v>101</v>
      </c>
      <c r="C48" s="168" t="s">
        <v>1084</v>
      </c>
      <c r="D48" s="168" t="s">
        <v>65</v>
      </c>
      <c r="E48" s="214">
        <v>2000</v>
      </c>
      <c r="F48" s="168">
        <v>67</v>
      </c>
      <c r="G48" s="214">
        <v>134000</v>
      </c>
      <c r="H48" s="215"/>
      <c r="I48" s="215"/>
      <c r="J48" s="200" t="str">
        <f t="shared" si="1"/>
        <v/>
      </c>
      <c r="S48" s="214"/>
      <c r="U48" s="214"/>
    </row>
    <row r="49" spans="1:21" ht="97.5" customHeight="1">
      <c r="A49" s="166">
        <v>47</v>
      </c>
      <c r="B49" s="168" t="s">
        <v>101</v>
      </c>
      <c r="C49" s="168" t="s">
        <v>774</v>
      </c>
      <c r="D49" s="168" t="s">
        <v>6</v>
      </c>
      <c r="E49" s="214">
        <v>1000</v>
      </c>
      <c r="F49" s="168">
        <v>67</v>
      </c>
      <c r="G49" s="214">
        <v>67000</v>
      </c>
      <c r="H49" s="215"/>
      <c r="I49" s="215"/>
      <c r="J49" s="200" t="str">
        <f t="shared" si="1"/>
        <v/>
      </c>
      <c r="S49" s="214"/>
      <c r="U49" s="214"/>
    </row>
    <row r="50" spans="1:21" ht="41.25" customHeight="1">
      <c r="A50" s="166">
        <v>48</v>
      </c>
      <c r="B50" s="168" t="s">
        <v>101</v>
      </c>
      <c r="C50" s="168" t="s">
        <v>232</v>
      </c>
      <c r="D50" s="168" t="s">
        <v>26</v>
      </c>
      <c r="E50" s="214">
        <v>1000</v>
      </c>
      <c r="F50" s="168">
        <v>67</v>
      </c>
      <c r="G50" s="214">
        <v>67000</v>
      </c>
      <c r="H50" s="215"/>
      <c r="I50" s="215"/>
      <c r="J50" s="200" t="str">
        <f t="shared" si="1"/>
        <v/>
      </c>
      <c r="S50" s="214"/>
      <c r="U50" s="214"/>
    </row>
    <row r="51" spans="1:21" ht="91.5" customHeight="1">
      <c r="A51" s="166">
        <v>49</v>
      </c>
      <c r="B51" s="168" t="s">
        <v>101</v>
      </c>
      <c r="C51" s="168" t="s">
        <v>1097</v>
      </c>
      <c r="D51" s="168" t="s">
        <v>26</v>
      </c>
      <c r="E51" s="214">
        <v>6000</v>
      </c>
      <c r="F51" s="168">
        <v>67</v>
      </c>
      <c r="G51" s="214">
        <v>402000</v>
      </c>
      <c r="H51" s="215" t="s">
        <v>3246</v>
      </c>
      <c r="I51" s="215" t="s">
        <v>3902</v>
      </c>
      <c r="J51" s="200" t="str">
        <f t="shared" si="1"/>
        <v>註2</v>
      </c>
      <c r="S51" s="214">
        <v>402000</v>
      </c>
      <c r="U51" s="214"/>
    </row>
    <row r="52" spans="1:21" ht="95.25" customHeight="1">
      <c r="A52" s="166">
        <v>50</v>
      </c>
      <c r="B52" s="168" t="s">
        <v>101</v>
      </c>
      <c r="C52" s="168" t="s">
        <v>752</v>
      </c>
      <c r="D52" s="168" t="s">
        <v>26</v>
      </c>
      <c r="E52" s="214">
        <v>15000</v>
      </c>
      <c r="F52" s="168">
        <v>67</v>
      </c>
      <c r="G52" s="214">
        <v>1005000</v>
      </c>
      <c r="H52" s="215"/>
      <c r="I52" s="215"/>
      <c r="J52" s="200" t="str">
        <f t="shared" si="1"/>
        <v/>
      </c>
      <c r="S52" s="214"/>
      <c r="U52" s="214"/>
    </row>
    <row r="53" spans="1:21">
      <c r="A53" s="166"/>
      <c r="B53" s="168"/>
      <c r="C53" s="168"/>
      <c r="D53" s="168" t="s">
        <v>31</v>
      </c>
      <c r="E53" s="169">
        <f>SUM(E3:E52)</f>
        <v>161000</v>
      </c>
      <c r="F53" s="168"/>
      <c r="G53" s="169">
        <f>SUM(G3:G52)</f>
        <v>10134000</v>
      </c>
      <c r="H53" s="215"/>
      <c r="I53" s="215"/>
      <c r="J53" s="217"/>
      <c r="S53" s="169">
        <f>SUM(S3:S52)</f>
        <v>2680000</v>
      </c>
      <c r="U53" s="169">
        <f>SUM(U3:U52)</f>
        <v>1587000</v>
      </c>
    </row>
    <row r="54" spans="1:21" ht="35.25" customHeight="1">
      <c r="A54" s="168" t="s">
        <v>2507</v>
      </c>
      <c r="B54" s="168"/>
      <c r="C54" s="168"/>
      <c r="D54" s="168"/>
      <c r="E54" s="169">
        <f>SUMIF(J3:J53,"註2",E3:E53)</f>
        <v>40000</v>
      </c>
      <c r="F54" s="168"/>
      <c r="G54" s="169">
        <f>SUMIF($J$3:$J$53,"註2",G3:G53)</f>
        <v>2680000</v>
      </c>
      <c r="H54" s="215"/>
      <c r="I54" s="215"/>
      <c r="J54" s="217" t="s">
        <v>2508</v>
      </c>
      <c r="O54" s="132"/>
      <c r="U54" s="169"/>
    </row>
    <row r="55" spans="1:21" ht="38.25" customHeight="1">
      <c r="A55" s="168" t="s">
        <v>3249</v>
      </c>
      <c r="B55" s="168"/>
      <c r="C55" s="168"/>
      <c r="D55" s="168"/>
      <c r="E55" s="169">
        <f>SUMIF($J$3:$J$53,"註3",E3:E53)</f>
        <v>23000</v>
      </c>
      <c r="F55" s="168"/>
      <c r="G55" s="169">
        <f>SUMIF($J$3:$J$53,"註3",G3:G53)</f>
        <v>1587000</v>
      </c>
      <c r="H55" s="215"/>
      <c r="I55" s="215"/>
      <c r="J55" s="217" t="s">
        <v>2473</v>
      </c>
      <c r="O55" s="132"/>
      <c r="U55" s="169"/>
    </row>
    <row r="56" spans="1:21" ht="17.25" customHeight="1">
      <c r="A56" s="120"/>
      <c r="B56" s="120"/>
      <c r="C56" s="120"/>
      <c r="D56" s="120"/>
      <c r="E56" s="158"/>
      <c r="F56" s="120"/>
      <c r="G56" s="158"/>
      <c r="H56" s="218"/>
      <c r="I56" s="219"/>
      <c r="J56" s="219"/>
    </row>
    <row r="57" spans="1:21" s="221" customFormat="1" ht="34.75" customHeight="1">
      <c r="A57" s="220"/>
      <c r="B57" s="220" t="s">
        <v>2474</v>
      </c>
      <c r="C57" s="410" t="s">
        <v>3894</v>
      </c>
      <c r="D57" s="410"/>
      <c r="E57" s="410"/>
      <c r="F57" s="410"/>
      <c r="G57" s="410"/>
      <c r="H57" s="410"/>
      <c r="I57" s="410"/>
      <c r="J57" s="410"/>
    </row>
    <row r="58" spans="1:21" s="221" customFormat="1" ht="19.75" customHeight="1">
      <c r="A58" s="220"/>
      <c r="B58" s="220" t="s">
        <v>1079</v>
      </c>
      <c r="C58" s="434" t="s">
        <v>3022</v>
      </c>
      <c r="D58" s="434"/>
      <c r="E58" s="434"/>
      <c r="F58" s="434"/>
      <c r="G58" s="434"/>
      <c r="H58" s="434"/>
      <c r="I58" s="434"/>
      <c r="J58" s="434"/>
    </row>
    <row r="59" spans="1:21" ht="34.5" customHeight="1">
      <c r="B59" s="201" t="s">
        <v>2476</v>
      </c>
      <c r="C59" s="434" t="s">
        <v>3233</v>
      </c>
      <c r="D59" s="434"/>
      <c r="E59" s="434"/>
      <c r="F59" s="434"/>
      <c r="G59" s="434"/>
      <c r="H59" s="434"/>
      <c r="I59" s="434"/>
      <c r="J59" s="434"/>
    </row>
    <row r="64" spans="1:21">
      <c r="A64" s="113"/>
      <c r="B64" s="113"/>
      <c r="C64" s="113"/>
      <c r="D64" s="113"/>
      <c r="E64" s="113"/>
      <c r="F64" s="113"/>
      <c r="G64" s="113"/>
      <c r="H64" s="113" t="s">
        <v>2509</v>
      </c>
      <c r="I64" s="113"/>
      <c r="J64" s="113"/>
    </row>
  </sheetData>
  <sortState ref="A3:U52">
    <sortCondition ref="D3:D52"/>
  </sortState>
  <mergeCells count="3">
    <mergeCell ref="C57:J57"/>
    <mergeCell ref="C58:J58"/>
    <mergeCell ref="C59:J59"/>
  </mergeCells>
  <phoneticPr fontId="1" type="noConversion"/>
  <printOptions horizontalCentered="1"/>
  <pageMargins left="0.31496062992125984" right="0.31496062992125984" top="0" bottom="0" header="0.31496062992125984" footer="0.31496062992125984"/>
  <pageSetup paperSize="9" scale="86" fitToHeight="0" orientation="portrait" r:id="rId1"/>
  <headerFooter>
    <oddFooter>&amp;C&amp;P</oddFooter>
  </headerFooter>
  <rowBreaks count="1" manualBreakCount="1">
    <brk id="21" max="10"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
  <sheetViews>
    <sheetView topLeftCell="A16" workbookViewId="0">
      <selection activeCell="E13" sqref="E13"/>
    </sheetView>
  </sheetViews>
  <sheetFormatPr defaultRowHeight="17"/>
  <cols>
    <col min="2" max="2" width="12.81640625" customWidth="1"/>
    <col min="3" max="3" width="13" customWidth="1"/>
    <col min="4" max="5" width="12" customWidth="1"/>
    <col min="6" max="6" width="12.1796875" customWidth="1"/>
    <col min="7" max="9" width="12.08984375" customWidth="1"/>
    <col min="10" max="10" width="11.453125" customWidth="1"/>
  </cols>
  <sheetData>
    <row r="1" spans="1:10" ht="29.4" customHeight="1" thickBot="1">
      <c r="A1" t="s">
        <v>3108</v>
      </c>
    </row>
    <row r="2" spans="1:10" ht="51">
      <c r="A2" s="275" t="s">
        <v>3109</v>
      </c>
      <c r="B2" s="276" t="s">
        <v>3110</v>
      </c>
      <c r="C2" s="277" t="s">
        <v>3111</v>
      </c>
      <c r="D2" s="277" t="s">
        <v>3112</v>
      </c>
      <c r="E2" s="277" t="s">
        <v>3113</v>
      </c>
      <c r="F2" s="277" t="s">
        <v>3114</v>
      </c>
      <c r="G2" s="277" t="s">
        <v>3115</v>
      </c>
      <c r="H2" s="277" t="s">
        <v>3116</v>
      </c>
      <c r="I2" s="278" t="s">
        <v>3117</v>
      </c>
      <c r="J2" s="256"/>
    </row>
    <row r="3" spans="1:10" ht="34">
      <c r="A3" s="20">
        <v>1</v>
      </c>
      <c r="B3" s="273" t="s">
        <v>3119</v>
      </c>
      <c r="C3" s="274" t="s">
        <v>3122</v>
      </c>
      <c r="D3" s="273">
        <v>7</v>
      </c>
      <c r="E3" s="273">
        <v>24476192</v>
      </c>
      <c r="F3" s="273">
        <v>1223808</v>
      </c>
      <c r="G3" s="273">
        <v>7</v>
      </c>
      <c r="H3" s="273">
        <v>24476192</v>
      </c>
      <c r="I3" s="279">
        <v>1223808</v>
      </c>
    </row>
    <row r="4" spans="1:10" ht="34">
      <c r="A4" s="20">
        <v>2</v>
      </c>
      <c r="B4" s="273" t="s">
        <v>3120</v>
      </c>
      <c r="C4" s="274" t="s">
        <v>3123</v>
      </c>
      <c r="D4" s="273">
        <v>7</v>
      </c>
      <c r="E4" s="273">
        <v>9142857</v>
      </c>
      <c r="F4" s="273">
        <v>457143</v>
      </c>
      <c r="G4" s="273">
        <v>7</v>
      </c>
      <c r="H4" s="273">
        <v>9142857</v>
      </c>
      <c r="I4" s="279">
        <v>457143</v>
      </c>
    </row>
    <row r="5" spans="1:10" ht="34">
      <c r="A5" s="20">
        <v>3</v>
      </c>
      <c r="B5" s="273" t="s">
        <v>3121</v>
      </c>
      <c r="C5" s="274" t="s">
        <v>3124</v>
      </c>
      <c r="D5" s="273">
        <v>19</v>
      </c>
      <c r="E5" s="273">
        <v>14780928</v>
      </c>
      <c r="F5" s="273">
        <v>739046</v>
      </c>
      <c r="G5" s="273">
        <v>19</v>
      </c>
      <c r="H5" s="273">
        <v>14780928</v>
      </c>
      <c r="I5" s="279">
        <v>739046</v>
      </c>
    </row>
    <row r="6" spans="1:10" ht="17.5" thickBot="1">
      <c r="A6" s="280" t="s">
        <v>3118</v>
      </c>
      <c r="B6" s="6"/>
      <c r="C6" s="6"/>
      <c r="D6" s="281">
        <v>33</v>
      </c>
      <c r="E6" s="281">
        <f>SUM(E3:E5)</f>
        <v>48399977</v>
      </c>
      <c r="F6" s="281">
        <f>SUM(F3:F5)</f>
        <v>2419997</v>
      </c>
      <c r="G6" s="281">
        <f>SUM(G3:G5)</f>
        <v>33</v>
      </c>
      <c r="H6" s="281">
        <f>SUM(H3:H5)</f>
        <v>48399977</v>
      </c>
      <c r="I6" s="282">
        <f>SUM(I3:I5)</f>
        <v>2419997</v>
      </c>
    </row>
    <row r="7" spans="1:10" ht="22.65" customHeight="1">
      <c r="A7" s="435" t="s">
        <v>3903</v>
      </c>
      <c r="B7" s="435"/>
      <c r="C7" s="435"/>
      <c r="D7" s="435"/>
      <c r="E7" s="435"/>
      <c r="F7" s="435"/>
      <c r="G7" s="435"/>
      <c r="H7" s="435"/>
      <c r="I7" s="435"/>
    </row>
  </sheetData>
  <mergeCells count="1">
    <mergeCell ref="A7:I7"/>
  </mergeCells>
  <phoneticPr fontId="1" type="noConversion"/>
  <printOptions horizontalCentered="1"/>
  <pageMargins left="0.70866141732283472" right="0.70866141732283472" top="0.74803149606299213" bottom="0.74803149606299213" header="0.31496062992125984" footer="0.31496062992125984"/>
  <pageSetup paperSize="9"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3"/>
  <sheetViews>
    <sheetView workbookViewId="0">
      <selection activeCell="G30" sqref="G30"/>
    </sheetView>
  </sheetViews>
  <sheetFormatPr defaultRowHeight="17"/>
  <cols>
    <col min="2" max="2" width="11.1796875" customWidth="1"/>
    <col min="3" max="3" width="14.36328125" customWidth="1"/>
    <col min="4" max="4" width="13.453125" customWidth="1"/>
    <col min="5" max="5" width="18.81640625" customWidth="1"/>
  </cols>
  <sheetData>
    <row r="1" spans="1:5" ht="31.25" customHeight="1" thickBot="1">
      <c r="A1" t="s">
        <v>3253</v>
      </c>
    </row>
    <row r="2" spans="1:5" ht="34">
      <c r="A2" s="275" t="s">
        <v>3125</v>
      </c>
      <c r="B2" s="283" t="s">
        <v>3128</v>
      </c>
      <c r="C2" s="276" t="s">
        <v>3126</v>
      </c>
      <c r="D2" s="276" t="s">
        <v>1219</v>
      </c>
      <c r="E2" s="278" t="s">
        <v>3127</v>
      </c>
    </row>
    <row r="3" spans="1:5">
      <c r="A3" s="20">
        <v>1</v>
      </c>
      <c r="B3" s="273" t="s">
        <v>3130</v>
      </c>
      <c r="C3" s="273" t="s">
        <v>3133</v>
      </c>
      <c r="D3" s="273">
        <v>794762</v>
      </c>
      <c r="E3" s="279">
        <v>39738</v>
      </c>
    </row>
    <row r="4" spans="1:5">
      <c r="A4" s="20">
        <v>2</v>
      </c>
      <c r="B4" s="273" t="s">
        <v>3130</v>
      </c>
      <c r="C4" s="273" t="s">
        <v>3134</v>
      </c>
      <c r="D4" s="273">
        <v>888286</v>
      </c>
      <c r="E4" s="279">
        <v>44414</v>
      </c>
    </row>
    <row r="5" spans="1:5">
      <c r="A5" s="20">
        <v>3</v>
      </c>
      <c r="B5" s="273" t="s">
        <v>3129</v>
      </c>
      <c r="C5" s="273" t="s">
        <v>3135</v>
      </c>
      <c r="D5" s="273">
        <v>824095</v>
      </c>
      <c r="E5" s="279">
        <v>41205</v>
      </c>
    </row>
    <row r="6" spans="1:5">
      <c r="A6" s="20">
        <v>4</v>
      </c>
      <c r="B6" s="273" t="s">
        <v>3129</v>
      </c>
      <c r="C6" s="273" t="s">
        <v>3136</v>
      </c>
      <c r="D6" s="273">
        <v>932762</v>
      </c>
      <c r="E6" s="279">
        <v>46638</v>
      </c>
    </row>
    <row r="7" spans="1:5">
      <c r="A7" s="20">
        <v>5</v>
      </c>
      <c r="B7" s="273" t="s">
        <v>3129</v>
      </c>
      <c r="C7" s="273" t="s">
        <v>3137</v>
      </c>
      <c r="D7" s="273">
        <v>859524</v>
      </c>
      <c r="E7" s="279">
        <v>42976</v>
      </c>
    </row>
    <row r="8" spans="1:5">
      <c r="A8" s="20">
        <v>6</v>
      </c>
      <c r="B8" s="273" t="s">
        <v>3129</v>
      </c>
      <c r="C8" s="273" t="s">
        <v>3138</v>
      </c>
      <c r="D8" s="273">
        <v>843552</v>
      </c>
      <c r="E8" s="279">
        <v>42178</v>
      </c>
    </row>
    <row r="9" spans="1:5">
      <c r="A9" s="20">
        <v>7</v>
      </c>
      <c r="B9" s="273" t="s">
        <v>3129</v>
      </c>
      <c r="C9" s="273" t="s">
        <v>3139</v>
      </c>
      <c r="D9" s="273">
        <v>786924</v>
      </c>
      <c r="E9" s="279">
        <v>39346</v>
      </c>
    </row>
    <row r="10" spans="1:5">
      <c r="A10" s="20">
        <v>8</v>
      </c>
      <c r="B10" s="273" t="s">
        <v>3129</v>
      </c>
      <c r="C10" s="273" t="s">
        <v>3140</v>
      </c>
      <c r="D10" s="273">
        <v>832000</v>
      </c>
      <c r="E10" s="279">
        <v>41600</v>
      </c>
    </row>
    <row r="11" spans="1:5">
      <c r="A11" s="20">
        <v>9</v>
      </c>
      <c r="B11" s="273" t="s">
        <v>3131</v>
      </c>
      <c r="C11" s="273" t="s">
        <v>3141</v>
      </c>
      <c r="D11" s="273">
        <v>689454</v>
      </c>
      <c r="E11" s="279">
        <v>34473</v>
      </c>
    </row>
    <row r="12" spans="1:5">
      <c r="A12" s="20">
        <v>10</v>
      </c>
      <c r="B12" s="273" t="s">
        <v>3131</v>
      </c>
      <c r="C12" s="273" t="s">
        <v>3142</v>
      </c>
      <c r="D12" s="273">
        <v>626554</v>
      </c>
      <c r="E12" s="279">
        <v>31328</v>
      </c>
    </row>
    <row r="13" spans="1:5">
      <c r="A13" s="20">
        <v>11</v>
      </c>
      <c r="B13" s="273" t="s">
        <v>3131</v>
      </c>
      <c r="C13" s="273" t="s">
        <v>3143</v>
      </c>
      <c r="D13" s="273">
        <v>837406</v>
      </c>
      <c r="E13" s="279">
        <v>41870</v>
      </c>
    </row>
    <row r="14" spans="1:5">
      <c r="A14" s="20">
        <v>12</v>
      </c>
      <c r="B14" s="273" t="s">
        <v>3131</v>
      </c>
      <c r="C14" s="273" t="s">
        <v>3144</v>
      </c>
      <c r="D14" s="273">
        <v>744055</v>
      </c>
      <c r="E14" s="279">
        <v>37203</v>
      </c>
    </row>
    <row r="15" spans="1:5">
      <c r="A15" s="20">
        <v>13</v>
      </c>
      <c r="B15" s="273" t="s">
        <v>3131</v>
      </c>
      <c r="C15" s="273" t="s">
        <v>3145</v>
      </c>
      <c r="D15" s="273">
        <v>667846</v>
      </c>
      <c r="E15" s="279">
        <v>33392</v>
      </c>
    </row>
    <row r="16" spans="1:5">
      <c r="A16" s="20">
        <v>14</v>
      </c>
      <c r="B16" s="273" t="s">
        <v>3131</v>
      </c>
      <c r="C16" s="273" t="s">
        <v>3146</v>
      </c>
      <c r="D16" s="273">
        <v>786344</v>
      </c>
      <c r="E16" s="279">
        <v>39317</v>
      </c>
    </row>
    <row r="17" spans="1:5">
      <c r="A17" s="20">
        <v>15</v>
      </c>
      <c r="B17" s="273" t="s">
        <v>3132</v>
      </c>
      <c r="C17" s="273" t="s">
        <v>3147</v>
      </c>
      <c r="D17" s="273">
        <v>573470</v>
      </c>
      <c r="E17" s="279">
        <v>28673</v>
      </c>
    </row>
    <row r="18" spans="1:5">
      <c r="A18" s="20">
        <v>16</v>
      </c>
      <c r="B18" s="273" t="s">
        <v>3132</v>
      </c>
      <c r="C18" s="273" t="s">
        <v>3148</v>
      </c>
      <c r="D18" s="273">
        <v>625503</v>
      </c>
      <c r="E18" s="279">
        <v>31275</v>
      </c>
    </row>
    <row r="19" spans="1:5">
      <c r="A19" s="20">
        <v>17</v>
      </c>
      <c r="B19" s="273" t="s">
        <v>3132</v>
      </c>
      <c r="C19" s="273" t="s">
        <v>3149</v>
      </c>
      <c r="D19" s="273">
        <v>661752</v>
      </c>
      <c r="E19" s="279">
        <v>33088</v>
      </c>
    </row>
    <row r="20" spans="1:5">
      <c r="A20" s="20">
        <v>18</v>
      </c>
      <c r="B20" s="273" t="s">
        <v>3132</v>
      </c>
      <c r="C20" s="273" t="s">
        <v>3150</v>
      </c>
      <c r="D20" s="273">
        <v>648782</v>
      </c>
      <c r="E20" s="279">
        <v>32439</v>
      </c>
    </row>
    <row r="21" spans="1:5">
      <c r="A21" s="20">
        <v>19</v>
      </c>
      <c r="B21" s="273" t="s">
        <v>3132</v>
      </c>
      <c r="C21" s="273" t="s">
        <v>3151</v>
      </c>
      <c r="D21" s="273">
        <v>617580</v>
      </c>
      <c r="E21" s="279">
        <v>30879</v>
      </c>
    </row>
    <row r="22" spans="1:5" ht="17.5" thickBot="1">
      <c r="A22" s="280" t="s">
        <v>3118</v>
      </c>
      <c r="B22" s="281"/>
      <c r="C22" s="281"/>
      <c r="D22" s="281">
        <f>SUM(D3:D21)</f>
        <v>14240651</v>
      </c>
      <c r="E22" s="282">
        <f>SUM(E3:E21)</f>
        <v>712032</v>
      </c>
    </row>
    <row r="23" spans="1:5" ht="32.25" customHeight="1">
      <c r="A23" s="436" t="s">
        <v>3904</v>
      </c>
      <c r="B23" s="436"/>
      <c r="C23" s="436"/>
      <c r="D23" s="436"/>
      <c r="E23" s="436"/>
    </row>
  </sheetData>
  <mergeCells count="1">
    <mergeCell ref="A23:E23"/>
  </mergeCells>
  <phoneticPr fontId="1" type="noConversion"/>
  <printOptions horizontalCentered="1"/>
  <pageMargins left="0.70866141732283472" right="0.70866141732283472" top="0.74803149606299213" bottom="0.74803149606299213" header="0.31496062992125984" footer="0.31496062992125984"/>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4"/>
  <sheetViews>
    <sheetView topLeftCell="A52" workbookViewId="0">
      <selection activeCell="G11" sqref="G11"/>
    </sheetView>
  </sheetViews>
  <sheetFormatPr defaultRowHeight="17"/>
  <cols>
    <col min="1" max="1" width="4.81640625" customWidth="1"/>
    <col min="2" max="2" width="8.36328125" customWidth="1"/>
    <col min="3" max="4" width="12.90625" customWidth="1"/>
    <col min="5" max="5" width="15.08984375" customWidth="1"/>
    <col min="6" max="6" width="40.1796875" customWidth="1"/>
    <col min="7" max="7" width="21.81640625" customWidth="1"/>
  </cols>
  <sheetData>
    <row r="1" spans="1:7" ht="19.5">
      <c r="A1" s="439" t="s">
        <v>3764</v>
      </c>
      <c r="B1" s="439"/>
      <c r="C1" s="439"/>
      <c r="D1" s="439"/>
      <c r="E1" s="439"/>
      <c r="F1" s="439"/>
      <c r="G1" s="338"/>
    </row>
    <row r="2" spans="1:7" ht="34">
      <c r="A2" s="331" t="s">
        <v>16</v>
      </c>
      <c r="B2" s="333" t="s">
        <v>3716</v>
      </c>
      <c r="C2" s="335" t="s">
        <v>3717</v>
      </c>
      <c r="D2" s="335" t="s">
        <v>3919</v>
      </c>
      <c r="E2" s="331" t="s">
        <v>3920</v>
      </c>
      <c r="F2" s="232" t="s">
        <v>3921</v>
      </c>
      <c r="G2" s="339" t="s">
        <v>726</v>
      </c>
    </row>
    <row r="3" spans="1:7">
      <c r="A3" s="333">
        <v>1</v>
      </c>
      <c r="B3" s="331" t="s">
        <v>2657</v>
      </c>
      <c r="C3" s="332"/>
      <c r="D3" s="332"/>
      <c r="E3" s="331" t="s">
        <v>3718</v>
      </c>
      <c r="F3" s="330" t="s">
        <v>3922</v>
      </c>
      <c r="G3" s="339"/>
    </row>
    <row r="4" spans="1:7">
      <c r="A4" s="334">
        <v>2</v>
      </c>
      <c r="B4" s="334" t="s">
        <v>2596</v>
      </c>
      <c r="C4" s="288"/>
      <c r="D4" s="288"/>
      <c r="E4" s="334" t="s">
        <v>3719</v>
      </c>
      <c r="F4" s="229" t="s">
        <v>3923</v>
      </c>
      <c r="G4" s="339"/>
    </row>
    <row r="5" spans="1:7">
      <c r="A5" s="331">
        <v>3</v>
      </c>
      <c r="B5" s="331" t="s">
        <v>2663</v>
      </c>
      <c r="C5" s="332"/>
      <c r="D5" s="332"/>
      <c r="E5" s="331" t="s">
        <v>3720</v>
      </c>
      <c r="F5" s="330" t="s">
        <v>3924</v>
      </c>
      <c r="G5" s="339"/>
    </row>
    <row r="6" spans="1:7">
      <c r="A6" s="333">
        <v>4</v>
      </c>
      <c r="B6" s="331" t="s">
        <v>3721</v>
      </c>
      <c r="C6" s="332"/>
      <c r="D6" s="332"/>
      <c r="E6" s="331" t="s">
        <v>3722</v>
      </c>
      <c r="F6" s="330" t="s">
        <v>3925</v>
      </c>
      <c r="G6" s="339"/>
    </row>
    <row r="7" spans="1:7" ht="34">
      <c r="A7" s="333">
        <v>5</v>
      </c>
      <c r="B7" s="331" t="s">
        <v>1165</v>
      </c>
      <c r="C7" s="332">
        <v>620800</v>
      </c>
      <c r="D7" s="288"/>
      <c r="E7" s="331" t="s">
        <v>3251</v>
      </c>
      <c r="F7" s="330" t="s">
        <v>3926</v>
      </c>
      <c r="G7" s="339"/>
    </row>
    <row r="8" spans="1:7">
      <c r="A8" s="331">
        <v>6</v>
      </c>
      <c r="B8" s="331" t="s">
        <v>1080</v>
      </c>
      <c r="C8" s="332">
        <v>1913600</v>
      </c>
      <c r="D8" s="288"/>
      <c r="E8" s="440" t="s">
        <v>3723</v>
      </c>
      <c r="F8" s="442" t="s">
        <v>3927</v>
      </c>
      <c r="G8" s="339"/>
    </row>
    <row r="9" spans="1:7">
      <c r="A9" s="334">
        <v>7</v>
      </c>
      <c r="B9" s="334" t="s">
        <v>2619</v>
      </c>
      <c r="C9" s="288">
        <v>53600</v>
      </c>
      <c r="D9" s="288"/>
      <c r="E9" s="441"/>
      <c r="F9" s="443"/>
      <c r="G9" s="339"/>
    </row>
    <row r="10" spans="1:7">
      <c r="A10" s="331">
        <v>8</v>
      </c>
      <c r="B10" s="331" t="s">
        <v>2777</v>
      </c>
      <c r="C10" s="332">
        <v>441600</v>
      </c>
      <c r="D10" s="288"/>
      <c r="E10" s="441"/>
      <c r="F10" s="443"/>
      <c r="G10" s="339"/>
    </row>
    <row r="11" spans="1:7">
      <c r="A11" s="334">
        <v>9</v>
      </c>
      <c r="B11" s="334" t="s">
        <v>2471</v>
      </c>
      <c r="C11" s="288">
        <v>134000</v>
      </c>
      <c r="D11" s="288"/>
      <c r="E11" s="334" t="s">
        <v>3724</v>
      </c>
      <c r="F11" s="229" t="s">
        <v>3928</v>
      </c>
      <c r="G11" s="339"/>
    </row>
    <row r="12" spans="1:7">
      <c r="A12" s="331">
        <v>10</v>
      </c>
      <c r="B12" s="333" t="s">
        <v>2647</v>
      </c>
      <c r="C12" s="332">
        <v>73600</v>
      </c>
      <c r="D12" s="288"/>
      <c r="E12" s="331" t="s">
        <v>3725</v>
      </c>
      <c r="F12" s="330" t="s">
        <v>3929</v>
      </c>
      <c r="G12" s="339"/>
    </row>
    <row r="13" spans="1:7">
      <c r="A13" s="331">
        <v>11</v>
      </c>
      <c r="B13" s="331" t="s">
        <v>2680</v>
      </c>
      <c r="C13" s="332">
        <v>184000</v>
      </c>
      <c r="D13" s="288"/>
      <c r="E13" s="331" t="s">
        <v>3726</v>
      </c>
      <c r="F13" s="330" t="s">
        <v>3930</v>
      </c>
      <c r="G13" s="339"/>
    </row>
    <row r="14" spans="1:7" ht="34">
      <c r="A14" s="331">
        <v>12</v>
      </c>
      <c r="B14" s="331" t="s">
        <v>2693</v>
      </c>
      <c r="C14" s="332">
        <v>73600</v>
      </c>
      <c r="D14" s="288"/>
      <c r="E14" s="331" t="s">
        <v>3727</v>
      </c>
      <c r="F14" s="330" t="s">
        <v>3931</v>
      </c>
      <c r="G14" s="339"/>
    </row>
    <row r="15" spans="1:7">
      <c r="A15" s="334">
        <v>13</v>
      </c>
      <c r="B15" s="334" t="s">
        <v>2606</v>
      </c>
      <c r="C15" s="288">
        <v>184000</v>
      </c>
      <c r="D15" s="288"/>
      <c r="E15" s="334" t="s">
        <v>3728</v>
      </c>
      <c r="F15" s="229" t="s">
        <v>3932</v>
      </c>
      <c r="G15" s="339"/>
    </row>
    <row r="16" spans="1:7">
      <c r="A16" s="331">
        <v>14</v>
      </c>
      <c r="B16" s="331" t="s">
        <v>2630</v>
      </c>
      <c r="C16" s="332">
        <v>55600</v>
      </c>
      <c r="D16" s="288"/>
      <c r="E16" s="331" t="s">
        <v>3729</v>
      </c>
      <c r="F16" s="330" t="s">
        <v>3933</v>
      </c>
      <c r="G16" s="339"/>
    </row>
    <row r="17" spans="1:7">
      <c r="A17" s="334">
        <v>15</v>
      </c>
      <c r="B17" s="334" t="s">
        <v>2557</v>
      </c>
      <c r="C17" s="288">
        <v>82800</v>
      </c>
      <c r="D17" s="288"/>
      <c r="E17" s="334" t="s">
        <v>3730</v>
      </c>
      <c r="F17" s="229" t="s">
        <v>3934</v>
      </c>
      <c r="G17" s="339"/>
    </row>
    <row r="18" spans="1:7">
      <c r="A18" s="331">
        <v>16</v>
      </c>
      <c r="B18" s="331" t="s">
        <v>1891</v>
      </c>
      <c r="C18" s="332">
        <v>184000</v>
      </c>
      <c r="D18" s="288"/>
      <c r="E18" s="331" t="s">
        <v>3731</v>
      </c>
      <c r="F18" s="330" t="s">
        <v>3935</v>
      </c>
      <c r="G18" s="339"/>
    </row>
    <row r="19" spans="1:7">
      <c r="A19" s="334">
        <v>17</v>
      </c>
      <c r="B19" s="334" t="s">
        <v>2517</v>
      </c>
      <c r="C19" s="288">
        <v>55200</v>
      </c>
      <c r="D19" s="288"/>
      <c r="E19" s="334" t="s">
        <v>3732</v>
      </c>
      <c r="F19" s="229" t="s">
        <v>3936</v>
      </c>
      <c r="G19" s="339"/>
    </row>
    <row r="20" spans="1:7">
      <c r="A20" s="334">
        <v>18</v>
      </c>
      <c r="B20" s="334" t="s">
        <v>2602</v>
      </c>
      <c r="C20" s="288">
        <v>256000</v>
      </c>
      <c r="D20" s="288"/>
      <c r="E20" s="334" t="s">
        <v>3733</v>
      </c>
      <c r="F20" s="229" t="s">
        <v>3937</v>
      </c>
      <c r="G20" s="339"/>
    </row>
    <row r="21" spans="1:7">
      <c r="A21" s="331">
        <v>19</v>
      </c>
      <c r="B21" s="331" t="s">
        <v>2468</v>
      </c>
      <c r="C21" s="332">
        <v>332000</v>
      </c>
      <c r="D21" s="288"/>
      <c r="E21" s="440" t="s">
        <v>3730</v>
      </c>
      <c r="F21" s="442" t="s">
        <v>3938</v>
      </c>
      <c r="G21" s="339"/>
    </row>
    <row r="22" spans="1:7">
      <c r="A22" s="331">
        <v>20</v>
      </c>
      <c r="B22" s="331" t="s">
        <v>2608</v>
      </c>
      <c r="C22" s="332">
        <v>72600</v>
      </c>
      <c r="D22" s="288"/>
      <c r="E22" s="441"/>
      <c r="F22" s="443"/>
      <c r="G22" s="339"/>
    </row>
    <row r="23" spans="1:7">
      <c r="A23" s="331">
        <v>21</v>
      </c>
      <c r="B23" s="331" t="s">
        <v>2558</v>
      </c>
      <c r="C23" s="332">
        <v>187000</v>
      </c>
      <c r="D23" s="288"/>
      <c r="E23" s="441"/>
      <c r="F23" s="443"/>
      <c r="G23" s="339"/>
    </row>
    <row r="24" spans="1:7">
      <c r="A24" s="331">
        <v>22</v>
      </c>
      <c r="B24" s="331" t="s">
        <v>2559</v>
      </c>
      <c r="C24" s="332">
        <v>187000</v>
      </c>
      <c r="D24" s="288"/>
      <c r="E24" s="441"/>
      <c r="F24" s="443"/>
      <c r="G24" s="339"/>
    </row>
    <row r="25" spans="1:7">
      <c r="A25" s="334">
        <v>23</v>
      </c>
      <c r="B25" s="334" t="s">
        <v>2665</v>
      </c>
      <c r="C25" s="288">
        <v>75000</v>
      </c>
      <c r="D25" s="288"/>
      <c r="E25" s="334" t="s">
        <v>3734</v>
      </c>
      <c r="F25" s="229" t="s">
        <v>3939</v>
      </c>
      <c r="G25" s="339"/>
    </row>
    <row r="26" spans="1:7" ht="51">
      <c r="A26" s="334">
        <v>24</v>
      </c>
      <c r="B26" s="287" t="s">
        <v>3443</v>
      </c>
      <c r="C26" s="288">
        <v>145000</v>
      </c>
      <c r="D26" s="288">
        <v>145000</v>
      </c>
      <c r="E26" s="334" t="s">
        <v>3735</v>
      </c>
      <c r="F26" s="290" t="s">
        <v>3940</v>
      </c>
      <c r="G26" s="340" t="s">
        <v>3941</v>
      </c>
    </row>
    <row r="27" spans="1:7" ht="51">
      <c r="A27" s="331">
        <v>25</v>
      </c>
      <c r="B27" s="331" t="s">
        <v>3482</v>
      </c>
      <c r="C27" s="332">
        <v>80000</v>
      </c>
      <c r="D27" s="288">
        <v>70000</v>
      </c>
      <c r="E27" s="331" t="s">
        <v>3736</v>
      </c>
      <c r="F27" s="330" t="s">
        <v>3942</v>
      </c>
      <c r="G27" s="339"/>
    </row>
    <row r="28" spans="1:7" ht="34">
      <c r="A28" s="331">
        <v>26</v>
      </c>
      <c r="B28" s="331" t="s">
        <v>3737</v>
      </c>
      <c r="C28" s="332">
        <v>200000</v>
      </c>
      <c r="D28" s="288">
        <v>60000</v>
      </c>
      <c r="E28" s="331" t="s">
        <v>3738</v>
      </c>
      <c r="F28" s="330" t="s">
        <v>3943</v>
      </c>
      <c r="G28" s="339" t="s">
        <v>3944</v>
      </c>
    </row>
    <row r="29" spans="1:7" ht="51">
      <c r="A29" s="331">
        <v>27</v>
      </c>
      <c r="B29" s="331" t="s">
        <v>1179</v>
      </c>
      <c r="C29" s="332">
        <v>141000</v>
      </c>
      <c r="D29" s="288">
        <v>141000</v>
      </c>
      <c r="E29" s="331" t="s">
        <v>3739</v>
      </c>
      <c r="F29" s="330" t="s">
        <v>3945</v>
      </c>
      <c r="G29" s="339"/>
    </row>
    <row r="30" spans="1:7" ht="102">
      <c r="A30" s="331">
        <v>28</v>
      </c>
      <c r="B30" s="331" t="s">
        <v>3413</v>
      </c>
      <c r="C30" s="332">
        <v>300000</v>
      </c>
      <c r="D30" s="288">
        <v>80000</v>
      </c>
      <c r="E30" s="331" t="s">
        <v>3740</v>
      </c>
      <c r="F30" s="330" t="s">
        <v>3946</v>
      </c>
      <c r="G30" s="339"/>
    </row>
    <row r="31" spans="1:7" ht="34">
      <c r="A31" s="331">
        <v>29</v>
      </c>
      <c r="B31" s="331" t="s">
        <v>3741</v>
      </c>
      <c r="C31" s="332">
        <v>23000</v>
      </c>
      <c r="D31" s="288"/>
      <c r="E31" s="331" t="s">
        <v>3742</v>
      </c>
      <c r="F31" s="330" t="s">
        <v>3947</v>
      </c>
      <c r="G31" s="339" t="s">
        <v>3948</v>
      </c>
    </row>
    <row r="32" spans="1:7">
      <c r="A32" s="331">
        <v>30</v>
      </c>
      <c r="B32" s="331" t="s">
        <v>3743</v>
      </c>
      <c r="C32" s="332">
        <v>92000</v>
      </c>
      <c r="D32" s="288"/>
      <c r="E32" s="331" t="s">
        <v>3744</v>
      </c>
      <c r="F32" s="330" t="s">
        <v>3949</v>
      </c>
      <c r="G32" s="339"/>
    </row>
    <row r="33" spans="1:7">
      <c r="A33" s="334">
        <v>31</v>
      </c>
      <c r="B33" s="334" t="s">
        <v>3745</v>
      </c>
      <c r="C33" s="288">
        <v>56400</v>
      </c>
      <c r="D33" s="288"/>
      <c r="E33" s="334" t="s">
        <v>3746</v>
      </c>
      <c r="F33" s="229" t="s">
        <v>3950</v>
      </c>
      <c r="G33" s="339"/>
    </row>
    <row r="34" spans="1:7" ht="34">
      <c r="A34" s="331">
        <v>32</v>
      </c>
      <c r="B34" s="331" t="s">
        <v>3438</v>
      </c>
      <c r="C34" s="332">
        <v>220800</v>
      </c>
      <c r="D34" s="288"/>
      <c r="E34" s="331" t="s">
        <v>3747</v>
      </c>
      <c r="F34" s="330" t="s">
        <v>3951</v>
      </c>
      <c r="G34" s="339" t="s">
        <v>3952</v>
      </c>
    </row>
    <row r="35" spans="1:7" ht="85">
      <c r="A35" s="331">
        <v>33</v>
      </c>
      <c r="B35" s="331" t="s">
        <v>3748</v>
      </c>
      <c r="C35" s="332">
        <v>92000</v>
      </c>
      <c r="D35" s="288">
        <v>82000</v>
      </c>
      <c r="E35" s="331" t="s">
        <v>3749</v>
      </c>
      <c r="F35" s="330" t="s">
        <v>3953</v>
      </c>
      <c r="G35" s="339" t="s">
        <v>3954</v>
      </c>
    </row>
    <row r="36" spans="1:7" ht="34">
      <c r="A36" s="334">
        <v>34</v>
      </c>
      <c r="B36" s="334" t="s">
        <v>2626</v>
      </c>
      <c r="C36" s="288">
        <v>772800</v>
      </c>
      <c r="D36" s="288"/>
      <c r="E36" s="334" t="s">
        <v>3250</v>
      </c>
      <c r="F36" s="229" t="s">
        <v>3955</v>
      </c>
      <c r="G36" s="339" t="s">
        <v>3956</v>
      </c>
    </row>
    <row r="37" spans="1:7" ht="34">
      <c r="A37" s="334">
        <v>35</v>
      </c>
      <c r="B37" s="334" t="s">
        <v>2566</v>
      </c>
      <c r="C37" s="288">
        <v>184000</v>
      </c>
      <c r="D37" s="288"/>
      <c r="E37" s="334" t="s">
        <v>3250</v>
      </c>
      <c r="F37" s="229" t="s">
        <v>3955</v>
      </c>
      <c r="G37" s="339" t="s">
        <v>3957</v>
      </c>
    </row>
    <row r="38" spans="1:7" ht="34">
      <c r="A38" s="334">
        <v>36</v>
      </c>
      <c r="B38" s="334" t="s">
        <v>2598</v>
      </c>
      <c r="C38" s="288">
        <v>920000</v>
      </c>
      <c r="D38" s="288"/>
      <c r="E38" s="334" t="s">
        <v>3750</v>
      </c>
      <c r="F38" s="229" t="s">
        <v>3955</v>
      </c>
      <c r="G38" s="339" t="s">
        <v>3958</v>
      </c>
    </row>
    <row r="39" spans="1:7" ht="34">
      <c r="A39" s="334">
        <v>37</v>
      </c>
      <c r="B39" s="334" t="s">
        <v>2567</v>
      </c>
      <c r="C39" s="288">
        <v>110400</v>
      </c>
      <c r="D39" s="288"/>
      <c r="E39" s="334" t="s">
        <v>3250</v>
      </c>
      <c r="F39" s="229" t="s">
        <v>3955</v>
      </c>
      <c r="G39" s="339" t="s">
        <v>3959</v>
      </c>
    </row>
    <row r="40" spans="1:7" ht="34">
      <c r="A40" s="334">
        <v>38</v>
      </c>
      <c r="B40" s="334" t="s">
        <v>2624</v>
      </c>
      <c r="C40" s="288">
        <v>294400</v>
      </c>
      <c r="D40" s="288"/>
      <c r="E40" s="334" t="s">
        <v>3751</v>
      </c>
      <c r="F40" s="229" t="s">
        <v>3955</v>
      </c>
      <c r="G40" s="339" t="s">
        <v>3960</v>
      </c>
    </row>
    <row r="41" spans="1:7" ht="34">
      <c r="A41" s="334">
        <v>39</v>
      </c>
      <c r="B41" s="334" t="s">
        <v>2627</v>
      </c>
      <c r="C41" s="288">
        <v>110400</v>
      </c>
      <c r="D41" s="288"/>
      <c r="E41" s="334" t="s">
        <v>3250</v>
      </c>
      <c r="F41" s="229" t="s">
        <v>3955</v>
      </c>
      <c r="G41" s="339" t="s">
        <v>3961</v>
      </c>
    </row>
    <row r="42" spans="1:7" ht="34">
      <c r="A42" s="334">
        <v>40</v>
      </c>
      <c r="B42" s="334" t="s">
        <v>2628</v>
      </c>
      <c r="C42" s="288">
        <v>552000</v>
      </c>
      <c r="D42" s="288"/>
      <c r="E42" s="334" t="s">
        <v>3250</v>
      </c>
      <c r="F42" s="229" t="s">
        <v>3955</v>
      </c>
      <c r="G42" s="339" t="s">
        <v>3962</v>
      </c>
    </row>
    <row r="43" spans="1:7" ht="34">
      <c r="A43" s="334">
        <v>41</v>
      </c>
      <c r="B43" s="334" t="s">
        <v>2565</v>
      </c>
      <c r="C43" s="288">
        <v>110400</v>
      </c>
      <c r="D43" s="288"/>
      <c r="E43" s="334" t="s">
        <v>3250</v>
      </c>
      <c r="F43" s="229" t="s">
        <v>3955</v>
      </c>
      <c r="G43" s="339" t="s">
        <v>3963</v>
      </c>
    </row>
    <row r="44" spans="1:7" ht="34">
      <c r="A44" s="334">
        <v>42</v>
      </c>
      <c r="B44" s="334" t="s">
        <v>3752</v>
      </c>
      <c r="C44" s="288">
        <v>36800</v>
      </c>
      <c r="D44" s="288"/>
      <c r="E44" s="289" t="s">
        <v>3753</v>
      </c>
      <c r="F44" s="229" t="s">
        <v>3955</v>
      </c>
      <c r="G44" s="339" t="s">
        <v>3964</v>
      </c>
    </row>
    <row r="45" spans="1:7" ht="34">
      <c r="A45" s="334">
        <v>43</v>
      </c>
      <c r="B45" s="334" t="s">
        <v>3754</v>
      </c>
      <c r="C45" s="288">
        <v>36800</v>
      </c>
      <c r="D45" s="288"/>
      <c r="E45" s="289" t="s">
        <v>3753</v>
      </c>
      <c r="F45" s="229" t="s">
        <v>3955</v>
      </c>
      <c r="G45" s="339" t="s">
        <v>3965</v>
      </c>
    </row>
    <row r="46" spans="1:7" ht="51">
      <c r="A46" s="334">
        <v>44</v>
      </c>
      <c r="B46" s="334" t="s">
        <v>1553</v>
      </c>
      <c r="C46" s="288">
        <v>150000</v>
      </c>
      <c r="D46" s="288">
        <v>150000</v>
      </c>
      <c r="E46" s="334" t="s">
        <v>3755</v>
      </c>
      <c r="F46" s="229" t="s">
        <v>3966</v>
      </c>
      <c r="G46" s="339"/>
    </row>
    <row r="47" spans="1:7" ht="34">
      <c r="A47" s="334">
        <v>45</v>
      </c>
      <c r="B47" s="334" t="s">
        <v>3480</v>
      </c>
      <c r="C47" s="288">
        <v>100000</v>
      </c>
      <c r="D47" s="288"/>
      <c r="E47" s="334" t="s">
        <v>3756</v>
      </c>
      <c r="F47" s="229" t="s">
        <v>3967</v>
      </c>
      <c r="G47" s="339" t="s">
        <v>3968</v>
      </c>
    </row>
    <row r="48" spans="1:7">
      <c r="A48" s="334">
        <v>46</v>
      </c>
      <c r="B48" s="334" t="s">
        <v>2670</v>
      </c>
      <c r="C48" s="288">
        <v>368000</v>
      </c>
      <c r="D48" s="288"/>
      <c r="E48" s="334" t="s">
        <v>3757</v>
      </c>
      <c r="F48" s="229" t="s">
        <v>3969</v>
      </c>
      <c r="G48" s="339"/>
    </row>
    <row r="49" spans="1:7">
      <c r="A49" s="334">
        <v>47</v>
      </c>
      <c r="B49" s="334" t="s">
        <v>2617</v>
      </c>
      <c r="C49" s="288">
        <v>37600</v>
      </c>
      <c r="D49" s="288"/>
      <c r="E49" s="334" t="s">
        <v>3758</v>
      </c>
      <c r="F49" s="229" t="s">
        <v>3970</v>
      </c>
      <c r="G49" s="339"/>
    </row>
    <row r="50" spans="1:7" ht="85">
      <c r="A50" s="334">
        <v>48</v>
      </c>
      <c r="B50" s="334" t="s">
        <v>3280</v>
      </c>
      <c r="C50" s="288">
        <v>1056000</v>
      </c>
      <c r="D50" s="288">
        <v>300000</v>
      </c>
      <c r="E50" s="334" t="s">
        <v>3759</v>
      </c>
      <c r="F50" s="290" t="s">
        <v>3971</v>
      </c>
      <c r="G50" s="339"/>
    </row>
    <row r="51" spans="1:7" ht="34">
      <c r="A51" s="334">
        <v>49</v>
      </c>
      <c r="B51" s="334" t="s">
        <v>1560</v>
      </c>
      <c r="C51" s="288">
        <v>300000</v>
      </c>
      <c r="D51" s="288"/>
      <c r="E51" s="334" t="s">
        <v>3760</v>
      </c>
      <c r="F51" s="229" t="s">
        <v>3972</v>
      </c>
      <c r="G51" s="339" t="s">
        <v>3973</v>
      </c>
    </row>
    <row r="52" spans="1:7">
      <c r="A52" s="444" t="s">
        <v>24</v>
      </c>
      <c r="B52" s="444"/>
      <c r="C52" s="288">
        <f>SUM(C3:C51)</f>
        <v>11655800</v>
      </c>
      <c r="D52" s="288">
        <f>SUM(D3:D51)</f>
        <v>1028000</v>
      </c>
      <c r="E52" s="334"/>
      <c r="F52" s="291"/>
      <c r="G52" s="339"/>
    </row>
    <row r="53" spans="1:7" ht="20.399999999999999" customHeight="1">
      <c r="A53" s="235" t="s">
        <v>3761</v>
      </c>
      <c r="B53" s="437" t="s">
        <v>3762</v>
      </c>
      <c r="C53" s="437"/>
      <c r="D53" s="437"/>
      <c r="E53" s="437"/>
      <c r="F53" s="437"/>
      <c r="G53" s="437"/>
    </row>
    <row r="54" spans="1:7" ht="34.75" customHeight="1">
      <c r="A54" s="235" t="s">
        <v>3763</v>
      </c>
      <c r="B54" s="438" t="s">
        <v>3974</v>
      </c>
      <c r="C54" s="438"/>
      <c r="D54" s="438"/>
      <c r="E54" s="438"/>
      <c r="F54" s="438"/>
      <c r="G54" s="438"/>
    </row>
  </sheetData>
  <mergeCells count="8">
    <mergeCell ref="B53:G53"/>
    <mergeCell ref="B54:G54"/>
    <mergeCell ref="A1:F1"/>
    <mergeCell ref="E8:E10"/>
    <mergeCell ref="F8:F10"/>
    <mergeCell ref="E21:E24"/>
    <mergeCell ref="F21:F24"/>
    <mergeCell ref="A52:B52"/>
  </mergeCells>
  <phoneticPr fontId="1" type="noConversion"/>
  <pageMargins left="0.7" right="0.7" top="0.75" bottom="0.75" header="0.3" footer="0.3"/>
  <pageSetup paperSize="9" scale="75"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94"/>
  <sheetViews>
    <sheetView tabSelected="1" topLeftCell="A80" workbookViewId="0">
      <selection activeCell="J93" sqref="J93"/>
    </sheetView>
  </sheetViews>
  <sheetFormatPr defaultRowHeight="17"/>
  <cols>
    <col min="1" max="1" width="6.453125" customWidth="1"/>
    <col min="2" max="2" width="13.36328125" customWidth="1"/>
    <col min="3" max="3" width="6" bestFit="1" customWidth="1"/>
    <col min="4" max="4" width="13.36328125" customWidth="1"/>
    <col min="5" max="5" width="6" bestFit="1" customWidth="1"/>
    <col min="6" max="6" width="13.36328125" customWidth="1"/>
    <col min="7" max="7" width="6" bestFit="1" customWidth="1"/>
    <col min="8" max="8" width="13.36328125" customWidth="1"/>
    <col min="9" max="9" width="6" bestFit="1" customWidth="1"/>
    <col min="10" max="10" width="12.90625" bestFit="1" customWidth="1"/>
    <col min="11" max="11" width="6" bestFit="1" customWidth="1"/>
    <col min="12" max="12" width="12.90625" bestFit="1" customWidth="1"/>
    <col min="13" max="13" width="6" bestFit="1" customWidth="1"/>
    <col min="14" max="14" width="12.90625" bestFit="1" customWidth="1"/>
    <col min="15" max="15" width="6" bestFit="1" customWidth="1"/>
    <col min="16" max="16" width="12.90625" bestFit="1" customWidth="1"/>
  </cols>
  <sheetData>
    <row r="1" spans="1:8">
      <c r="A1" s="57" t="s">
        <v>3255</v>
      </c>
    </row>
    <row r="2" spans="1:8">
      <c r="A2" s="63" t="s">
        <v>16</v>
      </c>
      <c r="B2" s="63" t="s">
        <v>1547</v>
      </c>
      <c r="C2" s="63" t="s">
        <v>16</v>
      </c>
      <c r="D2" s="63" t="s">
        <v>1547</v>
      </c>
      <c r="E2" s="63" t="s">
        <v>16</v>
      </c>
      <c r="F2" s="63" t="s">
        <v>1547</v>
      </c>
      <c r="G2" s="63" t="s">
        <v>16</v>
      </c>
      <c r="H2" s="63" t="s">
        <v>1547</v>
      </c>
    </row>
    <row r="3" spans="1:8">
      <c r="A3" s="63">
        <v>1</v>
      </c>
      <c r="B3" s="111" t="s">
        <v>1546</v>
      </c>
      <c r="C3" s="63">
        <v>45</v>
      </c>
      <c r="D3" s="111" t="s">
        <v>588</v>
      </c>
      <c r="E3" s="63">
        <v>89</v>
      </c>
      <c r="F3" s="111" t="s">
        <v>475</v>
      </c>
      <c r="G3" s="63">
        <v>133</v>
      </c>
      <c r="H3" s="111" t="s">
        <v>278</v>
      </c>
    </row>
    <row r="4" spans="1:8">
      <c r="A4" s="63">
        <v>2</v>
      </c>
      <c r="B4" s="111" t="s">
        <v>1106</v>
      </c>
      <c r="C4" s="63">
        <v>46</v>
      </c>
      <c r="D4" s="111" t="s">
        <v>688</v>
      </c>
      <c r="E4" s="63">
        <v>90</v>
      </c>
      <c r="F4" s="111" t="s">
        <v>639</v>
      </c>
      <c r="G4" s="63">
        <v>134</v>
      </c>
      <c r="H4" s="111" t="s">
        <v>645</v>
      </c>
    </row>
    <row r="5" spans="1:8">
      <c r="A5" s="63">
        <v>3</v>
      </c>
      <c r="B5" s="111" t="s">
        <v>279</v>
      </c>
      <c r="C5" s="63">
        <v>47</v>
      </c>
      <c r="D5" s="111" t="s">
        <v>649</v>
      </c>
      <c r="E5" s="63">
        <v>91</v>
      </c>
      <c r="F5" s="111" t="s">
        <v>508</v>
      </c>
      <c r="G5" s="63">
        <v>135</v>
      </c>
      <c r="H5" s="111" t="s">
        <v>597</v>
      </c>
    </row>
    <row r="6" spans="1:8">
      <c r="A6" s="63">
        <v>4</v>
      </c>
      <c r="B6" s="111" t="s">
        <v>690</v>
      </c>
      <c r="C6" s="63">
        <v>48</v>
      </c>
      <c r="D6" s="111" t="s">
        <v>137</v>
      </c>
      <c r="E6" s="63">
        <v>92</v>
      </c>
      <c r="F6" s="111" t="s">
        <v>669</v>
      </c>
      <c r="G6" s="63">
        <v>136</v>
      </c>
      <c r="H6" s="111" t="s">
        <v>668</v>
      </c>
    </row>
    <row r="7" spans="1:8">
      <c r="A7" s="63">
        <v>5</v>
      </c>
      <c r="B7" s="111" t="s">
        <v>550</v>
      </c>
      <c r="C7" s="63">
        <v>49</v>
      </c>
      <c r="D7" s="111" t="s">
        <v>1517</v>
      </c>
      <c r="E7" s="63">
        <v>93</v>
      </c>
      <c r="F7" s="111" t="s">
        <v>682</v>
      </c>
      <c r="G7" s="63">
        <v>137</v>
      </c>
      <c r="H7" s="111" t="s">
        <v>158</v>
      </c>
    </row>
    <row r="8" spans="1:8">
      <c r="A8" s="63">
        <v>6</v>
      </c>
      <c r="B8" s="111" t="s">
        <v>707</v>
      </c>
      <c r="C8" s="63">
        <v>50</v>
      </c>
      <c r="D8" s="111" t="s">
        <v>143</v>
      </c>
      <c r="E8" s="63">
        <v>94</v>
      </c>
      <c r="F8" s="111" t="s">
        <v>357</v>
      </c>
      <c r="G8" s="63">
        <v>138</v>
      </c>
      <c r="H8" s="111" t="s">
        <v>686</v>
      </c>
    </row>
    <row r="9" spans="1:8">
      <c r="A9" s="63">
        <v>7</v>
      </c>
      <c r="B9" s="111" t="s">
        <v>1509</v>
      </c>
      <c r="C9" s="63">
        <v>51</v>
      </c>
      <c r="D9" s="111" t="s">
        <v>1099</v>
      </c>
      <c r="E9" s="63">
        <v>95</v>
      </c>
      <c r="F9" s="111" t="s">
        <v>275</v>
      </c>
      <c r="G9" s="63">
        <v>139</v>
      </c>
      <c r="H9" s="111" t="s">
        <v>662</v>
      </c>
    </row>
    <row r="10" spans="1:8">
      <c r="A10" s="63">
        <v>8</v>
      </c>
      <c r="B10" s="111" t="s">
        <v>697</v>
      </c>
      <c r="C10" s="63">
        <v>52</v>
      </c>
      <c r="D10" s="111" t="s">
        <v>387</v>
      </c>
      <c r="E10" s="63">
        <v>96</v>
      </c>
      <c r="F10" s="111" t="s">
        <v>266</v>
      </c>
      <c r="G10" s="63">
        <v>140</v>
      </c>
      <c r="H10" s="111" t="s">
        <v>1095</v>
      </c>
    </row>
    <row r="11" spans="1:8">
      <c r="A11" s="63">
        <v>9</v>
      </c>
      <c r="B11" s="111" t="s">
        <v>1510</v>
      </c>
      <c r="C11" s="63">
        <v>53</v>
      </c>
      <c r="D11" s="112" t="s">
        <v>1560</v>
      </c>
      <c r="E11" s="63">
        <v>97</v>
      </c>
      <c r="F11" s="111" t="s">
        <v>576</v>
      </c>
      <c r="G11" s="63">
        <v>141</v>
      </c>
      <c r="H11" s="111" t="s">
        <v>201</v>
      </c>
    </row>
    <row r="12" spans="1:8">
      <c r="A12" s="63">
        <v>10</v>
      </c>
      <c r="B12" s="111" t="s">
        <v>225</v>
      </c>
      <c r="C12" s="63">
        <v>54</v>
      </c>
      <c r="D12" s="111" t="s">
        <v>188</v>
      </c>
      <c r="E12" s="63">
        <v>98</v>
      </c>
      <c r="F12" s="111" t="s">
        <v>607</v>
      </c>
      <c r="G12" s="63">
        <v>142</v>
      </c>
      <c r="H12" s="111" t="s">
        <v>3995</v>
      </c>
    </row>
    <row r="13" spans="1:8">
      <c r="A13" s="63">
        <v>11</v>
      </c>
      <c r="B13" s="111" t="s">
        <v>689</v>
      </c>
      <c r="C13" s="63">
        <v>55</v>
      </c>
      <c r="D13" s="111" t="s">
        <v>161</v>
      </c>
      <c r="E13" s="63">
        <v>99</v>
      </c>
      <c r="F13" s="111" t="s">
        <v>591</v>
      </c>
      <c r="G13" s="63">
        <v>143</v>
      </c>
      <c r="H13" s="111" t="s">
        <v>502</v>
      </c>
    </row>
    <row r="14" spans="1:8">
      <c r="A14" s="63">
        <v>12</v>
      </c>
      <c r="B14" s="111" t="s">
        <v>29</v>
      </c>
      <c r="C14" s="63">
        <v>56</v>
      </c>
      <c r="D14" s="111" t="s">
        <v>1518</v>
      </c>
      <c r="E14" s="63">
        <v>100</v>
      </c>
      <c r="F14" s="111" t="s">
        <v>1519</v>
      </c>
      <c r="G14" s="63">
        <v>144</v>
      </c>
      <c r="H14" s="111" t="s">
        <v>681</v>
      </c>
    </row>
    <row r="15" spans="1:8">
      <c r="A15" s="63">
        <v>13</v>
      </c>
      <c r="B15" s="111" t="s">
        <v>400</v>
      </c>
      <c r="C15" s="63">
        <v>57</v>
      </c>
      <c r="D15" s="111" t="s">
        <v>684</v>
      </c>
      <c r="E15" s="63">
        <v>101</v>
      </c>
      <c r="F15" s="111" t="s">
        <v>699</v>
      </c>
      <c r="G15" s="63">
        <v>145</v>
      </c>
      <c r="H15" s="111" t="s">
        <v>716</v>
      </c>
    </row>
    <row r="16" spans="1:8">
      <c r="A16" s="63">
        <v>14</v>
      </c>
      <c r="B16" s="111" t="s">
        <v>491</v>
      </c>
      <c r="C16" s="63">
        <v>58</v>
      </c>
      <c r="D16" s="111" t="s">
        <v>268</v>
      </c>
      <c r="E16" s="63">
        <v>102</v>
      </c>
      <c r="F16" s="111" t="s">
        <v>539</v>
      </c>
      <c r="G16" s="63">
        <v>146</v>
      </c>
      <c r="H16" s="111" t="s">
        <v>297</v>
      </c>
    </row>
    <row r="17" spans="1:8">
      <c r="A17" s="63">
        <v>15</v>
      </c>
      <c r="B17" s="111" t="s">
        <v>424</v>
      </c>
      <c r="C17" s="63">
        <v>59</v>
      </c>
      <c r="D17" s="111" t="s">
        <v>693</v>
      </c>
      <c r="E17" s="63">
        <v>103</v>
      </c>
      <c r="F17" s="111" t="s">
        <v>1090</v>
      </c>
      <c r="G17" s="63">
        <v>147</v>
      </c>
      <c r="H17" s="111" t="s">
        <v>676</v>
      </c>
    </row>
    <row r="18" spans="1:8">
      <c r="A18" s="63">
        <v>16</v>
      </c>
      <c r="B18" s="111" t="s">
        <v>332</v>
      </c>
      <c r="C18" s="63">
        <v>60</v>
      </c>
      <c r="D18" s="111" t="s">
        <v>625</v>
      </c>
      <c r="E18" s="63">
        <v>104</v>
      </c>
      <c r="F18" s="111" t="s">
        <v>173</v>
      </c>
      <c r="G18" s="63">
        <v>148</v>
      </c>
      <c r="H18" s="111" t="s">
        <v>273</v>
      </c>
    </row>
    <row r="19" spans="1:8">
      <c r="A19" s="63">
        <v>17</v>
      </c>
      <c r="B19" s="111" t="s">
        <v>423</v>
      </c>
      <c r="C19" s="63">
        <v>61</v>
      </c>
      <c r="D19" s="111" t="s">
        <v>393</v>
      </c>
      <c r="E19" s="63">
        <v>105</v>
      </c>
      <c r="F19" s="111" t="s">
        <v>687</v>
      </c>
      <c r="G19" s="63">
        <v>149</v>
      </c>
      <c r="H19" s="111" t="s">
        <v>448</v>
      </c>
    </row>
    <row r="20" spans="1:8">
      <c r="A20" s="63">
        <v>18</v>
      </c>
      <c r="B20" s="111" t="s">
        <v>671</v>
      </c>
      <c r="C20" s="63">
        <v>62</v>
      </c>
      <c r="D20" s="111" t="s">
        <v>296</v>
      </c>
      <c r="E20" s="63">
        <v>106</v>
      </c>
      <c r="F20" s="111" t="s">
        <v>263</v>
      </c>
      <c r="G20" s="63">
        <v>150</v>
      </c>
      <c r="H20" s="111" t="s">
        <v>3996</v>
      </c>
    </row>
    <row r="21" spans="1:8">
      <c r="A21" s="63">
        <v>19</v>
      </c>
      <c r="B21" s="111" t="s">
        <v>1511</v>
      </c>
      <c r="C21" s="63">
        <v>63</v>
      </c>
      <c r="D21" s="111" t="s">
        <v>325</v>
      </c>
      <c r="E21" s="63">
        <v>107</v>
      </c>
      <c r="F21" s="111" t="s">
        <v>1520</v>
      </c>
      <c r="G21" s="63">
        <v>151</v>
      </c>
      <c r="H21" s="111" t="s">
        <v>605</v>
      </c>
    </row>
    <row r="22" spans="1:8">
      <c r="A22" s="63">
        <v>20</v>
      </c>
      <c r="B22" s="111" t="s">
        <v>640</v>
      </c>
      <c r="C22" s="63">
        <v>64</v>
      </c>
      <c r="D22" s="111" t="s">
        <v>421</v>
      </c>
      <c r="E22" s="63">
        <v>108</v>
      </c>
      <c r="F22" s="111" t="s">
        <v>620</v>
      </c>
      <c r="G22" s="63">
        <v>152</v>
      </c>
      <c r="H22" s="111" t="s">
        <v>709</v>
      </c>
    </row>
    <row r="23" spans="1:8">
      <c r="A23" s="63">
        <v>21</v>
      </c>
      <c r="B23" s="111" t="s">
        <v>1512</v>
      </c>
      <c r="C23" s="63">
        <v>65</v>
      </c>
      <c r="D23" s="111" t="s">
        <v>415</v>
      </c>
      <c r="E23" s="63">
        <v>109</v>
      </c>
      <c r="F23" s="111" t="s">
        <v>258</v>
      </c>
      <c r="G23" s="63">
        <v>153</v>
      </c>
      <c r="H23" s="111" t="s">
        <v>239</v>
      </c>
    </row>
    <row r="24" spans="1:8">
      <c r="A24" s="63">
        <v>22</v>
      </c>
      <c r="B24" s="111" t="s">
        <v>648</v>
      </c>
      <c r="C24" s="63">
        <v>66</v>
      </c>
      <c r="D24" s="111" t="s">
        <v>343</v>
      </c>
      <c r="E24" s="63">
        <v>110</v>
      </c>
      <c r="F24" s="111" t="s">
        <v>711</v>
      </c>
      <c r="G24" s="63">
        <v>154</v>
      </c>
      <c r="H24" s="111" t="s">
        <v>240</v>
      </c>
    </row>
    <row r="25" spans="1:8">
      <c r="A25" s="63">
        <v>23</v>
      </c>
      <c r="B25" s="111" t="s">
        <v>683</v>
      </c>
      <c r="C25" s="63">
        <v>67</v>
      </c>
      <c r="D25" s="111" t="s">
        <v>3994</v>
      </c>
      <c r="E25" s="63">
        <v>111</v>
      </c>
      <c r="F25" s="111" t="s">
        <v>1521</v>
      </c>
      <c r="G25" s="63">
        <v>155</v>
      </c>
      <c r="H25" s="111" t="s">
        <v>189</v>
      </c>
    </row>
    <row r="26" spans="1:8">
      <c r="A26" s="63">
        <v>24</v>
      </c>
      <c r="B26" s="111" t="s">
        <v>259</v>
      </c>
      <c r="C26" s="63">
        <v>68</v>
      </c>
      <c r="D26" s="111" t="s">
        <v>613</v>
      </c>
      <c r="E26" s="63">
        <v>112</v>
      </c>
      <c r="F26" s="111" t="s">
        <v>1522</v>
      </c>
      <c r="G26" s="63">
        <v>156</v>
      </c>
      <c r="H26" s="111" t="s">
        <v>141</v>
      </c>
    </row>
    <row r="27" spans="1:8">
      <c r="A27" s="63">
        <v>25</v>
      </c>
      <c r="B27" s="111" t="s">
        <v>236</v>
      </c>
      <c r="C27" s="63">
        <v>69</v>
      </c>
      <c r="D27" s="111" t="s">
        <v>705</v>
      </c>
      <c r="E27" s="63">
        <v>113</v>
      </c>
      <c r="F27" s="111" t="s">
        <v>680</v>
      </c>
      <c r="G27" s="63">
        <v>157</v>
      </c>
      <c r="H27" s="111" t="s">
        <v>598</v>
      </c>
    </row>
    <row r="28" spans="1:8">
      <c r="A28" s="63">
        <v>26</v>
      </c>
      <c r="B28" s="111" t="s">
        <v>216</v>
      </c>
      <c r="C28" s="63">
        <v>70</v>
      </c>
      <c r="D28" s="111" t="s">
        <v>460</v>
      </c>
      <c r="E28" s="63">
        <v>114</v>
      </c>
      <c r="F28" s="111" t="s">
        <v>531</v>
      </c>
      <c r="G28" s="63">
        <v>158</v>
      </c>
      <c r="H28" s="111" t="s">
        <v>610</v>
      </c>
    </row>
    <row r="29" spans="1:8">
      <c r="A29" s="63">
        <v>27</v>
      </c>
      <c r="B29" s="111" t="s">
        <v>221</v>
      </c>
      <c r="C29" s="63">
        <v>71</v>
      </c>
      <c r="D29" s="111" t="s">
        <v>144</v>
      </c>
      <c r="E29" s="63">
        <v>115</v>
      </c>
      <c r="F29" s="111" t="s">
        <v>160</v>
      </c>
      <c r="G29" s="63">
        <v>159</v>
      </c>
      <c r="H29" s="111" t="s">
        <v>594</v>
      </c>
    </row>
    <row r="30" spans="1:8">
      <c r="A30" s="63">
        <v>28</v>
      </c>
      <c r="B30" s="112" t="s">
        <v>1548</v>
      </c>
      <c r="C30" s="63">
        <v>72</v>
      </c>
      <c r="D30" s="111" t="s">
        <v>703</v>
      </c>
      <c r="E30" s="63">
        <v>116</v>
      </c>
      <c r="F30" s="111" t="s">
        <v>633</v>
      </c>
      <c r="G30" s="63">
        <v>160</v>
      </c>
      <c r="H30" s="111" t="s">
        <v>314</v>
      </c>
    </row>
    <row r="31" spans="1:8">
      <c r="A31" s="63">
        <v>29</v>
      </c>
      <c r="B31" s="111" t="s">
        <v>255</v>
      </c>
      <c r="C31" s="63">
        <v>73</v>
      </c>
      <c r="D31" s="111" t="s">
        <v>208</v>
      </c>
      <c r="E31" s="63">
        <v>117</v>
      </c>
      <c r="F31" s="111" t="s">
        <v>347</v>
      </c>
      <c r="G31" s="63">
        <v>161</v>
      </c>
      <c r="H31" s="111" t="s">
        <v>660</v>
      </c>
    </row>
    <row r="32" spans="1:8">
      <c r="A32" s="63">
        <v>30</v>
      </c>
      <c r="B32" s="111" t="s">
        <v>3993</v>
      </c>
      <c r="C32" s="63">
        <v>74</v>
      </c>
      <c r="D32" s="111" t="s">
        <v>1081</v>
      </c>
      <c r="E32" s="63">
        <v>118</v>
      </c>
      <c r="F32" s="111" t="s">
        <v>704</v>
      </c>
      <c r="G32" s="63">
        <v>162</v>
      </c>
      <c r="H32" s="111" t="s">
        <v>609</v>
      </c>
    </row>
    <row r="33" spans="1:8">
      <c r="A33" s="63">
        <v>31</v>
      </c>
      <c r="B33" s="111" t="s">
        <v>270</v>
      </c>
      <c r="C33" s="63">
        <v>75</v>
      </c>
      <c r="D33" s="111" t="s">
        <v>624</v>
      </c>
      <c r="E33" s="63">
        <v>119</v>
      </c>
      <c r="F33" s="111" t="s">
        <v>1523</v>
      </c>
      <c r="G33" s="63">
        <v>163</v>
      </c>
      <c r="H33" s="111" t="s">
        <v>1525</v>
      </c>
    </row>
    <row r="34" spans="1:8">
      <c r="A34" s="63">
        <v>32</v>
      </c>
      <c r="B34" s="111" t="s">
        <v>616</v>
      </c>
      <c r="C34" s="63">
        <v>76</v>
      </c>
      <c r="D34" s="111" t="s">
        <v>215</v>
      </c>
      <c r="E34" s="63">
        <v>120</v>
      </c>
      <c r="F34" s="111" t="s">
        <v>708</v>
      </c>
      <c r="G34" s="63">
        <v>164</v>
      </c>
      <c r="H34" s="111" t="s">
        <v>234</v>
      </c>
    </row>
    <row r="35" spans="1:8">
      <c r="A35" s="63">
        <v>33</v>
      </c>
      <c r="B35" s="111" t="s">
        <v>292</v>
      </c>
      <c r="C35" s="63">
        <v>77</v>
      </c>
      <c r="D35" s="111" t="s">
        <v>367</v>
      </c>
      <c r="E35" s="63">
        <v>121</v>
      </c>
      <c r="F35" s="111" t="s">
        <v>1524</v>
      </c>
      <c r="G35" s="63">
        <v>165</v>
      </c>
      <c r="H35" s="111" t="s">
        <v>584</v>
      </c>
    </row>
    <row r="36" spans="1:8">
      <c r="A36" s="63">
        <v>34</v>
      </c>
      <c r="B36" s="111" t="s">
        <v>674</v>
      </c>
      <c r="C36" s="63">
        <v>78</v>
      </c>
      <c r="D36" s="111" t="s">
        <v>355</v>
      </c>
      <c r="E36" s="63">
        <v>122</v>
      </c>
      <c r="F36" s="111" t="s">
        <v>706</v>
      </c>
      <c r="G36" s="63">
        <v>166</v>
      </c>
      <c r="H36" s="111" t="s">
        <v>213</v>
      </c>
    </row>
    <row r="37" spans="1:8">
      <c r="A37" s="63">
        <v>35</v>
      </c>
      <c r="B37" s="111" t="s">
        <v>156</v>
      </c>
      <c r="C37" s="63">
        <v>79</v>
      </c>
      <c r="D37" s="111" t="s">
        <v>294</v>
      </c>
      <c r="E37" s="63">
        <v>123</v>
      </c>
      <c r="F37" s="111" t="s">
        <v>556</v>
      </c>
      <c r="G37" s="63">
        <v>167</v>
      </c>
      <c r="H37" s="111" t="s">
        <v>1109</v>
      </c>
    </row>
    <row r="38" spans="1:8">
      <c r="A38" s="63">
        <v>36</v>
      </c>
      <c r="B38" s="111" t="s">
        <v>724</v>
      </c>
      <c r="C38" s="63">
        <v>80</v>
      </c>
      <c r="D38" s="111" t="s">
        <v>267</v>
      </c>
      <c r="E38" s="63">
        <v>124</v>
      </c>
      <c r="F38" s="111" t="s">
        <v>692</v>
      </c>
      <c r="G38" s="63">
        <v>168</v>
      </c>
      <c r="H38" s="111" t="s">
        <v>135</v>
      </c>
    </row>
    <row r="39" spans="1:8">
      <c r="A39" s="63">
        <v>37</v>
      </c>
      <c r="B39" s="111" t="s">
        <v>1513</v>
      </c>
      <c r="C39" s="63">
        <v>81</v>
      </c>
      <c r="D39" s="111" t="s">
        <v>494</v>
      </c>
      <c r="E39" s="63">
        <v>125</v>
      </c>
      <c r="F39" s="111" t="s">
        <v>457</v>
      </c>
      <c r="G39" s="63">
        <v>169</v>
      </c>
      <c r="H39" s="111" t="s">
        <v>1526</v>
      </c>
    </row>
    <row r="40" spans="1:8">
      <c r="A40" s="63">
        <v>38</v>
      </c>
      <c r="B40" s="111" t="s">
        <v>1514</v>
      </c>
      <c r="C40" s="63">
        <v>82</v>
      </c>
      <c r="D40" s="111" t="s">
        <v>193</v>
      </c>
      <c r="E40" s="63">
        <v>126</v>
      </c>
      <c r="F40" s="111" t="s">
        <v>632</v>
      </c>
      <c r="G40" s="63">
        <v>170</v>
      </c>
      <c r="H40" s="111" t="s">
        <v>1527</v>
      </c>
    </row>
    <row r="41" spans="1:8">
      <c r="A41" s="63">
        <v>39</v>
      </c>
      <c r="B41" s="111" t="s">
        <v>1515</v>
      </c>
      <c r="C41" s="63">
        <v>83</v>
      </c>
      <c r="D41" s="111" t="s">
        <v>313</v>
      </c>
      <c r="E41" s="63">
        <v>127</v>
      </c>
      <c r="F41" s="111" t="s">
        <v>197</v>
      </c>
      <c r="G41" s="63">
        <v>171</v>
      </c>
      <c r="H41" s="111" t="s">
        <v>672</v>
      </c>
    </row>
    <row r="42" spans="1:8">
      <c r="A42" s="63">
        <v>40</v>
      </c>
      <c r="B42" s="111" t="s">
        <v>354</v>
      </c>
      <c r="C42" s="63">
        <v>84</v>
      </c>
      <c r="D42" s="111" t="s">
        <v>288</v>
      </c>
      <c r="E42" s="63">
        <v>128</v>
      </c>
      <c r="F42" s="111" t="s">
        <v>528</v>
      </c>
      <c r="G42" s="63">
        <v>172</v>
      </c>
      <c r="H42" s="111" t="s">
        <v>148</v>
      </c>
    </row>
    <row r="43" spans="1:8">
      <c r="A43" s="63">
        <v>41</v>
      </c>
      <c r="B43" s="111" t="s">
        <v>1516</v>
      </c>
      <c r="C43" s="63">
        <v>85</v>
      </c>
      <c r="D43" s="111" t="s">
        <v>722</v>
      </c>
      <c r="E43" s="63">
        <v>129</v>
      </c>
      <c r="F43" s="111" t="s">
        <v>184</v>
      </c>
      <c r="G43" s="63">
        <v>173</v>
      </c>
      <c r="H43" s="111" t="s">
        <v>1528</v>
      </c>
    </row>
    <row r="44" spans="1:8">
      <c r="A44" s="63">
        <v>42</v>
      </c>
      <c r="B44" s="111" t="s">
        <v>641</v>
      </c>
      <c r="C44" s="63">
        <v>86</v>
      </c>
      <c r="D44" s="111" t="s">
        <v>589</v>
      </c>
      <c r="E44" s="63">
        <v>130</v>
      </c>
      <c r="F44" s="111" t="s">
        <v>506</v>
      </c>
      <c r="G44" s="63">
        <v>174</v>
      </c>
      <c r="H44" s="111" t="s">
        <v>695</v>
      </c>
    </row>
    <row r="45" spans="1:8">
      <c r="A45" s="63">
        <v>43</v>
      </c>
      <c r="B45" s="111" t="s">
        <v>647</v>
      </c>
      <c r="C45" s="63">
        <v>87</v>
      </c>
      <c r="D45" s="111" t="s">
        <v>410</v>
      </c>
      <c r="E45" s="63">
        <v>131</v>
      </c>
      <c r="F45" s="111" t="s">
        <v>715</v>
      </c>
      <c r="G45" s="63">
        <v>175</v>
      </c>
      <c r="H45" s="111" t="s">
        <v>151</v>
      </c>
    </row>
    <row r="46" spans="1:8">
      <c r="A46" s="63">
        <v>44</v>
      </c>
      <c r="B46" s="112" t="s">
        <v>1561</v>
      </c>
      <c r="C46" s="63">
        <v>88</v>
      </c>
      <c r="D46" s="111" t="s">
        <v>287</v>
      </c>
      <c r="E46" s="63">
        <v>132</v>
      </c>
      <c r="F46" s="111" t="s">
        <v>434</v>
      </c>
      <c r="G46" s="63">
        <v>176</v>
      </c>
      <c r="H46" s="111" t="s">
        <v>547</v>
      </c>
    </row>
    <row r="47" spans="1:8">
      <c r="B47" s="110"/>
      <c r="D47" s="109"/>
      <c r="F47" s="109"/>
      <c r="H47" s="109"/>
    </row>
    <row r="48" spans="1:8">
      <c r="A48" s="63" t="s">
        <v>16</v>
      </c>
      <c r="B48" s="63" t="s">
        <v>1547</v>
      </c>
      <c r="C48" s="63" t="s">
        <v>16</v>
      </c>
      <c r="D48" s="63" t="s">
        <v>1547</v>
      </c>
      <c r="E48" s="63" t="s">
        <v>16</v>
      </c>
      <c r="F48" s="63" t="s">
        <v>1547</v>
      </c>
      <c r="G48" s="63" t="s">
        <v>16</v>
      </c>
      <c r="H48" s="63" t="s">
        <v>1547</v>
      </c>
    </row>
    <row r="49" spans="1:8">
      <c r="A49" s="63">
        <v>177</v>
      </c>
      <c r="B49" s="111" t="s">
        <v>516</v>
      </c>
      <c r="C49" s="63">
        <v>223</v>
      </c>
      <c r="D49" s="111" t="s">
        <v>203</v>
      </c>
      <c r="E49" s="63">
        <v>269</v>
      </c>
      <c r="F49" s="111" t="s">
        <v>515</v>
      </c>
      <c r="G49" s="63">
        <v>315</v>
      </c>
      <c r="H49" s="111" t="s">
        <v>230</v>
      </c>
    </row>
    <row r="50" spans="1:8">
      <c r="A50" s="63">
        <v>178</v>
      </c>
      <c r="B50" s="111" t="s">
        <v>1529</v>
      </c>
      <c r="C50" s="63">
        <v>224</v>
      </c>
      <c r="D50" s="112" t="s">
        <v>1562</v>
      </c>
      <c r="E50" s="63">
        <v>270</v>
      </c>
      <c r="F50" s="111" t="s">
        <v>585</v>
      </c>
      <c r="G50" s="63">
        <v>316</v>
      </c>
      <c r="H50" s="111" t="s">
        <v>229</v>
      </c>
    </row>
    <row r="51" spans="1:8">
      <c r="A51" s="63">
        <v>179</v>
      </c>
      <c r="B51" s="111" t="s">
        <v>309</v>
      </c>
      <c r="C51" s="63">
        <v>225</v>
      </c>
      <c r="D51" s="111" t="s">
        <v>661</v>
      </c>
      <c r="E51" s="63">
        <v>271</v>
      </c>
      <c r="F51" s="111" t="s">
        <v>179</v>
      </c>
      <c r="G51" s="63">
        <v>317</v>
      </c>
      <c r="H51" s="111" t="s">
        <v>646</v>
      </c>
    </row>
    <row r="52" spans="1:8">
      <c r="A52" s="63">
        <v>180</v>
      </c>
      <c r="B52" s="111" t="s">
        <v>444</v>
      </c>
      <c r="C52" s="63">
        <v>226</v>
      </c>
      <c r="D52" s="111" t="s">
        <v>409</v>
      </c>
      <c r="E52" s="63">
        <v>272</v>
      </c>
      <c r="F52" s="111" t="s">
        <v>636</v>
      </c>
      <c r="G52" s="63">
        <v>318</v>
      </c>
      <c r="H52" s="111" t="s">
        <v>256</v>
      </c>
    </row>
    <row r="53" spans="1:8">
      <c r="A53" s="63">
        <v>181</v>
      </c>
      <c r="B53" s="111" t="s">
        <v>1112</v>
      </c>
      <c r="C53" s="63">
        <v>227</v>
      </c>
      <c r="D53" s="111" t="s">
        <v>192</v>
      </c>
      <c r="E53" s="63">
        <v>273</v>
      </c>
      <c r="F53" s="111" t="s">
        <v>642</v>
      </c>
      <c r="G53" s="63">
        <v>319</v>
      </c>
      <c r="H53" s="111" t="s">
        <v>1110</v>
      </c>
    </row>
    <row r="54" spans="1:8">
      <c r="A54" s="63">
        <v>182</v>
      </c>
      <c r="B54" s="111" t="s">
        <v>714</v>
      </c>
      <c r="C54" s="63">
        <v>228</v>
      </c>
      <c r="D54" s="111" t="s">
        <v>454</v>
      </c>
      <c r="E54" s="63">
        <v>274</v>
      </c>
      <c r="F54" s="111" t="s">
        <v>1538</v>
      </c>
      <c r="G54" s="63">
        <v>320</v>
      </c>
      <c r="H54" s="111" t="s">
        <v>212</v>
      </c>
    </row>
    <row r="55" spans="1:8">
      <c r="A55" s="63">
        <v>183</v>
      </c>
      <c r="B55" s="111" t="s">
        <v>282</v>
      </c>
      <c r="C55" s="63">
        <v>229</v>
      </c>
      <c r="D55" s="111" t="s">
        <v>169</v>
      </c>
      <c r="E55" s="63">
        <v>275</v>
      </c>
      <c r="F55" s="111" t="s">
        <v>300</v>
      </c>
      <c r="G55" s="63">
        <v>321</v>
      </c>
      <c r="H55" s="111" t="s">
        <v>628</v>
      </c>
    </row>
    <row r="56" spans="1:8">
      <c r="A56" s="63">
        <v>184</v>
      </c>
      <c r="B56" s="111" t="s">
        <v>666</v>
      </c>
      <c r="C56" s="63">
        <v>230</v>
      </c>
      <c r="D56" s="111" t="s">
        <v>176</v>
      </c>
      <c r="E56" s="63">
        <v>276</v>
      </c>
      <c r="F56" s="111" t="s">
        <v>418</v>
      </c>
      <c r="G56" s="63">
        <v>322</v>
      </c>
      <c r="H56" s="111" t="s">
        <v>650</v>
      </c>
    </row>
    <row r="57" spans="1:8">
      <c r="A57" s="63">
        <v>185</v>
      </c>
      <c r="B57" s="111" t="s">
        <v>261</v>
      </c>
      <c r="C57" s="63">
        <v>231</v>
      </c>
      <c r="D57" s="111" t="s">
        <v>623</v>
      </c>
      <c r="E57" s="63">
        <v>277</v>
      </c>
      <c r="F57" s="111" t="s">
        <v>560</v>
      </c>
      <c r="G57" s="63">
        <v>323</v>
      </c>
      <c r="H57" s="111" t="s">
        <v>562</v>
      </c>
    </row>
    <row r="58" spans="1:8">
      <c r="A58" s="63">
        <v>186</v>
      </c>
      <c r="B58" s="111" t="s">
        <v>295</v>
      </c>
      <c r="C58" s="63">
        <v>232</v>
      </c>
      <c r="D58" s="111" t="s">
        <v>237</v>
      </c>
      <c r="E58" s="63">
        <v>278</v>
      </c>
      <c r="F58" s="111" t="s">
        <v>596</v>
      </c>
      <c r="G58" s="63">
        <v>324</v>
      </c>
      <c r="H58" s="112" t="s">
        <v>1563</v>
      </c>
    </row>
    <row r="59" spans="1:8">
      <c r="A59" s="63">
        <v>187</v>
      </c>
      <c r="B59" s="111" t="s">
        <v>277</v>
      </c>
      <c r="C59" s="63">
        <v>233</v>
      </c>
      <c r="D59" s="111" t="s">
        <v>147</v>
      </c>
      <c r="E59" s="63">
        <v>279</v>
      </c>
      <c r="F59" s="111" t="s">
        <v>723</v>
      </c>
      <c r="G59" s="63">
        <v>325</v>
      </c>
      <c r="H59" s="111" t="s">
        <v>655</v>
      </c>
    </row>
    <row r="60" spans="1:8">
      <c r="A60" s="63">
        <v>188</v>
      </c>
      <c r="B60" s="111" t="s">
        <v>685</v>
      </c>
      <c r="C60" s="63">
        <v>234</v>
      </c>
      <c r="D60" s="111" t="s">
        <v>472</v>
      </c>
      <c r="E60" s="63">
        <v>280</v>
      </c>
      <c r="F60" s="111" t="s">
        <v>691</v>
      </c>
      <c r="G60" s="63">
        <v>326</v>
      </c>
      <c r="H60" s="111" t="s">
        <v>461</v>
      </c>
    </row>
    <row r="61" spans="1:8">
      <c r="A61" s="63">
        <v>189</v>
      </c>
      <c r="B61" s="111" t="s">
        <v>698</v>
      </c>
      <c r="C61" s="63">
        <v>235</v>
      </c>
      <c r="D61" s="111" t="s">
        <v>210</v>
      </c>
      <c r="E61" s="63">
        <v>281</v>
      </c>
      <c r="F61" s="111" t="s">
        <v>290</v>
      </c>
      <c r="G61" s="63">
        <v>327</v>
      </c>
      <c r="H61" s="111" t="s">
        <v>439</v>
      </c>
    </row>
    <row r="62" spans="1:8">
      <c r="A62" s="63">
        <v>190</v>
      </c>
      <c r="B62" s="111" t="s">
        <v>316</v>
      </c>
      <c r="C62" s="63">
        <v>236</v>
      </c>
      <c r="D62" s="111" t="s">
        <v>122</v>
      </c>
      <c r="E62" s="63">
        <v>282</v>
      </c>
      <c r="F62" s="111" t="s">
        <v>504</v>
      </c>
      <c r="G62" s="63">
        <v>328</v>
      </c>
      <c r="H62" s="111" t="s">
        <v>635</v>
      </c>
    </row>
    <row r="63" spans="1:8">
      <c r="A63" s="63">
        <v>191</v>
      </c>
      <c r="B63" s="111" t="s">
        <v>565</v>
      </c>
      <c r="C63" s="63">
        <v>237</v>
      </c>
      <c r="D63" s="111" t="s">
        <v>306</v>
      </c>
      <c r="E63" s="63">
        <v>283</v>
      </c>
      <c r="F63" s="111" t="s">
        <v>133</v>
      </c>
      <c r="G63" s="63">
        <v>329</v>
      </c>
      <c r="H63" s="111" t="s">
        <v>233</v>
      </c>
    </row>
    <row r="64" spans="1:8">
      <c r="A64" s="63">
        <v>192</v>
      </c>
      <c r="B64" s="111" t="s">
        <v>1530</v>
      </c>
      <c r="C64" s="63">
        <v>238</v>
      </c>
      <c r="D64" s="111" t="s">
        <v>718</v>
      </c>
      <c r="E64" s="63">
        <v>284</v>
      </c>
      <c r="F64" s="111" t="s">
        <v>1097</v>
      </c>
      <c r="G64" s="63">
        <v>330</v>
      </c>
      <c r="H64" s="111" t="s">
        <v>437</v>
      </c>
    </row>
    <row r="65" spans="1:8">
      <c r="A65" s="63">
        <v>193</v>
      </c>
      <c r="B65" s="111" t="s">
        <v>618</v>
      </c>
      <c r="C65" s="63">
        <v>239</v>
      </c>
      <c r="D65" s="111" t="s">
        <v>1532</v>
      </c>
      <c r="E65" s="63">
        <v>285</v>
      </c>
      <c r="F65" s="111" t="s">
        <v>710</v>
      </c>
      <c r="G65" s="63">
        <v>331</v>
      </c>
      <c r="H65" s="111" t="s">
        <v>1101</v>
      </c>
    </row>
    <row r="66" spans="1:8">
      <c r="A66" s="63">
        <v>194</v>
      </c>
      <c r="B66" s="111" t="s">
        <v>670</v>
      </c>
      <c r="C66" s="63">
        <v>240</v>
      </c>
      <c r="D66" s="111" t="s">
        <v>315</v>
      </c>
      <c r="E66" s="63">
        <v>286</v>
      </c>
      <c r="F66" s="111" t="s">
        <v>622</v>
      </c>
      <c r="G66" s="63">
        <v>332</v>
      </c>
      <c r="H66" s="111" t="s">
        <v>603</v>
      </c>
    </row>
    <row r="67" spans="1:8">
      <c r="A67" s="63">
        <v>195</v>
      </c>
      <c r="B67" s="111" t="s">
        <v>123</v>
      </c>
      <c r="C67" s="63">
        <v>241</v>
      </c>
      <c r="D67" s="111" t="s">
        <v>1533</v>
      </c>
      <c r="E67" s="63">
        <v>287</v>
      </c>
      <c r="F67" s="111" t="s">
        <v>183</v>
      </c>
      <c r="G67" s="63">
        <v>333</v>
      </c>
      <c r="H67" s="111" t="s">
        <v>304</v>
      </c>
    </row>
    <row r="68" spans="1:8">
      <c r="A68" s="63">
        <v>196</v>
      </c>
      <c r="B68" s="111" t="s">
        <v>435</v>
      </c>
      <c r="C68" s="63">
        <v>242</v>
      </c>
      <c r="D68" s="111" t="s">
        <v>700</v>
      </c>
      <c r="E68" s="63">
        <v>288</v>
      </c>
      <c r="F68" s="111" t="s">
        <v>167</v>
      </c>
      <c r="G68" s="63">
        <v>334</v>
      </c>
      <c r="H68" s="111" t="s">
        <v>667</v>
      </c>
    </row>
    <row r="69" spans="1:8">
      <c r="A69" s="63">
        <v>197</v>
      </c>
      <c r="B69" s="111" t="s">
        <v>471</v>
      </c>
      <c r="C69" s="63">
        <v>243</v>
      </c>
      <c r="D69" s="111" t="s">
        <v>587</v>
      </c>
      <c r="E69" s="63">
        <v>289</v>
      </c>
      <c r="F69" s="111" t="s">
        <v>665</v>
      </c>
      <c r="G69" s="63">
        <v>335</v>
      </c>
      <c r="H69" s="111" t="s">
        <v>412</v>
      </c>
    </row>
    <row r="70" spans="1:8">
      <c r="A70" s="63">
        <v>198</v>
      </c>
      <c r="B70" s="111" t="s">
        <v>311</v>
      </c>
      <c r="C70" s="63">
        <v>244</v>
      </c>
      <c r="D70" s="111" t="s">
        <v>226</v>
      </c>
      <c r="E70" s="63">
        <v>290</v>
      </c>
      <c r="F70" s="111" t="s">
        <v>281</v>
      </c>
      <c r="G70" s="63">
        <v>336</v>
      </c>
      <c r="H70" s="111" t="s">
        <v>157</v>
      </c>
    </row>
    <row r="71" spans="1:8">
      <c r="A71" s="63">
        <v>199</v>
      </c>
      <c r="B71" s="111" t="s">
        <v>254</v>
      </c>
      <c r="C71" s="63">
        <v>245</v>
      </c>
      <c r="D71" s="111" t="s">
        <v>365</v>
      </c>
      <c r="E71" s="63">
        <v>291</v>
      </c>
      <c r="F71" s="111" t="s">
        <v>702</v>
      </c>
      <c r="G71" s="63">
        <v>337</v>
      </c>
      <c r="H71" s="111" t="s">
        <v>299</v>
      </c>
    </row>
    <row r="72" spans="1:8">
      <c r="A72" s="63">
        <v>200</v>
      </c>
      <c r="B72" s="111" t="s">
        <v>3997</v>
      </c>
      <c r="C72" s="63">
        <v>246</v>
      </c>
      <c r="D72" s="111" t="s">
        <v>1534</v>
      </c>
      <c r="E72" s="63">
        <v>292</v>
      </c>
      <c r="F72" s="111" t="s">
        <v>1111</v>
      </c>
      <c r="G72" s="63">
        <v>338</v>
      </c>
      <c r="H72" s="111" t="s">
        <v>180</v>
      </c>
    </row>
    <row r="73" spans="1:8">
      <c r="A73" s="63">
        <v>201</v>
      </c>
      <c r="B73" s="111" t="s">
        <v>443</v>
      </c>
      <c r="C73" s="63">
        <v>247</v>
      </c>
      <c r="D73" s="111" t="s">
        <v>219</v>
      </c>
      <c r="E73" s="63">
        <v>293</v>
      </c>
      <c r="F73" s="111" t="s">
        <v>675</v>
      </c>
      <c r="G73" s="63">
        <v>339</v>
      </c>
      <c r="H73" s="111" t="s">
        <v>128</v>
      </c>
    </row>
    <row r="74" spans="1:8">
      <c r="A74" s="63">
        <v>202</v>
      </c>
      <c r="B74" s="111" t="s">
        <v>445</v>
      </c>
      <c r="C74" s="63">
        <v>248</v>
      </c>
      <c r="D74" s="111" t="s">
        <v>582</v>
      </c>
      <c r="E74" s="63">
        <v>294</v>
      </c>
      <c r="F74" s="111" t="s">
        <v>168</v>
      </c>
      <c r="G74" s="63">
        <v>340</v>
      </c>
      <c r="H74" s="111" t="s">
        <v>429</v>
      </c>
    </row>
    <row r="75" spans="1:8">
      <c r="A75" s="63">
        <v>203</v>
      </c>
      <c r="B75" s="111" t="s">
        <v>575</v>
      </c>
      <c r="C75" s="63">
        <v>249</v>
      </c>
      <c r="D75" s="111" t="s">
        <v>517</v>
      </c>
      <c r="E75" s="63">
        <v>295</v>
      </c>
      <c r="F75" s="111" t="s">
        <v>626</v>
      </c>
      <c r="G75" s="63">
        <v>341</v>
      </c>
      <c r="H75" s="111" t="s">
        <v>334</v>
      </c>
    </row>
    <row r="76" spans="1:8">
      <c r="A76" s="63">
        <v>204</v>
      </c>
      <c r="B76" s="111" t="s">
        <v>174</v>
      </c>
      <c r="C76" s="63">
        <v>250</v>
      </c>
      <c r="D76" s="111" t="s">
        <v>629</v>
      </c>
      <c r="E76" s="63">
        <v>296</v>
      </c>
      <c r="F76" s="111" t="s">
        <v>694</v>
      </c>
      <c r="G76" s="63">
        <v>342</v>
      </c>
      <c r="H76" s="111" t="s">
        <v>601</v>
      </c>
    </row>
    <row r="77" spans="1:8">
      <c r="A77" s="63">
        <v>205</v>
      </c>
      <c r="B77" s="111" t="s">
        <v>569</v>
      </c>
      <c r="C77" s="63">
        <v>251</v>
      </c>
      <c r="D77" s="111" t="s">
        <v>578</v>
      </c>
      <c r="E77" s="63">
        <v>297</v>
      </c>
      <c r="F77" s="111" t="s">
        <v>602</v>
      </c>
      <c r="G77" s="63">
        <v>343</v>
      </c>
      <c r="H77" s="111" t="s">
        <v>131</v>
      </c>
    </row>
    <row r="78" spans="1:8">
      <c r="A78" s="63">
        <v>206</v>
      </c>
      <c r="B78" s="111" t="s">
        <v>713</v>
      </c>
      <c r="C78" s="63">
        <v>252</v>
      </c>
      <c r="D78" s="111" t="s">
        <v>224</v>
      </c>
      <c r="E78" s="63">
        <v>298</v>
      </c>
      <c r="F78" s="111" t="s">
        <v>548</v>
      </c>
      <c r="G78" s="63">
        <v>344</v>
      </c>
      <c r="H78" s="111" t="s">
        <v>318</v>
      </c>
    </row>
    <row r="79" spans="1:8">
      <c r="A79" s="63">
        <v>207</v>
      </c>
      <c r="B79" s="111" t="s">
        <v>312</v>
      </c>
      <c r="C79" s="63">
        <v>253</v>
      </c>
      <c r="D79" s="111" t="s">
        <v>222</v>
      </c>
      <c r="E79" s="63">
        <v>299</v>
      </c>
      <c r="F79" s="111" t="s">
        <v>549</v>
      </c>
      <c r="G79" s="63">
        <v>345</v>
      </c>
      <c r="H79" s="111" t="s">
        <v>631</v>
      </c>
    </row>
    <row r="80" spans="1:8">
      <c r="A80" s="63">
        <v>208</v>
      </c>
      <c r="B80" s="111" t="s">
        <v>644</v>
      </c>
      <c r="C80" s="63">
        <v>254</v>
      </c>
      <c r="D80" s="111" t="s">
        <v>720</v>
      </c>
      <c r="E80" s="63">
        <v>300</v>
      </c>
      <c r="F80" s="111" t="s">
        <v>1539</v>
      </c>
      <c r="G80" s="63">
        <v>346</v>
      </c>
      <c r="H80" s="111" t="s">
        <v>1549</v>
      </c>
    </row>
    <row r="81" spans="1:8">
      <c r="A81" s="63">
        <v>209</v>
      </c>
      <c r="B81" s="111" t="s">
        <v>196</v>
      </c>
      <c r="C81" s="63">
        <v>255</v>
      </c>
      <c r="D81" s="111" t="s">
        <v>507</v>
      </c>
      <c r="E81" s="63">
        <v>301</v>
      </c>
      <c r="F81" s="111" t="s">
        <v>679</v>
      </c>
      <c r="G81" s="63">
        <v>347</v>
      </c>
      <c r="H81" s="111" t="s">
        <v>1550</v>
      </c>
    </row>
    <row r="82" spans="1:8">
      <c r="A82" s="63">
        <v>210</v>
      </c>
      <c r="B82" s="111" t="s">
        <v>375</v>
      </c>
      <c r="C82" s="63">
        <v>256</v>
      </c>
      <c r="D82" s="111" t="s">
        <v>301</v>
      </c>
      <c r="E82" s="63">
        <v>302</v>
      </c>
      <c r="F82" s="111" t="s">
        <v>612</v>
      </c>
      <c r="G82" s="63">
        <v>348</v>
      </c>
      <c r="H82" s="111" t="s">
        <v>1551</v>
      </c>
    </row>
    <row r="83" spans="1:8">
      <c r="A83" s="63">
        <v>211</v>
      </c>
      <c r="B83" s="111" t="s">
        <v>553</v>
      </c>
      <c r="C83" s="63">
        <v>257</v>
      </c>
      <c r="D83" s="111" t="s">
        <v>719</v>
      </c>
      <c r="E83" s="63">
        <v>303</v>
      </c>
      <c r="F83" s="111" t="s">
        <v>654</v>
      </c>
      <c r="G83" s="63">
        <v>349</v>
      </c>
      <c r="H83" s="111" t="s">
        <v>1566</v>
      </c>
    </row>
    <row r="84" spans="1:8">
      <c r="A84" s="63">
        <v>212</v>
      </c>
      <c r="B84" s="111" t="s">
        <v>200</v>
      </c>
      <c r="C84" s="63">
        <v>258</v>
      </c>
      <c r="D84" s="111" t="s">
        <v>130</v>
      </c>
      <c r="E84" s="63">
        <v>304</v>
      </c>
      <c r="F84" s="111" t="s">
        <v>1540</v>
      </c>
      <c r="G84" s="63">
        <v>350</v>
      </c>
      <c r="H84" s="111" t="s">
        <v>1552</v>
      </c>
    </row>
    <row r="85" spans="1:8">
      <c r="A85" s="63">
        <v>213</v>
      </c>
      <c r="B85" s="111" t="s">
        <v>586</v>
      </c>
      <c r="C85" s="63">
        <v>259</v>
      </c>
      <c r="D85" s="111" t="s">
        <v>1535</v>
      </c>
      <c r="E85" s="63">
        <v>305</v>
      </c>
      <c r="F85" s="111" t="s">
        <v>1541</v>
      </c>
      <c r="G85" s="63">
        <v>351</v>
      </c>
      <c r="H85" s="111" t="s">
        <v>1553</v>
      </c>
    </row>
    <row r="86" spans="1:8">
      <c r="A86" s="63">
        <v>214</v>
      </c>
      <c r="B86" s="111" t="s">
        <v>651</v>
      </c>
      <c r="C86" s="63">
        <v>260</v>
      </c>
      <c r="D86" s="111" t="s">
        <v>1114</v>
      </c>
      <c r="E86" s="63">
        <v>306</v>
      </c>
      <c r="F86" s="111" t="s">
        <v>1542</v>
      </c>
      <c r="G86" s="63">
        <v>352</v>
      </c>
      <c r="H86" s="111" t="s">
        <v>1554</v>
      </c>
    </row>
    <row r="87" spans="1:8">
      <c r="A87" s="63">
        <v>215</v>
      </c>
      <c r="B87" s="111" t="s">
        <v>1531</v>
      </c>
      <c r="C87" s="63">
        <v>261</v>
      </c>
      <c r="D87" s="111" t="s">
        <v>1536</v>
      </c>
      <c r="E87" s="63">
        <v>307</v>
      </c>
      <c r="F87" s="111" t="s">
        <v>573</v>
      </c>
      <c r="G87" s="63">
        <v>353</v>
      </c>
      <c r="H87" s="111" t="s">
        <v>1555</v>
      </c>
    </row>
    <row r="88" spans="1:8">
      <c r="A88" s="63">
        <v>216</v>
      </c>
      <c r="B88" s="111" t="s">
        <v>643</v>
      </c>
      <c r="C88" s="63">
        <v>262</v>
      </c>
      <c r="D88" s="111" t="s">
        <v>581</v>
      </c>
      <c r="E88" s="63">
        <v>308</v>
      </c>
      <c r="F88" s="111" t="s">
        <v>721</v>
      </c>
      <c r="G88" s="63">
        <v>354</v>
      </c>
      <c r="H88" s="111" t="s">
        <v>1556</v>
      </c>
    </row>
    <row r="89" spans="1:8">
      <c r="A89" s="63">
        <v>217</v>
      </c>
      <c r="B89" s="111" t="s">
        <v>593</v>
      </c>
      <c r="C89" s="63">
        <v>263</v>
      </c>
      <c r="D89" s="111" t="s">
        <v>696</v>
      </c>
      <c r="E89" s="63">
        <v>309</v>
      </c>
      <c r="F89" s="111" t="s">
        <v>1543</v>
      </c>
      <c r="G89" s="63">
        <v>355</v>
      </c>
      <c r="H89" s="111" t="s">
        <v>1557</v>
      </c>
    </row>
    <row r="90" spans="1:8">
      <c r="A90" s="63">
        <v>218</v>
      </c>
      <c r="B90" s="111" t="s">
        <v>389</v>
      </c>
      <c r="C90" s="63">
        <v>264</v>
      </c>
      <c r="D90" s="111" t="s">
        <v>659</v>
      </c>
      <c r="E90" s="63">
        <v>310</v>
      </c>
      <c r="F90" s="111" t="s">
        <v>374</v>
      </c>
      <c r="G90" s="63">
        <v>356</v>
      </c>
      <c r="H90" s="111" t="s">
        <v>1558</v>
      </c>
    </row>
    <row r="91" spans="1:8">
      <c r="A91" s="63">
        <v>219</v>
      </c>
      <c r="B91" s="111" t="s">
        <v>150</v>
      </c>
      <c r="C91" s="63">
        <v>265</v>
      </c>
      <c r="D91" s="111" t="s">
        <v>637</v>
      </c>
      <c r="E91" s="63">
        <v>311</v>
      </c>
      <c r="F91" s="111" t="s">
        <v>1544</v>
      </c>
      <c r="G91" s="63">
        <v>357</v>
      </c>
      <c r="H91" s="111" t="s">
        <v>1123</v>
      </c>
    </row>
    <row r="92" spans="1:8">
      <c r="A92" s="63">
        <v>220</v>
      </c>
      <c r="B92" s="111" t="s">
        <v>543</v>
      </c>
      <c r="C92" s="63">
        <v>266</v>
      </c>
      <c r="D92" s="111" t="s">
        <v>3998</v>
      </c>
      <c r="E92" s="63">
        <v>312</v>
      </c>
      <c r="F92" s="111" t="s">
        <v>497</v>
      </c>
      <c r="G92" s="63">
        <v>358</v>
      </c>
      <c r="H92" s="111" t="s">
        <v>1559</v>
      </c>
    </row>
    <row r="93" spans="1:8">
      <c r="A93" s="63">
        <v>221</v>
      </c>
      <c r="B93" s="111" t="s">
        <v>484</v>
      </c>
      <c r="C93" s="63">
        <v>267</v>
      </c>
      <c r="D93" s="111" t="s">
        <v>1537</v>
      </c>
      <c r="E93" s="63">
        <v>313</v>
      </c>
      <c r="F93" s="111" t="s">
        <v>1545</v>
      </c>
      <c r="G93" s="251"/>
      <c r="H93" s="252"/>
    </row>
    <row r="94" spans="1:8">
      <c r="A94" s="63">
        <v>222</v>
      </c>
      <c r="B94" s="111" t="s">
        <v>604</v>
      </c>
      <c r="C94" s="63">
        <v>268</v>
      </c>
      <c r="D94" s="111" t="s">
        <v>246</v>
      </c>
      <c r="E94" s="63">
        <v>314</v>
      </c>
      <c r="F94" s="111" t="s">
        <v>228</v>
      </c>
      <c r="G94" s="251"/>
      <c r="H94" s="112"/>
    </row>
  </sheetData>
  <phoneticPr fontId="1" type="noConversion"/>
  <printOptions horizontalCentered="1"/>
  <pageMargins left="0.70866141732283472" right="0.70866141732283472" top="0.74803149606299213" bottom="0.62992125984251968" header="0.31496062992125984" footer="0.31496062992125984"/>
  <pageSetup paperSize="9" orientation="portrait" r:id="rId1"/>
  <headerFooter>
    <oddFooter>&amp;C&amp;P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47"/>
  <sheetViews>
    <sheetView topLeftCell="A160" zoomScale="90" zoomScaleNormal="90" workbookViewId="0">
      <selection activeCell="D149" sqref="D149"/>
    </sheetView>
  </sheetViews>
  <sheetFormatPr defaultColWidth="8.90625" defaultRowHeight="17"/>
  <cols>
    <col min="1" max="1" width="8.90625" style="106"/>
    <col min="2" max="2" width="74" style="106" customWidth="1"/>
    <col min="3" max="16384" width="8.90625" style="106"/>
  </cols>
  <sheetData>
    <row r="1" spans="1:2" ht="18" customHeight="1">
      <c r="A1" s="106" t="s">
        <v>3085</v>
      </c>
    </row>
    <row r="2" spans="1:2">
      <c r="A2" s="107" t="s">
        <v>1249</v>
      </c>
      <c r="B2" s="107" t="s">
        <v>1250</v>
      </c>
    </row>
    <row r="3" spans="1:2">
      <c r="A3" s="107" t="s">
        <v>1251</v>
      </c>
      <c r="B3" s="108" t="s">
        <v>1252</v>
      </c>
    </row>
    <row r="4" spans="1:2">
      <c r="A4" s="107" t="s">
        <v>1253</v>
      </c>
      <c r="B4" s="108" t="s">
        <v>1254</v>
      </c>
    </row>
    <row r="5" spans="1:2">
      <c r="A5" s="107" t="s">
        <v>1255</v>
      </c>
      <c r="B5" s="108" t="s">
        <v>1256</v>
      </c>
    </row>
    <row r="6" spans="1:2">
      <c r="A6" s="107" t="s">
        <v>1257</v>
      </c>
      <c r="B6" s="108" t="s">
        <v>1258</v>
      </c>
    </row>
    <row r="7" spans="1:2">
      <c r="A7" s="107" t="s">
        <v>1259</v>
      </c>
      <c r="B7" s="108" t="s">
        <v>1260</v>
      </c>
    </row>
    <row r="8" spans="1:2">
      <c r="A8" s="107" t="s">
        <v>1261</v>
      </c>
      <c r="B8" s="108" t="s">
        <v>1262</v>
      </c>
    </row>
    <row r="9" spans="1:2">
      <c r="A9" s="107" t="s">
        <v>1263</v>
      </c>
      <c r="B9" s="108" t="s">
        <v>1264</v>
      </c>
    </row>
    <row r="10" spans="1:2">
      <c r="A10" s="107" t="s">
        <v>1265</v>
      </c>
      <c r="B10" s="108" t="s">
        <v>1266</v>
      </c>
    </row>
    <row r="11" spans="1:2">
      <c r="A11" s="107" t="s">
        <v>1267</v>
      </c>
      <c r="B11" s="108" t="s">
        <v>1268</v>
      </c>
    </row>
    <row r="12" spans="1:2">
      <c r="A12" s="107" t="s">
        <v>1269</v>
      </c>
      <c r="B12" s="108" t="s">
        <v>1270</v>
      </c>
    </row>
    <row r="13" spans="1:2">
      <c r="A13" s="107" t="s">
        <v>1271</v>
      </c>
      <c r="B13" s="108" t="s">
        <v>1272</v>
      </c>
    </row>
    <row r="14" spans="1:2">
      <c r="A14" s="107" t="s">
        <v>1273</v>
      </c>
      <c r="B14" s="108" t="s">
        <v>1274</v>
      </c>
    </row>
    <row r="15" spans="1:2">
      <c r="A15" s="107" t="s">
        <v>1275</v>
      </c>
      <c r="B15" s="108" t="s">
        <v>1276</v>
      </c>
    </row>
    <row r="16" spans="1:2">
      <c r="A16" s="107" t="s">
        <v>1277</v>
      </c>
      <c r="B16" s="108" t="s">
        <v>1278</v>
      </c>
    </row>
    <row r="17" spans="1:2">
      <c r="A17" s="107" t="s">
        <v>1279</v>
      </c>
      <c r="B17" s="108" t="s">
        <v>1280</v>
      </c>
    </row>
    <row r="18" spans="1:2">
      <c r="A18" s="107" t="s">
        <v>1281</v>
      </c>
      <c r="B18" s="108" t="s">
        <v>1282</v>
      </c>
    </row>
    <row r="19" spans="1:2">
      <c r="A19" s="107" t="s">
        <v>1283</v>
      </c>
      <c r="B19" s="108" t="s">
        <v>1284</v>
      </c>
    </row>
    <row r="20" spans="1:2">
      <c r="A20" s="107" t="s">
        <v>1285</v>
      </c>
      <c r="B20" s="108" t="s">
        <v>1286</v>
      </c>
    </row>
    <row r="21" spans="1:2">
      <c r="A21" s="107" t="s">
        <v>1287</v>
      </c>
      <c r="B21" s="108" t="s">
        <v>1288</v>
      </c>
    </row>
    <row r="22" spans="1:2">
      <c r="A22" s="107" t="s">
        <v>1289</v>
      </c>
      <c r="B22" s="108" t="s">
        <v>1290</v>
      </c>
    </row>
    <row r="23" spans="1:2">
      <c r="A23" s="107" t="s">
        <v>1291</v>
      </c>
      <c r="B23" s="108" t="s">
        <v>1292</v>
      </c>
    </row>
    <row r="24" spans="1:2">
      <c r="A24" s="107" t="s">
        <v>1293</v>
      </c>
      <c r="B24" s="108" t="s">
        <v>1294</v>
      </c>
    </row>
    <row r="25" spans="1:2">
      <c r="A25" s="107" t="s">
        <v>1295</v>
      </c>
      <c r="B25" s="108" t="s">
        <v>1296</v>
      </c>
    </row>
    <row r="26" spans="1:2">
      <c r="A26" s="107" t="s">
        <v>1297</v>
      </c>
      <c r="B26" s="108" t="s">
        <v>1298</v>
      </c>
    </row>
    <row r="27" spans="1:2">
      <c r="A27" s="107" t="s">
        <v>1299</v>
      </c>
      <c r="B27" s="108" t="s">
        <v>1300</v>
      </c>
    </row>
    <row r="28" spans="1:2">
      <c r="A28" s="107" t="s">
        <v>1301</v>
      </c>
      <c r="B28" s="108" t="s">
        <v>1302</v>
      </c>
    </row>
    <row r="29" spans="1:2">
      <c r="A29" s="107" t="s">
        <v>1303</v>
      </c>
      <c r="B29" s="108" t="s">
        <v>1304</v>
      </c>
    </row>
    <row r="30" spans="1:2">
      <c r="A30" s="107" t="s">
        <v>1305</v>
      </c>
      <c r="B30" s="108" t="s">
        <v>1306</v>
      </c>
    </row>
    <row r="31" spans="1:2">
      <c r="A31" s="107" t="s">
        <v>1307</v>
      </c>
      <c r="B31" s="108" t="s">
        <v>1308</v>
      </c>
    </row>
    <row r="32" spans="1:2">
      <c r="A32" s="107" t="s">
        <v>1309</v>
      </c>
      <c r="B32" s="108" t="s">
        <v>1310</v>
      </c>
    </row>
    <row r="33" spans="1:2">
      <c r="A33" s="107" t="s">
        <v>1311</v>
      </c>
      <c r="B33" s="108" t="s">
        <v>1312</v>
      </c>
    </row>
    <row r="34" spans="1:2">
      <c r="A34" s="107" t="s">
        <v>1313</v>
      </c>
      <c r="B34" s="108" t="s">
        <v>1314</v>
      </c>
    </row>
    <row r="35" spans="1:2">
      <c r="A35" s="107" t="s">
        <v>1315</v>
      </c>
      <c r="B35" s="108" t="s">
        <v>1316</v>
      </c>
    </row>
    <row r="36" spans="1:2">
      <c r="A36" s="107" t="s">
        <v>1317</v>
      </c>
      <c r="B36" s="108" t="s">
        <v>1318</v>
      </c>
    </row>
    <row r="37" spans="1:2">
      <c r="A37" s="107" t="s">
        <v>1319</v>
      </c>
      <c r="B37" s="108" t="s">
        <v>1320</v>
      </c>
    </row>
    <row r="38" spans="1:2">
      <c r="A38" s="107" t="s">
        <v>1321</v>
      </c>
      <c r="B38" s="108" t="s">
        <v>1322</v>
      </c>
    </row>
    <row r="39" spans="1:2">
      <c r="A39" s="107" t="s">
        <v>1323</v>
      </c>
      <c r="B39" s="108" t="s">
        <v>1324</v>
      </c>
    </row>
    <row r="40" spans="1:2">
      <c r="A40" s="107" t="s">
        <v>1325</v>
      </c>
      <c r="B40" s="108" t="s">
        <v>1326</v>
      </c>
    </row>
    <row r="41" spans="1:2">
      <c r="A41" s="107" t="s">
        <v>1327</v>
      </c>
      <c r="B41" s="108" t="s">
        <v>1328</v>
      </c>
    </row>
    <row r="42" spans="1:2">
      <c r="A42" s="107" t="s">
        <v>1329</v>
      </c>
      <c r="B42" s="108" t="s">
        <v>1330</v>
      </c>
    </row>
    <row r="43" spans="1:2">
      <c r="A43" s="107" t="s">
        <v>1331</v>
      </c>
      <c r="B43" s="108" t="s">
        <v>1332</v>
      </c>
    </row>
    <row r="44" spans="1:2">
      <c r="A44" s="107" t="s">
        <v>1333</v>
      </c>
      <c r="B44" s="108" t="s">
        <v>1334</v>
      </c>
    </row>
    <row r="45" spans="1:2">
      <c r="A45" s="107" t="s">
        <v>1335</v>
      </c>
      <c r="B45" s="108" t="s">
        <v>1336</v>
      </c>
    </row>
    <row r="46" spans="1:2">
      <c r="A46" s="107" t="s">
        <v>1337</v>
      </c>
      <c r="B46" s="108" t="s">
        <v>1338</v>
      </c>
    </row>
    <row r="47" spans="1:2">
      <c r="A47" s="107" t="s">
        <v>1339</v>
      </c>
      <c r="B47" s="108" t="s">
        <v>1340</v>
      </c>
    </row>
    <row r="48" spans="1:2">
      <c r="A48" s="107" t="s">
        <v>1341</v>
      </c>
      <c r="B48" s="108" t="s">
        <v>1342</v>
      </c>
    </row>
    <row r="49" spans="1:2">
      <c r="A49" s="107" t="s">
        <v>1343</v>
      </c>
      <c r="B49" s="108" t="s">
        <v>1344</v>
      </c>
    </row>
    <row r="50" spans="1:2">
      <c r="A50" s="107" t="s">
        <v>1345</v>
      </c>
      <c r="B50" s="108" t="s">
        <v>1346</v>
      </c>
    </row>
    <row r="51" spans="1:2">
      <c r="A51" s="107" t="s">
        <v>1347</v>
      </c>
      <c r="B51" s="108" t="s">
        <v>1348</v>
      </c>
    </row>
    <row r="52" spans="1:2">
      <c r="A52" s="107" t="s">
        <v>1349</v>
      </c>
      <c r="B52" s="108" t="s">
        <v>1350</v>
      </c>
    </row>
    <row r="53" spans="1:2">
      <c r="A53" s="107" t="s">
        <v>1351</v>
      </c>
      <c r="B53" s="108" t="s">
        <v>1352</v>
      </c>
    </row>
    <row r="54" spans="1:2">
      <c r="A54" s="107" t="s">
        <v>1353</v>
      </c>
      <c r="B54" s="108" t="s">
        <v>1354</v>
      </c>
    </row>
    <row r="55" spans="1:2">
      <c r="A55" s="107" t="s">
        <v>1355</v>
      </c>
      <c r="B55" s="108" t="s">
        <v>1356</v>
      </c>
    </row>
    <row r="56" spans="1:2">
      <c r="A56" s="107" t="s">
        <v>1357</v>
      </c>
      <c r="B56" s="108" t="s">
        <v>1358</v>
      </c>
    </row>
    <row r="57" spans="1:2">
      <c r="A57" s="107" t="s">
        <v>1359</v>
      </c>
      <c r="B57" s="108" t="s">
        <v>1360</v>
      </c>
    </row>
    <row r="58" spans="1:2">
      <c r="A58" s="107" t="s">
        <v>1361</v>
      </c>
      <c r="B58" s="108" t="s">
        <v>1362</v>
      </c>
    </row>
    <row r="59" spans="1:2">
      <c r="A59" s="107" t="s">
        <v>1363</v>
      </c>
      <c r="B59" s="108" t="s">
        <v>1364</v>
      </c>
    </row>
    <row r="60" spans="1:2">
      <c r="A60" s="107" t="s">
        <v>1365</v>
      </c>
      <c r="B60" s="108" t="s">
        <v>1366</v>
      </c>
    </row>
    <row r="61" spans="1:2">
      <c r="A61" s="107" t="s">
        <v>1367</v>
      </c>
      <c r="B61" s="108" t="s">
        <v>1368</v>
      </c>
    </row>
    <row r="62" spans="1:2">
      <c r="A62" s="107" t="s">
        <v>1369</v>
      </c>
      <c r="B62" s="108" t="s">
        <v>1370</v>
      </c>
    </row>
    <row r="63" spans="1:2">
      <c r="A63" s="107" t="s">
        <v>1371</v>
      </c>
      <c r="B63" s="108" t="s">
        <v>1372</v>
      </c>
    </row>
    <row r="64" spans="1:2">
      <c r="A64" s="107" t="s">
        <v>1373</v>
      </c>
      <c r="B64" s="108" t="s">
        <v>1374</v>
      </c>
    </row>
    <row r="65" spans="1:2">
      <c r="A65" s="107" t="s">
        <v>1375</v>
      </c>
      <c r="B65" s="108" t="s">
        <v>1376</v>
      </c>
    </row>
    <row r="66" spans="1:2">
      <c r="A66" s="107" t="s">
        <v>1377</v>
      </c>
      <c r="B66" s="108" t="s">
        <v>1378</v>
      </c>
    </row>
    <row r="67" spans="1:2">
      <c r="A67" s="107" t="s">
        <v>1379</v>
      </c>
      <c r="B67" s="108" t="s">
        <v>1380</v>
      </c>
    </row>
    <row r="68" spans="1:2" ht="34">
      <c r="A68" s="107" t="s">
        <v>1381</v>
      </c>
      <c r="B68" s="108" t="s">
        <v>1382</v>
      </c>
    </row>
    <row r="69" spans="1:2">
      <c r="A69" s="107" t="s">
        <v>1383</v>
      </c>
      <c r="B69" s="108" t="s">
        <v>1384</v>
      </c>
    </row>
    <row r="70" spans="1:2">
      <c r="A70" s="107" t="s">
        <v>1385</v>
      </c>
      <c r="B70" s="108" t="s">
        <v>1386</v>
      </c>
    </row>
    <row r="71" spans="1:2">
      <c r="A71" s="107" t="s">
        <v>1387</v>
      </c>
      <c r="B71" s="108" t="s">
        <v>1388</v>
      </c>
    </row>
    <row r="72" spans="1:2">
      <c r="A72" s="107" t="s">
        <v>1389</v>
      </c>
      <c r="B72" s="108" t="s">
        <v>1390</v>
      </c>
    </row>
    <row r="73" spans="1:2">
      <c r="A73" s="107" t="s">
        <v>1391</v>
      </c>
      <c r="B73" s="108" t="s">
        <v>1392</v>
      </c>
    </row>
    <row r="74" spans="1:2">
      <c r="A74" s="107" t="s">
        <v>1393</v>
      </c>
      <c r="B74" s="108" t="s">
        <v>1394</v>
      </c>
    </row>
    <row r="75" spans="1:2">
      <c r="A75" s="107" t="s">
        <v>1395</v>
      </c>
      <c r="B75" s="108" t="s">
        <v>1396</v>
      </c>
    </row>
    <row r="76" spans="1:2">
      <c r="A76" s="107" t="s">
        <v>1397</v>
      </c>
      <c r="B76" s="108" t="s">
        <v>1398</v>
      </c>
    </row>
    <row r="77" spans="1:2">
      <c r="A77" s="107" t="s">
        <v>1399</v>
      </c>
      <c r="B77" s="108" t="s">
        <v>1400</v>
      </c>
    </row>
    <row r="78" spans="1:2">
      <c r="A78" s="107" t="s">
        <v>1401</v>
      </c>
      <c r="B78" s="108" t="s">
        <v>1402</v>
      </c>
    </row>
    <row r="79" spans="1:2">
      <c r="A79" s="107" t="s">
        <v>1403</v>
      </c>
      <c r="B79" s="108" t="s">
        <v>1404</v>
      </c>
    </row>
    <row r="80" spans="1:2">
      <c r="A80" s="107" t="s">
        <v>1405</v>
      </c>
      <c r="B80" s="108" t="s">
        <v>1406</v>
      </c>
    </row>
    <row r="81" spans="1:2">
      <c r="A81" s="107" t="s">
        <v>1407</v>
      </c>
      <c r="B81" s="108" t="s">
        <v>1408</v>
      </c>
    </row>
    <row r="82" spans="1:2">
      <c r="A82" s="107" t="s">
        <v>1409</v>
      </c>
      <c r="B82" s="108" t="s">
        <v>1410</v>
      </c>
    </row>
    <row r="83" spans="1:2">
      <c r="A83" s="107" t="s">
        <v>1411</v>
      </c>
      <c r="B83" s="108" t="s">
        <v>1412</v>
      </c>
    </row>
    <row r="84" spans="1:2">
      <c r="A84" s="107" t="s">
        <v>1413</v>
      </c>
      <c r="B84" s="108" t="s">
        <v>1414</v>
      </c>
    </row>
    <row r="85" spans="1:2">
      <c r="A85" s="107" t="s">
        <v>1415</v>
      </c>
      <c r="B85" s="108" t="s">
        <v>1416</v>
      </c>
    </row>
    <row r="86" spans="1:2">
      <c r="A86" s="107" t="s">
        <v>1417</v>
      </c>
      <c r="B86" s="108" t="s">
        <v>1418</v>
      </c>
    </row>
    <row r="87" spans="1:2">
      <c r="A87" s="107" t="s">
        <v>1419</v>
      </c>
      <c r="B87" s="108" t="s">
        <v>1420</v>
      </c>
    </row>
    <row r="88" spans="1:2">
      <c r="A88" s="107" t="s">
        <v>1421</v>
      </c>
      <c r="B88" s="108" t="s">
        <v>1422</v>
      </c>
    </row>
    <row r="89" spans="1:2">
      <c r="A89" s="107" t="s">
        <v>1423</v>
      </c>
      <c r="B89" s="108" t="s">
        <v>1424</v>
      </c>
    </row>
    <row r="90" spans="1:2">
      <c r="A90" s="107" t="s">
        <v>1425</v>
      </c>
      <c r="B90" s="108" t="s">
        <v>1426</v>
      </c>
    </row>
    <row r="91" spans="1:2">
      <c r="A91" s="107" t="s">
        <v>1427</v>
      </c>
      <c r="B91" s="108" t="s">
        <v>1428</v>
      </c>
    </row>
    <row r="92" spans="1:2">
      <c r="A92" s="107" t="s">
        <v>1429</v>
      </c>
      <c r="B92" s="108" t="s">
        <v>1430</v>
      </c>
    </row>
    <row r="93" spans="1:2">
      <c r="A93" s="107" t="s">
        <v>1431</v>
      </c>
      <c r="B93" s="108" t="s">
        <v>1432</v>
      </c>
    </row>
    <row r="94" spans="1:2">
      <c r="A94" s="107" t="s">
        <v>1433</v>
      </c>
      <c r="B94" s="108" t="s">
        <v>1434</v>
      </c>
    </row>
    <row r="95" spans="1:2">
      <c r="A95" s="107" t="s">
        <v>1435</v>
      </c>
      <c r="B95" s="108" t="s">
        <v>1436</v>
      </c>
    </row>
    <row r="96" spans="1:2">
      <c r="A96" s="107" t="s">
        <v>1437</v>
      </c>
      <c r="B96" s="108" t="s">
        <v>1438</v>
      </c>
    </row>
    <row r="97" spans="1:2">
      <c r="A97" s="107" t="s">
        <v>1439</v>
      </c>
      <c r="B97" s="108" t="s">
        <v>1440</v>
      </c>
    </row>
    <row r="98" spans="1:2">
      <c r="A98" s="107" t="s">
        <v>1441</v>
      </c>
      <c r="B98" s="108" t="s">
        <v>1442</v>
      </c>
    </row>
    <row r="99" spans="1:2">
      <c r="A99" s="107" t="s">
        <v>1443</v>
      </c>
      <c r="B99" s="108" t="s">
        <v>1444</v>
      </c>
    </row>
    <row r="100" spans="1:2">
      <c r="A100" s="107" t="s">
        <v>1445</v>
      </c>
      <c r="B100" s="108" t="s">
        <v>1446</v>
      </c>
    </row>
    <row r="101" spans="1:2">
      <c r="A101" s="107" t="s">
        <v>1447</v>
      </c>
      <c r="B101" s="108" t="s">
        <v>1448</v>
      </c>
    </row>
    <row r="102" spans="1:2">
      <c r="A102" s="107" t="s">
        <v>1449</v>
      </c>
      <c r="B102" s="108" t="s">
        <v>1450</v>
      </c>
    </row>
    <row r="103" spans="1:2">
      <c r="A103" s="107" t="s">
        <v>1451</v>
      </c>
      <c r="B103" s="108" t="s">
        <v>1452</v>
      </c>
    </row>
    <row r="104" spans="1:2">
      <c r="A104" s="107" t="s">
        <v>1453</v>
      </c>
      <c r="B104" s="108" t="s">
        <v>1454</v>
      </c>
    </row>
    <row r="105" spans="1:2">
      <c r="A105" s="107" t="s">
        <v>1455</v>
      </c>
      <c r="B105" s="108" t="s">
        <v>1456</v>
      </c>
    </row>
    <row r="106" spans="1:2">
      <c r="A106" s="107" t="s">
        <v>1457</v>
      </c>
      <c r="B106" s="108" t="s">
        <v>1458</v>
      </c>
    </row>
    <row r="107" spans="1:2">
      <c r="A107" s="107" t="s">
        <v>1459</v>
      </c>
      <c r="B107" s="108" t="s">
        <v>1460</v>
      </c>
    </row>
    <row r="108" spans="1:2">
      <c r="A108" s="107" t="s">
        <v>1461</v>
      </c>
      <c r="B108" s="108" t="s">
        <v>1462</v>
      </c>
    </row>
    <row r="109" spans="1:2">
      <c r="A109" s="107" t="s">
        <v>1463</v>
      </c>
      <c r="B109" s="108" t="s">
        <v>1464</v>
      </c>
    </row>
    <row r="110" spans="1:2">
      <c r="A110" s="107" t="s">
        <v>1465</v>
      </c>
      <c r="B110" s="108" t="s">
        <v>1466</v>
      </c>
    </row>
    <row r="111" spans="1:2">
      <c r="A111" s="107" t="s">
        <v>1467</v>
      </c>
      <c r="B111" s="108" t="s">
        <v>1468</v>
      </c>
    </row>
    <row r="112" spans="1:2">
      <c r="A112" s="107" t="s">
        <v>1469</v>
      </c>
      <c r="B112" s="108" t="s">
        <v>1470</v>
      </c>
    </row>
    <row r="113" spans="1:2">
      <c r="A113" s="107" t="s">
        <v>1471</v>
      </c>
      <c r="B113" s="108" t="s">
        <v>1472</v>
      </c>
    </row>
    <row r="114" spans="1:2">
      <c r="A114" s="107" t="s">
        <v>1473</v>
      </c>
      <c r="B114" s="108" t="s">
        <v>1474</v>
      </c>
    </row>
    <row r="115" spans="1:2">
      <c r="A115" s="107" t="s">
        <v>1475</v>
      </c>
      <c r="B115" s="108" t="s">
        <v>1476</v>
      </c>
    </row>
    <row r="116" spans="1:2">
      <c r="A116" s="107" t="s">
        <v>1477</v>
      </c>
      <c r="B116" s="108" t="s">
        <v>1478</v>
      </c>
    </row>
    <row r="117" spans="1:2">
      <c r="A117" s="107" t="s">
        <v>1479</v>
      </c>
      <c r="B117" s="108" t="s">
        <v>1480</v>
      </c>
    </row>
    <row r="118" spans="1:2">
      <c r="A118" s="107" t="s">
        <v>1481</v>
      </c>
      <c r="B118" s="108" t="s">
        <v>1482</v>
      </c>
    </row>
    <row r="119" spans="1:2">
      <c r="A119" s="107" t="s">
        <v>1483</v>
      </c>
      <c r="B119" s="108" t="s">
        <v>1484</v>
      </c>
    </row>
    <row r="120" spans="1:2">
      <c r="A120" s="107" t="s">
        <v>1485</v>
      </c>
      <c r="B120" s="108" t="s">
        <v>1486</v>
      </c>
    </row>
    <row r="121" spans="1:2">
      <c r="A121" s="107" t="s">
        <v>1487</v>
      </c>
      <c r="B121" s="108" t="s">
        <v>1488</v>
      </c>
    </row>
    <row r="122" spans="1:2">
      <c r="A122" s="107" t="s">
        <v>1489</v>
      </c>
      <c r="B122" s="108" t="s">
        <v>1490</v>
      </c>
    </row>
    <row r="123" spans="1:2">
      <c r="A123" s="107" t="s">
        <v>1491</v>
      </c>
      <c r="B123" s="108" t="s">
        <v>1492</v>
      </c>
    </row>
    <row r="124" spans="1:2">
      <c r="A124" s="107" t="s">
        <v>1493</v>
      </c>
      <c r="B124" s="108" t="s">
        <v>1494</v>
      </c>
    </row>
    <row r="125" spans="1:2">
      <c r="A125" s="107" t="s">
        <v>1495</v>
      </c>
      <c r="B125" s="108" t="s">
        <v>1496</v>
      </c>
    </row>
    <row r="126" spans="1:2">
      <c r="A126" s="107" t="s">
        <v>1497</v>
      </c>
      <c r="B126" s="108" t="s">
        <v>1498</v>
      </c>
    </row>
    <row r="127" spans="1:2">
      <c r="A127" s="107" t="s">
        <v>1499</v>
      </c>
      <c r="B127" s="108" t="s">
        <v>1500</v>
      </c>
    </row>
    <row r="128" spans="1:2">
      <c r="A128" s="107" t="s">
        <v>1501</v>
      </c>
      <c r="B128" s="108" t="s">
        <v>1502</v>
      </c>
    </row>
    <row r="129" spans="1:2">
      <c r="A129" s="107" t="s">
        <v>1503</v>
      </c>
      <c r="B129" s="108" t="s">
        <v>1504</v>
      </c>
    </row>
    <row r="130" spans="1:2">
      <c r="A130" s="107" t="s">
        <v>1505</v>
      </c>
      <c r="B130" s="108" t="s">
        <v>1506</v>
      </c>
    </row>
    <row r="131" spans="1:2">
      <c r="A131" s="107" t="s">
        <v>1507</v>
      </c>
      <c r="B131" s="108" t="s">
        <v>1508</v>
      </c>
    </row>
    <row r="132" spans="1:2">
      <c r="A132" s="107" t="s">
        <v>3086</v>
      </c>
      <c r="B132" s="108" t="s">
        <v>3087</v>
      </c>
    </row>
    <row r="133" spans="1:2" ht="35.5" customHeight="1">
      <c r="A133" s="107" t="s">
        <v>3089</v>
      </c>
      <c r="B133" s="108" t="s">
        <v>3088</v>
      </c>
    </row>
    <row r="134" spans="1:2" ht="35.5" customHeight="1">
      <c r="A134" s="107" t="s">
        <v>3090</v>
      </c>
      <c r="B134" s="108" t="s">
        <v>3091</v>
      </c>
    </row>
    <row r="135" spans="1:2" ht="35.5" customHeight="1">
      <c r="A135" s="107" t="s">
        <v>3092</v>
      </c>
      <c r="B135" s="108" t="s">
        <v>3091</v>
      </c>
    </row>
    <row r="136" spans="1:2" ht="35.5" customHeight="1">
      <c r="A136" s="107" t="s">
        <v>3093</v>
      </c>
      <c r="B136" s="108" t="s">
        <v>3091</v>
      </c>
    </row>
    <row r="137" spans="1:2">
      <c r="A137" s="107" t="s">
        <v>3094</v>
      </c>
      <c r="B137" s="108" t="s">
        <v>3095</v>
      </c>
    </row>
    <row r="138" spans="1:2">
      <c r="A138" s="107" t="s">
        <v>3096</v>
      </c>
      <c r="B138" s="108" t="s">
        <v>3097</v>
      </c>
    </row>
    <row r="139" spans="1:2">
      <c r="A139" s="107" t="s">
        <v>3098</v>
      </c>
      <c r="B139" s="108" t="s">
        <v>3099</v>
      </c>
    </row>
    <row r="140" spans="1:2">
      <c r="A140" s="107" t="s">
        <v>3100</v>
      </c>
      <c r="B140" s="108" t="s">
        <v>3101</v>
      </c>
    </row>
    <row r="141" spans="1:2">
      <c r="A141" s="107" t="s">
        <v>3102</v>
      </c>
      <c r="B141" s="108" t="s">
        <v>3103</v>
      </c>
    </row>
    <row r="142" spans="1:2">
      <c r="A142" s="107" t="s">
        <v>3104</v>
      </c>
      <c r="B142" s="108" t="s">
        <v>3105</v>
      </c>
    </row>
    <row r="143" spans="1:2">
      <c r="A143" s="348" t="s">
        <v>3909</v>
      </c>
      <c r="B143" s="349" t="s">
        <v>3910</v>
      </c>
    </row>
    <row r="144" spans="1:2">
      <c r="A144" s="348" t="s">
        <v>3911</v>
      </c>
      <c r="B144" s="349" t="s">
        <v>3912</v>
      </c>
    </row>
    <row r="145" spans="1:2">
      <c r="A145" s="348" t="s">
        <v>3913</v>
      </c>
      <c r="B145" s="349" t="s">
        <v>3914</v>
      </c>
    </row>
    <row r="146" spans="1:2">
      <c r="A146" s="348" t="s">
        <v>3915</v>
      </c>
      <c r="B146" s="349" t="s">
        <v>3916</v>
      </c>
    </row>
    <row r="147" spans="1:2">
      <c r="A147" s="348" t="s">
        <v>3917</v>
      </c>
      <c r="B147" s="349" t="s">
        <v>3918</v>
      </c>
    </row>
  </sheetData>
  <phoneticPr fontId="1" type="noConversion"/>
  <printOptions horizontalCentered="1"/>
  <pageMargins left="0.70866141732283472" right="0.70866141732283472" top="0.74803149606299213" bottom="0.74803149606299213" header="0.31496062992125984" footer="0.31496062992125984"/>
  <pageSetup paperSize="9" orientation="portrait"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17</vt:i4>
      </vt:variant>
      <vt:variant>
        <vt:lpstr>已命名的範圍</vt:lpstr>
      </vt:variant>
      <vt:variant>
        <vt:i4>16</vt:i4>
      </vt:variant>
    </vt:vector>
  </HeadingPairs>
  <TitlesOfParts>
    <vt:vector size="33" baseType="lpstr">
      <vt:lpstr>附民</vt:lpstr>
      <vt:lpstr>告訴人</vt:lpstr>
      <vt:lpstr>附表一</vt:lpstr>
      <vt:lpstr>附表二</vt:lpstr>
      <vt:lpstr>附表三</vt:lpstr>
      <vt:lpstr>附表四 </vt:lpstr>
      <vt:lpstr>附表五</vt:lpstr>
      <vt:lpstr>附表六 </vt:lpstr>
      <vt:lpstr>附表七</vt:lpstr>
      <vt:lpstr>附表八 </vt:lpstr>
      <vt:lpstr>附表九</vt:lpstr>
      <vt:lpstr>附表十</vt:lpstr>
      <vt:lpstr>附表十一</vt:lpstr>
      <vt:lpstr>附表十二</vt:lpstr>
      <vt:lpstr>附表十三</vt:lpstr>
      <vt:lpstr>附表十四</vt:lpstr>
      <vt:lpstr>附表十五</vt:lpstr>
      <vt:lpstr>告訴人!Print_Area</vt:lpstr>
      <vt:lpstr>附民!Print_Area</vt:lpstr>
      <vt:lpstr>附表一!Print_Area</vt:lpstr>
      <vt:lpstr>附表十!Print_Area</vt:lpstr>
      <vt:lpstr>附表五!Print_Area</vt:lpstr>
      <vt:lpstr>'附表六 '!Print_Area</vt:lpstr>
      <vt:lpstr>告訴人!Print_Titles</vt:lpstr>
      <vt:lpstr>附民!Print_Titles</vt:lpstr>
      <vt:lpstr>附表一!Print_Titles</vt:lpstr>
      <vt:lpstr>附表七!Print_Titles</vt:lpstr>
      <vt:lpstr>'附表八 '!Print_Titles</vt:lpstr>
      <vt:lpstr>附表十!Print_Titles</vt:lpstr>
      <vt:lpstr>附表十五!Print_Titles</vt:lpstr>
      <vt:lpstr>附表五!Print_Titles</vt:lpstr>
      <vt:lpstr>'附表六 '!Print_Titles</vt:lpstr>
      <vt:lpstr>'附表四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JUDUSER</dc:creator>
  <cp:lastModifiedBy>張亮美</cp:lastModifiedBy>
  <cp:lastPrinted>2021-04-25T06:22:51Z</cp:lastPrinted>
  <dcterms:created xsi:type="dcterms:W3CDTF">2016-02-02T06:25:39Z</dcterms:created>
  <dcterms:modified xsi:type="dcterms:W3CDTF">2021-05-06T03:22:58Z</dcterms:modified>
</cp:coreProperties>
</file>